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exportcol-my.sharepoint.com/personal/mdiaz_procolombia_co1/Documents/2025/Workshop_ia_empresas/src/data/"/>
    </mc:Choice>
  </mc:AlternateContent>
  <xr:revisionPtr revIDLastSave="28" documentId="11_6629E2FF4613CF29EBB3FEAC185444FF50BCCE22" xr6:coauthVersionLast="47" xr6:coauthVersionMax="47" xr10:uidLastSave="{7D2CDC78-4DB6-41F5-9588-C27A3AD60E09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Sheet1!$A$1:$B$1899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9" i="1" l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<sst xmlns="http://schemas.openxmlformats.org/spreadsheetml/2006/main" count="1900" uniqueCount="1900">
  <si>
    <t>Company Name</t>
  </si>
  <si>
    <t>Website</t>
  </si>
  <si>
    <t>10H Capital</t>
  </si>
  <si>
    <t>10Pearls</t>
  </si>
  <si>
    <t>1414 Ventures</t>
  </si>
  <si>
    <t>2048 Ventures</t>
  </si>
  <si>
    <t>21212</t>
  </si>
  <si>
    <t>23 &amp; Park</t>
  </si>
  <si>
    <t>3i Group (LON: III)</t>
  </si>
  <si>
    <t>75 &amp; Sunny</t>
  </si>
  <si>
    <t>777 Partners</t>
  </si>
  <si>
    <t>AAK (STO: AAK)</t>
  </si>
  <si>
    <t>Abad Capital</t>
  </si>
  <si>
    <t>ABAI Group</t>
  </si>
  <si>
    <t>ABB (Distributors/Wholesale) (SWX: ABBN)</t>
  </si>
  <si>
    <t>Abertis</t>
  </si>
  <si>
    <t>AC Ventures (Arca Continental)</t>
  </si>
  <si>
    <t>AC Ventures (Other Commercial Services)</t>
  </si>
  <si>
    <t>Accelerate Colombia</t>
  </si>
  <si>
    <t>Accelerativ</t>
  </si>
  <si>
    <t>Accial Capital</t>
  </si>
  <si>
    <t>Aceleradora Sodimac Corona</t>
  </si>
  <si>
    <t>ACI Worldwide (NAS: ACIW)</t>
  </si>
  <si>
    <t>Actyus</t>
  </si>
  <si>
    <t>ADL Digital Lab</t>
  </si>
  <si>
    <t>ADM Germany</t>
  </si>
  <si>
    <t>Administradora de Archivos</t>
  </si>
  <si>
    <t>Advanced Capital Securities</t>
  </si>
  <si>
    <t>Aegis Group</t>
  </si>
  <si>
    <t>Aenza (LIM: AENZAC1)</t>
  </si>
  <si>
    <t>AES (NYS: AES)</t>
  </si>
  <si>
    <t>Aeternum Capital</t>
  </si>
  <si>
    <t>AFP Habitat (SGO: HABITAT)</t>
  </si>
  <si>
    <t>Afriquia Gaz (CAS: GAZ)</t>
  </si>
  <si>
    <t>Agenciauto</t>
  </si>
  <si>
    <t>Agnico Eagle Mines (TSE: AEM)</t>
  </si>
  <si>
    <t>Agora Ventures</t>
  </si>
  <si>
    <t>Air Liquide (PAR: AI)</t>
  </si>
  <si>
    <t>AirAngels</t>
  </si>
  <si>
    <t>AIT Startups</t>
  </si>
  <si>
    <t>Aktiva Asset Management</t>
  </si>
  <si>
    <t>Aktiva Financiera</t>
  </si>
  <si>
    <t>Akuo Energy</t>
  </si>
  <si>
    <t>AkzoNobel (AMS: AKZA)</t>
  </si>
  <si>
    <t>Alarko Ventures</t>
  </si>
  <si>
    <t>Alchemist Accelerator</t>
  </si>
  <si>
    <t>Alecta Tjänstepension Ömsesidigt</t>
  </si>
  <si>
    <t>Alexander Lazovsky</t>
  </si>
  <si>
    <t>AlfaPeople Nordic</t>
  </si>
  <si>
    <t>Alianza Fiduciaria</t>
  </si>
  <si>
    <t>Alive Ventures (Los Angeles)</t>
  </si>
  <si>
    <t>Allegion (NYS: ALLE)</t>
  </si>
  <si>
    <t>Allen Gannett</t>
  </si>
  <si>
    <t>Alliance Technologies (IT solutions)</t>
  </si>
  <si>
    <t>Allied Health (PINX: ALID)</t>
  </si>
  <si>
    <t>Alpha Centauri Tech Ventures</t>
  </si>
  <si>
    <t>Alpha Leonis Partners</t>
  </si>
  <si>
    <t>Alphacom Holdings</t>
  </si>
  <si>
    <t>Alpina Productos Alimenticios CA de Venezuela</t>
  </si>
  <si>
    <t>AlpInvest Partners</t>
  </si>
  <si>
    <t>ALS (ASX: ALQ)</t>
  </si>
  <si>
    <t>Alsea (MEX: ALSEA)</t>
  </si>
  <si>
    <t>Alta Resources (Outsourcing)</t>
  </si>
  <si>
    <t>Altamir (PAR: LTA)</t>
  </si>
  <si>
    <t>Altipal</t>
  </si>
  <si>
    <t>Altiplano Metals (TSX: APN)</t>
  </si>
  <si>
    <t>Altum Capital (Mexico)</t>
  </si>
  <si>
    <t>Aluna Partners</t>
  </si>
  <si>
    <t>Alusa</t>
  </si>
  <si>
    <t>Amazonas Florestal (PINX: AZFL)</t>
  </si>
  <si>
    <t>Ambipar Participacoes e Empreendimentos (BVMF: AMBP3)</t>
  </si>
  <si>
    <t>Amcor (NYS: AMCR)</t>
  </si>
  <si>
    <t>American Tower (NYS: AMT)</t>
  </si>
  <si>
    <t>Amerocap</t>
  </si>
  <si>
    <t>AMF Tjänstepension</t>
  </si>
  <si>
    <t>Amplifica Capital</t>
  </si>
  <si>
    <t>Amplo (Electronic Equipment and Instruments)</t>
  </si>
  <si>
    <t>Amzak Capital Management</t>
  </si>
  <si>
    <t>Anchor Capital Investments (APIA)</t>
  </si>
  <si>
    <t>Andean Cacao</t>
  </si>
  <si>
    <t>Andean Mining</t>
  </si>
  <si>
    <t>Andeo</t>
  </si>
  <si>
    <t>Andeo Capital</t>
  </si>
  <si>
    <t>AngelDAO</t>
  </si>
  <si>
    <t>AngelHack</t>
  </si>
  <si>
    <t>Anglo American (LON: AAL)</t>
  </si>
  <si>
    <t>ANIMO Ventures</t>
  </si>
  <si>
    <t>Annona Sustainable Investments</t>
  </si>
  <si>
    <t>Anteris Capital</t>
  </si>
  <si>
    <t>Appaloosa Management</t>
  </si>
  <si>
    <t>aPriori Capital Partners</t>
  </si>
  <si>
    <t>Arbaro Advisors</t>
  </si>
  <si>
    <t>ARC Document Solutions</t>
  </si>
  <si>
    <t>Arca Continental Lindley</t>
  </si>
  <si>
    <t>Arch Grants</t>
  </si>
  <si>
    <t>Archipelago Capital Partners (Boston)</t>
  </si>
  <si>
    <t>Archipelago Next</t>
  </si>
  <si>
    <t>ArcPe</t>
  </si>
  <si>
    <t>Argos Groep</t>
  </si>
  <si>
    <t>Arkadin Cloud Communications</t>
  </si>
  <si>
    <t>Arkangeles</t>
  </si>
  <si>
    <t>Arle Capital Partners</t>
  </si>
  <si>
    <t>Arpegio</t>
  </si>
  <si>
    <t>Arrive Opportunities Management</t>
  </si>
  <si>
    <t>Arvato</t>
  </si>
  <si>
    <t>Ash Park Capital</t>
  </si>
  <si>
    <t>Ashmore Energy International</t>
  </si>
  <si>
    <t>Asia Broadband (PINX: AABB)</t>
  </si>
  <si>
    <t>ASP Consulting</t>
  </si>
  <si>
    <t>Aspira Capital Management</t>
  </si>
  <si>
    <t>Association Insurtech Colombia</t>
  </si>
  <si>
    <t>Astara</t>
  </si>
  <si>
    <t>Astralabs</t>
  </si>
  <si>
    <t>Athos Capital</t>
  </si>
  <si>
    <t>Atico Mining (TSX: ATY)</t>
  </si>
  <si>
    <t>AtkinsRealis (TSE: ATRL)</t>
  </si>
  <si>
    <t>Atlantica Sustainable Infrastructure</t>
  </si>
  <si>
    <t>Atlas Capital Private Equity</t>
  </si>
  <si>
    <t>Atlas Copco Colombia</t>
  </si>
  <si>
    <t>ATP Private Equity Partners</t>
  </si>
  <si>
    <t>Atrevia Corporacion</t>
  </si>
  <si>
    <t>Atreyu Investments</t>
  </si>
  <si>
    <t>Atwater Capital</t>
  </si>
  <si>
    <t>Aurum Venture Partners</t>
  </si>
  <si>
    <t>Ausum Ventures</t>
  </si>
  <si>
    <t>authID (NAS: AUID)</t>
  </si>
  <si>
    <t>automayor</t>
  </si>
  <si>
    <t>AuVert Mining Group</t>
  </si>
  <si>
    <t>Auvik Networks</t>
  </si>
  <si>
    <t>Auxico Resources Canada (CNQ: AUAG)</t>
  </si>
  <si>
    <t>AvanTech Ventures</t>
  </si>
  <si>
    <t>Aventrock Ventures</t>
  </si>
  <si>
    <t>Avista Healthcare Partners</t>
  </si>
  <si>
    <t>Avvale</t>
  </si>
  <si>
    <t>AXA (PAR: CS)</t>
  </si>
  <si>
    <t>Axon Pharma</t>
  </si>
  <si>
    <t>B. Braun Avitum</t>
  </si>
  <si>
    <t>Baichuan AI</t>
  </si>
  <si>
    <t>Banco Bilbao Vizcaya Argentaria (MAD: BBVA)</t>
  </si>
  <si>
    <t>Banco Bilbao Vizcaya Argentaria Colombia (BOG: BBVACOL)</t>
  </si>
  <si>
    <t>Banco Popular (National Banks)</t>
  </si>
  <si>
    <t>Banco Sabadell (MAD: SAB)</t>
  </si>
  <si>
    <t>Banco Santander (MAD: SAN)</t>
  </si>
  <si>
    <t>Bancóldex</t>
  </si>
  <si>
    <t>Banorte (MEX: GFNORTEO)</t>
  </si>
  <si>
    <t>BARDA</t>
  </si>
  <si>
    <t>Base Partners</t>
  </si>
  <si>
    <t>Bavaria</t>
  </si>
  <si>
    <t>BayBoston Managers</t>
  </si>
  <si>
    <t>Bayton Group</t>
  </si>
  <si>
    <t>BBVA Spark</t>
  </si>
  <si>
    <t>BCE (TSE: BCE)</t>
  </si>
  <si>
    <t>Bcombinator</t>
  </si>
  <si>
    <t>BDT &amp; Company (Private Equity)</t>
  </si>
  <si>
    <t>Bedrock (Financial Services)</t>
  </si>
  <si>
    <t>Beleave Kannabis</t>
  </si>
  <si>
    <t>Benchmark Holdings (LON: BMK)</t>
  </si>
  <si>
    <t>Benchstrength Ventures</t>
  </si>
  <si>
    <t>Berch Capital</t>
  </si>
  <si>
    <t>Beresford Ventures</t>
  </si>
  <si>
    <t>Berry Seven</t>
  </si>
  <si>
    <t>Bethia</t>
  </si>
  <si>
    <t>Betsson (STO: BETS B)</t>
  </si>
  <si>
    <t>Bezos Expeditions</t>
  </si>
  <si>
    <t>BGH Tech Partner</t>
  </si>
  <si>
    <t>BHP Group (ASX: BHP)</t>
  </si>
  <si>
    <t>Big Brain Holdings</t>
  </si>
  <si>
    <t>Biocannabix Health</t>
  </si>
  <si>
    <t>Biosphere Investment Group</t>
  </si>
  <si>
    <t>Blackboard</t>
  </si>
  <si>
    <t>Blind Squirrel Entertainment</t>
  </si>
  <si>
    <t>Blockchange Ventures</t>
  </si>
  <si>
    <t>BloomsPal</t>
  </si>
  <si>
    <t>Blue Banyan Equity</t>
  </si>
  <si>
    <t>Blue Marble Microinsurance</t>
  </si>
  <si>
    <t>Bluegrace Energy Bolivia</t>
  </si>
  <si>
    <t>BlueTerra Capital</t>
  </si>
  <si>
    <t>BNY Mellon (NYS: BK)</t>
  </si>
  <si>
    <t>Boab Metals (ASX: BML)</t>
  </si>
  <si>
    <t>Bold {Financial Software}</t>
  </si>
  <si>
    <t>Bolsa de Valores de Colombia (BOG: BVC)</t>
  </si>
  <si>
    <t>BoomStartup</t>
  </si>
  <si>
    <t>BoostLAB</t>
  </si>
  <si>
    <t>Borderless Capital</t>
  </si>
  <si>
    <t>Boundary Gold and Copper Mining (TSX: BDGC.H)</t>
  </si>
  <si>
    <t>Bpifrance</t>
  </si>
  <si>
    <t>Bracket Capital</t>
  </si>
  <si>
    <t>Brain Chile</t>
  </si>
  <si>
    <t>Brass Ring Ventures</t>
  </si>
  <si>
    <t>Brenntag (ETR: BNR)</t>
  </si>
  <si>
    <t>Bricapital</t>
  </si>
  <si>
    <t>Brick &amp; Mortar Ventures</t>
  </si>
  <si>
    <t>Bricksave</t>
  </si>
  <si>
    <t>Bridge Academy</t>
  </si>
  <si>
    <t>Bridges for Enterprise</t>
  </si>
  <si>
    <t>Bridges Fund Management</t>
  </si>
  <si>
    <t>Brinsa</t>
  </si>
  <si>
    <t>British American Tobacco (LON: BATS)</t>
  </si>
  <si>
    <t>Brixton Ventures Lab</t>
  </si>
  <si>
    <t>Broadhaven Capital Partners</t>
  </si>
  <si>
    <t>Broocknell Ventures</t>
  </si>
  <si>
    <t>Broom Group</t>
  </si>
  <si>
    <t>Brysam Global Partners</t>
  </si>
  <si>
    <t>BSN medical</t>
  </si>
  <si>
    <t>BuenTrip Ventures</t>
  </si>
  <si>
    <t>Bunzl (Distributors/Wholesale) (LON: BNZL)</t>
  </si>
  <si>
    <t>Buran Energy</t>
  </si>
  <si>
    <t>Bureau Veritas (PAR: BVI)</t>
  </si>
  <si>
    <t>BuscaPe Company Informacao e Techologia</t>
  </si>
  <si>
    <t>Busqo</t>
  </si>
  <si>
    <t>Buysse &amp; Partners</t>
  </si>
  <si>
    <t>BWG ventures</t>
  </si>
  <si>
    <t>C3 Ventures (VC)</t>
  </si>
  <si>
    <t>CACEIS</t>
  </si>
  <si>
    <t>CAE (Education and Training Services) (TSE: CAE)</t>
  </si>
  <si>
    <t>Calm Ventures</t>
  </si>
  <si>
    <t>Calmare Therapeutic</t>
  </si>
  <si>
    <t>Cambium Grove Capital</t>
  </si>
  <si>
    <t>Cambridge Capital</t>
  </si>
  <si>
    <t>Cambridge Innovation Center</t>
  </si>
  <si>
    <t>Canaan Partners</t>
  </si>
  <si>
    <t>CannaVerde Pharma</t>
  </si>
  <si>
    <t>Capital Factory</t>
  </si>
  <si>
    <t>Capital Medellin</t>
  </si>
  <si>
    <t>Capital Safety Group</t>
  </si>
  <si>
    <t>Capria Ventures</t>
  </si>
  <si>
    <t>Carabela</t>
  </si>
  <si>
    <t>Caracol Radio</t>
  </si>
  <si>
    <t>Card Sound Capital</t>
  </si>
  <si>
    <t>Cardinal Ventures</t>
  </si>
  <si>
    <t>Cardo Health</t>
  </si>
  <si>
    <t>Carrix</t>
  </si>
  <si>
    <t>CarroYa</t>
  </si>
  <si>
    <t>Carryt</t>
  </si>
  <si>
    <t>Cartesian Capital Group</t>
  </si>
  <si>
    <t>Cartier</t>
  </si>
  <si>
    <t>Carvajal Empaques</t>
  </si>
  <si>
    <t>Carvajal Tecnología y Servicios</t>
  </si>
  <si>
    <t>Castle Island Ventures</t>
  </si>
  <si>
    <t>Cathexis Ventures</t>
  </si>
  <si>
    <t>CAV Investment Group</t>
  </si>
  <si>
    <t>CBRE Group (NYS: CBRE)</t>
  </si>
  <si>
    <t>CDM Smith</t>
  </si>
  <si>
    <t>CDN MSolar</t>
  </si>
  <si>
    <t>Celeritas</t>
  </si>
  <si>
    <t>Celerity Fiber</t>
  </si>
  <si>
    <t>Celsia (Commercial Products)</t>
  </si>
  <si>
    <t>Cementos Argos (BOG: CEMARGOS)</t>
  </si>
  <si>
    <t>Cendana Capital</t>
  </si>
  <si>
    <t>Cenit Transporte Y Logística De Hidrocarburos</t>
  </si>
  <si>
    <t>Central Cervecera de Colombia</t>
  </si>
  <si>
    <t>Centre Street Partners</t>
  </si>
  <si>
    <t>Cerralv Capital</t>
  </si>
  <si>
    <t>CEVA Logistics</t>
  </si>
  <si>
    <t>CG Partners</t>
  </si>
  <si>
    <t>Chariot &amp; Castle Seguros</t>
  </si>
  <si>
    <t>Charlotte Angel Fund</t>
  </si>
  <si>
    <t>Cherry Ventures</t>
  </si>
  <si>
    <t>Chesterfield</t>
  </si>
  <si>
    <t>Chestnut Street Ventures</t>
  </si>
  <si>
    <t>ChileGlobal Ventures</t>
  </si>
  <si>
    <t>China Minsheng Investment Group</t>
  </si>
  <si>
    <t>China Three Gorges (SHG: 600905)</t>
  </si>
  <si>
    <t>Chinoin</t>
  </si>
  <si>
    <t>Christian Edler</t>
  </si>
  <si>
    <t>Christofferson, Robb &amp; Company</t>
  </si>
  <si>
    <t>Cintra Infraestructuras</t>
  </si>
  <si>
    <t>Citi Venture Capital International</t>
  </si>
  <si>
    <t>Claire Diaz-Ortiz</t>
  </si>
  <si>
    <t>Claritas Capital</t>
  </si>
  <si>
    <t>Clayton, Dubilier &amp; Rice</t>
  </si>
  <si>
    <t>Clicoh Express</t>
  </si>
  <si>
    <t>Clinica panamericana</t>
  </si>
  <si>
    <t>CMA CGM</t>
  </si>
  <si>
    <t>CMS Rodríguez Azuero</t>
  </si>
  <si>
    <t>Co_Capital</t>
  </si>
  <si>
    <t>Coatue Management</t>
  </si>
  <si>
    <t>Cobepa</t>
  </si>
  <si>
    <t>Coca-Cola (NYS: KO)</t>
  </si>
  <si>
    <t>Coca-Cola FEMSA (PINX: COCSF)</t>
  </si>
  <si>
    <t>Codere</t>
  </si>
  <si>
    <t>Cohesive Capital Partners</t>
  </si>
  <si>
    <t>CoinDCX</t>
  </si>
  <si>
    <t>Colegium</t>
  </si>
  <si>
    <t>Colgener</t>
  </si>
  <si>
    <t>Collaborative Fund</t>
  </si>
  <si>
    <t>Colle Capital Partners</t>
  </si>
  <si>
    <t>Collective Global Accelerator</t>
  </si>
  <si>
    <t>Collide Capital</t>
  </si>
  <si>
    <t>Colombia Venture Capital IT</t>
  </si>
  <si>
    <t>Colombian National Resources</t>
  </si>
  <si>
    <t>Colombiana de Combustibles</t>
  </si>
  <si>
    <t>Colpatria Capital</t>
  </si>
  <si>
    <t>Columbia Fintech</t>
  </si>
  <si>
    <t>Columbia University</t>
  </si>
  <si>
    <t>Columbus Communications</t>
  </si>
  <si>
    <t>Commerce Ventures</t>
  </si>
  <si>
    <t>Community Investment Management</t>
  </si>
  <si>
    <t>Compa Capital</t>
  </si>
  <si>
    <t>Compara Online</t>
  </si>
  <si>
    <t>Compass Group (UK) (LON: CPG)</t>
  </si>
  <si>
    <t>Condor Group</t>
  </si>
  <si>
    <t>Confiar</t>
  </si>
  <si>
    <t>ConocoPhillips (NYS: COP)</t>
  </si>
  <si>
    <t>Consorci de la Zona Franca</t>
  </si>
  <si>
    <t>Constellar Ventures</t>
  </si>
  <si>
    <t>Constructora Conconcreto (BOG: CONCONCRET)</t>
  </si>
  <si>
    <t>Contento BPS</t>
  </si>
  <si>
    <t>Copa Holdings (NYS: CPA)</t>
  </si>
  <si>
    <t>Copenhagen Infrastructure Partners</t>
  </si>
  <si>
    <t>Cordes Foundation</t>
  </si>
  <si>
    <t>Cordish Dixon Private Equity Fund I (ASX: CD1)</t>
  </si>
  <si>
    <t>Cornelius Boersch</t>
  </si>
  <si>
    <t>Corporación Gestamp</t>
  </si>
  <si>
    <t>CosmoBlue Media</t>
  </si>
  <si>
    <t>Cracks Fund</t>
  </si>
  <si>
    <t>Crane Pumps &amp; Systems</t>
  </si>
  <si>
    <t>Creame Business Incubator</t>
  </si>
  <si>
    <t>CREAS ECUADOR</t>
  </si>
  <si>
    <t>Credit Agricole (PAR: ACA)</t>
  </si>
  <si>
    <t>Creditos y Ahorro Credifinanciera</t>
  </si>
  <si>
    <t>Crescent Capital Group</t>
  </si>
  <si>
    <t>Crezcamos</t>
  </si>
  <si>
    <t>Cristina Arango</t>
  </si>
  <si>
    <t>Crown Holding</t>
  </si>
  <si>
    <t>CSI Technology Incubator</t>
  </si>
  <si>
    <t>Cuatrecasas Acelera</t>
  </si>
  <si>
    <t>Cubico Sustainable Investments</t>
  </si>
  <si>
    <t>Cursive Holdings</t>
  </si>
  <si>
    <t>Cyber NYC</t>
  </si>
  <si>
    <t>Cyberlux (PINX: CYBL)</t>
  </si>
  <si>
    <t>Cypher Capital (Dubai)</t>
  </si>
  <si>
    <t>Danone (PAR: BN)</t>
  </si>
  <si>
    <t>Darby International Capital</t>
  </si>
  <si>
    <t>Dash Fund</t>
  </si>
  <si>
    <t>DataCRM</t>
  </si>
  <si>
    <t>David Rowan</t>
  </si>
  <si>
    <t>DaVita (NYS: DVA)</t>
  </si>
  <si>
    <t>DCG Expeditions</t>
  </si>
  <si>
    <t>Decentralized VC</t>
  </si>
  <si>
    <t>Deetken Impact</t>
  </si>
  <si>
    <t>Delcop</t>
  </si>
  <si>
    <t>Delivery Hero (Restaurants, Hotels and Leisure) (ETR: DHER)</t>
  </si>
  <si>
    <t>Deloitte</t>
  </si>
  <si>
    <t>Delta Plus Group (PAR: ALDLT)</t>
  </si>
  <si>
    <t>Dentons</t>
  </si>
  <si>
    <t>Dentsu International</t>
  </si>
  <si>
    <t>Desarrollo Educativo</t>
  </si>
  <si>
    <t>Developing World Markets (DWM)</t>
  </si>
  <si>
    <t>Devlabs Ventures</t>
  </si>
  <si>
    <t>DevMar Equities (PINX: DEVM)</t>
  </si>
  <si>
    <t>DG Ventures (Tokyo)</t>
  </si>
  <si>
    <t>Diesco</t>
  </si>
  <si>
    <t>Digital Bridges</t>
  </si>
  <si>
    <t>Digital Ventures (Chile )</t>
  </si>
  <si>
    <t>Discovery Americas</t>
  </si>
  <si>
    <t>Disruptive.vc</t>
  </si>
  <si>
    <t>Distribuidora Toyota</t>
  </si>
  <si>
    <t>District Mines (TSX: DIG.H)</t>
  </si>
  <si>
    <t>Donaldson Company (NYS: DCI)</t>
  </si>
  <si>
    <t>Dorel Industries (TSE: DII.A)</t>
  </si>
  <si>
    <t>Dormakaba Group (SWX: DOKA)</t>
  </si>
  <si>
    <t>Doublestar Group</t>
  </si>
  <si>
    <t>Dragon Capital</t>
  </si>
  <si>
    <t>Dragoneer Investment Group</t>
  </si>
  <si>
    <t>Draper Richards Kaplan Foundation</t>
  </si>
  <si>
    <t>DST Global</t>
  </si>
  <si>
    <t>DSV (CSE: DSV)</t>
  </si>
  <si>
    <t>Dune Ventures</t>
  </si>
  <si>
    <t>Duwest Colombia</t>
  </si>
  <si>
    <t>Dysatex</t>
  </si>
  <si>
    <t>E-Business Distribution</t>
  </si>
  <si>
    <t>Easy For You</t>
  </si>
  <si>
    <t>Eaton (NYS: ETN)</t>
  </si>
  <si>
    <t>Echoing Green</t>
  </si>
  <si>
    <t>Eco Oro Minerals (CNQ: EOM)</t>
  </si>
  <si>
    <t>ecos (Switzerland)</t>
  </si>
  <si>
    <t>Edelman</t>
  </si>
  <si>
    <t>Edenred Group (PAR: EDEN)</t>
  </si>
  <si>
    <t>Efron Consulting</t>
  </si>
  <si>
    <t>Egis Group</t>
  </si>
  <si>
    <t>EI Estructuras Inmobiliarias</t>
  </si>
  <si>
    <t>Eiffage (PAR: FGR)</t>
  </si>
  <si>
    <t>EIT Food</t>
  </si>
  <si>
    <t>El Corral</t>
  </si>
  <si>
    <t>Eléctricas de Medellín Ingeniería y Servicios</t>
  </si>
  <si>
    <t>Elysian Capital</t>
  </si>
  <si>
    <t>Emerald Energy</t>
  </si>
  <si>
    <t>Emergent Cold LatAm</t>
  </si>
  <si>
    <t>Empire Group</t>
  </si>
  <si>
    <t>Empresa Editora El Comercio (LIM: ELCOMEI1)</t>
  </si>
  <si>
    <t>Empresas CMPC (SGO: CMPC)</t>
  </si>
  <si>
    <t>Empresas Gasco (SGO: GASCO)</t>
  </si>
  <si>
    <t>Enabling Qapital</t>
  </si>
  <si>
    <t>Enbridge (TSE: ENB)</t>
  </si>
  <si>
    <t>Encore Capital Group (NAS: ECPG)</t>
  </si>
  <si>
    <t>Endeavor Bulgaria</t>
  </si>
  <si>
    <t>Endress+Hauser Group Services</t>
  </si>
  <si>
    <t>Enel (MIL: ENEL)</t>
  </si>
  <si>
    <t>Enel Colombia</t>
  </si>
  <si>
    <t>Energy Today (PINX: NRGT)</t>
  </si>
  <si>
    <t>Engineer Gold Mines (TSX: EAU)</t>
  </si>
  <si>
    <t>Enlace Operativo</t>
  </si>
  <si>
    <t>Enlaces</t>
  </si>
  <si>
    <t>Entrepreneur First</t>
  </si>
  <si>
    <t>Entrepreneurs Organization Accelerator</t>
  </si>
  <si>
    <t>Envision Accelerator</t>
  </si>
  <si>
    <t>Epakon Capital Management</t>
  </si>
  <si>
    <t>EPAM Systems (NYS: EPAM)</t>
  </si>
  <si>
    <t>Equinor (OSL: EQNR)</t>
  </si>
  <si>
    <t>Era Group (Air)</t>
  </si>
  <si>
    <t>ESAB India (BOM: 500133)</t>
  </si>
  <si>
    <t>Esalen Ventures</t>
  </si>
  <si>
    <t>eSource Capital</t>
  </si>
  <si>
    <t>Espacio</t>
  </si>
  <si>
    <t>Espinosa Capital Partners</t>
  </si>
  <si>
    <t>Estarte.Me</t>
  </si>
  <si>
    <t>Eterna</t>
  </si>
  <si>
    <t>Ethos VC</t>
  </si>
  <si>
    <t>Eurazeo (PAR: RF)</t>
  </si>
  <si>
    <t>Eurofarma Laboratorios (BVMF: EUFA3)</t>
  </si>
  <si>
    <t>Evening Fund</t>
  </si>
  <si>
    <t>Everfit</t>
  </si>
  <si>
    <t>Evernote Accelerator</t>
  </si>
  <si>
    <t>Evolution Accelerator</t>
  </si>
  <si>
    <t>Exile Content Studio</t>
  </si>
  <si>
    <t>ExlService Holdings (NAS: EXLS)</t>
  </si>
  <si>
    <t>Experian (LON: EXPN)</t>
  </si>
  <si>
    <t>Expert DOJO</t>
  </si>
  <si>
    <t>Expo City Dubai</t>
  </si>
  <si>
    <t>Expo City Dubai Foundation</t>
  </si>
  <si>
    <t>Exponential Impact</t>
  </si>
  <si>
    <t>Fabric Ventures</t>
  </si>
  <si>
    <t>Fabrice Grinda</t>
  </si>
  <si>
    <t>Faes Farma (MAD: FAE)</t>
  </si>
  <si>
    <t>Fama Investments</t>
  </si>
  <si>
    <t>Farmacias Cruz Verde</t>
  </si>
  <si>
    <t>Farmindustria</t>
  </si>
  <si>
    <t>Fasanara Capital</t>
  </si>
  <si>
    <t>FCM Global</t>
  </si>
  <si>
    <t>FedEx (NYS: FDX)</t>
  </si>
  <si>
    <t>Fen Ventures</t>
  </si>
  <si>
    <t>FGA Fondo De Garantias</t>
  </si>
  <si>
    <t>Ficohsa</t>
  </si>
  <si>
    <t>Fiinlab</t>
  </si>
  <si>
    <t>Finaktiva</t>
  </si>
  <si>
    <t>Finnish Fund for Industrial Cooperation</t>
  </si>
  <si>
    <t>First Row Partners</t>
  </si>
  <si>
    <t>Fiserv (NYS: FI)</t>
  </si>
  <si>
    <t>Fison</t>
  </si>
  <si>
    <t>Five Elms Capital</t>
  </si>
  <si>
    <t>Five One Labs</t>
  </si>
  <si>
    <t>FL Ventures</t>
  </si>
  <si>
    <t>Flash Ventures</t>
  </si>
  <si>
    <t>Flatiron</t>
  </si>
  <si>
    <t>Flexstone Partners</t>
  </si>
  <si>
    <t>Flight Ventures</t>
  </si>
  <si>
    <t>Flink (Financial Software)</t>
  </si>
  <si>
    <t>FloraMed Holdings</t>
  </si>
  <si>
    <t>Flourish Ventures</t>
  </si>
  <si>
    <t>Flucas Ventures</t>
  </si>
  <si>
    <t>Fluiconnecto Holdings</t>
  </si>
  <si>
    <t>Flyer One Venture</t>
  </si>
  <si>
    <t>Fonade</t>
  </si>
  <si>
    <t>Fondo Acción</t>
  </si>
  <si>
    <t>Fondo Emprender</t>
  </si>
  <si>
    <t>FoodFutureCo</t>
  </si>
  <si>
    <t>Foreword</t>
  </si>
  <si>
    <t>Forum Ventures</t>
  </si>
  <si>
    <t>ForwardLeap</t>
  </si>
  <si>
    <t>Foundamental</t>
  </si>
  <si>
    <t>FoundersX Ventures</t>
  </si>
  <si>
    <t>Fourth Realm</t>
  </si>
  <si>
    <t>FRACHT Group</t>
  </si>
  <si>
    <t>Framework Ventures</t>
  </si>
  <si>
    <t>Freeport-McMoRan (NYS: FCX)</t>
  </si>
  <si>
    <t>Fresenius (ETR: FRE)</t>
  </si>
  <si>
    <t>Freya Ventures</t>
  </si>
  <si>
    <t>Frontier Digital Ventures (ASX: FDV)</t>
  </si>
  <si>
    <t>Fundacion Antonio Restrepo Barco</t>
  </si>
  <si>
    <t>Fundación Chile</t>
  </si>
  <si>
    <t>Fundación Grupo Social</t>
  </si>
  <si>
    <t>Funespaña</t>
  </si>
  <si>
    <t>FX Productions</t>
  </si>
  <si>
    <t>G20 Ventures</t>
  </si>
  <si>
    <t>Galgo (Consumer Finance)</t>
  </si>
  <si>
    <t>GameFounders</t>
  </si>
  <si>
    <t>GamesPad</t>
  </si>
  <si>
    <t>Gamnic</t>
  </si>
  <si>
    <t>gBETA</t>
  </si>
  <si>
    <t>GBM Ventures</t>
  </si>
  <si>
    <t>GBS Finance</t>
  </si>
  <si>
    <t>GCG Group</t>
  </si>
  <si>
    <t>GDA Luma</t>
  </si>
  <si>
    <t>GE Capital</t>
  </si>
  <si>
    <t>GE HealthCare Technologies (NAS: GEHC)</t>
  </si>
  <si>
    <t>Gelt Venture Capital</t>
  </si>
  <si>
    <t>General Cable</t>
  </si>
  <si>
    <t>General Motors (NYS: GM)</t>
  </si>
  <si>
    <t>Genomar</t>
  </si>
  <si>
    <t>Genstar Capital</t>
  </si>
  <si>
    <t>Georgetown Angel Investors Network</t>
  </si>
  <si>
    <t>Georgetown Universitys Mcdonough School Of Business</t>
  </si>
  <si>
    <t>Gestagua</t>
  </si>
  <si>
    <t>GFT Technologies (ETR: GFT)</t>
  </si>
  <si>
    <t>Gibbs City Investments</t>
  </si>
  <si>
    <t>Gigas Hosting (MAD: GIGA)</t>
  </si>
  <si>
    <t>Girasol Payment Solutions</t>
  </si>
  <si>
    <t>Giros y Finanzas Compañía de Financiamiento Comercial</t>
  </si>
  <si>
    <t>Giustra Foundation</t>
  </si>
  <si>
    <t>Glenfarne Group</t>
  </si>
  <si>
    <t>Glisco Partners</t>
  </si>
  <si>
    <t>Global Advances Group</t>
  </si>
  <si>
    <t>Global FinTech Venture Partners</t>
  </si>
  <si>
    <t>Global Social Venture Competition</t>
  </si>
  <si>
    <t>Global Top Round</t>
  </si>
  <si>
    <t>Globals</t>
  </si>
  <si>
    <t>GLOCAL (Argentina)</t>
  </si>
  <si>
    <t>Gluky Group</t>
  </si>
  <si>
    <t>Gncc Capital (PINX: GNCP)</t>
  </si>
  <si>
    <t>Goddard Enterprises</t>
  </si>
  <si>
    <t>Gold X Mining</t>
  </si>
  <si>
    <t>Goloso Carnes</t>
  </si>
  <si>
    <t>Gómez Pineda Abogados</t>
  </si>
  <si>
    <t>Government of UK</t>
  </si>
  <si>
    <t>Grand Luminy</t>
  </si>
  <si>
    <t>GrandVision (Netherlands)</t>
  </si>
  <si>
    <t>Grão (São Paulo)</t>
  </si>
  <si>
    <t>Grassroots Business Fund</t>
  </si>
  <si>
    <t>Great Hill Partners</t>
  </si>
  <si>
    <t>Great Stuff Ventures</t>
  </si>
  <si>
    <t>Green Coffee Company</t>
  </si>
  <si>
    <t>Green Growth Accelerator</t>
  </si>
  <si>
    <t>Green Visor Capital</t>
  </si>
  <si>
    <t>Greensill Capital</t>
  </si>
  <si>
    <t>Greenspring Associates</t>
  </si>
  <si>
    <t>Greentown Labs</t>
  </si>
  <si>
    <t>Greenway Investment Company</t>
  </si>
  <si>
    <t>Greenwood Energy I</t>
  </si>
  <si>
    <t>GreenWood Resources</t>
  </si>
  <si>
    <t>Grenergy Renovables (MAD: GRE)</t>
  </si>
  <si>
    <t>Greycroft</t>
  </si>
  <si>
    <t>Greyhound Capital</t>
  </si>
  <si>
    <t>Grid Exponential</t>
  </si>
  <si>
    <t>GRM Information Management Systems</t>
  </si>
  <si>
    <t>Groupe SEB (PAR: SK)</t>
  </si>
  <si>
    <t>GrowthAfrica</t>
  </si>
  <si>
    <t>Grupo Amper (MAD: AMP)</t>
  </si>
  <si>
    <t>Grupo ASV</t>
  </si>
  <si>
    <t>Grupo Bios</t>
  </si>
  <si>
    <t>Grupo Calleja</t>
  </si>
  <si>
    <t>Grupo Carso (MEX: GCARSOA1)</t>
  </si>
  <si>
    <t>Grupo Comeca</t>
  </si>
  <si>
    <t>Grupo Empresarial Bavaria</t>
  </si>
  <si>
    <t>Grupo Farmaceutico Cronomed</t>
  </si>
  <si>
    <t>Grupo Garnier</t>
  </si>
  <si>
    <t>Grupo I33</t>
  </si>
  <si>
    <t>Grupo IMSA</t>
  </si>
  <si>
    <t>Grupo Kaltex</t>
  </si>
  <si>
    <t>Grupo Lamosa (MEX: LAMOSA)</t>
  </si>
  <si>
    <t>Grupo Luz y Fuerza Colombia</t>
  </si>
  <si>
    <t>Grupo MOK</t>
  </si>
  <si>
    <t>Grupo Nefrouros</t>
  </si>
  <si>
    <t>Grupo Orbis</t>
  </si>
  <si>
    <t>Grupo Pao de Acucar (BVMF: PCAR3)</t>
  </si>
  <si>
    <t>Grupo Planeta</t>
  </si>
  <si>
    <t>Grupo TCC</t>
  </si>
  <si>
    <t>Grupo Transportes Monterrey</t>
  </si>
  <si>
    <t>Grupo Trébol Comunicaciones</t>
  </si>
  <si>
    <t>Grupo Wiese</t>
  </si>
  <si>
    <t>GTD Grupo Teleductos</t>
  </si>
  <si>
    <t>güil Mobility Ventures</t>
  </si>
  <si>
    <t>Hábitat Adulto Mayor</t>
  </si>
  <si>
    <t>Haceb</t>
  </si>
  <si>
    <t>Hack VC</t>
  </si>
  <si>
    <t>HAL Investments</t>
  </si>
  <si>
    <t>Harbour Group</t>
  </si>
  <si>
    <t>Hardy Capital Partners</t>
  </si>
  <si>
    <t>Hart Security</t>
  </si>
  <si>
    <t>Harvard Alumni Entrepreneurs</t>
  </si>
  <si>
    <t>Hashkey Capital</t>
  </si>
  <si>
    <t>Havana Roasters Coffee</t>
  </si>
  <si>
    <t>Haven Ventures</t>
  </si>
  <si>
    <t>Hawktail</t>
  </si>
  <si>
    <t>Hayseed Ventures</t>
  </si>
  <si>
    <t>Healthcare Activos Yield Socimi (PAR: MLHAY)</t>
  </si>
  <si>
    <t>Hello World (Detroit)</t>
  </si>
  <si>
    <t>Hg</t>
  </si>
  <si>
    <t>Hi Ventures</t>
  </si>
  <si>
    <t>Hlessing Industries</t>
  </si>
  <si>
    <t>HMC Capital</t>
  </si>
  <si>
    <t>Hoche Partners</t>
  </si>
  <si>
    <t>Hofburg Capital</t>
  </si>
  <si>
    <t>Hogg Robinson Group</t>
  </si>
  <si>
    <t>Holland &amp; Knight</t>
  </si>
  <si>
    <t>Holt Xchange</t>
  </si>
  <si>
    <t>Homely (Information Services)</t>
  </si>
  <si>
    <t>Homestead Beer Co.</t>
  </si>
  <si>
    <t>Hometeam Ventures</t>
  </si>
  <si>
    <t>Hopper</t>
  </si>
  <si>
    <t>Houston Angel Network</t>
  </si>
  <si>
    <t>Howden Broking Group</t>
  </si>
  <si>
    <t>Hustle Fund</t>
  </si>
  <si>
    <t>Hyper Accelerator</t>
  </si>
  <si>
    <t>IC Ventures</t>
  </si>
  <si>
    <t>ICC Labs</t>
  </si>
  <si>
    <t>Icestar</t>
  </si>
  <si>
    <t>ICG Enterprise Trust</t>
  </si>
  <si>
    <t>IDG Capital</t>
  </si>
  <si>
    <t>IDIA Capital Investissement</t>
  </si>
  <si>
    <t>IFC Asset Management Company</t>
  </si>
  <si>
    <t>iFood (Restaurants, Hotels and Leisure)</t>
  </si>
  <si>
    <t>IHAG Holding</t>
  </si>
  <si>
    <t>IHS Global (Healthcare training)</t>
  </si>
  <si>
    <t>IKON Venture Capital</t>
  </si>
  <si>
    <t>Ikusi Velatia</t>
  </si>
  <si>
    <t>Imagine Ventures</t>
  </si>
  <si>
    <t>ImExHS (ASX: IME)</t>
  </si>
  <si>
    <t>Immeasurable</t>
  </si>
  <si>
    <t>Impact Hub Medellin</t>
  </si>
  <si>
    <t>Impact Investment Group</t>
  </si>
  <si>
    <t>Impact Ventures PSM</t>
  </si>
  <si>
    <t>Impact Ventures UK</t>
  </si>
  <si>
    <t>Impatient Ventures</t>
  </si>
  <si>
    <t>ImWind</t>
  </si>
  <si>
    <t>In-pactamos</t>
  </si>
  <si>
    <t>Inchcape (LON: INCH)</t>
  </si>
  <si>
    <t>Incorbank</t>
  </si>
  <si>
    <t>India Colorada</t>
  </si>
  <si>
    <t>Indra Sistemas (MAD: IDR)</t>
  </si>
  <si>
    <t>Inducam</t>
  </si>
  <si>
    <t>Industria de Alimentos Zenú</t>
  </si>
  <si>
    <t>Industrias Vera</t>
  </si>
  <si>
    <t>Inepetrol Investments</t>
  </si>
  <si>
    <t>Infinity Capital Partners (Oklahoma)</t>
  </si>
  <si>
    <t>INICIA</t>
  </si>
  <si>
    <t>InnoCentive</t>
  </si>
  <si>
    <t>Innovations Against Poverty</t>
  </si>
  <si>
    <t>InRetail Peru (LIM: INRETC1)</t>
  </si>
  <si>
    <t>Insigneo Financial Group</t>
  </si>
  <si>
    <t>Intelbras (BVMF: INTB3)</t>
  </si>
  <si>
    <t>Interbolsa</t>
  </si>
  <si>
    <t>Interlude Capital</t>
  </si>
  <si>
    <t>International Holding (ADS: IHC)</t>
  </si>
  <si>
    <t>Intersection Growth Partners</t>
  </si>
  <si>
    <t>Intertek (LON: ITRK)</t>
  </si>
  <si>
    <t>INVERQUIM</t>
  </si>
  <si>
    <t>Inversiones Andinas</t>
  </si>
  <si>
    <t>Invesca</t>
  </si>
  <si>
    <t>Invexans</t>
  </si>
  <si>
    <t>Invictus Consulting Service</t>
  </si>
  <si>
    <t>IOSG Ventures</t>
  </si>
  <si>
    <t>Iporanga Ventures</t>
  </si>
  <si>
    <t>IRIS (Colombia)</t>
  </si>
  <si>
    <t>Iron Mountain (Systems and Information Management) (NYS: IRM)</t>
  </si>
  <si>
    <t>Istari Ventures</t>
  </si>
  <si>
    <t>Iterative Accelerator</t>
  </si>
  <si>
    <t>Ithaca Capital Partners</t>
  </si>
  <si>
    <t>Ivanhoe Electric (ASE: IE)</t>
  </si>
  <si>
    <t>J&amp;A Garrigues</t>
  </si>
  <si>
    <t>J. Malucelli Seguradora</t>
  </si>
  <si>
    <t>J.P. Morgan</t>
  </si>
  <si>
    <t>Jacobs Holding Family Office</t>
  </si>
  <si>
    <t>Jaguar Growth Partners</t>
  </si>
  <si>
    <t>Jantzen Brands</t>
  </si>
  <si>
    <t>January Capital</t>
  </si>
  <si>
    <t>JAS Worldwide</t>
  </si>
  <si>
    <t>Jeeny</t>
  </si>
  <si>
    <t>Johnson &amp; Johnson Innovation - JLABS</t>
  </si>
  <si>
    <t>Johnson Controls International (NYS: JCI)</t>
  </si>
  <si>
    <t>Joining Futures Capital</t>
  </si>
  <si>
    <t>JOKR</t>
  </si>
  <si>
    <t>Joyance Partners</t>
  </si>
  <si>
    <t>Julius Connected 2 Grow</t>
  </si>
  <si>
    <t>JumpSeller</t>
  </si>
  <si>
    <t>Jungheinrich (DUS: JUN3)</t>
  </si>
  <si>
    <t>JVax Investment Group</t>
  </si>
  <si>
    <t>K20 Fund</t>
  </si>
  <si>
    <t>K5 Global</t>
  </si>
  <si>
    <t>Kairos Ventures</t>
  </si>
  <si>
    <t>Katapult Group</t>
  </si>
  <si>
    <t>Katapult Ocean</t>
  </si>
  <si>
    <t>KDV Capital</t>
  </si>
  <si>
    <t>Kerry Group (DUB: KRZ)</t>
  </si>
  <si>
    <t>Keybe</t>
  </si>
  <si>
    <t>Keyrus (PAR: ALKEY)</t>
  </si>
  <si>
    <t>KFund</t>
  </si>
  <si>
    <t>Khiron Life Sciences (TSX: KHRN.H)</t>
  </si>
  <si>
    <t>Kinderhook Partners</t>
  </si>
  <si>
    <t>Kingspan Group (DUB: KRX)</t>
  </si>
  <si>
    <t>Kinross Gold (TSE: K)</t>
  </si>
  <si>
    <t>Kiruna Capital Partners</t>
  </si>
  <si>
    <t>Koninklijke Vopak (AMS: VPK)</t>
  </si>
  <si>
    <t>Kraft Heinz (NAS: KHC)</t>
  </si>
  <si>
    <t>Kronos Ventures</t>
  </si>
  <si>
    <t>KSF Impact</t>
  </si>
  <si>
    <t>Kube Ventures</t>
  </si>
  <si>
    <t>Kuehne + Nagel (SWX: KNIN)</t>
  </si>
  <si>
    <t>Kuepa</t>
  </si>
  <si>
    <t>Kyoto Motors</t>
  </si>
  <si>
    <t>L Catterton Asia</t>
  </si>
  <si>
    <t>LAB Ventures</t>
  </si>
  <si>
    <t>Laboratorios Ecar</t>
  </si>
  <si>
    <t>Lanzadera Accelerator</t>
  </si>
  <si>
    <t>Latam Airlines Group (SGO: LTM)</t>
  </si>
  <si>
    <t>Lateral Frontiers VC</t>
  </si>
  <si>
    <t>Latinia Interactive Business</t>
  </si>
  <si>
    <t>Latitude Ventures (New York)</t>
  </si>
  <si>
    <t>Layla</t>
  </si>
  <si>
    <t>LDA Capital</t>
  </si>
  <si>
    <t>LEAD (Venture Capital)</t>
  </si>
  <si>
    <t>Leading Cities</t>
  </si>
  <si>
    <t>LEAP Global Partners</t>
  </si>
  <si>
    <t>Leapfrogs</t>
  </si>
  <si>
    <t>Legrand (PAR: LR)</t>
  </si>
  <si>
    <t>Lenus Capital Partners</t>
  </si>
  <si>
    <t>Lesaffre International</t>
  </si>
  <si>
    <t>Leschaco</t>
  </si>
  <si>
    <t>Levels Up Ventures</t>
  </si>
  <si>
    <t>Levi Strauss &amp; Co. (NYS: LEVI)</t>
  </si>
  <si>
    <t>LGT European Capital</t>
  </si>
  <si>
    <t>Lhoist</t>
  </si>
  <si>
    <t>Libero Copper &amp; Gold (TSX: LBC)</t>
  </si>
  <si>
    <t>Liberty Mutual Insurance Company</t>
  </si>
  <si>
    <t>Lider Holding</t>
  </si>
  <si>
    <t>Lightspeed Venture Partners</t>
  </si>
  <si>
    <t>Liil Ventures</t>
  </si>
  <si>
    <t>Linde (NAS: LIN)</t>
  </si>
  <si>
    <t>Linden3 Ventures</t>
  </si>
  <si>
    <t>Lisbon Challenge</t>
  </si>
  <si>
    <t>Live Nation Entertainment (NYS: LYV)</t>
  </si>
  <si>
    <t>Liwa (Bogota)</t>
  </si>
  <si>
    <t>LNG Energy Group (TSX: LNGE)</t>
  </si>
  <si>
    <t>Loggro</t>
  </si>
  <si>
    <t>Longitude Capital</t>
  </si>
  <si>
    <t>Lookers</t>
  </si>
  <si>
    <t>Losa Group</t>
  </si>
  <si>
    <t>Loxamhune</t>
  </si>
  <si>
    <t>Lundbeckfonden</t>
  </si>
  <si>
    <t>Lupa Capital</t>
  </si>
  <si>
    <t>LX International (KRX: 001120)</t>
  </si>
  <si>
    <t>M&amp;A Capital</t>
  </si>
  <si>
    <t>Madeira Startup Retreat</t>
  </si>
  <si>
    <t>Madison Gas and Electric</t>
  </si>
  <si>
    <t>Magnum Capital Industrial Partners</t>
  </si>
  <si>
    <t>Maj Invest</t>
  </si>
  <si>
    <t>Man Capital</t>
  </si>
  <si>
    <t>Mana Ventures</t>
  </si>
  <si>
    <t>Mandeep Singh</t>
  </si>
  <si>
    <t>Mango.vc</t>
  </si>
  <si>
    <t>Manos Accelerator</t>
  </si>
  <si>
    <t>Mantis VC</t>
  </si>
  <si>
    <t>Manufactura</t>
  </si>
  <si>
    <t>Manutara Ventures</t>
  </si>
  <si>
    <t>Maquet Getinge Group</t>
  </si>
  <si>
    <t>Marco Marinucci</t>
  </si>
  <si>
    <t>Martifer (LIS: MAR)</t>
  </si>
  <si>
    <t>Marubeni (TKS: 8002)</t>
  </si>
  <si>
    <t>Mas Valor</t>
  </si>
  <si>
    <t>MassAffect Venture Advisors</t>
  </si>
  <si>
    <t>Massy Group (TRN: MASSY)</t>
  </si>
  <si>
    <t>Massy Motors</t>
  </si>
  <si>
    <t>Master Paints and Chemical</t>
  </si>
  <si>
    <t>MatlinPatterson Global Advisers</t>
  </si>
  <si>
    <t>Maurel &amp; Prom (PAR: MAU)</t>
  </si>
  <si>
    <t>Maya Capital</t>
  </si>
  <si>
    <t>McCain Foods</t>
  </si>
  <si>
    <t>MediaNet Partners</t>
  </si>
  <si>
    <t>Medical Properties Trust (NYS: MPW)</t>
  </si>
  <si>
    <t>Medifarma</t>
  </si>
  <si>
    <t>MedReleaf</t>
  </si>
  <si>
    <t>Megatelecom Telecomunicacoes</t>
  </si>
  <si>
    <t>Melodiol Global Health</t>
  </si>
  <si>
    <t>Mennonite Economic Development Associates</t>
  </si>
  <si>
    <t>Mentel Investments</t>
  </si>
  <si>
    <t>MercadoLibre (NAS: MELI)</t>
  </si>
  <si>
    <t>Mérieux Equity Partners</t>
  </si>
  <si>
    <t>Merieux Nutrisciences</t>
  </si>
  <si>
    <t>Merqueo</t>
  </si>
  <si>
    <t>Merrill Lynch</t>
  </si>
  <si>
    <t>Met Fund</t>
  </si>
  <si>
    <t>Metalpro Bistrita</t>
  </si>
  <si>
    <t>MetaProp</t>
  </si>
  <si>
    <t>México Infrastructure Partners</t>
  </si>
  <si>
    <t>MH Ventures</t>
  </si>
  <si>
    <t>Michael Sidgmore</t>
  </si>
  <si>
    <t>MicroBlend</t>
  </si>
  <si>
    <t>Millenium Minerals</t>
  </si>
  <si>
    <t>Mind the Bridge</t>
  </si>
  <si>
    <t>Mineros (BOG: MINEROS)</t>
  </si>
  <si>
    <t>Minerva Capital</t>
  </si>
  <si>
    <t>Minerva Foods (BVMF: BEEF3)</t>
  </si>
  <si>
    <t>Ministerio de Ciencia, Tecnología e Innovación</t>
  </si>
  <si>
    <t>Minor Hotels Europe &amp; Americas (MAD: NHH)</t>
  </si>
  <si>
    <t>Miramar Equity Partners</t>
  </si>
  <si>
    <t>MIT Global Startup Labs</t>
  </si>
  <si>
    <t>Mitsubishi (TKS: 8058)</t>
  </si>
  <si>
    <t>Modara Technologies</t>
  </si>
  <si>
    <t>Momentive Performance Materials</t>
  </si>
  <si>
    <t>Monitor Clipper Partners</t>
  </si>
  <si>
    <t>Moody's Investors Service (NYS: MCO)</t>
  </si>
  <si>
    <t>MorphoTrak</t>
  </si>
  <si>
    <t>Mountain Valley MD Holdings (CNQ: MVMD)</t>
  </si>
  <si>
    <t>Movistar Money Colombia</t>
  </si>
  <si>
    <t>Movl</t>
  </si>
  <si>
    <t>Movtech Capital</t>
  </si>
  <si>
    <t>MPC Energy Solutions (OSL: MPCES)</t>
  </si>
  <si>
    <t>MPC Muenchmeyer Petersen Capital (ETR: MPCK)</t>
  </si>
  <si>
    <t>MPG Fund</t>
  </si>
  <si>
    <t>MTS Fund</t>
  </si>
  <si>
    <t>Mubadala Investment Company</t>
  </si>
  <si>
    <t>Mullen Group (TSE: MTL)</t>
  </si>
  <si>
    <t>Murchinson</t>
  </si>
  <si>
    <t>Murchison Ventures</t>
  </si>
  <si>
    <t>Murray Energy</t>
  </si>
  <si>
    <t>Mutua Madrilena</t>
  </si>
  <si>
    <t>Nailab</t>
  </si>
  <si>
    <t>National Truck Service</t>
  </si>
  <si>
    <t>NEO Battery Materials (TSX: NBM)</t>
  </si>
  <si>
    <t>Nespresso</t>
  </si>
  <si>
    <t>Network VC</t>
  </si>
  <si>
    <t>Neural Design</t>
  </si>
  <si>
    <t>New Stratus Energy (TSX: NSE)</t>
  </si>
  <si>
    <t>Newbridge Networks</t>
  </si>
  <si>
    <t>NEWCANNA</t>
  </si>
  <si>
    <t>Newlin</t>
  </si>
  <si>
    <t>Newlox Gold Ventures (CNQ: LUX)</t>
  </si>
  <si>
    <t>Newtype Ventures</t>
  </si>
  <si>
    <t>Next Legacy Partners</t>
  </si>
  <si>
    <t>Next Ventures</t>
  </si>
  <si>
    <t>Nexxus Capital</t>
  </si>
  <si>
    <t>NIBC Bank</t>
  </si>
  <si>
    <t>Nihon Nohyaku Company (TKS: 4997)</t>
  </si>
  <si>
    <t>Nimble Gravity</t>
  </si>
  <si>
    <t>Nomura Holdings (TKS: 8604)</t>
  </si>
  <si>
    <t>Nonce Classic</t>
  </si>
  <si>
    <t>Nordstar Partners</t>
  </si>
  <si>
    <t>Norfund</t>
  </si>
  <si>
    <t>Nosara Capital</t>
  </si>
  <si>
    <t>Novella Center for Entrepreneurship</t>
  </si>
  <si>
    <t>NTT DATA Foundation</t>
  </si>
  <si>
    <t>Nycomed</t>
  </si>
  <si>
    <t>Oak HC/FT</t>
  </si>
  <si>
    <t>Oakley Capital</t>
  </si>
  <si>
    <t>Ocim Finance</t>
  </si>
  <si>
    <t>Oiltanking</t>
  </si>
  <si>
    <t>One Equity Partners</t>
  </si>
  <si>
    <t>One World Pharma (PINX: OWPC)</t>
  </si>
  <si>
    <t>ONGC Videsh</t>
  </si>
  <si>
    <t>Open Green Road</t>
  </si>
  <si>
    <t>Operator Partners</t>
  </si>
  <si>
    <t>OPL Carga</t>
  </si>
  <si>
    <t>OPSEU Pension Trust</t>
  </si>
  <si>
    <t>Orange DAO</t>
  </si>
  <si>
    <t>Oranjewoud</t>
  </si>
  <si>
    <t>Organto Foods (TSX: OGO)</t>
  </si>
  <si>
    <t>Osigu</t>
  </si>
  <si>
    <t>Ottobock</t>
  </si>
  <si>
    <t>Out of the Box Ventures</t>
  </si>
  <si>
    <t>Outcomes Accelerator</t>
  </si>
  <si>
    <t>Overboost</t>
  </si>
  <si>
    <t>Oxford Foundry</t>
  </si>
  <si>
    <t>Pacific Lake</t>
  </si>
  <si>
    <t>Palatine Private Equity</t>
  </si>
  <si>
    <t>Palmfund Management</t>
  </si>
  <si>
    <t>Panalpina World Transport</t>
  </si>
  <si>
    <t>Pandora Jewelry Colombia</t>
  </si>
  <si>
    <t>Panel Rey</t>
  </si>
  <si>
    <t>Panel Rock Colombia</t>
  </si>
  <si>
    <t>Pantheon International (LON: PIN)</t>
  </si>
  <si>
    <t>ParaFi Capital</t>
  </si>
  <si>
    <t>Paragon Technologies (PINX: PGNT)</t>
  </si>
  <si>
    <t>Paramo Partners</t>
  </si>
  <si>
    <t>Paramount Global (NAS: PARA)</t>
  </si>
  <si>
    <t>Partech</t>
  </si>
  <si>
    <t>Partners Group Global Opportunities</t>
  </si>
  <si>
    <t>Patria Private Equity Trust</t>
  </si>
  <si>
    <t>PayPal Holdings (NAS: PYPL)</t>
  </si>
  <si>
    <t>PayRetailers</t>
  </si>
  <si>
    <t>PCP Group</t>
  </si>
  <si>
    <t>Pegasus Group</t>
  </si>
  <si>
    <t>Pepsico (NAS: PEP)</t>
  </si>
  <si>
    <t>Perenco</t>
  </si>
  <si>
    <t>Perficient</t>
  </si>
  <si>
    <t>Permira</t>
  </si>
  <si>
    <t>Pernod Ricard (PAR: RI)</t>
  </si>
  <si>
    <t>PetroLatina Energy</t>
  </si>
  <si>
    <t>Petrominerales</t>
  </si>
  <si>
    <t>Petrotiger</t>
  </si>
  <si>
    <t>PGGM</t>
  </si>
  <si>
    <t>Phoenix Global Resources</t>
  </si>
  <si>
    <t>Pideka Group</t>
  </si>
  <si>
    <t>PikPok</t>
  </si>
  <si>
    <t>Piton Capital</t>
  </si>
  <si>
    <t>PKG Center</t>
  </si>
  <si>
    <t>Platino Energy</t>
  </si>
  <si>
    <t>Platinum Equity</t>
  </si>
  <si>
    <t>PlayVox</t>
  </si>
  <si>
    <t>Poleol</t>
  </si>
  <si>
    <t>Poligono Capital</t>
  </si>
  <si>
    <t>PortXL World Port Innovator</t>
  </si>
  <si>
    <t>Potencia Ventures</t>
  </si>
  <si>
    <t>POWER Engineers(Consulting)</t>
  </si>
  <si>
    <t>PPG Industries (NYS: PPG)</t>
  </si>
  <si>
    <t>Predictive Venture Partners</t>
  </si>
  <si>
    <t>Premise</t>
  </si>
  <si>
    <t>Prestasalud</t>
  </si>
  <si>
    <t>PREVENT Waste Alliance</t>
  </si>
  <si>
    <t>PriceTravel Holding</t>
  </si>
  <si>
    <t>Primary Ventures</t>
  </si>
  <si>
    <t>Prime Natural Resources</t>
  </si>
  <si>
    <t>PROCOLOMBIA</t>
  </si>
  <si>
    <t>Proelectrica</t>
  </si>
  <si>
    <t>ProMical</t>
  </si>
  <si>
    <t>Promisol</t>
  </si>
  <si>
    <t>PromonLogicalis</t>
  </si>
  <si>
    <t>Promotora de Informaciones (MAD: PRS)</t>
  </si>
  <si>
    <t>Propel Capital (Sweden)</t>
  </si>
  <si>
    <t>Prosegur</t>
  </si>
  <si>
    <t>Proteak Uno (MEX: TEAKCPO)</t>
  </si>
  <si>
    <t>Protex International</t>
  </si>
  <si>
    <t>Protexa</t>
  </si>
  <si>
    <t>Provale</t>
  </si>
  <si>
    <t>Providence Equity Partners</t>
  </si>
  <si>
    <t>Proyecta Ventures</t>
  </si>
  <si>
    <t>Prudent Minerals (CNQ: PRUD)</t>
  </si>
  <si>
    <t>Publicis Groupe (PAR: PUB)</t>
  </si>
  <si>
    <t>Publicize</t>
  </si>
  <si>
    <t>Puma Energy Singapore</t>
  </si>
  <si>
    <t>PymeCapital</t>
  </si>
  <si>
    <t>Q Internet</t>
  </si>
  <si>
    <t>QBCo</t>
  </si>
  <si>
    <t>QED Connect (PINX: QEDN)</t>
  </si>
  <si>
    <t>QEI</t>
  </si>
  <si>
    <t>QGlobal SMS</t>
  </si>
  <si>
    <t>Quadrant Capital Advisors</t>
  </si>
  <si>
    <t>Quala (Consumption Company)</t>
  </si>
  <si>
    <t>Qualcomm Ventures</t>
  </si>
  <si>
    <t>Quantum Media Group</t>
  </si>
  <si>
    <t>Quimpac (LIM: QUIMPAC1)</t>
  </si>
  <si>
    <t>Quintus Capital</t>
  </si>
  <si>
    <t>Quotidian Ventures</t>
  </si>
  <si>
    <t>Rapiddo Online</t>
  </si>
  <si>
    <t>Rappi</t>
  </si>
  <si>
    <t>Realogic Solutions</t>
  </si>
  <si>
    <t>Recognize Partners</t>
  </si>
  <si>
    <t>RED Atlas</t>
  </si>
  <si>
    <t>Red Carnica</t>
  </si>
  <si>
    <t>Red Eagle Exploration</t>
  </si>
  <si>
    <t>Red Leopard Holdings</t>
  </si>
  <si>
    <t>Redeban</t>
  </si>
  <si>
    <t>Redondos</t>
  </si>
  <si>
    <t>Refined Energy (CNQ: RUU)</t>
  </si>
  <si>
    <t>Reflect Ventures</t>
  </si>
  <si>
    <t>Renegade Partners</t>
  </si>
  <si>
    <t>Renewable Resources Group</t>
  </si>
  <si>
    <t>Rent-a-Pallet</t>
  </si>
  <si>
    <t>Repsol (MAD: REP)</t>
  </si>
  <si>
    <t>Repsol Oil &amp; Gas Canada</t>
  </si>
  <si>
    <t>Resource Capital Funds</t>
  </si>
  <si>
    <t>responsAbility Investments</t>
  </si>
  <si>
    <t>RevTech Ventures</t>
  </si>
  <si>
    <t>Rhenus Group</t>
  </si>
  <si>
    <t>Rijksdienst voor Ondernemend Nederland</t>
  </si>
  <si>
    <t>Rio Tinto (LON: RIO)</t>
  </si>
  <si>
    <t>RIoT Accelerator</t>
  </si>
  <si>
    <t>Ripio</t>
  </si>
  <si>
    <t>Rivercrest Global</t>
  </si>
  <si>
    <t>Riverside Ventures</t>
  </si>
  <si>
    <t>Riverstone Holdings</t>
  </si>
  <si>
    <t>RMB Australia</t>
  </si>
  <si>
    <t>Rocsa Colombia</t>
  </si>
  <si>
    <t>Route Mobile (UK)</t>
  </si>
  <si>
    <t>Ruhrpumpen</t>
  </si>
  <si>
    <t>Rumbo Ventures</t>
  </si>
  <si>
    <t>S28 Capital</t>
  </si>
  <si>
    <t>S4 Capital (LON: SFOR)</t>
  </si>
  <si>
    <t>SaaS Capital</t>
  </si>
  <si>
    <t>SaaSholic</t>
  </si>
  <si>
    <t>SABMiller</t>
  </si>
  <si>
    <t>Sailing Capital</t>
  </si>
  <si>
    <t>Saint-Gobain United Kingdom</t>
  </si>
  <si>
    <t>Samyakth Capital</t>
  </si>
  <si>
    <t>Sangha Capital</t>
  </si>
  <si>
    <t>Sanmarino</t>
  </si>
  <si>
    <t>Sanofi (PAR: SAN)</t>
  </si>
  <si>
    <t>Santana (Real Estate Investment Trusts)</t>
  </si>
  <si>
    <t>SantanderX</t>
  </si>
  <si>
    <t>SBXi</t>
  </si>
  <si>
    <t>Scandinavia Pharma</t>
  </si>
  <si>
    <t>Schindler Holding (SWX: SCHN)</t>
  </si>
  <si>
    <t>Schörling</t>
  </si>
  <si>
    <t>Schweitzer Engineering Laboratories</t>
  </si>
  <si>
    <t>SCM Advisors (UK)</t>
  </si>
  <si>
    <t>SEACOR Holdings</t>
  </si>
  <si>
    <t>Seafolly</t>
  </si>
  <si>
    <t>Seguros Bolivar</t>
  </si>
  <si>
    <t>Semana</t>
  </si>
  <si>
    <t>Senior Sistemas</t>
  </si>
  <si>
    <t>Sensys Gatso Group (STO: SGG)</t>
  </si>
  <si>
    <t>Servinformación</t>
  </si>
  <si>
    <t>Setec Consultants</t>
  </si>
  <si>
    <t>Seven2</t>
  </si>
  <si>
    <t>SevenX Ventures</t>
  </si>
  <si>
    <t>Share Capital</t>
  </si>
  <si>
    <t>Shell (LON: SHEL)</t>
  </si>
  <si>
    <t>Siddhi Capital</t>
  </si>
  <si>
    <t>Sigma Analytical Services</t>
  </si>
  <si>
    <t>Signia Venture Partners</t>
  </si>
  <si>
    <t>Simplex (Japan)</t>
  </si>
  <si>
    <t>Sinochem International (SHG: 600500)</t>
  </si>
  <si>
    <t>Sinopec (HKG: 00386)</t>
  </si>
  <si>
    <t>Sistecredito</t>
  </si>
  <si>
    <t>Sjätte AP-fonden</t>
  </si>
  <si>
    <t>Skandia</t>
  </si>
  <si>
    <t>Skandia Insurance Company</t>
  </si>
  <si>
    <t>Skandia International Insurance</t>
  </si>
  <si>
    <t>SM Ventures</t>
  </si>
  <si>
    <t>Smith &amp; Nephew (LON: SN.)</t>
  </si>
  <si>
    <t>Snap Yellow Accelerator</t>
  </si>
  <si>
    <t>So.De.Ca</t>
  </si>
  <si>
    <t>Socadif</t>
  </si>
  <si>
    <t>SOCAP Global</t>
  </si>
  <si>
    <t>Social Gaming Network (Acquired)</t>
  </si>
  <si>
    <t>Socialnest</t>
  </si>
  <si>
    <t>Sociedad De Inversiones En Energia</t>
  </si>
  <si>
    <t>Sociedad Matriz SAAM (SGO: SMSAAM)</t>
  </si>
  <si>
    <t>Sociedad Portuaria Regional de Buenaventura</t>
  </si>
  <si>
    <t>Sociedad Portuaria Regional de Santa Marta</t>
  </si>
  <si>
    <t>Société Régionale d'Investissement de Wallonie</t>
  </si>
  <si>
    <t>Socii Capital</t>
  </si>
  <si>
    <t>SoftwareONE (SWX: SWON)</t>
  </si>
  <si>
    <t>Solistica</t>
  </si>
  <si>
    <t>Solla</t>
  </si>
  <si>
    <t>Som la cultura de tots</t>
  </si>
  <si>
    <t>Sonda (SGO: SONDA)</t>
  </si>
  <si>
    <t>Sonepar</t>
  </si>
  <si>
    <t>Sony Pictures Television</t>
  </si>
  <si>
    <t>SōRSE Technology</t>
  </si>
  <si>
    <t>Sothis</t>
  </si>
  <si>
    <t>South Miami Capital</t>
  </si>
  <si>
    <t>South Ventures</t>
  </si>
  <si>
    <t>Spacebar Ventures</t>
  </si>
  <si>
    <t>Spectron Desarrollo</t>
  </si>
  <si>
    <t>Spectrum (Guatemala)</t>
  </si>
  <si>
    <t>Spineway (PAR: ALSPW)</t>
  </si>
  <si>
    <t>Spinnaker Venture Partners</t>
  </si>
  <si>
    <t>Spirax Group (LON: SPX)</t>
  </si>
  <si>
    <t>SquareOne Capital</t>
  </si>
  <si>
    <t>SSI Incubator</t>
  </si>
  <si>
    <t>Stags Participations</t>
  </si>
  <si>
    <t>Stake (Entertainment Software)</t>
  </si>
  <si>
    <t>Stamper Oil &amp; Gas (TSX: STMP)</t>
  </si>
  <si>
    <t>Standard and Poor's Financial Services</t>
  </si>
  <si>
    <t>Star 26 Ventures</t>
  </si>
  <si>
    <t>Start-Up Brasil</t>
  </si>
  <si>
    <t>Startup Alcobendas</t>
  </si>
  <si>
    <t>Startup Grind</t>
  </si>
  <si>
    <t>Startup Istanbul</t>
  </si>
  <si>
    <t>Startup México</t>
  </si>
  <si>
    <t>Startupist Ventures</t>
  </si>
  <si>
    <t>Starveups</t>
  </si>
  <si>
    <t>Stefanini</t>
  </si>
  <si>
    <t>Stellar (Financial Software)</t>
  </si>
  <si>
    <t>Steward Health Care</t>
  </si>
  <si>
    <t>Stockholm Innovation &amp; Growth</t>
  </si>
  <si>
    <t>Stockwell Capital</t>
  </si>
  <si>
    <t>Stone Point Capital</t>
  </si>
  <si>
    <t>Stonewater Ventures</t>
  </si>
  <si>
    <t>Stork (Energy Services)</t>
  </si>
  <si>
    <t>Storm Capital Management</t>
  </si>
  <si>
    <t>Stracon Peru (LIM: STRACOC1)</t>
  </si>
  <si>
    <t>StraCon Services Group</t>
  </si>
  <si>
    <t>Strascheg Center for Entrepreneurship</t>
  </si>
  <si>
    <t>Strong Ventures</t>
  </si>
  <si>
    <t>Structure Banca de Inversión</t>
  </si>
  <si>
    <t>Sucres &amp; Denrées</t>
  </si>
  <si>
    <t>Sumer</t>
  </si>
  <si>
    <t>Sumicol</t>
  </si>
  <si>
    <t>Sumitomo Mitsui Banking</t>
  </si>
  <si>
    <t>Summit Partners</t>
  </si>
  <si>
    <t>SuperCharger Ventures</t>
  </si>
  <si>
    <t>Superpollo Paisa</t>
  </si>
  <si>
    <t>Sura Asset Management</t>
  </si>
  <si>
    <t>SURA Investment Management</t>
  </si>
  <si>
    <t>SVB Capital</t>
  </si>
  <si>
    <t>Swanhill Capital</t>
  </si>
  <si>
    <t>Swiss Investment Fund for Emerging Markets</t>
  </si>
  <si>
    <t>Swiss Re (SWX: SREN)</t>
  </si>
  <si>
    <t>Symbiotics</t>
  </si>
  <si>
    <t>TA Ventures</t>
  </si>
  <si>
    <t>Taghleef Industries</t>
  </si>
  <si>
    <t>Tahseen Consulting</t>
  </si>
  <si>
    <t>Taisu Ventures</t>
  </si>
  <si>
    <t>Tampa Bay Wave</t>
  </si>
  <si>
    <t>Tao Minerals</t>
  </si>
  <si>
    <t>Taurus Capital</t>
  </si>
  <si>
    <t>TC Transcontinental (TSE: TCL.A)</t>
  </si>
  <si>
    <t>TCap Private Equity</t>
  </si>
  <si>
    <t>Teak Capital (Portugal)</t>
  </si>
  <si>
    <t>Team ABC Ventures</t>
  </si>
  <si>
    <t>TechCrunch</t>
  </si>
  <si>
    <t>Tekton Ventures</t>
  </si>
  <si>
    <t>Telefonos De Mexico</t>
  </si>
  <si>
    <t>Telmex Internacional</t>
  </si>
  <si>
    <t>Tenacity Ventures</t>
  </si>
  <si>
    <t>Terra Group</t>
  </si>
  <si>
    <t>Textiles Fabricato Tejicondor (BOG: FABRICATO)</t>
  </si>
  <si>
    <t>The Astor Group</t>
  </si>
  <si>
    <t>The D. E. Shaw Group</t>
  </si>
  <si>
    <t>The Dorado Group</t>
  </si>
  <si>
    <t>The Ganesha Lab</t>
  </si>
  <si>
    <t>The Global Good Fund</t>
  </si>
  <si>
    <t>The Good Kitchen (accelerator)</t>
  </si>
  <si>
    <t>The Graduate Syndicate</t>
  </si>
  <si>
    <t>The Marathon Fund (Washington)</t>
  </si>
  <si>
    <t>The MBA Fund</t>
  </si>
  <si>
    <t>The Opes Group</t>
  </si>
  <si>
    <t>The Rohatyn Group</t>
  </si>
  <si>
    <t>The World Economic Forum</t>
  </si>
  <si>
    <t>The Yield Lab Latam</t>
  </si>
  <si>
    <t>Third Kind Venture Capital</t>
  </si>
  <si>
    <t>ThirdStream Partners</t>
  </si>
  <si>
    <t>Thoughtful Brands (PINX: PEMTF)</t>
  </si>
  <si>
    <t>TIBA</t>
  </si>
  <si>
    <t>Tigo Columbia</t>
  </si>
  <si>
    <t>TIME Ventures</t>
  </si>
  <si>
    <t>TimeToAct Capital</t>
  </si>
  <si>
    <t>TodosComemos</t>
  </si>
  <si>
    <t>Toilet Accelerator</t>
  </si>
  <si>
    <t>Tomorrow Capital (London)</t>
  </si>
  <si>
    <t>Topaz (Financial Software)</t>
  </si>
  <si>
    <t>Toppan Gravity</t>
  </si>
  <si>
    <t>Torneos y Competencias</t>
  </si>
  <si>
    <t>Torre</t>
  </si>
  <si>
    <t>Toushka Capital</t>
  </si>
  <si>
    <t>Toyota Motor (TKS: 7203)</t>
  </si>
  <si>
    <t>TP Evolution (PAR: TEP)</t>
  </si>
  <si>
    <t>Tpaga</t>
  </si>
  <si>
    <t>TPC Ventures</t>
  </si>
  <si>
    <t>Transporte Vigía</t>
  </si>
  <si>
    <t>Travel Startups Incubator</t>
  </si>
  <si>
    <t>Travelers Companies (NYS: TRV)</t>
  </si>
  <si>
    <t>Triangle Tweener Fund</t>
  </si>
  <si>
    <t>Tribune Capital (Canada)</t>
  </si>
  <si>
    <t>Trident Ventures Group</t>
  </si>
  <si>
    <t>Trinity Capital (NAS: TRIN)</t>
  </si>
  <si>
    <t>Triodos Bank</t>
  </si>
  <si>
    <t>Triple Jump</t>
  </si>
  <si>
    <t>Triple-S Steel Holdings</t>
  </si>
  <si>
    <t>TriVita</t>
  </si>
  <si>
    <t>Troopa</t>
  </si>
  <si>
    <t>TrueWay Capital</t>
  </si>
  <si>
    <t>Tuatara Capital</t>
  </si>
  <si>
    <t>Turner Broadcasting System</t>
  </si>
  <si>
    <t>Two Hands (Distributors/Wholesale) (PINX: TWOH)</t>
  </si>
  <si>
    <t>Two Twenty Two Pictures</t>
  </si>
  <si>
    <t>U. S. National Science Foundation</t>
  </si>
  <si>
    <t>U.S. Cotton</t>
  </si>
  <si>
    <t>UMO Industrial Group</t>
  </si>
  <si>
    <t>Umov.me</t>
  </si>
  <si>
    <t>Unigrains</t>
  </si>
  <si>
    <t>Unión Fenosa Generación</t>
  </si>
  <si>
    <t>Universidad Nacional De Colombia</t>
  </si>
  <si>
    <t>Universities Superannuation Scheme</t>
  </si>
  <si>
    <t>Unreasonable Capital</t>
  </si>
  <si>
    <t>Unshackled Ventures</t>
  </si>
  <si>
    <t>Up Coop</t>
  </si>
  <si>
    <t>Urbaser Colombia</t>
  </si>
  <si>
    <t>URGO Group</t>
  </si>
  <si>
    <t>USA Real Estate Holding Company (PINX: USTC)</t>
  </si>
  <si>
    <t>Valhalla Private Capital</t>
  </si>
  <si>
    <t>Valiant Capital Partners</t>
  </si>
  <si>
    <t>Valoriza Group</t>
  </si>
  <si>
    <t>Vatia</t>
  </si>
  <si>
    <t>VC Travel</t>
  </si>
  <si>
    <t>VC4A</t>
  </si>
  <si>
    <t>Vela Software</t>
  </si>
  <si>
    <t>Ventura Capital Management</t>
  </si>
  <si>
    <t>Venturance Alternative Assets</t>
  </si>
  <si>
    <t>Venture Catalysts (Mumbai)</t>
  </si>
  <si>
    <t>VentureFriends</t>
  </si>
  <si>
    <t>VentureSouq</t>
  </si>
  <si>
    <t>Veolia Environnement (PAR: VIE)</t>
  </si>
  <si>
    <t>Verano Energy (Energy Production)</t>
  </si>
  <si>
    <t>Verda Ventures</t>
  </si>
  <si>
    <t>Verdemed</t>
  </si>
  <si>
    <t>Verge HealthTech Fund</t>
  </si>
  <si>
    <t>Veronorte</t>
  </si>
  <si>
    <t>Vertical Venture Partners</t>
  </si>
  <si>
    <t>Verve Capital</t>
  </si>
  <si>
    <t>Vesuvio Ventures</t>
  </si>
  <si>
    <t>Vetra Energia</t>
  </si>
  <si>
    <t>Viceroy Ventures</t>
  </si>
  <si>
    <t>Victory Park Capital</t>
  </si>
  <si>
    <t>View Capital</t>
  </si>
  <si>
    <t>Vinci (PAR: DG)</t>
  </si>
  <si>
    <t>Vind</t>
  </si>
  <si>
    <t>Vine Street Ventures</t>
  </si>
  <si>
    <t>Vine Ventures</t>
  </si>
  <si>
    <t>Vinzan</t>
  </si>
  <si>
    <t>Vistex (Illinois)</t>
  </si>
  <si>
    <t>Visum Capital (Real Estate Investment Trusts (REITs))</t>
  </si>
  <si>
    <t>Vix (Movies, Music and Entertainment)</t>
  </si>
  <si>
    <t>Volito</t>
  </si>
  <si>
    <t>Votorantim (Brazil)</t>
  </si>
  <si>
    <t>Voyagers.io</t>
  </si>
  <si>
    <t>VX Ventures</t>
  </si>
  <si>
    <t>W Capital SAFI</t>
  </si>
  <si>
    <t>WAGMI Ventures (Texas)</t>
  </si>
  <si>
    <t>Warburg Pincus</t>
  </si>
  <si>
    <t>Water Tech</t>
  </si>
  <si>
    <t>Waterlemon</t>
  </si>
  <si>
    <t>Wayfare Impact</t>
  </si>
  <si>
    <t>Wayland Group (PINX: MRRCF)</t>
  </si>
  <si>
    <t>Wazoku</t>
  </si>
  <si>
    <t>WebMD</t>
  </si>
  <si>
    <t>WEC Energy Group (NYS: WEC)</t>
  </si>
  <si>
    <t>Weener Plastics Group</t>
  </si>
  <si>
    <t>WEPOWER Accelerator</t>
  </si>
  <si>
    <t>West Isle Energy</t>
  </si>
  <si>
    <t>WFP Innovation Accelerator</t>
  </si>
  <si>
    <t>Wharton School of the University of Pennsylvania</t>
  </si>
  <si>
    <t>Will Ventures</t>
  </si>
  <si>
    <t>William Armitage</t>
  </si>
  <si>
    <t>William Hill</t>
  </si>
  <si>
    <t>Willis Towers Watson (NAS: WTW)</t>
  </si>
  <si>
    <t>Willis UK</t>
  </si>
  <si>
    <t>Wind Ventures</t>
  </si>
  <si>
    <t>WISE (Doha)</t>
  </si>
  <si>
    <t>Wolverine World Wide (NYS: WWW)</t>
  </si>
  <si>
    <t>WOM Chile</t>
  </si>
  <si>
    <t>WorldVetting</t>
  </si>
  <si>
    <t>WOW Aceleradora de Startups</t>
  </si>
  <si>
    <t>WSC &amp; Company</t>
  </si>
  <si>
    <t>Xebra Brands (CNQ: XBRA)</t>
  </si>
  <si>
    <t>Xertica</t>
  </si>
  <si>
    <t>XFactor Ventures</t>
  </si>
  <si>
    <t>Xignux</t>
  </si>
  <si>
    <t>Yara International (OSL: YAR)</t>
  </si>
  <si>
    <t>Yellowstone Capital Partners</t>
  </si>
  <si>
    <t>Yellowstone Capital Partners (Bogotá)</t>
  </si>
  <si>
    <t>York IE</t>
  </si>
  <si>
    <t>Youcef Es-skouri</t>
  </si>
  <si>
    <t>Z Nation Lab</t>
  </si>
  <si>
    <t>Zenith Energy Management</t>
  </si>
  <si>
    <t>Zentro Founders</t>
  </si>
  <si>
    <t>Zero Knowledge</t>
  </si>
  <si>
    <t>Zhonglu Capital</t>
  </si>
  <si>
    <t>Zijin Mining Group (SHG: 601899)</t>
  </si>
  <si>
    <t>1CM (CNQ: EPIC)</t>
  </si>
  <si>
    <t>30N Ventures</t>
  </si>
  <si>
    <t>Acacia Venture Capital Partners</t>
  </si>
  <si>
    <t>Accel</t>
  </si>
  <si>
    <t>Accelerate2030</t>
  </si>
  <si>
    <t>Acequia Capital</t>
  </si>
  <si>
    <t>Addem Capital</t>
  </si>
  <si>
    <t>Adobe Capital</t>
  </si>
  <si>
    <t>Adventure Capital (Other Financial Services)</t>
  </si>
  <si>
    <t>Aena, S.M.E. (MAD: AENA)</t>
  </si>
  <si>
    <t>AES Colombia</t>
  </si>
  <si>
    <t>Alicorp (LIM: ALICORC1)</t>
  </si>
  <si>
    <t>AlleyCorp</t>
  </si>
  <si>
    <t>Alliance (Private Equity)</t>
  </si>
  <si>
    <t>Alphaeon Credit</t>
  </si>
  <si>
    <t>AM Resources (TSX: AMR.H)</t>
  </si>
  <si>
    <t>Andean Telecom Partners</t>
  </si>
  <si>
    <t>AngelHub</t>
  </si>
  <si>
    <t>AngelHub Ventures</t>
  </si>
  <si>
    <t>Aqua Capital</t>
  </si>
  <si>
    <t>Aris Mining</t>
  </si>
  <si>
    <t>Arrow Exploration (TSX: AXL)</t>
  </si>
  <si>
    <t>Artecola Química</t>
  </si>
  <si>
    <t>Arthur J. Gallagher &amp; Company (NYS: AJG)</t>
  </si>
  <si>
    <t>Assa Abloy (STO: ASSA B)</t>
  </si>
  <si>
    <t>Atlantico Partners</t>
  </si>
  <si>
    <t>Atlas Copco (STO: ATCO A)</t>
  </si>
  <si>
    <t>Aurea Holdings</t>
  </si>
  <si>
    <t>Avenir Growth Capital</t>
  </si>
  <si>
    <t>Azelis Group (BRU: AZE)</t>
  </si>
  <si>
    <t>B.P. Marsh &amp; Partners (LON: BPM)</t>
  </si>
  <si>
    <t>Banco Colpatria Red Multibanca Colpatria</t>
  </si>
  <si>
    <t>Banco de Bogotá (BOG: BOGOTA)</t>
  </si>
  <si>
    <t>Banco Itau Chile (SGO: ITAUCL)</t>
  </si>
  <si>
    <t>Batero Gold (TSX: BAT)</t>
  </si>
  <si>
    <t>BBQ Capital</t>
  </si>
  <si>
    <t>BBVA Open Innovation</t>
  </si>
  <si>
    <t>Bela Vista Investimentos</t>
  </si>
  <si>
    <t>Bergé Infraestructuras y Servicios Logísticos</t>
  </si>
  <si>
    <t>Better Tomorrow Ventures</t>
  </si>
  <si>
    <t>Bezant Resources (LON: BZT)</t>
  </si>
  <si>
    <t>Blue like an Orange Sustainable Capital</t>
  </si>
  <si>
    <t>Blueberries Medical (CNQ: BBM)</t>
  </si>
  <si>
    <t>BlueBox Ventures</t>
  </si>
  <si>
    <t>Booking Booster</t>
  </si>
  <si>
    <t>British Columbia Investment Management</t>
  </si>
  <si>
    <t>Brookfield Corporation (TSE: BN)</t>
  </si>
  <si>
    <t>Bullpen Capital</t>
  </si>
  <si>
    <t>Cadenza Capital</t>
  </si>
  <si>
    <t>Cadillac Fairview</t>
  </si>
  <si>
    <t>Caisse des Depots Group</t>
  </si>
  <si>
    <t>Caracol Television (BOG: CARACOLTV)</t>
  </si>
  <si>
    <t>Cargill</t>
  </si>
  <si>
    <t>Caribbean Resources</t>
  </si>
  <si>
    <t>Caribe Exponencial</t>
  </si>
  <si>
    <t>Carulla Vivero</t>
  </si>
  <si>
    <t>Carvajal</t>
  </si>
  <si>
    <t>Catalyst Fund</t>
  </si>
  <si>
    <t>Celsa Group</t>
  </si>
  <si>
    <t>Celtic House Venture Partners</t>
  </si>
  <si>
    <t>Chile Ventures</t>
  </si>
  <si>
    <t>Chimera Capital</t>
  </si>
  <si>
    <t>Circle Ventures</t>
  </si>
  <si>
    <t>Circulate Capital</t>
  </si>
  <si>
    <t>Cisneros Interactive</t>
  </si>
  <si>
    <t>Citigroup (NYS: C)</t>
  </si>
  <si>
    <t>Clariant International (SWX: CLN)</t>
  </si>
  <si>
    <t>Climate Fund Managers (Other Financial Services)</t>
  </si>
  <si>
    <t>CloudKitchens</t>
  </si>
  <si>
    <t>CMT Digital</t>
  </si>
  <si>
    <t>Collab+Currency</t>
  </si>
  <si>
    <t>Compañía Cervecerías Unidas (SGO: CCU)</t>
  </si>
  <si>
    <t>Copernion</t>
  </si>
  <si>
    <t>Corporación de Fomento de la Producción de Chile</t>
  </si>
  <si>
    <t>CP Ventures</t>
  </si>
  <si>
    <t>CPP Investments</t>
  </si>
  <si>
    <t>Credicorp (NYS: BAP)</t>
  </si>
  <si>
    <t>Crestone Venture Capital</t>
  </si>
  <si>
    <t>Dadneo</t>
  </si>
  <si>
    <t>Dalus Capital</t>
  </si>
  <si>
    <t>DayOne Accelerator</t>
  </si>
  <si>
    <t>Decart Ventures</t>
  </si>
  <si>
    <t>Deep Acre</t>
  </si>
  <si>
    <t>DEG</t>
  </si>
  <si>
    <t>DeltaX Ventures</t>
  </si>
  <si>
    <t>Discovery Capital</t>
  </si>
  <si>
    <t>Diusframi</t>
  </si>
  <si>
    <t>Dragon Capital (California)</t>
  </si>
  <si>
    <t>E14 Fund</t>
  </si>
  <si>
    <t>EcoEnterprises Fund</t>
  </si>
  <si>
    <t>Edgeuno</t>
  </si>
  <si>
    <t>Empresas COPEC (SGO: COPEC)</t>
  </si>
  <si>
    <t>Empty Set Group</t>
  </si>
  <si>
    <t>Erik Peterson</t>
  </si>
  <si>
    <t>ESAS Ventures</t>
  </si>
  <si>
    <t>EssilorLuxottica Société</t>
  </si>
  <si>
    <t>Eurofins Scientific (PAR: ERF)</t>
  </si>
  <si>
    <t>Evertec (NYS: EVTC)</t>
  </si>
  <si>
    <t>Evolvere Capital</t>
  </si>
  <si>
    <t>Far Out Ventures</t>
  </si>
  <si>
    <t>FinTech Collective</t>
  </si>
  <si>
    <t>FIS Ameris</t>
  </si>
  <si>
    <t>Flink Ventures</t>
  </si>
  <si>
    <t>FMO Entrepreneurial Development Bank</t>
  </si>
  <si>
    <t>Forus (Chile) (SGO: FORUS)</t>
  </si>
  <si>
    <t>FundersClub</t>
  </si>
  <si>
    <t>Fura Gems</t>
  </si>
  <si>
    <t>G2 Momentum Capital</t>
  </si>
  <si>
    <t>GDA Group</t>
  </si>
  <si>
    <t>Gemfields Resources</t>
  </si>
  <si>
    <t>GG Capital (Santiago)</t>
  </si>
  <si>
    <t>Gi Group Holding (Human Capital Services)</t>
  </si>
  <si>
    <t>Global Infrastructure Partners</t>
  </si>
  <si>
    <t>Globant (NYS: GLOB)</t>
  </si>
  <si>
    <t>Gowan Company</t>
  </si>
  <si>
    <t>Gramercy Funds Management</t>
  </si>
  <si>
    <t>Gran Tierra Energy (ASE: GTE)</t>
  </si>
  <si>
    <t>Graph Ventures</t>
  </si>
  <si>
    <t>Gray Matters Capital</t>
  </si>
  <si>
    <t>Graycliff Partners</t>
  </si>
  <si>
    <t>Grupo Auteco</t>
  </si>
  <si>
    <t>Grupo Bimbo (MEX: BIMBOA)</t>
  </si>
  <si>
    <t>Habitat for Humanity International</t>
  </si>
  <si>
    <t>Hard Yaka</t>
  </si>
  <si>
    <t>Harvard Innovation Launch Lab</t>
  </si>
  <si>
    <t>Head &amp; Heart Capital</t>
  </si>
  <si>
    <t>IDC Ventures</t>
  </si>
  <si>
    <t>IDEO CoLab Ventures</t>
  </si>
  <si>
    <t>IFC(American TV channel)</t>
  </si>
  <si>
    <t>IMO Ventures</t>
  </si>
  <si>
    <t>Indigo Capital (New York)</t>
  </si>
  <si>
    <t>Infinity Capital Council</t>
  </si>
  <si>
    <t>Innopact</t>
  </si>
  <si>
    <t>Insurtech.</t>
  </si>
  <si>
    <t>Interconexion Electrica</t>
  </si>
  <si>
    <t>Intermediate Capital Group (LON: ICG)</t>
  </si>
  <si>
    <t>Invariantes Fund</t>
  </si>
  <si>
    <t>Isagro</t>
  </si>
  <si>
    <t>Isuzu Motors (TKS: 7202)</t>
  </si>
  <si>
    <t>Italcol</t>
  </si>
  <si>
    <t>JAM Fund</t>
  </si>
  <si>
    <t>JCHX Mining Management Company (SHG: 603979)</t>
  </si>
  <si>
    <t>Job&amp;talent</t>
  </si>
  <si>
    <t>John Hancock</t>
  </si>
  <si>
    <t>JP Morgan Chase (NYS: JPM)</t>
  </si>
  <si>
    <t>Justin Mateen</t>
  </si>
  <si>
    <t>Kairos HQ</t>
  </si>
  <si>
    <t>Kimberly-Clark (NYS: KMB)</t>
  </si>
  <si>
    <t>KIRKBI</t>
  </si>
  <si>
    <t>Knauf</t>
  </si>
  <si>
    <t>L Catterton</t>
  </si>
  <si>
    <t>L'Oreal (PAR: OR)</t>
  </si>
  <si>
    <t>LabCap</t>
  </si>
  <si>
    <t>Lara Exploration (TSX: LRA)</t>
  </si>
  <si>
    <t>Latin American Partners</t>
  </si>
  <si>
    <t>LCL Resources (ASX: LCL)</t>
  </si>
  <si>
    <t>Legacy Group Investments</t>
  </si>
  <si>
    <t>Leo Capital</t>
  </si>
  <si>
    <t>Leonisa</t>
  </si>
  <si>
    <t>Life is too short Capital</t>
  </si>
  <si>
    <t>Liquid 2 Ventures</t>
  </si>
  <si>
    <t>Lucens Capital</t>
  </si>
  <si>
    <t>Magical</t>
  </si>
  <si>
    <t>Mapei</t>
  </si>
  <si>
    <t>MasterCard (NYS: MA)</t>
  </si>
  <si>
    <t>Max Resource (TSX: MAX)</t>
  </si>
  <si>
    <t>Mayr-Melnhof Karton (WBO: MMK)</t>
  </si>
  <si>
    <t>MC Capital</t>
  </si>
  <si>
    <t>MediaTech Ventures</t>
  </si>
  <si>
    <t>Meesho</t>
  </si>
  <si>
    <t>Melek Capital</t>
  </si>
  <si>
    <t>Mesoamerica</t>
  </si>
  <si>
    <t>MGV Capital Group</t>
  </si>
  <si>
    <t>Miami Angels</t>
  </si>
  <si>
    <t>Millicom International Cellular (NAS: TIGO)</t>
  </si>
  <si>
    <t>MIT Solve</t>
  </si>
  <si>
    <t>MITdesignX</t>
  </si>
  <si>
    <t>Movile</t>
  </si>
  <si>
    <t>MYM Nutraceuticals</t>
  </si>
  <si>
    <t>Natura &amp; Co Holding (BVMF: NTCO3)</t>
  </si>
  <si>
    <t>Nazca Capital</t>
  </si>
  <si>
    <t>Net Ventures</t>
  </si>
  <si>
    <t>Neuberger Berman</t>
  </si>
  <si>
    <t>Newmont (NYS: NEM)</t>
  </si>
  <si>
    <t>Nonlinear Capital</t>
  </si>
  <si>
    <t>Nordic Capital</t>
  </si>
  <si>
    <t>Northland Power (TSE: NPI)</t>
  </si>
  <si>
    <t>Notable Capital</t>
  </si>
  <si>
    <t>Novator Partners</t>
  </si>
  <si>
    <t>Nucleus Emerging Markets Ventures</t>
  </si>
  <si>
    <t>ODF</t>
  </si>
  <si>
    <t>Old Mutual Alternative Investments</t>
  </si>
  <si>
    <t>Orbia (Mexico) (MEX: ORBIA)</t>
  </si>
  <si>
    <t>Organizacion Terpel (BOG: TERPEL)</t>
  </si>
  <si>
    <t>Orosur Mining (TSX: OMI)</t>
  </si>
  <si>
    <t>Outbound Ventures</t>
  </si>
  <si>
    <t>Partner Ventures</t>
  </si>
  <si>
    <t>Partners Group (SWX: PGHN)</t>
  </si>
  <si>
    <t>Patagonia Financial Holdings</t>
  </si>
  <si>
    <t>PayU</t>
  </si>
  <si>
    <t>Petroamerica Oil</t>
  </si>
  <si>
    <t>PharmaCielo (TSX: PCLO)</t>
  </si>
  <si>
    <t>Picus Capital</t>
  </si>
  <si>
    <t>Platzi</t>
  </si>
  <si>
    <t>Polymath Capital Partners</t>
  </si>
  <si>
    <t>Pomona Impact</t>
  </si>
  <si>
    <t>Porvenir</t>
  </si>
  <si>
    <t>Preflex</t>
  </si>
  <si>
    <t>Primeline Group</t>
  </si>
  <si>
    <t>Prodigio Capital</t>
  </si>
  <si>
    <t>Proeza Ventures</t>
  </si>
  <si>
    <t>Promotora Ambiental (MEX: PASAB)</t>
  </si>
  <si>
    <t>Proparco</t>
  </si>
  <si>
    <t>Propel Venture Partners</t>
  </si>
  <si>
    <t>Prosus (AMS: PRX)</t>
  </si>
  <si>
    <t>Proximity Angels</t>
  </si>
  <si>
    <t>Public Sector Pension Investment Board</t>
  </si>
  <si>
    <t>Puig (MAD: PUIG)</t>
  </si>
  <si>
    <t>Putney Capital Management (Dominican Republic)</t>
  </si>
  <si>
    <t>Pymwymic</t>
  </si>
  <si>
    <t>RA Capital Management</t>
  </si>
  <si>
    <t>Rakuten Capital</t>
  </si>
  <si>
    <t>Rally Cap VC</t>
  </si>
  <si>
    <t>REACH (Education and Training Services)</t>
  </si>
  <si>
    <t>Rebel Fund</t>
  </si>
  <si>
    <t>Red Rock Resources (LON: RRR)</t>
  </si>
  <si>
    <t>Regional (MEX: RA)</t>
  </si>
  <si>
    <t>Relay Investments</t>
  </si>
  <si>
    <t>Reshape Ventures</t>
  </si>
  <si>
    <t>Rhombuz Ventures</t>
  </si>
  <si>
    <t>Right Side Capital Management</t>
  </si>
  <si>
    <t>Rise Capital</t>
  </si>
  <si>
    <t>Riverwood Capital</t>
  </si>
  <si>
    <t>Rizk Ventures</t>
  </si>
  <si>
    <t>RK Mine Finance</t>
  </si>
  <si>
    <t>Roble Ventures</t>
  </si>
  <si>
    <t>Sappi (JSE: SAP)</t>
  </si>
  <si>
    <t>SCL Energía Activa</t>
  </si>
  <si>
    <t>Scotiabank (TSE: BNS)</t>
  </si>
  <si>
    <t>Seaya Ventures</t>
  </si>
  <si>
    <t>Second Century Ventures</t>
  </si>
  <si>
    <t>Semillero Partners</t>
  </si>
  <si>
    <t>Silver Lake</t>
  </si>
  <si>
    <t>SoftBank Investment Advisers</t>
  </si>
  <si>
    <t>SoftBank Latin America Fund</t>
  </si>
  <si>
    <t>Soros Economic Development Fund</t>
  </si>
  <si>
    <t>SouthLight Capital</t>
  </si>
  <si>
    <t>Sprint VC</t>
  </si>
  <si>
    <t>Stella Maris Partners</t>
  </si>
  <si>
    <t>Strabag (WBO: STR)</t>
  </si>
  <si>
    <t>Sujay Tyle</t>
  </si>
  <si>
    <t>Sun Valley Investments</t>
  </si>
  <si>
    <t>Supernode Ventures</t>
  </si>
  <si>
    <t>Suppla Group</t>
  </si>
  <si>
    <t>Suramericana</t>
  </si>
  <si>
    <t>Susa Ventures</t>
  </si>
  <si>
    <t>Synergy Group (Marine)</t>
  </si>
  <si>
    <t>T2M Capital</t>
  </si>
  <si>
    <t>Talma Servicios Aeroportuarios</t>
  </si>
  <si>
    <t>Telefonica Open Future</t>
  </si>
  <si>
    <t>TEN13</t>
  </si>
  <si>
    <t>Tenacity Venture Capital</t>
  </si>
  <si>
    <t>The Garage Syndicate</t>
  </si>
  <si>
    <t>Thought for Food</t>
  </si>
  <si>
    <t>Tikehau Capital (PAR: TKO)</t>
  </si>
  <si>
    <t>TMT Investments (LON: TMT)</t>
  </si>
  <si>
    <t>Toro Ventures (Mexico)</t>
  </si>
  <si>
    <t>TPG (NAS: TPG)</t>
  </si>
  <si>
    <t>Transist Impact Labs</t>
  </si>
  <si>
    <t>Transnational Cannabis</t>
  </si>
  <si>
    <t>TransUnion (NYS: TRU)</t>
  </si>
  <si>
    <t>TRK Group</t>
  </si>
  <si>
    <t>U.S. Agency for International Development</t>
  </si>
  <si>
    <t>Unilever (LON: ULVR)</t>
  </si>
  <si>
    <t>Union Square Ventures</t>
  </si>
  <si>
    <t>Utec Ventures</t>
  </si>
  <si>
    <t>Vale (Multi-line Mining) (BVMF: VALE3)</t>
  </si>
  <si>
    <t>Vast Ventures</t>
  </si>
  <si>
    <t>Ventek Ventures</t>
  </si>
  <si>
    <t>VentureOut (US)</t>
  </si>
  <si>
    <t>Visa (NYS: V)</t>
  </si>
  <si>
    <t>Volt Capital</t>
  </si>
  <si>
    <t>Vulcano(VC)</t>
  </si>
  <si>
    <t>WEG (BVMF: WEGE3)</t>
  </si>
  <si>
    <t>Western Technology Investment</t>
  </si>
  <si>
    <t>Women's World Banking</t>
  </si>
  <si>
    <t>YetiZen</t>
  </si>
  <si>
    <t>Yield Lab</t>
  </si>
  <si>
    <t>Zigg Capital</t>
  </si>
  <si>
    <t>Zillionize</t>
  </si>
  <si>
    <t>17Sigma</t>
  </si>
  <si>
    <t>Agora Partnerships</t>
  </si>
  <si>
    <t>Agrega Partners</t>
  </si>
  <si>
    <t>Aito Capital</t>
  </si>
  <si>
    <t>Alaya Capital</t>
  </si>
  <si>
    <t>Alere Advisors</t>
  </si>
  <si>
    <t>AlphaMundi</t>
  </si>
  <si>
    <t>Altabix</t>
  </si>
  <si>
    <t>Alter Global</t>
  </si>
  <si>
    <t>Alumni Ventures</t>
  </si>
  <si>
    <t>ALZA Capital Partners</t>
  </si>
  <si>
    <t>Amasia</t>
  </si>
  <si>
    <t>Anglogold Ashanti (NYS: AU)</t>
  </si>
  <si>
    <t>Antioquia Gold (PINX: AGDXF)</t>
  </si>
  <si>
    <t>Ardian</t>
  </si>
  <si>
    <t>Ataria</t>
  </si>
  <si>
    <t>Auna (NYS: AUNA)</t>
  </si>
  <si>
    <t>Auteco Mobility</t>
  </si>
  <si>
    <t>Avianca Group International</t>
  </si>
  <si>
    <t>Avicanna (TSE: AVCN)</t>
  </si>
  <si>
    <t>AVP Ventures</t>
  </si>
  <si>
    <t>B2Gold (TSE: BTO)</t>
  </si>
  <si>
    <t>Bamboo Capital Partners</t>
  </si>
  <si>
    <t>Banco de Occidente (BOG: OCCIDENTE)</t>
  </si>
  <si>
    <t>Blackstone (NYS: BX)</t>
  </si>
  <si>
    <t>Caffeinated Capital</t>
  </si>
  <si>
    <t>Cencosud (SGO: CENCOSUD)</t>
  </si>
  <si>
    <t>Citius</t>
  </si>
  <si>
    <t>Corporación Ventures</t>
  </si>
  <si>
    <t>Credicorp Capital (LIM: CRECAPC1)</t>
  </si>
  <si>
    <t>Dat Ventures</t>
  </si>
  <si>
    <t>Denarius Metals (NEOE: DMET)</t>
  </si>
  <si>
    <t>Digital360</t>
  </si>
  <si>
    <t>DILA Capital</t>
  </si>
  <si>
    <t>Draper Venture Network</t>
  </si>
  <si>
    <t>Elysia Capital</t>
  </si>
  <si>
    <t>Equity International</t>
  </si>
  <si>
    <t>Essity (STO: ESSITY B)</t>
  </si>
  <si>
    <t>Everywhere Ventures</t>
  </si>
  <si>
    <t>Finnovista</t>
  </si>
  <si>
    <t>First Serve Partners</t>
  </si>
  <si>
    <t>Flybridge Capital Partners</t>
  </si>
  <si>
    <t>Fondation Botnar</t>
  </si>
  <si>
    <t>Fuel Venture Capital</t>
  </si>
  <si>
    <t>GeoPark (NYS: GPRK)</t>
  </si>
  <si>
    <t>Glencore (LON: GLEN)</t>
  </si>
  <si>
    <t>Globant Ventures</t>
  </si>
  <si>
    <t>Goldman Sachs Asset Management</t>
  </si>
  <si>
    <t>Ground Up Investing</t>
  </si>
  <si>
    <t>Grupo Aeroportuario del Sureste (MEX: ASURB)</t>
  </si>
  <si>
    <t>Grupo Aval Acciones y Valores (BOG: GRUPOAVAL)</t>
  </si>
  <si>
    <t>Grupo Bolívar (BOG: GRUBOLIVAR)</t>
  </si>
  <si>
    <t>Grupo Digitex</t>
  </si>
  <si>
    <t>Grupo ECOS</t>
  </si>
  <si>
    <t>Grupo Energia Bogota (BOG: GEB)</t>
  </si>
  <si>
    <t>Grupo Mundial Tenedora (XPTY: GMUN)</t>
  </si>
  <si>
    <t>H.I.G. Capital</t>
  </si>
  <si>
    <t>HBM Partners</t>
  </si>
  <si>
    <t>HOF Capital</t>
  </si>
  <si>
    <t>Houston American Energy (ASE: HUSA)</t>
  </si>
  <si>
    <t>Impact Hub Fellowship</t>
  </si>
  <si>
    <t>Impacta VC</t>
  </si>
  <si>
    <t>Ingram Micro (NYS: INGM)</t>
  </si>
  <si>
    <t>Inspired Capital (New York)</t>
  </si>
  <si>
    <t>Inter-American Development Bank</t>
  </si>
  <si>
    <t>Interplay (New York)</t>
  </si>
  <si>
    <t>Inveravante</t>
  </si>
  <si>
    <t>INVERLINK</t>
  </si>
  <si>
    <t>Invictum Capital</t>
  </si>
  <si>
    <t>Irelandia Aviation</t>
  </si>
  <si>
    <t>ISI Emerging Markets Group</t>
  </si>
  <si>
    <t>J Ventures</t>
  </si>
  <si>
    <t>John Laing Group</t>
  </si>
  <si>
    <t>Keiretsu Forum</t>
  </si>
  <si>
    <t>Krealo</t>
  </si>
  <si>
    <t>Lightrock</t>
  </si>
  <si>
    <t>LLYC (MAD: LLYC)</t>
  </si>
  <si>
    <t>Localpack</t>
  </si>
  <si>
    <t>LoftyInc Capital Management</t>
  </si>
  <si>
    <t>Maya Capital (Brazil)</t>
  </si>
  <si>
    <t>Ministry of Information Technologies and Communications</t>
  </si>
  <si>
    <t>New Colombia Resources</t>
  </si>
  <si>
    <t>Nexans (PAR: NEX)</t>
  </si>
  <si>
    <t>O2Gold (TSX: OTGO.H)</t>
  </si>
  <si>
    <t>Olimpica</t>
  </si>
  <si>
    <t>ONEVC</t>
  </si>
  <si>
    <t>Owl Ventures</t>
  </si>
  <si>
    <t>Parque Arauco (SGO: PARAUCO)</t>
  </si>
  <si>
    <t>Portland Private Equity</t>
  </si>
  <si>
    <t>Postobón</t>
  </si>
  <si>
    <t>Progresión Inversiones</t>
  </si>
  <si>
    <t>Promotora Social México</t>
  </si>
  <si>
    <t>RaiCap</t>
  </si>
  <si>
    <t>Sanimax ABP</t>
  </si>
  <si>
    <t>Scotiabank Colpatria</t>
  </si>
  <si>
    <t>Securitas (STO: SECU B)</t>
  </si>
  <si>
    <t>SoftBank Group (TKS: 9984)</t>
  </si>
  <si>
    <t>Software Effective (PINX: SFWJ)</t>
  </si>
  <si>
    <t>StartUp Health</t>
  </si>
  <si>
    <t>Streamlined Ventures</t>
  </si>
  <si>
    <t>Sun Chemical</t>
  </si>
  <si>
    <t>TechnoArt</t>
  </si>
  <si>
    <t>Telefónica (MAD: TEF)</t>
  </si>
  <si>
    <t>The Board</t>
  </si>
  <si>
    <t>The Forest Company</t>
  </si>
  <si>
    <t>TQ Confiable</t>
  </si>
  <si>
    <t>TriplePoint Capital</t>
  </si>
  <si>
    <t>UNE EPM Telecomunicaciones</t>
  </si>
  <si>
    <t>Uniban</t>
  </si>
  <si>
    <t>Valuary</t>
  </si>
  <si>
    <t>Victoria Capital Partners</t>
  </si>
  <si>
    <t>Vidagas</t>
  </si>
  <si>
    <t>Village Global</t>
  </si>
  <si>
    <t>Vine One Ventures</t>
  </si>
  <si>
    <t>Xochi Ventures</t>
  </si>
  <si>
    <t>Accel-KKR</t>
  </si>
  <si>
    <t>Angel Hub</t>
  </si>
  <si>
    <t>Anheuser-Busch InBev (BRU: ABI)</t>
  </si>
  <si>
    <t>Australis Partners</t>
  </si>
  <si>
    <t>AWS Startups</t>
  </si>
  <si>
    <t>Biomax</t>
  </si>
  <si>
    <t>Block (NYS: XYZ)</t>
  </si>
  <si>
    <t>BTG Pactual (BVMF: BPAC3)</t>
  </si>
  <si>
    <t>Buenavista Equity Partners</t>
  </si>
  <si>
    <t>Caisse de dépôt et placement du Québec</t>
  </si>
  <si>
    <t>Carao Ventures</t>
  </si>
  <si>
    <t>Cemex (MEX: CEMEXCPO)</t>
  </si>
  <si>
    <t>Codensa</t>
  </si>
  <si>
    <t>Colaborativo</t>
  </si>
  <si>
    <t>Colectivo Jaguara</t>
  </si>
  <si>
    <t>Conny &amp; Co.</t>
  </si>
  <si>
    <t>Corporación Andina de Fomento</t>
  </si>
  <si>
    <t>Corporación Financiera Colombiana (BOG: CORFICOLCF)</t>
  </si>
  <si>
    <t>Denham Capital Management</t>
  </si>
  <si>
    <t>Empresa de Telecomunicaciones De Bogota (BOG: ETB)</t>
  </si>
  <si>
    <t>EQT (STO: EQT)</t>
  </si>
  <si>
    <t>Flori Ventures</t>
  </si>
  <si>
    <t>GIC Private</t>
  </si>
  <si>
    <t>Gran Colombia Gold</t>
  </si>
  <si>
    <t>Grupo-imagine</t>
  </si>
  <si>
    <t>Homebrew</t>
  </si>
  <si>
    <t>IDB Invest</t>
  </si>
  <si>
    <t>IFM Investors</t>
  </si>
  <si>
    <t>Imagine Ventures Management</t>
  </si>
  <si>
    <t>IMCD (AMS: IMCD)</t>
  </si>
  <si>
    <t>Impact Assets</t>
  </si>
  <si>
    <t>Kalei Ventures</t>
  </si>
  <si>
    <t>Kalonia</t>
  </si>
  <si>
    <t>Kuiper (Mexico)</t>
  </si>
  <si>
    <t>Loyal VC</t>
  </si>
  <si>
    <t>Macquarie Asset Management</t>
  </si>
  <si>
    <t>Magic Fund</t>
  </si>
  <si>
    <t>MedCana (Acquired in 2021)</t>
  </si>
  <si>
    <t>Metalurgica Gerdau (BVMF: GOAU3)</t>
  </si>
  <si>
    <t>MGM Innova Capital</t>
  </si>
  <si>
    <t>Morro Ventures</t>
  </si>
  <si>
    <t>NESsT</t>
  </si>
  <si>
    <t>Nexus Capital Partners</t>
  </si>
  <si>
    <t>Oikocredit Ecumenical Development Cooperative Society</t>
  </si>
  <si>
    <t>Omidyar Network</t>
  </si>
  <si>
    <t>Parex Resources (TSE: PXT)</t>
  </si>
  <si>
    <t>Plug and Play Tech Center</t>
  </si>
  <si>
    <t>Pygma</t>
  </si>
  <si>
    <t>QAPU Ventures</t>
  </si>
  <si>
    <t>Quimbaya Gold (CNQ: QIM)</t>
  </si>
  <si>
    <t>Realm Capital Ventures</t>
  </si>
  <si>
    <t>Redwood Ventures</t>
  </si>
  <si>
    <t>Royal Road Minerals (TSX: RYR)</t>
  </si>
  <si>
    <t>Rugby Resources (TSX: RUG)</t>
  </si>
  <si>
    <t>SEED (Promoting entrepreneurship for sustainable development)</t>
  </si>
  <si>
    <t>SGS (SWX: SGSN)</t>
  </si>
  <si>
    <t>Smurfit WestRock (NYS: SW)</t>
  </si>
  <si>
    <t>SOSV</t>
  </si>
  <si>
    <t>Tantauco Ventures</t>
  </si>
  <si>
    <t>Terraflos</t>
  </si>
  <si>
    <t>Valorem (Colombia)</t>
  </si>
  <si>
    <t>Winnipeg Capital</t>
  </si>
  <si>
    <t>Winnipeg Ventures</t>
  </si>
  <si>
    <t>WSP Global (TSE: WSP)</t>
  </si>
  <si>
    <t>0BS (Mexico)</t>
  </si>
  <si>
    <t>100+ Accelerator</t>
  </si>
  <si>
    <t>Acrew Capital</t>
  </si>
  <si>
    <t>Activa Alternative Assets</t>
  </si>
  <si>
    <t>Asiri S.A.S</t>
  </si>
  <si>
    <t>Bossa Invest</t>
  </si>
  <si>
    <t>Cacao Capital</t>
  </si>
  <si>
    <t>Colombia Foodtech</t>
  </si>
  <si>
    <t>Conduit Capital Partners</t>
  </si>
  <si>
    <t>Cordoba Minerals (TSX: CDB)</t>
  </si>
  <si>
    <t>Eatable Adventures</t>
  </si>
  <si>
    <t>Enfoca</t>
  </si>
  <si>
    <t>Foundation Capital</t>
  </si>
  <si>
    <t>GE32 Capital</t>
  </si>
  <si>
    <t>Grupo Argos (Colombia) (BOG: GRUPOARGOS)</t>
  </si>
  <si>
    <t>Grupo Nutresa</t>
  </si>
  <si>
    <t>I Squared Capital</t>
  </si>
  <si>
    <t>Iluminar Ventures</t>
  </si>
  <si>
    <t>Incofin Investment Management</t>
  </si>
  <si>
    <t>Innova Capital Partners</t>
  </si>
  <si>
    <t>Kohlberg Kravis Roberts (NYS: KKR)</t>
  </si>
  <si>
    <t>koyamaki</t>
  </si>
  <si>
    <t>Lavoro (NAS: LVRO)</t>
  </si>
  <si>
    <t>Linzor Capital Partners</t>
  </si>
  <si>
    <t>Mercy Corps</t>
  </si>
  <si>
    <t>MrPink VC</t>
  </si>
  <si>
    <t>New Ventures Capital</t>
  </si>
  <si>
    <t>Nido Ventures</t>
  </si>
  <si>
    <t>Norte Ventures</t>
  </si>
  <si>
    <t>Odinsa</t>
  </si>
  <si>
    <t>Prosegur Compañia de Seguridad (MAD: PSG)</t>
  </si>
  <si>
    <t>Quake Capital</t>
  </si>
  <si>
    <t>Quona Capital</t>
  </si>
  <si>
    <t>Redwood Kapital</t>
  </si>
  <si>
    <t>Start Path</t>
  </si>
  <si>
    <t>Tecnoglass (NYS: TGLS)</t>
  </si>
  <si>
    <t>The Abraaj Group</t>
  </si>
  <si>
    <t>The Goldman Sachs Group (NYS: GS)</t>
  </si>
  <si>
    <t>Unpopular Ventures</t>
  </si>
  <si>
    <t>VU Venture Partners</t>
  </si>
  <si>
    <t>Zapata Torrenegra Labs</t>
  </si>
  <si>
    <t>10X Capital</t>
  </si>
  <si>
    <t>B2 Founders</t>
  </si>
  <si>
    <t>Banco Davivienda (BOG: PFDAVVNDA)</t>
  </si>
  <si>
    <t>Bridge Latam</t>
  </si>
  <si>
    <t>Canacol Energy (TSE: CNE)</t>
  </si>
  <si>
    <t>Comfama</t>
  </si>
  <si>
    <t>Corporacion Inversor</t>
  </si>
  <si>
    <t>Darby Overseas Investments</t>
  </si>
  <si>
    <t>Elis (Saint-Cloud) (PAR: ELIS)</t>
  </si>
  <si>
    <t>First Check Ventures</t>
  </si>
  <si>
    <t>Flora Growth (NAS: FLGC)</t>
  </si>
  <si>
    <t>Innogen Capital Ventures</t>
  </si>
  <si>
    <t>Kayyak Ventures</t>
  </si>
  <si>
    <t>Kube VC</t>
  </si>
  <si>
    <t>Monserrate Ventures</t>
  </si>
  <si>
    <t>Orbit Startups</t>
  </si>
  <si>
    <t>Pear (California)</t>
  </si>
  <si>
    <t>Smart Growth Investments</t>
  </si>
  <si>
    <t>Socialab</t>
  </si>
  <si>
    <t>Southern Cross Group</t>
  </si>
  <si>
    <t>Advent International</t>
  </si>
  <si>
    <t>Amerisur Resources</t>
  </si>
  <si>
    <t>Brazil Venture Capital</t>
  </si>
  <si>
    <t>Broom Ventures</t>
  </si>
  <si>
    <t>Celsia (Colombia) (BOG: ELECTULUA)</t>
  </si>
  <si>
    <t>Cometa (Mexico)</t>
  </si>
  <si>
    <t>Empresas Públicas de Medellín</t>
  </si>
  <si>
    <t>FCP Innovacion SP</t>
  </si>
  <si>
    <t>FEMSA Ventures</t>
  </si>
  <si>
    <t>Goodwater Capital</t>
  </si>
  <si>
    <t>Grupo Éxito</t>
  </si>
  <si>
    <t>HBM Healthcare Investments (SWX: HBMN)</t>
  </si>
  <si>
    <t>IGNIA Partners</t>
  </si>
  <si>
    <t>Inca Ventures</t>
  </si>
  <si>
    <t>iNNpulsa Colombia</t>
  </si>
  <si>
    <t>Nazca</t>
  </si>
  <si>
    <t>Outcrop Silver &amp; Gold (TSX: OCG)</t>
  </si>
  <si>
    <t>QED Investors</t>
  </si>
  <si>
    <t>Quirónsalud</t>
  </si>
  <si>
    <t>Salkantay Ventures</t>
  </si>
  <si>
    <t>Small Enterprise Assistance Funds</t>
  </si>
  <si>
    <t>Soma Gold (TSX: SOMA)</t>
  </si>
  <si>
    <t>Startupbootcamp</t>
  </si>
  <si>
    <t>Teka Capital</t>
  </si>
  <si>
    <t>TheVentureCity</t>
  </si>
  <si>
    <t>Yunus Social Business</t>
  </si>
  <si>
    <t>Avalancha Ventures</t>
  </si>
  <si>
    <t>Brookfield Renewable Partners (TSE: BEP.UN)</t>
  </si>
  <si>
    <t>Canary (Brazil)</t>
  </si>
  <si>
    <t>Clocktower Ventures</t>
  </si>
  <si>
    <t>Kandeo Asset Management</t>
  </si>
  <si>
    <t>MatterScale Ventures</t>
  </si>
  <si>
    <t>Palm Drive Capital</t>
  </si>
  <si>
    <t>Pareto Holdings</t>
  </si>
  <si>
    <t>Platanus Ventures</t>
  </si>
  <si>
    <t>Ruta N Medellin</t>
  </si>
  <si>
    <t>The Carlyle Group (NAS: CG)</t>
  </si>
  <si>
    <t>99 Startups</t>
  </si>
  <si>
    <t>Alpha4 Ventures</t>
  </si>
  <si>
    <t>Arrebol Capital</t>
  </si>
  <si>
    <t>Gaingels</t>
  </si>
  <si>
    <t>General Atlantic</t>
  </si>
  <si>
    <t>GITP Ventures</t>
  </si>
  <si>
    <t>Global Founders Capital</t>
  </si>
  <si>
    <t>Grupo Pegasus</t>
  </si>
  <si>
    <t>IDB Lab</t>
  </si>
  <si>
    <t>INVX</t>
  </si>
  <si>
    <t>LatinLeap</t>
  </si>
  <si>
    <t>Mountain Partners</t>
  </si>
  <si>
    <t>Newtopia VC</t>
  </si>
  <si>
    <t>Seedstars International Ventures</t>
  </si>
  <si>
    <t>Solid Ventures</t>
  </si>
  <si>
    <t>Ventura Family Office</t>
  </si>
  <si>
    <t>8VC</t>
  </si>
  <si>
    <t>AccelHUB</t>
  </si>
  <si>
    <t>Mercantil Colpatria</t>
  </si>
  <si>
    <t>NFX</t>
  </si>
  <si>
    <t>NXTP Ventures</t>
  </si>
  <si>
    <t>Tiger Global Management</t>
  </si>
  <si>
    <t>Accion</t>
  </si>
  <si>
    <t>Acumen Fund</t>
  </si>
  <si>
    <t>Andreessen Horowitz</t>
  </si>
  <si>
    <t>Grupo de Inversiones Suramericana (BOG: GRUPOSURA)</t>
  </si>
  <si>
    <t>HTwenty</t>
  </si>
  <si>
    <t>Marathon Ventures (Colombia)</t>
  </si>
  <si>
    <t>MassChallenge</t>
  </si>
  <si>
    <t>Socialatom Group</t>
  </si>
  <si>
    <t>Tvalley</t>
  </si>
  <si>
    <t>ACON Investments</t>
  </si>
  <si>
    <t>Alive Ventures</t>
  </si>
  <si>
    <t>Bictia</t>
  </si>
  <si>
    <t>Patria Investments (NAS: PAX)</t>
  </si>
  <si>
    <t>Promotora</t>
  </si>
  <si>
    <t>SIMMA Capital</t>
  </si>
  <si>
    <t>Tribeca Asset Management</t>
  </si>
  <si>
    <t>Wollef</t>
  </si>
  <si>
    <t>Angel Ventures Mexico</t>
  </si>
  <si>
    <t>Axon Partners Group (MAD: APG)</t>
  </si>
  <si>
    <t>EWA Capital</t>
  </si>
  <si>
    <t>Founder Institute</t>
  </si>
  <si>
    <t>Frontera Energy (TSE: FEC)</t>
  </si>
  <si>
    <t>Irrazonables</t>
  </si>
  <si>
    <t>Monashees</t>
  </si>
  <si>
    <t>ScaleUp Labs</t>
  </si>
  <si>
    <t>Altra Investments</t>
  </si>
  <si>
    <t>Polymath Ventures</t>
  </si>
  <si>
    <t>The Ark Fund</t>
  </si>
  <si>
    <t>HubBOG</t>
  </si>
  <si>
    <t>Latitud</t>
  </si>
  <si>
    <t>Opera Ventures</t>
  </si>
  <si>
    <t>Parallel18</t>
  </si>
  <si>
    <t>Soma Capital</t>
  </si>
  <si>
    <t>Ecopetrol (BOG: ECOPETROL)</t>
  </si>
  <si>
    <t>Impacta Fund</t>
  </si>
  <si>
    <t>Kaszek</t>
  </si>
  <si>
    <t>MAS Equity Partners</t>
  </si>
  <si>
    <t>Amador Holdings</t>
  </si>
  <si>
    <t>Ashmore Group (LON: ASHM)</t>
  </si>
  <si>
    <t>EFS</t>
  </si>
  <si>
    <t>Grupo Bancolombia (BOG: PFBCOLOM)</t>
  </si>
  <si>
    <t>InQlab</t>
  </si>
  <si>
    <t>Magma Partners</t>
  </si>
  <si>
    <t>MANA Tech</t>
  </si>
  <si>
    <t>K50 Ventures</t>
  </si>
  <si>
    <t>FJ Labs</t>
  </si>
  <si>
    <t>Vertical Partners</t>
  </si>
  <si>
    <t>Google for Startups</t>
  </si>
  <si>
    <t>500 Global</t>
  </si>
  <si>
    <t>Velum Ventures</t>
  </si>
  <si>
    <t>Techstars</t>
  </si>
  <si>
    <t>Start-Up Chile</t>
  </si>
  <si>
    <t>International Finance Corporation</t>
  </si>
  <si>
    <t>Irie Investment</t>
  </si>
  <si>
    <t>Spectra Investments</t>
  </si>
  <si>
    <t>Village Capital</t>
  </si>
  <si>
    <t>500 Startups LatAm</t>
  </si>
  <si>
    <t>Y Combinator</t>
  </si>
  <si>
    <t>Rockstart</t>
  </si>
  <si>
    <t>CUBE Ventures (Columbia)</t>
  </si>
  <si>
    <t>Wayra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</si>
</sst>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26649E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8F5EF"/>
        <bgColor rgb="FFF8F5E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3D3D3"/>
      </right>
      <top/>
      <bottom/>
      <diagonal/>
    </border>
  </borders>
  <cellStyleXfs count="3">
    <xf numFmtId="0" fontId="0" fillId="0" borderId="0"/>
    <xf numFmtId="0" fontId="2" fillId="0" borderId="2">
      <alignment horizontal="left" vertical="center" indent="1"/>
    </xf>
    <xf numFmtId="0" fontId="3" fillId="0" borderId="2">
      <alignment horizontal="left" vertical="center" indent="1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Fill="1">
      <alignment horizontal="left" vertical="center" indent="1"/>
    </xf>
    <xf numFmtId="0" fontId="2" fillId="0" borderId="2" xfId="1">
      <alignment horizontal="left" vertical="center" indent="1"/>
    </xf>
    <xf numFmtId="0" fontId="3" fillId="2" borderId="2" xfId="2" applyFill="1">
      <alignment horizontal="left" vertical="center" indent="1"/>
    </xf>
    <xf numFmtId="0" fontId="3" fillId="0" borderId="2" xfId="2">
      <alignment horizontal="left" vertical="center" indent="1"/>
    </xf>
  </cellXfs>
  <cellStyles count="3">
    <cellStyle name="Normal" xfId="0" builtinId="0"/>
    <cellStyle name="tableCellStyleLeft" xfId="1" xr:uid="{F9404652-3AEA-4850-A1E2-162F59E324C6}"/>
    <cellStyle name="tableCellStyleLeftHyperlink" xfId="2" xr:uid="{406EAC65-5FAB-4204-968B-0F9DD614A5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9"/>
  <sheetViews>
    <sheetView tabSelected="1"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4" t="str">
        <f>HYPERLINK("http://www.10hcapital.com","www.10hcapital.com")</f>
        <v>www.10hcapital.com</v>
      </c>
    </row>
    <row r="3" spans="1:2" x14ac:dyDescent="0.3">
      <c r="A3" s="3" t="s">
        <v>3</v>
      </c>
      <c r="B3" s="5" t="str">
        <f>HYPERLINK("http://www.10pearls.com","www.10pearls.com")</f>
        <v>www.10pearls.com</v>
      </c>
    </row>
    <row r="4" spans="1:2" x14ac:dyDescent="0.3">
      <c r="A4" s="3" t="s">
        <v>4</v>
      </c>
      <c r="B4" s="5" t="str">
        <f>HYPERLINK("http://www.1414ventures.com","www.1414ventures.com")</f>
        <v>www.1414ventures.com</v>
      </c>
    </row>
    <row r="5" spans="1:2" x14ac:dyDescent="0.3">
      <c r="A5" s="2" t="s">
        <v>5</v>
      </c>
      <c r="B5" s="4" t="str">
        <f>HYPERLINK("http://www.2048.vc","www.2048.vc")</f>
        <v>www.2048.vc</v>
      </c>
    </row>
    <row r="6" spans="1:2" x14ac:dyDescent="0.3">
      <c r="A6" s="3" t="s">
        <v>6</v>
      </c>
      <c r="B6" s="5" t="str">
        <f>HYPERLINK("http://www.21212.com","www.21212.com")</f>
        <v>www.21212.com</v>
      </c>
    </row>
    <row r="7" spans="1:2" x14ac:dyDescent="0.3">
      <c r="A7" s="2" t="s">
        <v>7</v>
      </c>
      <c r="B7" s="4" t="str">
        <f>HYPERLINK("http://www.23park.com","www.23park.com")</f>
        <v>www.23park.com</v>
      </c>
    </row>
    <row r="8" spans="1:2" x14ac:dyDescent="0.3">
      <c r="A8" s="3" t="s">
        <v>8</v>
      </c>
      <c r="B8" s="5" t="str">
        <f>HYPERLINK("http://www.3i.com","www.3i.com")</f>
        <v>www.3i.com</v>
      </c>
    </row>
    <row r="9" spans="1:2" x14ac:dyDescent="0.3">
      <c r="A9" s="2" t="s">
        <v>9</v>
      </c>
      <c r="B9" s="4" t="str">
        <f>HYPERLINK("http://www.75andsunny.vc","www.75andsunny.vc")</f>
        <v>www.75andsunny.vc</v>
      </c>
    </row>
    <row r="10" spans="1:2" x14ac:dyDescent="0.3">
      <c r="A10" s="3" t="s">
        <v>10</v>
      </c>
      <c r="B10" s="5" t="str">
        <f>HYPERLINK("http://www.777part.com","www.777part.com")</f>
        <v>www.777part.com</v>
      </c>
    </row>
    <row r="11" spans="1:2" x14ac:dyDescent="0.3">
      <c r="A11" s="2" t="s">
        <v>11</v>
      </c>
      <c r="B11" s="4" t="str">
        <f>HYPERLINK("http://www.aak.com","www.aak.com")</f>
        <v>www.aak.com</v>
      </c>
    </row>
    <row r="12" spans="1:2" x14ac:dyDescent="0.3">
      <c r="A12" s="2" t="s">
        <v>12</v>
      </c>
      <c r="B12" s="4" t="str">
        <f>HYPERLINK("http://www.abadcapital.com","www.abadcapital.com")</f>
        <v>www.abadcapital.com</v>
      </c>
    </row>
    <row r="13" spans="1:2" x14ac:dyDescent="0.3">
      <c r="A13" s="3" t="s">
        <v>13</v>
      </c>
      <c r="B13" s="5" t="str">
        <f>HYPERLINK("http://www.abaigroup.com","www.abaigroup.com")</f>
        <v>www.abaigroup.com</v>
      </c>
    </row>
    <row r="14" spans="1:2" x14ac:dyDescent="0.3">
      <c r="A14" s="2" t="s">
        <v>14</v>
      </c>
      <c r="B14" s="4" t="str">
        <f>HYPERLINK("http://www.global.abb","www.global.abb")</f>
        <v>www.global.abb</v>
      </c>
    </row>
    <row r="15" spans="1:2" x14ac:dyDescent="0.3">
      <c r="A15" s="2" t="s">
        <v>15</v>
      </c>
      <c r="B15" s="4" t="str">
        <f>HYPERLINK("http://www.abertis.com","www.abertis.com")</f>
        <v>www.abertis.com</v>
      </c>
    </row>
    <row r="16" spans="1:2" x14ac:dyDescent="0.3">
      <c r="A16" s="2" t="s">
        <v>16</v>
      </c>
      <c r="B16" s="4" t="str">
        <f>HYPERLINK("http://careful-address-b7c.notion.site/AC-Ventures-83d1434155984b5188494adb766d3f65","careful-address-b7c.notion.site/AC-Ventures-83d1434155984b5188494adb766d3f65")</f>
        <v>careful-address-b7c.notion.site/AC-Ventures-83d1434155984b5188494adb766d3f65</v>
      </c>
    </row>
    <row r="17" spans="1:2" x14ac:dyDescent="0.3">
      <c r="A17" s="3" t="s">
        <v>17</v>
      </c>
      <c r="B17" s="5" t="str">
        <f>HYPERLINK("http://www.ac-venture.com","www.ac-venture.com")</f>
        <v>www.ac-venture.com</v>
      </c>
    </row>
    <row r="18" spans="1:2" x14ac:dyDescent="0.3">
      <c r="A18" s="3" t="s">
        <v>18</v>
      </c>
      <c r="B18" s="5" t="str">
        <f>HYPERLINK("http://acceleratecolombia.com","acceleratecolombia.com")</f>
        <v>acceleratecolombia.com</v>
      </c>
    </row>
    <row r="19" spans="1:2" x14ac:dyDescent="0.3">
      <c r="A19" s="2" t="s">
        <v>19</v>
      </c>
      <c r="B19" s="4" t="str">
        <f>HYPERLINK("http://www.ivy-x.com","www.ivy-x.com")</f>
        <v>www.ivy-x.com</v>
      </c>
    </row>
    <row r="20" spans="1:2" x14ac:dyDescent="0.3">
      <c r="A20" s="2" t="s">
        <v>20</v>
      </c>
      <c r="B20" s="4" t="str">
        <f>HYPERLINK("http://www.accialcapital.com","www.accialcapital.com")</f>
        <v>www.accialcapital.com</v>
      </c>
    </row>
    <row r="21" spans="1:2" x14ac:dyDescent="0.3">
      <c r="A21" s="2" t="s">
        <v>21</v>
      </c>
      <c r="B21" s="4" t="str">
        <f>HYPERLINK("http://www.aceleradorasc.com","www.aceleradorasc.com")</f>
        <v>www.aceleradorasc.com</v>
      </c>
    </row>
    <row r="22" spans="1:2" x14ac:dyDescent="0.3">
      <c r="A22" s="3" t="s">
        <v>22</v>
      </c>
      <c r="B22" s="5" t="str">
        <f>HYPERLINK("http://www.aciworldwide.com","www.aciworldwide.com")</f>
        <v>www.aciworldwide.com</v>
      </c>
    </row>
    <row r="23" spans="1:2" x14ac:dyDescent="0.3">
      <c r="A23" s="2" t="s">
        <v>23</v>
      </c>
      <c r="B23" s="4" t="str">
        <f>HYPERLINK("http://www.actyus.com","www.actyus.com")</f>
        <v>www.actyus.com</v>
      </c>
    </row>
    <row r="24" spans="1:2" x14ac:dyDescent="0.3">
      <c r="A24" s="2" t="s">
        <v>24</v>
      </c>
      <c r="B24" s="4" t="str">
        <f>HYPERLINK("http://adldigitallab.com","adldigitallab.com")</f>
        <v>adldigitallab.com</v>
      </c>
    </row>
    <row r="25" spans="1:2" x14ac:dyDescent="0.3">
      <c r="A25" s="3" t="s">
        <v>25</v>
      </c>
      <c r="B25" s="5" t="str">
        <f>HYPERLINK("http://www.global.admanimalnutrition.com","www.global.admanimalnutrition.com")</f>
        <v>www.global.admanimalnutrition.com</v>
      </c>
    </row>
    <row r="26" spans="1:2" x14ac:dyDescent="0.3">
      <c r="A26" s="2" t="s">
        <v>26</v>
      </c>
      <c r="B26" s="4" t="str">
        <f>HYPERLINK("http://www.adea.es","www.adea.es")</f>
        <v>www.adea.es</v>
      </c>
    </row>
    <row r="27" spans="1:2" x14ac:dyDescent="0.3">
      <c r="A27" s="2" t="s">
        <v>27</v>
      </c>
      <c r="B27" s="4" t="str">
        <f>HYPERLINK("http://www.ad-cap.com","www.ad-cap.com")</f>
        <v>www.ad-cap.com</v>
      </c>
    </row>
    <row r="28" spans="1:2" x14ac:dyDescent="0.3">
      <c r="A28" s="3" t="s">
        <v>28</v>
      </c>
      <c r="B28" s="5" t="str">
        <f>HYPERLINK("http://www.aegisgrp.com","www.aegisgrp.com")</f>
        <v>www.aegisgrp.com</v>
      </c>
    </row>
    <row r="29" spans="1:2" x14ac:dyDescent="0.3">
      <c r="A29" s="2" t="s">
        <v>29</v>
      </c>
      <c r="B29" s="4" t="str">
        <f>HYPERLINK("http://www.aenza.com.pe","www.aenza.com.pe")</f>
        <v>www.aenza.com.pe</v>
      </c>
    </row>
    <row r="30" spans="1:2" x14ac:dyDescent="0.3">
      <c r="A30" s="3" t="s">
        <v>30</v>
      </c>
      <c r="B30" s="5" t="str">
        <f>HYPERLINK("http://www.aes.com","www.aes.com")</f>
        <v>www.aes.com</v>
      </c>
    </row>
    <row r="31" spans="1:2" x14ac:dyDescent="0.3">
      <c r="A31" s="2" t="s">
        <v>31</v>
      </c>
      <c r="B31" s="4" t="str">
        <f>HYPERLINK("http://www.aeternumcapital.com","www.aeternumcapital.com")</f>
        <v>www.aeternumcapital.com</v>
      </c>
    </row>
    <row r="32" spans="1:2" x14ac:dyDescent="0.3">
      <c r="A32" s="3" t="s">
        <v>32</v>
      </c>
      <c r="B32" s="5" t="str">
        <f>HYPERLINK("http://www.afphabitat.cl","www.afphabitat.cl")</f>
        <v>www.afphabitat.cl</v>
      </c>
    </row>
    <row r="33" spans="1:2" x14ac:dyDescent="0.3">
      <c r="A33" s="2" t="s">
        <v>33</v>
      </c>
      <c r="B33" s="4" t="str">
        <f>HYPERLINK("http://www.afriquiagaz.com","www.afriquiagaz.com")</f>
        <v>www.afriquiagaz.com</v>
      </c>
    </row>
    <row r="34" spans="1:2" x14ac:dyDescent="0.3">
      <c r="A34" s="3" t="s">
        <v>34</v>
      </c>
      <c r="B34" s="5" t="str">
        <f>HYPERLINK("http://www.agenciauto.com","www.agenciauto.com")</f>
        <v>www.agenciauto.com</v>
      </c>
    </row>
    <row r="35" spans="1:2" x14ac:dyDescent="0.3">
      <c r="A35" s="2" t="s">
        <v>35</v>
      </c>
      <c r="B35" s="4" t="str">
        <f>HYPERLINK("http://www.agnicoeagle.com","www.agnicoeagle.com")</f>
        <v>www.agnicoeagle.com</v>
      </c>
    </row>
    <row r="36" spans="1:2" x14ac:dyDescent="0.3">
      <c r="A36" s="3" t="s">
        <v>36</v>
      </c>
      <c r="B36" s="5" t="str">
        <f>HYPERLINK("http://www.agorapdx.com","www.agorapdx.com")</f>
        <v>www.agorapdx.com</v>
      </c>
    </row>
    <row r="37" spans="1:2" x14ac:dyDescent="0.3">
      <c r="A37" s="2" t="s">
        <v>37</v>
      </c>
      <c r="B37" s="4" t="str">
        <f>HYPERLINK("http://www.airliquide.com","www.airliquide.com")</f>
        <v>www.airliquide.com</v>
      </c>
    </row>
    <row r="38" spans="1:2" x14ac:dyDescent="0.3">
      <c r="A38" s="3" t="s">
        <v>38</v>
      </c>
      <c r="B38" s="5" t="str">
        <f>HYPERLINK("http://airangels.co","airangels.co")</f>
        <v>airangels.co</v>
      </c>
    </row>
    <row r="39" spans="1:2" x14ac:dyDescent="0.3">
      <c r="A39" s="2" t="s">
        <v>39</v>
      </c>
      <c r="B39" s="4" t="str">
        <f>HYPERLINK("http://www.aitstartups.org","www.aitstartups.org")</f>
        <v>www.aitstartups.org</v>
      </c>
    </row>
    <row r="40" spans="1:2" x14ac:dyDescent="0.3">
      <c r="A40" s="3" t="s">
        <v>40</v>
      </c>
      <c r="B40" s="5" t="str">
        <f>HYPERLINK("http://www.aktiva.com.co","www.aktiva.com.co")</f>
        <v>www.aktiva.com.co</v>
      </c>
    </row>
    <row r="41" spans="1:2" x14ac:dyDescent="0.3">
      <c r="A41" s="2" t="s">
        <v>41</v>
      </c>
      <c r="B41" s="4" t="str">
        <f>HYPERLINK("http://www.aktivafinanciera.com","www.aktivafinanciera.com")</f>
        <v>www.aktivafinanciera.com</v>
      </c>
    </row>
    <row r="42" spans="1:2" x14ac:dyDescent="0.3">
      <c r="A42" s="3" t="s">
        <v>42</v>
      </c>
      <c r="B42" s="5" t="str">
        <f>HYPERLINK("http://www.akuoenergy.com","www.akuoenergy.com")</f>
        <v>www.akuoenergy.com</v>
      </c>
    </row>
    <row r="43" spans="1:2" x14ac:dyDescent="0.3">
      <c r="A43" s="2" t="s">
        <v>43</v>
      </c>
      <c r="B43" s="4" t="str">
        <f>HYPERLINK("http://www.akzonobel.com","www.akzonobel.com")</f>
        <v>www.akzonobel.com</v>
      </c>
    </row>
    <row r="44" spans="1:2" x14ac:dyDescent="0.3">
      <c r="A44" s="3" t="s">
        <v>44</v>
      </c>
      <c r="B44" s="5" t="str">
        <f>HYPERLINK("http://www.alarkoventures.com","www.alarkoventures.com")</f>
        <v>www.alarkoventures.com</v>
      </c>
    </row>
    <row r="45" spans="1:2" x14ac:dyDescent="0.3">
      <c r="A45" s="3" t="s">
        <v>45</v>
      </c>
      <c r="B45" s="5" t="str">
        <f>HYPERLINK("http://www.alchemistaccelerator.com","www.alchemistaccelerator.com")</f>
        <v>www.alchemistaccelerator.com</v>
      </c>
    </row>
    <row r="46" spans="1:2" x14ac:dyDescent="0.3">
      <c r="A46" s="2" t="s">
        <v>46</v>
      </c>
      <c r="B46" s="4" t="str">
        <f>HYPERLINK("http://www.alecta.se","www.alecta.se")</f>
        <v>www.alecta.se</v>
      </c>
    </row>
    <row r="47" spans="1:2" x14ac:dyDescent="0.3">
      <c r="A47" s="2" t="s">
        <v>47</v>
      </c>
      <c r="B47" s="4" t="str">
        <f>HYPERLINK("http://www.lazovsky.com","www.lazovsky.com")</f>
        <v>www.lazovsky.com</v>
      </c>
    </row>
    <row r="48" spans="1:2" x14ac:dyDescent="0.3">
      <c r="A48" s="3" t="s">
        <v>48</v>
      </c>
      <c r="B48" s="5" t="str">
        <f>HYPERLINK("http://www.alfapeople.com","www.alfapeople.com")</f>
        <v>www.alfapeople.com</v>
      </c>
    </row>
    <row r="49" spans="1:2" x14ac:dyDescent="0.3">
      <c r="A49" s="2" t="s">
        <v>49</v>
      </c>
      <c r="B49" s="4" t="str">
        <f>HYPERLINK("http://www.alianza.com.co","www.alianza.com.co")</f>
        <v>www.alianza.com.co</v>
      </c>
    </row>
    <row r="50" spans="1:2" x14ac:dyDescent="0.3">
      <c r="A50" s="3" t="s">
        <v>50</v>
      </c>
      <c r="B50" s="5" t="str">
        <f>HYPERLINK("http://www.aliveventures.co","www.aliveventures.co")</f>
        <v>www.aliveventures.co</v>
      </c>
    </row>
    <row r="51" spans="1:2" x14ac:dyDescent="0.3">
      <c r="A51" s="2" t="s">
        <v>51</v>
      </c>
      <c r="B51" s="4" t="str">
        <f>HYPERLINK("http://www.allegion.com","www.allegion.com")</f>
        <v>www.allegion.com</v>
      </c>
    </row>
    <row r="52" spans="1:2" x14ac:dyDescent="0.3">
      <c r="A52" s="3" t="s">
        <v>52</v>
      </c>
      <c r="B52" s="5" t="str">
        <f>HYPERLINK("http://allen.xyz","allen.xyz")</f>
        <v>allen.xyz</v>
      </c>
    </row>
    <row r="53" spans="1:2" x14ac:dyDescent="0.3">
      <c r="A53" s="2" t="s">
        <v>53</v>
      </c>
      <c r="B53" s="4" t="str">
        <f>HYPERLINK("http://www.alliancetechnologiesllc.com","www.alliancetechnologiesllc.com")</f>
        <v>www.alliancetechnologiesllc.com</v>
      </c>
    </row>
    <row r="54" spans="1:2" x14ac:dyDescent="0.3">
      <c r="A54" s="3" t="s">
        <v>54</v>
      </c>
      <c r="B54" s="5" t="str">
        <f>HYPERLINK("http://www.allied.health","www.allied.health")</f>
        <v>www.allied.health</v>
      </c>
    </row>
    <row r="55" spans="1:2" x14ac:dyDescent="0.3">
      <c r="A55" s="3" t="s">
        <v>55</v>
      </c>
      <c r="B55" s="5" t="str">
        <f>HYPERLINK("http://www.alphacentauri.se","www.alphacentauri.se")</f>
        <v>www.alphacentauri.se</v>
      </c>
    </row>
    <row r="56" spans="1:2" x14ac:dyDescent="0.3">
      <c r="A56" s="2" t="s">
        <v>56</v>
      </c>
      <c r="B56" s="4" t="str">
        <f>HYPERLINK("http://www.alphaleonispartners.com","www.alphaleonispartners.com")</f>
        <v>www.alphaleonispartners.com</v>
      </c>
    </row>
    <row r="57" spans="1:2" x14ac:dyDescent="0.3">
      <c r="A57" s="3" t="s">
        <v>57</v>
      </c>
      <c r="B57" s="5" t="str">
        <f>HYPERLINK("http://www.alphacomholdings.com","www.alphacomholdings.com")</f>
        <v>www.alphacomholdings.com</v>
      </c>
    </row>
    <row r="58" spans="1:2" x14ac:dyDescent="0.3">
      <c r="A58" s="2" t="s">
        <v>58</v>
      </c>
      <c r="B58" s="4" t="str">
        <f>HYPERLINK("http://www.alpina.com.ve","www.alpina.com.ve")</f>
        <v>www.alpina.com.ve</v>
      </c>
    </row>
    <row r="59" spans="1:2" x14ac:dyDescent="0.3">
      <c r="A59" s="3" t="s">
        <v>59</v>
      </c>
      <c r="B59" s="5" t="str">
        <f>HYPERLINK("http://www.alpinvest.com","www.alpinvest.com")</f>
        <v>www.alpinvest.com</v>
      </c>
    </row>
    <row r="60" spans="1:2" x14ac:dyDescent="0.3">
      <c r="A60" s="2" t="s">
        <v>60</v>
      </c>
      <c r="B60" s="4" t="str">
        <f>HYPERLINK("http://www.alsglobal.com","www.alsglobal.com")</f>
        <v>www.alsglobal.com</v>
      </c>
    </row>
    <row r="61" spans="1:2" x14ac:dyDescent="0.3">
      <c r="A61" s="3" t="s">
        <v>61</v>
      </c>
      <c r="B61" s="5" t="str">
        <f>HYPERLINK("http://www.alsea.net","www.alsea.net")</f>
        <v>www.alsea.net</v>
      </c>
    </row>
    <row r="62" spans="1:2" x14ac:dyDescent="0.3">
      <c r="A62" s="2" t="s">
        <v>62</v>
      </c>
      <c r="B62" s="4" t="str">
        <f>HYPERLINK("http://www.altaresources.com","www.altaresources.com")</f>
        <v>www.altaresources.com</v>
      </c>
    </row>
    <row r="63" spans="1:2" x14ac:dyDescent="0.3">
      <c r="A63" s="3" t="s">
        <v>63</v>
      </c>
      <c r="B63" s="5" t="str">
        <f>HYPERLINK("http://www.altamir.fr","www.altamir.fr")</f>
        <v>www.altamir.fr</v>
      </c>
    </row>
    <row r="64" spans="1:2" x14ac:dyDescent="0.3">
      <c r="A64" s="2" t="s">
        <v>64</v>
      </c>
      <c r="B64" s="4" t="str">
        <f>HYPERLINK("http://www.altipal.com.co","www.altipal.com.co")</f>
        <v>www.altipal.com.co</v>
      </c>
    </row>
    <row r="65" spans="1:2" x14ac:dyDescent="0.3">
      <c r="A65" s="3" t="s">
        <v>65</v>
      </c>
      <c r="B65" s="5" t="str">
        <f>HYPERLINK("http://www.apnmetals.com","www.apnmetals.com")</f>
        <v>www.apnmetals.com</v>
      </c>
    </row>
    <row r="66" spans="1:2" x14ac:dyDescent="0.3">
      <c r="A66" s="2" t="s">
        <v>66</v>
      </c>
      <c r="B66" s="4" t="str">
        <f>HYPERLINK("http://www.altumcapital.mx","www.altumcapital.mx")</f>
        <v>www.altumcapital.mx</v>
      </c>
    </row>
    <row r="67" spans="1:2" x14ac:dyDescent="0.3">
      <c r="A67" s="3" t="s">
        <v>67</v>
      </c>
      <c r="B67" s="5" t="str">
        <f>HYPERLINK("http://www.apgcapitalmarkets.com","www.apgcapitalmarkets.com")</f>
        <v>www.apgcapitalmarkets.com</v>
      </c>
    </row>
    <row r="68" spans="1:2" x14ac:dyDescent="0.3">
      <c r="A68" s="2" t="s">
        <v>68</v>
      </c>
      <c r="B68" s="4" t="str">
        <f>HYPERLINK("http://www.alusa.cl","www.alusa.cl")</f>
        <v>www.alusa.cl</v>
      </c>
    </row>
    <row r="69" spans="1:2" x14ac:dyDescent="0.3">
      <c r="A69" s="3" t="s">
        <v>69</v>
      </c>
      <c r="B69" s="5" t="str">
        <f>HYPERLINK("http://www.azflamerica.com","www.azflamerica.com")</f>
        <v>www.azflamerica.com</v>
      </c>
    </row>
    <row r="70" spans="1:2" x14ac:dyDescent="0.3">
      <c r="A70" s="2" t="s">
        <v>70</v>
      </c>
      <c r="B70" s="4" t="str">
        <f>HYPERLINK("http://www.ambipar.com","www.ambipar.com")</f>
        <v>www.ambipar.com</v>
      </c>
    </row>
    <row r="71" spans="1:2" x14ac:dyDescent="0.3">
      <c r="A71" s="3" t="s">
        <v>71</v>
      </c>
      <c r="B71" s="5" t="str">
        <f>HYPERLINK("http://www.amcor.com","www.amcor.com")</f>
        <v>www.amcor.com</v>
      </c>
    </row>
    <row r="72" spans="1:2" x14ac:dyDescent="0.3">
      <c r="A72" s="2" t="s">
        <v>72</v>
      </c>
      <c r="B72" s="4" t="str">
        <f>HYPERLINK("http://www.americantower.com","www.americantower.com")</f>
        <v>www.americantower.com</v>
      </c>
    </row>
    <row r="73" spans="1:2" x14ac:dyDescent="0.3">
      <c r="A73" s="3" t="s">
        <v>73</v>
      </c>
      <c r="B73" s="5" t="str">
        <f>HYPERLINK("http://amerocap.com","amerocap.com")</f>
        <v>amerocap.com</v>
      </c>
    </row>
    <row r="74" spans="1:2" x14ac:dyDescent="0.3">
      <c r="A74" s="2" t="s">
        <v>74</v>
      </c>
      <c r="B74" s="4" t="str">
        <f>HYPERLINK("http://www.amf.se","www.amf.se")</f>
        <v>www.amf.se</v>
      </c>
    </row>
    <row r="75" spans="1:2" x14ac:dyDescent="0.3">
      <c r="A75" s="2" t="s">
        <v>75</v>
      </c>
      <c r="B75" s="4" t="str">
        <f>HYPERLINK("http://www.amplifica.capital","www.amplifica.capital")</f>
        <v>www.amplifica.capital</v>
      </c>
    </row>
    <row r="76" spans="1:2" x14ac:dyDescent="0.3">
      <c r="A76" s="3" t="s">
        <v>76</v>
      </c>
      <c r="B76" s="5" t="str">
        <f>HYPERLINK("http://www.amplo.ro","www.amplo.ro")</f>
        <v>www.amplo.ro</v>
      </c>
    </row>
    <row r="77" spans="1:2" x14ac:dyDescent="0.3">
      <c r="A77" s="2" t="s">
        <v>77</v>
      </c>
      <c r="B77" s="4" t="str">
        <f>HYPERLINK("http://www.amzak.com","www.amzak.com")</f>
        <v>www.amzak.com</v>
      </c>
    </row>
    <row r="78" spans="1:2" x14ac:dyDescent="0.3">
      <c r="A78" s="2" t="s">
        <v>78</v>
      </c>
      <c r="B78" s="4" t="str">
        <f>HYPERLINK("http://www.anchorcapitalinvestments.com","www.anchorcapitalinvestments.com")</f>
        <v>www.anchorcapitalinvestments.com</v>
      </c>
    </row>
    <row r="79" spans="1:2" x14ac:dyDescent="0.3">
      <c r="A79" s="3" t="s">
        <v>79</v>
      </c>
      <c r="B79" s="5" t="str">
        <f>HYPERLINK("http://www.andeancacao.com","www.andeancacao.com")</f>
        <v>www.andeancacao.com</v>
      </c>
    </row>
    <row r="80" spans="1:2" x14ac:dyDescent="0.3">
      <c r="A80" s="2" t="s">
        <v>80</v>
      </c>
      <c r="B80" s="4" t="str">
        <f>HYPERLINK("http://www.andeanmining.com.au","www.andeanmining.com.au")</f>
        <v>www.andeanmining.com.au</v>
      </c>
    </row>
    <row r="81" spans="1:2" x14ac:dyDescent="0.3">
      <c r="A81" s="3" t="s">
        <v>81</v>
      </c>
      <c r="B81" s="5" t="str">
        <f>HYPERLINK("http://www.andeo.info","www.andeo.info")</f>
        <v>www.andeo.info</v>
      </c>
    </row>
    <row r="82" spans="1:2" x14ac:dyDescent="0.3">
      <c r="A82" s="2" t="s">
        <v>82</v>
      </c>
      <c r="B82" s="4" t="str">
        <f>HYPERLINK("http://www.andeocapital.com","www.andeocapital.com")</f>
        <v>www.andeocapital.com</v>
      </c>
    </row>
    <row r="83" spans="1:2" x14ac:dyDescent="0.3">
      <c r="A83" s="3" t="s">
        <v>83</v>
      </c>
      <c r="B83" s="5" t="str">
        <f>HYPERLINK("http://www.angeldao.org","www.angeldao.org")</f>
        <v>www.angeldao.org</v>
      </c>
    </row>
    <row r="84" spans="1:2" x14ac:dyDescent="0.3">
      <c r="A84" s="2" t="s">
        <v>84</v>
      </c>
      <c r="B84" s="4" t="str">
        <f>HYPERLINK("http://www.angelhack.com","www.angelhack.com")</f>
        <v>www.angelhack.com</v>
      </c>
    </row>
    <row r="85" spans="1:2" x14ac:dyDescent="0.3">
      <c r="A85" s="3" t="s">
        <v>85</v>
      </c>
      <c r="B85" s="5" t="str">
        <f>HYPERLINK("http://www.angloamerican.com","www.angloamerican.com")</f>
        <v>www.angloamerican.com</v>
      </c>
    </row>
    <row r="86" spans="1:2" x14ac:dyDescent="0.3">
      <c r="A86" s="2" t="s">
        <v>86</v>
      </c>
      <c r="B86" s="4" t="str">
        <f>HYPERLINK("http://www.animo.vc","www.animo.vc")</f>
        <v>www.animo.vc</v>
      </c>
    </row>
    <row r="87" spans="1:2" x14ac:dyDescent="0.3">
      <c r="A87" s="2" t="s">
        <v>87</v>
      </c>
      <c r="B87" s="4" t="str">
        <f>HYPERLINK("http://www.annona.nl","www.annona.nl")</f>
        <v>www.annona.nl</v>
      </c>
    </row>
    <row r="88" spans="1:2" x14ac:dyDescent="0.3">
      <c r="A88" s="2" t="s">
        <v>88</v>
      </c>
      <c r="B88" s="4" t="str">
        <f>HYPERLINK("http://www.anteris.com.mx","www.anteris.com.mx")</f>
        <v>www.anteris.com.mx</v>
      </c>
    </row>
    <row r="89" spans="1:2" x14ac:dyDescent="0.3">
      <c r="A89" s="3" t="s">
        <v>89</v>
      </c>
      <c r="B89" s="5" t="str">
        <f>HYPERLINK("http://www.amlp.com","www.amlp.com")</f>
        <v>www.amlp.com</v>
      </c>
    </row>
    <row r="90" spans="1:2" x14ac:dyDescent="0.3">
      <c r="A90" s="2" t="s">
        <v>90</v>
      </c>
      <c r="B90" s="4" t="str">
        <f>HYPERLINK("http://www.aprioricapital.com","www.aprioricapital.com")</f>
        <v>www.aprioricapital.com</v>
      </c>
    </row>
    <row r="91" spans="1:2" x14ac:dyDescent="0.3">
      <c r="A91" s="2" t="s">
        <v>91</v>
      </c>
      <c r="B91" s="4" t="str">
        <f>HYPERLINK("http://arbaro-advisors.com","arbaro-advisors.com")</f>
        <v>arbaro-advisors.com</v>
      </c>
    </row>
    <row r="92" spans="1:2" x14ac:dyDescent="0.3">
      <c r="A92" s="3" t="s">
        <v>92</v>
      </c>
      <c r="B92" s="5" t="str">
        <f>HYPERLINK("http://www.e-arc.com","www.e-arc.com")</f>
        <v>www.e-arc.com</v>
      </c>
    </row>
    <row r="93" spans="1:2" x14ac:dyDescent="0.3">
      <c r="A93" s="2" t="s">
        <v>93</v>
      </c>
      <c r="B93" s="4" t="str">
        <f>HYPERLINK("http://www.arcacontinentallindley.pe","www.arcacontinentallindley.pe")</f>
        <v>www.arcacontinentallindley.pe</v>
      </c>
    </row>
    <row r="94" spans="1:2" x14ac:dyDescent="0.3">
      <c r="A94" s="3" t="s">
        <v>94</v>
      </c>
      <c r="B94" s="5" t="str">
        <f>HYPERLINK("http://www.archgrants.org","www.archgrants.org")</f>
        <v>www.archgrants.org</v>
      </c>
    </row>
    <row r="95" spans="1:2" x14ac:dyDescent="0.3">
      <c r="A95" s="2" t="s">
        <v>95</v>
      </c>
      <c r="B95" s="4" t="str">
        <f>HYPERLINK("http://www.archipelagocapitalpartners.com","www.archipelagocapitalpartners.com")</f>
        <v>www.archipelagocapitalpartners.com</v>
      </c>
    </row>
    <row r="96" spans="1:2" x14ac:dyDescent="0.3">
      <c r="A96" s="3" t="s">
        <v>96</v>
      </c>
      <c r="B96" s="5" t="str">
        <f>HYPERLINK("http://www.archipelagonext.vc","www.archipelagonext.vc")</f>
        <v>www.archipelagonext.vc</v>
      </c>
    </row>
    <row r="97" spans="1:2" x14ac:dyDescent="0.3">
      <c r="A97" s="2" t="s">
        <v>97</v>
      </c>
      <c r="B97" s="4" t="str">
        <f>HYPERLINK("http://www.arcpe.com","www.arcpe.com")</f>
        <v>www.arcpe.com</v>
      </c>
    </row>
    <row r="98" spans="1:2" x14ac:dyDescent="0.3">
      <c r="A98" s="3" t="s">
        <v>98</v>
      </c>
      <c r="B98" s="5" t="str">
        <f>HYPERLINK("http://www.argos.nl","www.argos.nl")</f>
        <v>www.argos.nl</v>
      </c>
    </row>
    <row r="99" spans="1:2" x14ac:dyDescent="0.3">
      <c r="A99" s="2" t="s">
        <v>99</v>
      </c>
      <c r="B99" s="4" t="str">
        <f>HYPERLINK("http://www.arkadin.com","www.arkadin.com")</f>
        <v>www.arkadin.com</v>
      </c>
    </row>
    <row r="100" spans="1:2" x14ac:dyDescent="0.3">
      <c r="A100" s="3" t="s">
        <v>100</v>
      </c>
      <c r="B100" s="5" t="str">
        <f>HYPERLINK("http://www.arkangeles.com","www.arkangeles.com")</f>
        <v>www.arkangeles.com</v>
      </c>
    </row>
    <row r="101" spans="1:2" x14ac:dyDescent="0.3">
      <c r="A101" s="2" t="s">
        <v>101</v>
      </c>
      <c r="B101" s="4" t="str">
        <f>HYPERLINK("http://www.arle.com","www.arle.com")</f>
        <v>www.arle.com</v>
      </c>
    </row>
    <row r="102" spans="1:2" x14ac:dyDescent="0.3">
      <c r="A102" s="3" t="s">
        <v>102</v>
      </c>
      <c r="B102" s="5" t="str">
        <f>HYPERLINK("http://arpegio.vc","arpegio.vc")</f>
        <v>arpegio.vc</v>
      </c>
    </row>
    <row r="103" spans="1:2" x14ac:dyDescent="0.3">
      <c r="A103" s="2" t="s">
        <v>103</v>
      </c>
      <c r="B103" s="4" t="str">
        <f>HYPERLINK("http://www.arrive.co","www.arrive.co")</f>
        <v>www.arrive.co</v>
      </c>
    </row>
    <row r="104" spans="1:2" x14ac:dyDescent="0.3">
      <c r="A104" s="3" t="s">
        <v>104</v>
      </c>
      <c r="B104" s="5" t="str">
        <f>HYPERLINK("http://www.arvato.com","www.arvato.com")</f>
        <v>www.arvato.com</v>
      </c>
    </row>
    <row r="105" spans="1:2" x14ac:dyDescent="0.3">
      <c r="A105" s="2" t="s">
        <v>105</v>
      </c>
      <c r="B105" s="4" t="str">
        <f>HYPERLINK("http://www.ashparkcapital.com","www.ashparkcapital.com")</f>
        <v>www.ashparkcapital.com</v>
      </c>
    </row>
    <row r="106" spans="1:2" x14ac:dyDescent="0.3">
      <c r="A106" s="2" t="s">
        <v>106</v>
      </c>
      <c r="B106" s="4" t="str">
        <f>HYPERLINK("http://www.aeienergy.com","www.aeienergy.com")</f>
        <v>www.aeienergy.com</v>
      </c>
    </row>
    <row r="107" spans="1:2" x14ac:dyDescent="0.3">
      <c r="A107" s="3" t="s">
        <v>107</v>
      </c>
      <c r="B107" s="5" t="str">
        <f>HYPERLINK("http://www.asiabroadbandinc.com","www.asiabroadbandinc.com")</f>
        <v>www.asiabroadbandinc.com</v>
      </c>
    </row>
    <row r="108" spans="1:2" x14ac:dyDescent="0.3">
      <c r="A108" s="3" t="s">
        <v>108</v>
      </c>
      <c r="B108" s="5" t="str">
        <f>HYPERLINK("http://www.asp.group","www.asp.group")</f>
        <v>www.asp.group</v>
      </c>
    </row>
    <row r="109" spans="1:2" x14ac:dyDescent="0.3">
      <c r="A109" s="2" t="s">
        <v>109</v>
      </c>
      <c r="B109" s="4" t="str">
        <f>HYPERLINK("http://www.aspiracap.com","www.aspiracap.com")</f>
        <v>www.aspiracap.com</v>
      </c>
    </row>
    <row r="110" spans="1:2" x14ac:dyDescent="0.3">
      <c r="A110" s="3" t="s">
        <v>110</v>
      </c>
      <c r="B110" s="5" t="str">
        <f>HYPERLINK("http://www.insurtechcolombia.com","www.insurtechcolombia.com")</f>
        <v>www.insurtechcolombia.com</v>
      </c>
    </row>
    <row r="111" spans="1:2" x14ac:dyDescent="0.3">
      <c r="A111" s="2" t="s">
        <v>111</v>
      </c>
      <c r="B111" s="4" t="str">
        <f>HYPERLINK("http://www.astara.com","www.astara.com")</f>
        <v>www.astara.com</v>
      </c>
    </row>
    <row r="112" spans="1:2" x14ac:dyDescent="0.3">
      <c r="A112" s="3" t="s">
        <v>112</v>
      </c>
      <c r="B112" s="5" t="str">
        <f>HYPERLINK("http://www.astralabs.com","www.astralabs.com")</f>
        <v>www.astralabs.com</v>
      </c>
    </row>
    <row r="113" spans="1:2" x14ac:dyDescent="0.3">
      <c r="A113" s="2" t="s">
        <v>113</v>
      </c>
      <c r="B113" s="4" t="str">
        <f>HYPERLINK("http://www.athos-cap.com","www.athos-cap.com")</f>
        <v>www.athos-cap.com</v>
      </c>
    </row>
    <row r="114" spans="1:2" x14ac:dyDescent="0.3">
      <c r="A114" s="3" t="s">
        <v>114</v>
      </c>
      <c r="B114" s="5" t="str">
        <f>HYPERLINK("http://www.aticomining.com","www.aticomining.com")</f>
        <v>www.aticomining.com</v>
      </c>
    </row>
    <row r="115" spans="1:2" x14ac:dyDescent="0.3">
      <c r="A115" s="2" t="s">
        <v>115</v>
      </c>
      <c r="B115" s="4" t="str">
        <f>HYPERLINK("http://www.atkinsrealis.com","www.atkinsrealis.com")</f>
        <v>www.atkinsrealis.com</v>
      </c>
    </row>
    <row r="116" spans="1:2" x14ac:dyDescent="0.3">
      <c r="A116" s="3" t="s">
        <v>116</v>
      </c>
      <c r="B116" s="5" t="str">
        <f>HYPERLINK("http://www.atlantica.com","www.atlantica.com")</f>
        <v>www.atlantica.com</v>
      </c>
    </row>
    <row r="117" spans="1:2" x14ac:dyDescent="0.3">
      <c r="A117" s="2" t="s">
        <v>117</v>
      </c>
      <c r="B117" s="4" t="str">
        <f>HYPERLINK("http://www.atlascapitalprivateequity.es","www.atlascapitalprivateequity.es")</f>
        <v>www.atlascapitalprivateequity.es</v>
      </c>
    </row>
    <row r="118" spans="1:2" x14ac:dyDescent="0.3">
      <c r="A118" s="3" t="s">
        <v>118</v>
      </c>
      <c r="B118" s="5" t="str">
        <f>HYPERLINK("http://www.atlascopco.com.co","www.atlascopco.com.co")</f>
        <v>www.atlascopco.com.co</v>
      </c>
    </row>
    <row r="119" spans="1:2" x14ac:dyDescent="0.3">
      <c r="A119" s="2" t="s">
        <v>119</v>
      </c>
      <c r="B119" s="4" t="str">
        <f>HYPERLINK("http://atp-pep.com","atp-pep.com")</f>
        <v>atp-pep.com</v>
      </c>
    </row>
    <row r="120" spans="1:2" x14ac:dyDescent="0.3">
      <c r="A120" s="3" t="s">
        <v>120</v>
      </c>
      <c r="B120" s="5" t="str">
        <f>HYPERLINK("http://www.atrevia.com","www.atrevia.com")</f>
        <v>www.atrevia.com</v>
      </c>
    </row>
    <row r="121" spans="1:2" x14ac:dyDescent="0.3">
      <c r="A121" s="2" t="s">
        <v>121</v>
      </c>
      <c r="B121" s="4" t="str">
        <f>HYPERLINK("http://atreyu.global","atreyu.global")</f>
        <v>atreyu.global</v>
      </c>
    </row>
    <row r="122" spans="1:2" x14ac:dyDescent="0.3">
      <c r="A122" s="3" t="s">
        <v>122</v>
      </c>
      <c r="B122" s="5" t="str">
        <f>HYPERLINK("http://www.atwater-capital.com","www.atwater-capital.com")</f>
        <v>www.atwater-capital.com</v>
      </c>
    </row>
    <row r="123" spans="1:2" x14ac:dyDescent="0.3">
      <c r="A123" s="2" t="s">
        <v>123</v>
      </c>
      <c r="B123" s="4" t="str">
        <f>HYPERLINK("http://www.aurumventurepartners.vc","www.aurumventurepartners.vc")</f>
        <v>www.aurumventurepartners.vc</v>
      </c>
    </row>
    <row r="124" spans="1:2" x14ac:dyDescent="0.3">
      <c r="A124" s="2" t="s">
        <v>124</v>
      </c>
      <c r="B124" s="4" t="str">
        <f>HYPERLINK("http://www.ausum.vc","www.ausum.vc")</f>
        <v>www.ausum.vc</v>
      </c>
    </row>
    <row r="125" spans="1:2" x14ac:dyDescent="0.3">
      <c r="A125" s="3" t="s">
        <v>125</v>
      </c>
      <c r="B125" s="5" t="str">
        <f>HYPERLINK("http://www.authid.ai","www.authid.ai")</f>
        <v>www.authid.ai</v>
      </c>
    </row>
    <row r="126" spans="1:2" x14ac:dyDescent="0.3">
      <c r="A126" s="2" t="s">
        <v>126</v>
      </c>
      <c r="B126" s="4" t="str">
        <f>HYPERLINK("http://www.automayor.com.co","www.automayor.com.co")</f>
        <v>www.automayor.com.co</v>
      </c>
    </row>
    <row r="127" spans="1:2" x14ac:dyDescent="0.3">
      <c r="A127" s="3" t="s">
        <v>127</v>
      </c>
      <c r="B127" s="5" t="str">
        <f>HYPERLINK("http://auvert.ca","auvert.ca")</f>
        <v>auvert.ca</v>
      </c>
    </row>
    <row r="128" spans="1:2" x14ac:dyDescent="0.3">
      <c r="A128" s="2" t="s">
        <v>128</v>
      </c>
      <c r="B128" s="4" t="str">
        <f>HYPERLINK("http://www.auvik.com","www.auvik.com")</f>
        <v>www.auvik.com</v>
      </c>
    </row>
    <row r="129" spans="1:2" x14ac:dyDescent="0.3">
      <c r="A129" s="3" t="s">
        <v>129</v>
      </c>
      <c r="B129" s="5" t="str">
        <f>HYPERLINK("http://www.auxicoresources.com","www.auxicoresources.com")</f>
        <v>www.auxicoresources.com</v>
      </c>
    </row>
    <row r="130" spans="1:2" x14ac:dyDescent="0.3">
      <c r="A130" s="2" t="s">
        <v>130</v>
      </c>
      <c r="B130" s="4" t="str">
        <f>HYPERLINK("http://www.avantechvc.com","www.avantechvc.com")</f>
        <v>www.avantechvc.com</v>
      </c>
    </row>
    <row r="131" spans="1:2" x14ac:dyDescent="0.3">
      <c r="A131" s="3" t="s">
        <v>131</v>
      </c>
      <c r="B131" s="5" t="str">
        <f>HYPERLINK("http://www.aventrock.ca","www.aventrock.ca")</f>
        <v>www.aventrock.ca</v>
      </c>
    </row>
    <row r="132" spans="1:2" x14ac:dyDescent="0.3">
      <c r="A132" s="2" t="s">
        <v>132</v>
      </c>
      <c r="B132" s="4" t="str">
        <f>HYPERLINK("http://www.avistahealthcare.com","www.avistahealthcare.com")</f>
        <v>www.avistahealthcare.com</v>
      </c>
    </row>
    <row r="133" spans="1:2" x14ac:dyDescent="0.3">
      <c r="A133" s="3" t="s">
        <v>133</v>
      </c>
      <c r="B133" s="5" t="str">
        <f>HYPERLINK("http://www.avvale.com","www.avvale.com")</f>
        <v>www.avvale.com</v>
      </c>
    </row>
    <row r="134" spans="1:2" x14ac:dyDescent="0.3">
      <c r="A134" s="2" t="s">
        <v>134</v>
      </c>
      <c r="B134" s="4" t="str">
        <f>HYPERLINK("http://www.axa.com","www.axa.com")</f>
        <v>www.axa.com</v>
      </c>
    </row>
    <row r="135" spans="1:2" x14ac:dyDescent="0.3">
      <c r="A135" s="2" t="s">
        <v>135</v>
      </c>
      <c r="B135" s="4" t="str">
        <f>HYPERLINK("http://www.axon-pharma.com","www.axon-pharma.com")</f>
        <v>www.axon-pharma.com</v>
      </c>
    </row>
    <row r="136" spans="1:2" x14ac:dyDescent="0.3">
      <c r="A136" s="3" t="s">
        <v>136</v>
      </c>
      <c r="B136" s="5" t="str">
        <f>HYPERLINK("http://www.bbraun.co.uk","www.bbraun.co.uk")</f>
        <v>www.bbraun.co.uk</v>
      </c>
    </row>
    <row r="137" spans="1:2" x14ac:dyDescent="0.3">
      <c r="A137" s="3" t="s">
        <v>137</v>
      </c>
      <c r="B137" s="5" t="str">
        <f>HYPERLINK("http://www.baichuan-ai.com","www.baichuan-ai.com")</f>
        <v>www.baichuan-ai.com</v>
      </c>
    </row>
    <row r="138" spans="1:2" x14ac:dyDescent="0.3">
      <c r="A138" s="3" t="s">
        <v>138</v>
      </c>
      <c r="B138" s="5" t="str">
        <f>HYPERLINK("http://www.bbva.com","www.bbva.com")</f>
        <v>www.bbva.com</v>
      </c>
    </row>
    <row r="139" spans="1:2" x14ac:dyDescent="0.3">
      <c r="A139" s="2" t="s">
        <v>139</v>
      </c>
      <c r="B139" s="4" t="str">
        <f>HYPERLINK("http://www.bbva.com.co","www.bbva.com.co")</f>
        <v>www.bbva.com.co</v>
      </c>
    </row>
    <row r="140" spans="1:2" x14ac:dyDescent="0.3">
      <c r="A140" s="3" t="s">
        <v>140</v>
      </c>
      <c r="B140" s="5" t="str">
        <f>HYPERLINK("http://www.bancopopular.com.co","www.bancopopular.com.co")</f>
        <v>www.bancopopular.com.co</v>
      </c>
    </row>
    <row r="141" spans="1:2" x14ac:dyDescent="0.3">
      <c r="A141" s="2" t="s">
        <v>141</v>
      </c>
      <c r="B141" s="4" t="str">
        <f>HYPERLINK("http://www.grupbancsabadell.com","www.grupbancsabadell.com")</f>
        <v>www.grupbancsabadell.com</v>
      </c>
    </row>
    <row r="142" spans="1:2" x14ac:dyDescent="0.3">
      <c r="A142" s="3" t="s">
        <v>142</v>
      </c>
      <c r="B142" s="5" t="str">
        <f>HYPERLINK("http://www.santander.com","www.santander.com")</f>
        <v>www.santander.com</v>
      </c>
    </row>
    <row r="143" spans="1:2" x14ac:dyDescent="0.3">
      <c r="A143" s="2" t="s">
        <v>143</v>
      </c>
      <c r="B143" s="4" t="str">
        <f>HYPERLINK("http://www.bancoldex.com","www.bancoldex.com")</f>
        <v>www.bancoldex.com</v>
      </c>
    </row>
    <row r="144" spans="1:2" x14ac:dyDescent="0.3">
      <c r="A144" s="3" t="s">
        <v>144</v>
      </c>
      <c r="B144" s="5" t="str">
        <f>HYPERLINK("http://www.banorte.com","www.banorte.com")</f>
        <v>www.banorte.com</v>
      </c>
    </row>
    <row r="145" spans="1:2" x14ac:dyDescent="0.3">
      <c r="A145" s="3" t="s">
        <v>145</v>
      </c>
      <c r="B145" s="5" t="str">
        <f>HYPERLINK("http://aspr.hhs.gov","aspr.hhs.gov")</f>
        <v>aspr.hhs.gov</v>
      </c>
    </row>
    <row r="146" spans="1:2" x14ac:dyDescent="0.3">
      <c r="A146" s="3" t="s">
        <v>146</v>
      </c>
      <c r="B146" s="5" t="str">
        <f>HYPERLINK("http://www.basepar.com","www.basepar.com")</f>
        <v>www.basepar.com</v>
      </c>
    </row>
    <row r="147" spans="1:2" x14ac:dyDescent="0.3">
      <c r="A147" s="2" t="s">
        <v>147</v>
      </c>
      <c r="B147" s="4" t="str">
        <f>HYPERLINK("http://www.bavaria.com","www.bavaria.com")</f>
        <v>www.bavaria.com</v>
      </c>
    </row>
    <row r="148" spans="1:2" x14ac:dyDescent="0.3">
      <c r="A148" s="3" t="s">
        <v>148</v>
      </c>
      <c r="B148" s="5" t="str">
        <f>HYPERLINK("http://www.bayboston.com","www.bayboston.com")</f>
        <v>www.bayboston.com</v>
      </c>
    </row>
    <row r="149" spans="1:2" x14ac:dyDescent="0.3">
      <c r="A149" s="2" t="s">
        <v>149</v>
      </c>
      <c r="B149" s="4" t="str">
        <f>HYPERLINK("http://www.baytongroup.com","www.baytongroup.com")</f>
        <v>www.baytongroup.com</v>
      </c>
    </row>
    <row r="150" spans="1:2" x14ac:dyDescent="0.3">
      <c r="A150" s="3" t="s">
        <v>150</v>
      </c>
      <c r="B150" s="5" t="str">
        <f>HYPERLINK("http://www.bbvaspark.com","www.bbvaspark.com")</f>
        <v>www.bbvaspark.com</v>
      </c>
    </row>
    <row r="151" spans="1:2" x14ac:dyDescent="0.3">
      <c r="A151" s="2" t="s">
        <v>151</v>
      </c>
      <c r="B151" s="4" t="str">
        <f>HYPERLINK("http://www.bce.ca","www.bce.ca")</f>
        <v>www.bce.ca</v>
      </c>
    </row>
    <row r="152" spans="1:2" x14ac:dyDescent="0.3">
      <c r="A152" s="3" t="s">
        <v>152</v>
      </c>
      <c r="B152" s="5" t="str">
        <f>HYPERLINK("http://www.bcombinator.com","www.bcombinator.com")</f>
        <v>www.bcombinator.com</v>
      </c>
    </row>
    <row r="153" spans="1:2" x14ac:dyDescent="0.3">
      <c r="A153" s="2" t="s">
        <v>153</v>
      </c>
      <c r="B153" s="4" t="str">
        <f>HYPERLINK("http://www.bdtcapital.com","www.bdtcapital.com")</f>
        <v>www.bdtcapital.com</v>
      </c>
    </row>
    <row r="154" spans="1:2" x14ac:dyDescent="0.3">
      <c r="A154" s="2" t="s">
        <v>154</v>
      </c>
      <c r="B154" s="4" t="str">
        <f>HYPERLINK("http://www.bedrockcap.com","www.bedrockcap.com")</f>
        <v>www.bedrockcap.com</v>
      </c>
    </row>
    <row r="155" spans="1:2" x14ac:dyDescent="0.3">
      <c r="A155" s="3" t="s">
        <v>155</v>
      </c>
      <c r="B155" s="5" t="str">
        <f>HYPERLINK("http://www.beleave.com","www.beleave.com")</f>
        <v>www.beleave.com</v>
      </c>
    </row>
    <row r="156" spans="1:2" x14ac:dyDescent="0.3">
      <c r="A156" s="2" t="s">
        <v>156</v>
      </c>
      <c r="B156" s="4" t="str">
        <f>HYPERLINK("http://www.benchmarkplc.com","www.benchmarkplc.com")</f>
        <v>www.benchmarkplc.com</v>
      </c>
    </row>
    <row r="157" spans="1:2" x14ac:dyDescent="0.3">
      <c r="A157" s="2" t="s">
        <v>157</v>
      </c>
      <c r="B157" s="4" t="str">
        <f>HYPERLINK("http://www.benchstrengthvc.com","www.benchstrengthvc.com")</f>
        <v>www.benchstrengthvc.com</v>
      </c>
    </row>
    <row r="158" spans="1:2" x14ac:dyDescent="0.3">
      <c r="A158" s="3" t="s">
        <v>158</v>
      </c>
      <c r="B158" s="5" t="str">
        <f>HYPERLINK("http://www.berchcapital.com","www.berchcapital.com")</f>
        <v>www.berchcapital.com</v>
      </c>
    </row>
    <row r="159" spans="1:2" x14ac:dyDescent="0.3">
      <c r="A159" s="2" t="s">
        <v>159</v>
      </c>
      <c r="B159" s="4" t="str">
        <f>HYPERLINK("http://www.beresfordventures.com","www.beresfordventures.com")</f>
        <v>www.beresfordventures.com</v>
      </c>
    </row>
    <row r="160" spans="1:2" x14ac:dyDescent="0.3">
      <c r="A160" s="3" t="s">
        <v>160</v>
      </c>
      <c r="B160" s="5" t="str">
        <f>HYPERLINK("http://www.berryseven.com","www.berryseven.com")</f>
        <v>www.berryseven.com</v>
      </c>
    </row>
    <row r="161" spans="1:2" x14ac:dyDescent="0.3">
      <c r="A161" s="2" t="s">
        <v>161</v>
      </c>
      <c r="B161" s="4" t="str">
        <f>HYPERLINK("http://www.bethia.cl","www.bethia.cl")</f>
        <v>www.bethia.cl</v>
      </c>
    </row>
    <row r="162" spans="1:2" x14ac:dyDescent="0.3">
      <c r="A162" s="3" t="s">
        <v>162</v>
      </c>
      <c r="B162" s="5" t="str">
        <f>HYPERLINK("http://www.betssonab.com","www.betssonab.com")</f>
        <v>www.betssonab.com</v>
      </c>
    </row>
    <row r="163" spans="1:2" x14ac:dyDescent="0.3">
      <c r="A163" s="2" t="s">
        <v>163</v>
      </c>
      <c r="B163" s="4" t="str">
        <f>HYPERLINK("http://www.bezosexpeditions.com","www.bezosexpeditions.com")</f>
        <v>www.bezosexpeditions.com</v>
      </c>
    </row>
    <row r="164" spans="1:2" x14ac:dyDescent="0.3">
      <c r="A164" s="3" t="s">
        <v>164</v>
      </c>
      <c r="B164" s="5" t="str">
        <f>HYPERLINK("http://www.bghtechpartner.com","www.bghtechpartner.com")</f>
        <v>www.bghtechpartner.com</v>
      </c>
    </row>
    <row r="165" spans="1:2" x14ac:dyDescent="0.3">
      <c r="A165" s="2" t="s">
        <v>165</v>
      </c>
      <c r="B165" s="4" t="str">
        <f>HYPERLINK("http://www.bhp.com","www.bhp.com")</f>
        <v>www.bhp.com</v>
      </c>
    </row>
    <row r="166" spans="1:2" x14ac:dyDescent="0.3">
      <c r="A166" s="3" t="s">
        <v>166</v>
      </c>
      <c r="B166" s="5" t="str">
        <f>HYPERLINK("http://www.bigbrain.holdings","www.bigbrain.holdings")</f>
        <v>www.bigbrain.holdings</v>
      </c>
    </row>
    <row r="167" spans="1:2" x14ac:dyDescent="0.3">
      <c r="A167" s="2" t="s">
        <v>167</v>
      </c>
      <c r="B167" s="4" t="str">
        <f>HYPERLINK("http://www.biocannabix.com","www.biocannabix.com")</f>
        <v>www.biocannabix.com</v>
      </c>
    </row>
    <row r="168" spans="1:2" x14ac:dyDescent="0.3">
      <c r="A168" s="3" t="s">
        <v>168</v>
      </c>
      <c r="B168" s="5" t="str">
        <f>HYPERLINK("http://www.biosgrp.com","www.biosgrp.com")</f>
        <v>www.biosgrp.com</v>
      </c>
    </row>
    <row r="169" spans="1:2" x14ac:dyDescent="0.3">
      <c r="A169" s="2" t="s">
        <v>169</v>
      </c>
      <c r="B169" s="4" t="str">
        <f>HYPERLINK("http://www.blackboard.com","www.blackboard.com")</f>
        <v>www.blackboard.com</v>
      </c>
    </row>
    <row r="170" spans="1:2" x14ac:dyDescent="0.3">
      <c r="A170" s="2" t="s">
        <v>170</v>
      </c>
      <c r="B170" s="4" t="str">
        <f>HYPERLINK("http://www.blindsquirrelentertainment.com","www.blindsquirrelentertainment.com")</f>
        <v>www.blindsquirrelentertainment.com</v>
      </c>
    </row>
    <row r="171" spans="1:2" x14ac:dyDescent="0.3">
      <c r="A171" s="3" t="s">
        <v>171</v>
      </c>
      <c r="B171" s="5" t="str">
        <f>HYPERLINK("http://www.blockchange.vc","www.blockchange.vc")</f>
        <v>www.blockchange.vc</v>
      </c>
    </row>
    <row r="172" spans="1:2" x14ac:dyDescent="0.3">
      <c r="A172" s="2" t="s">
        <v>172</v>
      </c>
      <c r="B172" s="4" t="str">
        <f>HYPERLINK("http://www.bloomspal.com","www.bloomspal.com")</f>
        <v>www.bloomspal.com</v>
      </c>
    </row>
    <row r="173" spans="1:2" x14ac:dyDescent="0.3">
      <c r="A173" s="3" t="s">
        <v>173</v>
      </c>
      <c r="B173" s="5" t="str">
        <f>HYPERLINK("http://www.bluebanyanequity.com","www.bluebanyanequity.com")</f>
        <v>www.bluebanyanequity.com</v>
      </c>
    </row>
    <row r="174" spans="1:2" x14ac:dyDescent="0.3">
      <c r="A174" s="2" t="s">
        <v>174</v>
      </c>
      <c r="B174" s="4" t="str">
        <f>HYPERLINK("http://www.bluemarblemicro.com","www.bluemarblemicro.com")</f>
        <v>www.bluemarblemicro.com</v>
      </c>
    </row>
    <row r="175" spans="1:2" x14ac:dyDescent="0.3">
      <c r="A175" s="3" t="s">
        <v>175</v>
      </c>
      <c r="B175" s="5" t="str">
        <f>HYPERLINK("http://www.bluegracebolivia.com","www.bluegracebolivia.com")</f>
        <v>www.bluegracebolivia.com</v>
      </c>
    </row>
    <row r="176" spans="1:2" x14ac:dyDescent="0.3">
      <c r="A176" s="2" t="s">
        <v>176</v>
      </c>
      <c r="B176" s="4" t="str">
        <f>HYPERLINK("http://www.blueterra-capital.com","www.blueterra-capital.com")</f>
        <v>www.blueterra-capital.com</v>
      </c>
    </row>
    <row r="177" spans="1:2" x14ac:dyDescent="0.3">
      <c r="A177" s="3" t="s">
        <v>177</v>
      </c>
      <c r="B177" s="5" t="str">
        <f>HYPERLINK("http://www.bny.com","www.bny.com")</f>
        <v>www.bny.com</v>
      </c>
    </row>
    <row r="178" spans="1:2" x14ac:dyDescent="0.3">
      <c r="A178" s="2" t="s">
        <v>178</v>
      </c>
      <c r="B178" s="4" t="str">
        <f>HYPERLINK("http://www.boabmetals.com","www.boabmetals.com")</f>
        <v>www.boabmetals.com</v>
      </c>
    </row>
    <row r="179" spans="1:2" x14ac:dyDescent="0.3">
      <c r="A179" s="2" t="s">
        <v>179</v>
      </c>
      <c r="B179" s="4" t="str">
        <f>HYPERLINK("http://www.bold.co","www.bold.co")</f>
        <v>www.bold.co</v>
      </c>
    </row>
    <row r="180" spans="1:2" x14ac:dyDescent="0.3">
      <c r="A180" s="3" t="s">
        <v>180</v>
      </c>
      <c r="B180" s="5" t="str">
        <f>HYPERLINK("http://www.bvc.com.co","www.bvc.com.co")</f>
        <v>www.bvc.com.co</v>
      </c>
    </row>
    <row r="181" spans="1:2" x14ac:dyDescent="0.3">
      <c r="A181" s="2" t="s">
        <v>181</v>
      </c>
      <c r="B181" s="4" t="str">
        <f>HYPERLINK("http://www.boomstartup.com","www.boomstartup.com")</f>
        <v>www.boomstartup.com</v>
      </c>
    </row>
    <row r="182" spans="1:2" x14ac:dyDescent="0.3">
      <c r="A182" s="3" t="s">
        <v>182</v>
      </c>
      <c r="B182" s="5" t="str">
        <f>HYPERLINK("http://www.boostlab.com.br","www.boostlab.com.br")</f>
        <v>www.boostlab.com.br</v>
      </c>
    </row>
    <row r="183" spans="1:2" x14ac:dyDescent="0.3">
      <c r="A183" s="2" t="s">
        <v>183</v>
      </c>
      <c r="B183" s="4" t="str">
        <f>HYPERLINK("http://www.borderlesscapital.io","www.borderlesscapital.io")</f>
        <v>www.borderlesscapital.io</v>
      </c>
    </row>
    <row r="184" spans="1:2" x14ac:dyDescent="0.3">
      <c r="A184" s="3" t="s">
        <v>184</v>
      </c>
      <c r="B184" s="5" t="str">
        <f>HYPERLINK("http://www.prizemining.com","www.prizemining.com")</f>
        <v>www.prizemining.com</v>
      </c>
    </row>
    <row r="185" spans="1:2" x14ac:dyDescent="0.3">
      <c r="A185" s="2" t="s">
        <v>185</v>
      </c>
      <c r="B185" s="4" t="str">
        <f>HYPERLINK("http://www.bpifrance.fr","www.bpifrance.fr")</f>
        <v>www.bpifrance.fr</v>
      </c>
    </row>
    <row r="186" spans="1:2" x14ac:dyDescent="0.3">
      <c r="A186" s="3" t="s">
        <v>186</v>
      </c>
      <c r="B186" s="5" t="str">
        <f>HYPERLINK("http://www.bracketcapital.com","www.bracketcapital.com")</f>
        <v>www.bracketcapital.com</v>
      </c>
    </row>
    <row r="187" spans="1:2" x14ac:dyDescent="0.3">
      <c r="A187" s="2" t="s">
        <v>187</v>
      </c>
      <c r="B187" s="4" t="str">
        <f>HYPERLINK("http://www.brainchile.cl","www.brainchile.cl")</f>
        <v>www.brainchile.cl</v>
      </c>
    </row>
    <row r="188" spans="1:2" x14ac:dyDescent="0.3">
      <c r="A188" s="3" t="s">
        <v>188</v>
      </c>
      <c r="B188" s="5" t="str">
        <f>HYPERLINK("http://www.brassring.vc","www.brassring.vc")</f>
        <v>www.brassring.vc</v>
      </c>
    </row>
    <row r="189" spans="1:2" x14ac:dyDescent="0.3">
      <c r="A189" s="2" t="s">
        <v>189</v>
      </c>
      <c r="B189" s="4" t="str">
        <f>HYPERLINK("http://corporate.brenntag.com","corporate.brenntag.com")</f>
        <v>corporate.brenntag.com</v>
      </c>
    </row>
    <row r="190" spans="1:2" x14ac:dyDescent="0.3">
      <c r="A190" s="2" t="s">
        <v>190</v>
      </c>
      <c r="B190" s="4" t="str">
        <f>HYPERLINK("http://www.bricapital.com","www.bricapital.com")</f>
        <v>www.bricapital.com</v>
      </c>
    </row>
    <row r="191" spans="1:2" x14ac:dyDescent="0.3">
      <c r="A191" s="3" t="s">
        <v>191</v>
      </c>
      <c r="B191" s="5" t="str">
        <f>HYPERLINK("http://www.brickmortar.vc","www.brickmortar.vc")</f>
        <v>www.brickmortar.vc</v>
      </c>
    </row>
    <row r="192" spans="1:2" x14ac:dyDescent="0.3">
      <c r="A192" s="2" t="s">
        <v>192</v>
      </c>
      <c r="B192" s="4" t="str">
        <f>HYPERLINK("http://www.bricksave.com","www.bricksave.com")</f>
        <v>www.bricksave.com</v>
      </c>
    </row>
    <row r="193" spans="1:2" x14ac:dyDescent="0.3">
      <c r="A193" s="3" t="s">
        <v>193</v>
      </c>
      <c r="B193" s="5" t="str">
        <f>HYPERLINK("http://www.bridge.academy","www.bridge.academy")</f>
        <v>www.bridge.academy</v>
      </c>
    </row>
    <row r="194" spans="1:2" x14ac:dyDescent="0.3">
      <c r="A194" s="2" t="s">
        <v>194</v>
      </c>
      <c r="B194" s="4" t="str">
        <f>HYPERLINK("http://www.bridgesforenterprise.com","www.bridgesforenterprise.com")</f>
        <v>www.bridgesforenterprise.com</v>
      </c>
    </row>
    <row r="195" spans="1:2" x14ac:dyDescent="0.3">
      <c r="A195" s="3" t="s">
        <v>195</v>
      </c>
      <c r="B195" s="5" t="str">
        <f>HYPERLINK("http://www.bridgesfundmanagement.com","www.bridgesfundmanagement.com")</f>
        <v>www.bridgesfundmanagement.com</v>
      </c>
    </row>
    <row r="196" spans="1:2" x14ac:dyDescent="0.3">
      <c r="A196" s="2" t="s">
        <v>196</v>
      </c>
      <c r="B196" s="4" t="str">
        <f>HYPERLINK("http://www.brinsa.com.co","www.brinsa.com.co")</f>
        <v>www.brinsa.com.co</v>
      </c>
    </row>
    <row r="197" spans="1:2" x14ac:dyDescent="0.3">
      <c r="A197" s="3" t="s">
        <v>197</v>
      </c>
      <c r="B197" s="5" t="str">
        <f>HYPERLINK("http://www.bat.com","www.bat.com")</f>
        <v>www.bat.com</v>
      </c>
    </row>
    <row r="198" spans="1:2" x14ac:dyDescent="0.3">
      <c r="A198" s="2" t="s">
        <v>198</v>
      </c>
      <c r="B198" s="4" t="str">
        <f>HYPERLINK("http://www.brixtonventures.com","www.brixtonventures.com")</f>
        <v>www.brixtonventures.com</v>
      </c>
    </row>
    <row r="199" spans="1:2" x14ac:dyDescent="0.3">
      <c r="A199" s="3" t="s">
        <v>199</v>
      </c>
      <c r="B199" s="5" t="str">
        <f>HYPERLINK("http://www.broadhaven.com","www.broadhaven.com")</f>
        <v>www.broadhaven.com</v>
      </c>
    </row>
    <row r="200" spans="1:2" x14ac:dyDescent="0.3">
      <c r="A200" s="2" t="s">
        <v>200</v>
      </c>
      <c r="B200" s="4" t="str">
        <f>HYPERLINK("http://www.broocknell.com","www.broocknell.com")</f>
        <v>www.broocknell.com</v>
      </c>
    </row>
    <row r="201" spans="1:2" x14ac:dyDescent="0.3">
      <c r="A201" s="3" t="s">
        <v>201</v>
      </c>
      <c r="B201" s="5" t="str">
        <f>HYPERLINK("http://www.broomgroup.com","www.broomgroup.com")</f>
        <v>www.broomgroup.com</v>
      </c>
    </row>
    <row r="202" spans="1:2" x14ac:dyDescent="0.3">
      <c r="A202" s="3" t="s">
        <v>202</v>
      </c>
      <c r="B202" s="5" t="str">
        <f>HYPERLINK("http://www.brysam.com","www.brysam.com")</f>
        <v>www.brysam.com</v>
      </c>
    </row>
    <row r="203" spans="1:2" x14ac:dyDescent="0.3">
      <c r="A203" s="2" t="s">
        <v>203</v>
      </c>
      <c r="B203" s="4" t="str">
        <f>HYPERLINK("http://www.bsnmedical.com","www.bsnmedical.com")</f>
        <v>www.bsnmedical.com</v>
      </c>
    </row>
    <row r="204" spans="1:2" x14ac:dyDescent="0.3">
      <c r="A204" s="3" t="s">
        <v>204</v>
      </c>
      <c r="B204" s="5" t="str">
        <f>HYPERLINK("http://www.buentrip.vc","www.buentrip.vc")</f>
        <v>www.buentrip.vc</v>
      </c>
    </row>
    <row r="205" spans="1:2" x14ac:dyDescent="0.3">
      <c r="A205" s="2" t="s">
        <v>205</v>
      </c>
      <c r="B205" s="4" t="str">
        <f>HYPERLINK("http://www.bunzl.com","www.bunzl.com")</f>
        <v>www.bunzl.com</v>
      </c>
    </row>
    <row r="206" spans="1:2" x14ac:dyDescent="0.3">
      <c r="A206" s="3" t="s">
        <v>206</v>
      </c>
      <c r="B206" s="5" t="str">
        <f>HYPERLINK("http://www.buranenergy.com","www.buranenergy.com")</f>
        <v>www.buranenergy.com</v>
      </c>
    </row>
    <row r="207" spans="1:2" x14ac:dyDescent="0.3">
      <c r="A207" s="2" t="s">
        <v>207</v>
      </c>
      <c r="B207" s="4" t="str">
        <f>HYPERLINK("http://group.bureauveritas.com","group.bureauveritas.com")</f>
        <v>group.bureauveritas.com</v>
      </c>
    </row>
    <row r="208" spans="1:2" x14ac:dyDescent="0.3">
      <c r="A208" s="3" t="s">
        <v>208</v>
      </c>
      <c r="B208" s="5" t="str">
        <f>HYPERLINK("http://www.buscape.com.br","www.buscape.com.br")</f>
        <v>www.buscape.com.br</v>
      </c>
    </row>
    <row r="209" spans="1:2" x14ac:dyDescent="0.3">
      <c r="A209" s="3" t="s">
        <v>209</v>
      </c>
      <c r="B209" s="5" t="str">
        <f>HYPERLINK("http://www.busqo.com","www.busqo.com")</f>
        <v>www.busqo.com</v>
      </c>
    </row>
    <row r="210" spans="1:2" x14ac:dyDescent="0.3">
      <c r="A210" s="2" t="s">
        <v>210</v>
      </c>
      <c r="B210" s="4" t="str">
        <f>HYPERLINK("http://www.buysse-partners.com","www.buysse-partners.com")</f>
        <v>www.buysse-partners.com</v>
      </c>
    </row>
    <row r="211" spans="1:2" x14ac:dyDescent="0.3">
      <c r="A211" s="3" t="s">
        <v>211</v>
      </c>
      <c r="B211" s="5" t="str">
        <f>HYPERLINK("http://www.bwgventures.com","www.bwgventures.com")</f>
        <v>www.bwgventures.com</v>
      </c>
    </row>
    <row r="212" spans="1:2" x14ac:dyDescent="0.3">
      <c r="A212" s="2" t="s">
        <v>212</v>
      </c>
      <c r="B212" s="4" t="str">
        <f>HYPERLINK("http://www.c3.ventures","www.c3.ventures")</f>
        <v>www.c3.ventures</v>
      </c>
    </row>
    <row r="213" spans="1:2" x14ac:dyDescent="0.3">
      <c r="A213" s="3" t="s">
        <v>213</v>
      </c>
      <c r="B213" s="5" t="str">
        <f>HYPERLINK("http://www.caceis.com","www.caceis.com")</f>
        <v>www.caceis.com</v>
      </c>
    </row>
    <row r="214" spans="1:2" x14ac:dyDescent="0.3">
      <c r="A214" s="2" t="s">
        <v>214</v>
      </c>
      <c r="B214" s="4" t="str">
        <f>HYPERLINK("http://www.cae.com","www.cae.com")</f>
        <v>www.cae.com</v>
      </c>
    </row>
    <row r="215" spans="1:2" x14ac:dyDescent="0.3">
      <c r="A215" s="2" t="s">
        <v>215</v>
      </c>
      <c r="B215" s="4" t="str">
        <f>HYPERLINK("http://www.calmvc.com","www.calmvc.com")</f>
        <v>www.calmvc.com</v>
      </c>
    </row>
    <row r="216" spans="1:2" x14ac:dyDescent="0.3">
      <c r="A216" s="3" t="s">
        <v>216</v>
      </c>
      <c r="B216" s="5" t="str">
        <f>HYPERLINK("http://www.calmaretherapeutics.com","www.calmaretherapeutics.com")</f>
        <v>www.calmaretherapeutics.com</v>
      </c>
    </row>
    <row r="217" spans="1:2" x14ac:dyDescent="0.3">
      <c r="A217" s="2" t="s">
        <v>217</v>
      </c>
      <c r="B217" s="4" t="str">
        <f>HYPERLINK("http://www.cambiumgrove.com","www.cambiumgrove.com")</f>
        <v>www.cambiumgrove.com</v>
      </c>
    </row>
    <row r="218" spans="1:2" x14ac:dyDescent="0.3">
      <c r="A218" s="3" t="s">
        <v>218</v>
      </c>
      <c r="B218" s="5" t="str">
        <f>HYPERLINK("http://www.cambridgecapital.com","www.cambridgecapital.com")</f>
        <v>www.cambridgecapital.com</v>
      </c>
    </row>
    <row r="219" spans="1:2" x14ac:dyDescent="0.3">
      <c r="A219" s="2" t="s">
        <v>219</v>
      </c>
      <c r="B219" s="4" t="str">
        <f>HYPERLINK("http://www.cic.com","www.cic.com")</f>
        <v>www.cic.com</v>
      </c>
    </row>
    <row r="220" spans="1:2" x14ac:dyDescent="0.3">
      <c r="A220" s="2" t="s">
        <v>220</v>
      </c>
      <c r="B220" s="4" t="str">
        <f>HYPERLINK("http://www.canaan.com","www.canaan.com")</f>
        <v>www.canaan.com</v>
      </c>
    </row>
    <row r="221" spans="1:2" x14ac:dyDescent="0.3">
      <c r="A221" s="3" t="s">
        <v>221</v>
      </c>
      <c r="B221" s="5" t="str">
        <f>HYPERLINK("http://www.cannaverdepharma.com","www.cannaverdepharma.com")</f>
        <v>www.cannaverdepharma.com</v>
      </c>
    </row>
    <row r="222" spans="1:2" x14ac:dyDescent="0.3">
      <c r="A222" s="3" t="s">
        <v>222</v>
      </c>
      <c r="B222" s="5" t="str">
        <f>HYPERLINK("http://www.capitalfactory.com","www.capitalfactory.com")</f>
        <v>www.capitalfactory.com</v>
      </c>
    </row>
    <row r="223" spans="1:2" x14ac:dyDescent="0.3">
      <c r="A223" s="2" t="s">
        <v>223</v>
      </c>
      <c r="B223" s="4" t="str">
        <f>HYPERLINK("http://capitalmc.org","capitalmc.org")</f>
        <v>capitalmc.org</v>
      </c>
    </row>
    <row r="224" spans="1:2" x14ac:dyDescent="0.3">
      <c r="A224" s="3" t="s">
        <v>224</v>
      </c>
      <c r="B224" s="5" t="str">
        <f>HYPERLINK("http://www.capitalsafety.com","www.capitalsafety.com")</f>
        <v>www.capitalsafety.com</v>
      </c>
    </row>
    <row r="225" spans="1:2" x14ac:dyDescent="0.3">
      <c r="A225" s="3" t="s">
        <v>225</v>
      </c>
      <c r="B225" s="5" t="str">
        <f>HYPERLINK("http://www.capria.vc","www.capria.vc")</f>
        <v>www.capria.vc</v>
      </c>
    </row>
    <row r="226" spans="1:2" x14ac:dyDescent="0.3">
      <c r="A226" s="2" t="s">
        <v>226</v>
      </c>
      <c r="B226" s="4" t="str">
        <f>HYPERLINK("http://www.carabela.vc","www.carabela.vc")</f>
        <v>www.carabela.vc</v>
      </c>
    </row>
    <row r="227" spans="1:2" x14ac:dyDescent="0.3">
      <c r="A227" s="3" t="s">
        <v>227</v>
      </c>
      <c r="B227" s="5" t="str">
        <f>HYPERLINK("http://caracol.com.co","caracol.com.co")</f>
        <v>caracol.com.co</v>
      </c>
    </row>
    <row r="228" spans="1:2" x14ac:dyDescent="0.3">
      <c r="A228" s="2" t="s">
        <v>228</v>
      </c>
      <c r="B228" s="4" t="str">
        <f>HYPERLINK("http://cardsoundcapital.com","cardsoundcapital.com")</f>
        <v>cardsoundcapital.com</v>
      </c>
    </row>
    <row r="229" spans="1:2" x14ac:dyDescent="0.3">
      <c r="A229" s="3" t="s">
        <v>229</v>
      </c>
      <c r="B229" s="5" t="str">
        <f>HYPERLINK("http://www.cardinalventures.org","www.cardinalventures.org")</f>
        <v>www.cardinalventures.org</v>
      </c>
    </row>
    <row r="230" spans="1:2" x14ac:dyDescent="0.3">
      <c r="A230" s="2" t="s">
        <v>230</v>
      </c>
      <c r="B230" s="4" t="str">
        <f>HYPERLINK("http://www.cardohealth.com","www.cardohealth.com")</f>
        <v>www.cardohealth.com</v>
      </c>
    </row>
    <row r="231" spans="1:2" x14ac:dyDescent="0.3">
      <c r="A231" s="3" t="s">
        <v>231</v>
      </c>
      <c r="B231" s="5" t="str">
        <f>HYPERLINK("http://www.carrix.com","www.carrix.com")</f>
        <v>www.carrix.com</v>
      </c>
    </row>
    <row r="232" spans="1:2" x14ac:dyDescent="0.3">
      <c r="A232" s="2" t="s">
        <v>232</v>
      </c>
      <c r="B232" s="4" t="str">
        <f>HYPERLINK("http://www.carroya.com","www.carroya.com")</f>
        <v>www.carroya.com</v>
      </c>
    </row>
    <row r="233" spans="1:2" x14ac:dyDescent="0.3">
      <c r="A233" s="3" t="s">
        <v>233</v>
      </c>
      <c r="B233" s="5" t="str">
        <f>HYPERLINK("http://www.carryt.co","www.carryt.co")</f>
        <v>www.carryt.co</v>
      </c>
    </row>
    <row r="234" spans="1:2" x14ac:dyDescent="0.3">
      <c r="A234" s="3" t="s">
        <v>234</v>
      </c>
      <c r="B234" s="5" t="str">
        <f>HYPERLINK("http://www.cartesiangroup.com","www.cartesiangroup.com")</f>
        <v>www.cartesiangroup.com</v>
      </c>
    </row>
    <row r="235" spans="1:2" x14ac:dyDescent="0.3">
      <c r="A235" s="2" t="s">
        <v>235</v>
      </c>
      <c r="B235" s="4" t="str">
        <f>HYPERLINK("http://www.cartier.com","www.cartier.com")</f>
        <v>www.cartier.com</v>
      </c>
    </row>
    <row r="236" spans="1:2" x14ac:dyDescent="0.3">
      <c r="A236" s="3" t="s">
        <v>236</v>
      </c>
      <c r="B236" s="5" t="str">
        <f>HYPERLINK("http://www.carvajalempaques.com","www.carvajalempaques.com")</f>
        <v>www.carvajalempaques.com</v>
      </c>
    </row>
    <row r="237" spans="1:2" x14ac:dyDescent="0.3">
      <c r="A237" s="2" t="s">
        <v>237</v>
      </c>
      <c r="B237" s="4" t="str">
        <f>HYPERLINK("http://www.carvajaldigital.co","www.carvajaldigital.co")</f>
        <v>www.carvajaldigital.co</v>
      </c>
    </row>
    <row r="238" spans="1:2" x14ac:dyDescent="0.3">
      <c r="A238" s="3" t="s">
        <v>238</v>
      </c>
      <c r="B238" s="5" t="str">
        <f>HYPERLINK("http://www.castleislandventures.com","www.castleislandventures.com")</f>
        <v>www.castleislandventures.com</v>
      </c>
    </row>
    <row r="239" spans="1:2" x14ac:dyDescent="0.3">
      <c r="A239" s="2" t="s">
        <v>239</v>
      </c>
      <c r="B239" s="4" t="str">
        <f>HYPERLINK("http://www.cathexisventures.com","www.cathexisventures.com")</f>
        <v>www.cathexisventures.com</v>
      </c>
    </row>
    <row r="240" spans="1:2" x14ac:dyDescent="0.3">
      <c r="A240" s="3" t="s">
        <v>240</v>
      </c>
      <c r="B240" s="5" t="str">
        <f>HYPERLINK("http://www.cavig.com","www.cavig.com")</f>
        <v>www.cavig.com</v>
      </c>
    </row>
    <row r="241" spans="1:2" x14ac:dyDescent="0.3">
      <c r="A241" s="2" t="s">
        <v>241</v>
      </c>
      <c r="B241" s="4" t="str">
        <f>HYPERLINK("http://www.cbre.com","www.cbre.com")</f>
        <v>www.cbre.com</v>
      </c>
    </row>
    <row r="242" spans="1:2" x14ac:dyDescent="0.3">
      <c r="A242" s="3" t="s">
        <v>242</v>
      </c>
      <c r="B242" s="5" t="str">
        <f>HYPERLINK("http://www.cdmsmith.com","www.cdmsmith.com")</f>
        <v>www.cdmsmith.com</v>
      </c>
    </row>
    <row r="243" spans="1:2" x14ac:dyDescent="0.3">
      <c r="A243" s="2" t="s">
        <v>243</v>
      </c>
      <c r="B243" s="4" t="str">
        <f>HYPERLINK("http://www.cdn-msolar.com","www.cdn-msolar.com")</f>
        <v>www.cdn-msolar.com</v>
      </c>
    </row>
    <row r="244" spans="1:2" x14ac:dyDescent="0.3">
      <c r="A244" s="3" t="s">
        <v>244</v>
      </c>
      <c r="B244" s="5" t="str">
        <f>HYPERLINK("http://www.celeritas.ag","www.celeritas.ag")</f>
        <v>www.celeritas.ag</v>
      </c>
    </row>
    <row r="245" spans="1:2" x14ac:dyDescent="0.3">
      <c r="A245" s="2" t="s">
        <v>245</v>
      </c>
      <c r="B245" s="4" t="str">
        <f>HYPERLINK("http://www.celerityfiber.com","www.celerityfiber.com")</f>
        <v>www.celerityfiber.com</v>
      </c>
    </row>
    <row r="246" spans="1:2" x14ac:dyDescent="0.3">
      <c r="A246" s="3" t="s">
        <v>246</v>
      </c>
      <c r="B246" s="5" t="str">
        <f>HYPERLINK("http://www.celsiainc.com","www.celsiainc.com")</f>
        <v>www.celsiainc.com</v>
      </c>
    </row>
    <row r="247" spans="1:2" x14ac:dyDescent="0.3">
      <c r="A247" s="2" t="s">
        <v>247</v>
      </c>
      <c r="B247" s="4" t="str">
        <f>HYPERLINK("http://www.argos.co","www.argos.co")</f>
        <v>www.argos.co</v>
      </c>
    </row>
    <row r="248" spans="1:2" x14ac:dyDescent="0.3">
      <c r="A248" s="3" t="s">
        <v>248</v>
      </c>
      <c r="B248" s="5" t="str">
        <f>HYPERLINK("http://www.cendanacapital.com","www.cendanacapital.com")</f>
        <v>www.cendanacapital.com</v>
      </c>
    </row>
    <row r="249" spans="1:2" x14ac:dyDescent="0.3">
      <c r="A249" s="2" t="s">
        <v>249</v>
      </c>
      <c r="B249" s="4" t="str">
        <f>HYPERLINK("http://www.cenit-transporte.com","www.cenit-transporte.com")</f>
        <v>www.cenit-transporte.com</v>
      </c>
    </row>
    <row r="250" spans="1:2" x14ac:dyDescent="0.3">
      <c r="A250" s="2" t="s">
        <v>250</v>
      </c>
      <c r="B250" s="4" t="str">
        <f>HYPERLINK("http://www.centralcervecera.com.co","www.centralcervecera.com.co")</f>
        <v>www.centralcervecera.com.co</v>
      </c>
    </row>
    <row r="251" spans="1:2" x14ac:dyDescent="0.3">
      <c r="A251" s="3" t="s">
        <v>251</v>
      </c>
      <c r="B251" s="5" t="str">
        <f>HYPERLINK("http://www.centrestreet.partners","www.centrestreet.partners")</f>
        <v>www.centrestreet.partners</v>
      </c>
    </row>
    <row r="252" spans="1:2" x14ac:dyDescent="0.3">
      <c r="A252" s="2" t="s">
        <v>252</v>
      </c>
      <c r="B252" s="4" t="str">
        <f>HYPERLINK("http://cerralvo.com","cerralvo.com")</f>
        <v>cerralvo.com</v>
      </c>
    </row>
    <row r="253" spans="1:2" x14ac:dyDescent="0.3">
      <c r="A253" s="3" t="s">
        <v>253</v>
      </c>
      <c r="B253" s="5" t="str">
        <f>HYPERLINK("http://www.cevalogistics.com","www.cevalogistics.com")</f>
        <v>www.cevalogistics.com</v>
      </c>
    </row>
    <row r="254" spans="1:2" x14ac:dyDescent="0.3">
      <c r="A254" s="3" t="s">
        <v>254</v>
      </c>
      <c r="B254" s="5" t="str">
        <f>HYPERLINK("http://www.cgpartners.co","www.cgpartners.co")</f>
        <v>www.cgpartners.co</v>
      </c>
    </row>
    <row r="255" spans="1:2" x14ac:dyDescent="0.3">
      <c r="A255" s="3" t="s">
        <v>255</v>
      </c>
      <c r="B255" s="5" t="str">
        <f>HYPERLINK("http://www.chariotandcastle.com","www.chariotandcastle.com")</f>
        <v>www.chariotandcastle.com</v>
      </c>
    </row>
    <row r="256" spans="1:2" x14ac:dyDescent="0.3">
      <c r="A256" s="3" t="s">
        <v>256</v>
      </c>
      <c r="B256" s="5" t="str">
        <f>HYPERLINK("http://www.cltangelfund.com","www.cltangelfund.com")</f>
        <v>www.cltangelfund.com</v>
      </c>
    </row>
    <row r="257" spans="1:2" x14ac:dyDescent="0.3">
      <c r="A257" s="3" t="s">
        <v>257</v>
      </c>
      <c r="B257" s="5" t="str">
        <f>HYPERLINK("http://www.cherry.vc","www.cherry.vc")</f>
        <v>www.cherry.vc</v>
      </c>
    </row>
    <row r="258" spans="1:2" x14ac:dyDescent="0.3">
      <c r="A258" s="2" t="s">
        <v>258</v>
      </c>
      <c r="B258" s="4" t="str">
        <f>HYPERLINK("http://www.chesterfieldfund.com","www.chesterfieldfund.com")</f>
        <v>www.chesterfieldfund.com</v>
      </c>
    </row>
    <row r="259" spans="1:2" x14ac:dyDescent="0.3">
      <c r="A259" s="3" t="s">
        <v>259</v>
      </c>
      <c r="B259" s="5" t="str">
        <f>HYPERLINK("http://www.chestnutstreetventures.com","www.chestnutstreetventures.com")</f>
        <v>www.chestnutstreetventures.com</v>
      </c>
    </row>
    <row r="260" spans="1:2" x14ac:dyDescent="0.3">
      <c r="A260" s="2" t="s">
        <v>260</v>
      </c>
      <c r="B260" s="4" t="str">
        <f>HYPERLINK("http://www.chileglobalventures.cl","www.chileglobalventures.cl")</f>
        <v>www.chileglobalventures.cl</v>
      </c>
    </row>
    <row r="261" spans="1:2" x14ac:dyDescent="0.3">
      <c r="A261" s="3" t="s">
        <v>261</v>
      </c>
      <c r="B261" s="5" t="str">
        <f>HYPERLINK("http://www.cm-inv.com","www.cm-inv.com")</f>
        <v>www.cm-inv.com</v>
      </c>
    </row>
    <row r="262" spans="1:2" x14ac:dyDescent="0.3">
      <c r="A262" s="2" t="s">
        <v>262</v>
      </c>
      <c r="B262" s="4" t="str">
        <f>HYPERLINK("http://www.ctg.com.cn","www.ctg.com.cn")</f>
        <v>www.ctg.com.cn</v>
      </c>
    </row>
    <row r="263" spans="1:2" x14ac:dyDescent="0.3">
      <c r="A263" s="3" t="s">
        <v>263</v>
      </c>
      <c r="B263" s="5" t="str">
        <f>HYPERLINK("http://www.chinoin.com","www.chinoin.com")</f>
        <v>www.chinoin.com</v>
      </c>
    </row>
    <row r="264" spans="1:2" x14ac:dyDescent="0.3">
      <c r="A264" s="3" t="s">
        <v>264</v>
      </c>
      <c r="B264" s="5" t="str">
        <f>HYPERLINK("http://christianedler.com","christianedler.com")</f>
        <v>christianedler.com</v>
      </c>
    </row>
    <row r="265" spans="1:2" x14ac:dyDescent="0.3">
      <c r="A265" s="2" t="s">
        <v>265</v>
      </c>
      <c r="B265" s="4" t="str">
        <f>HYPERLINK("http://www.christoffersonrobb.com","www.christoffersonrobb.com")</f>
        <v>www.christoffersonrobb.com</v>
      </c>
    </row>
    <row r="266" spans="1:2" x14ac:dyDescent="0.3">
      <c r="A266" s="2" t="s">
        <v>266</v>
      </c>
      <c r="B266" s="4" t="str">
        <f>HYPERLINK("http://www.cintra.es","www.cintra.es")</f>
        <v>www.cintra.es</v>
      </c>
    </row>
    <row r="267" spans="1:2" x14ac:dyDescent="0.3">
      <c r="A267" s="3" t="s">
        <v>267</v>
      </c>
      <c r="B267" s="5" t="str">
        <f>HYPERLINK("http://www.cvci.citi.com","www.cvci.citi.com")</f>
        <v>www.cvci.citi.com</v>
      </c>
    </row>
    <row r="268" spans="1:2" x14ac:dyDescent="0.3">
      <c r="A268" s="3" t="s">
        <v>268</v>
      </c>
      <c r="B268" s="5" t="str">
        <f>HYPERLINK("http://clairediazortiz.com","clairediazortiz.com")</f>
        <v>clairediazortiz.com</v>
      </c>
    </row>
    <row r="269" spans="1:2" x14ac:dyDescent="0.3">
      <c r="A269" s="2" t="s">
        <v>269</v>
      </c>
      <c r="B269" s="4" t="str">
        <f>HYPERLINK("http://www.claritascapital.com","www.claritascapital.com")</f>
        <v>www.claritascapital.com</v>
      </c>
    </row>
    <row r="270" spans="1:2" x14ac:dyDescent="0.3">
      <c r="A270" s="3" t="s">
        <v>270</v>
      </c>
      <c r="B270" s="5" t="str">
        <f>HYPERLINK("http://www.cdr.com","www.cdr.com")</f>
        <v>www.cdr.com</v>
      </c>
    </row>
    <row r="271" spans="1:2" x14ac:dyDescent="0.3">
      <c r="A271" s="2" t="s">
        <v>271</v>
      </c>
      <c r="B271" s="4" t="str">
        <f>HYPERLINK("http://www.clicoh.com","www.clicoh.com")</f>
        <v>www.clicoh.com</v>
      </c>
    </row>
    <row r="272" spans="1:2" x14ac:dyDescent="0.3">
      <c r="A272" s="3" t="s">
        <v>272</v>
      </c>
      <c r="B272" s="5" t="str">
        <f>HYPERLINK("http://www.clinicapanamericana.co","www.clinicapanamericana.co")</f>
        <v>www.clinicapanamericana.co</v>
      </c>
    </row>
    <row r="273" spans="1:2" x14ac:dyDescent="0.3">
      <c r="A273" s="2" t="s">
        <v>273</v>
      </c>
      <c r="B273" s="4" t="str">
        <f>HYPERLINK("http://www.cma-cgm.com","www.cma-cgm.com")</f>
        <v>www.cma-cgm.com</v>
      </c>
    </row>
    <row r="274" spans="1:2" x14ac:dyDescent="0.3">
      <c r="A274" s="3" t="s">
        <v>274</v>
      </c>
      <c r="B274" s="5" t="str">
        <f>HYPERLINK("http://www.rodriguezazuero.com","www.rodriguezazuero.com")</f>
        <v>www.rodriguezazuero.com</v>
      </c>
    </row>
    <row r="275" spans="1:2" x14ac:dyDescent="0.3">
      <c r="A275" s="2" t="s">
        <v>275</v>
      </c>
      <c r="B275" s="4" t="str">
        <f>HYPERLINK("http://www.co.org.mx","www.co.org.mx")</f>
        <v>www.co.org.mx</v>
      </c>
    </row>
    <row r="276" spans="1:2" x14ac:dyDescent="0.3">
      <c r="A276" s="2" t="s">
        <v>276</v>
      </c>
      <c r="B276" s="4" t="str">
        <f>HYPERLINK("http://www.coatue.com","www.coatue.com")</f>
        <v>www.coatue.com</v>
      </c>
    </row>
    <row r="277" spans="1:2" x14ac:dyDescent="0.3">
      <c r="A277" s="3" t="s">
        <v>277</v>
      </c>
      <c r="B277" s="5" t="str">
        <f>HYPERLINK("http://www.cobepa.com","www.cobepa.com")</f>
        <v>www.cobepa.com</v>
      </c>
    </row>
    <row r="278" spans="1:2" x14ac:dyDescent="0.3">
      <c r="A278" s="2" t="s">
        <v>278</v>
      </c>
      <c r="B278" s="4" t="str">
        <f>HYPERLINK("http://www.coca-colacompany.com","www.coca-colacompany.com")</f>
        <v>www.coca-colacompany.com</v>
      </c>
    </row>
    <row r="279" spans="1:2" x14ac:dyDescent="0.3">
      <c r="A279" s="3" t="s">
        <v>279</v>
      </c>
      <c r="B279" s="5" t="str">
        <f>HYPERLINK("http://www.coca-colafemsa.com","www.coca-colafemsa.com")</f>
        <v>www.coca-colafemsa.com</v>
      </c>
    </row>
    <row r="280" spans="1:2" x14ac:dyDescent="0.3">
      <c r="A280" s="2" t="s">
        <v>280</v>
      </c>
      <c r="B280" s="4" t="str">
        <f>HYPERLINK("http://www.grupocodere.com","www.grupocodere.com")</f>
        <v>www.grupocodere.com</v>
      </c>
    </row>
    <row r="281" spans="1:2" x14ac:dyDescent="0.3">
      <c r="A281" s="3" t="s">
        <v>281</v>
      </c>
      <c r="B281" s="5" t="str">
        <f>HYPERLINK("http://www.cohesivecapital.com","www.cohesivecapital.com")</f>
        <v>www.cohesivecapital.com</v>
      </c>
    </row>
    <row r="282" spans="1:2" x14ac:dyDescent="0.3">
      <c r="A282" s="2" t="s">
        <v>282</v>
      </c>
      <c r="B282" s="4" t="str">
        <f>HYPERLINK("http://coindcx.com","coindcx.com")</f>
        <v>coindcx.com</v>
      </c>
    </row>
    <row r="283" spans="1:2" x14ac:dyDescent="0.3">
      <c r="A283" s="2" t="s">
        <v>283</v>
      </c>
      <c r="B283" s="4" t="str">
        <f>HYPERLINK("http://www.colegium.com","www.colegium.com")</f>
        <v>www.colegium.com</v>
      </c>
    </row>
    <row r="284" spans="1:2" x14ac:dyDescent="0.3">
      <c r="A284" s="3" t="s">
        <v>284</v>
      </c>
      <c r="B284" s="5" t="str">
        <f>HYPERLINK("http://www.colgener.com.co","www.colgener.com.co")</f>
        <v>www.colgener.com.co</v>
      </c>
    </row>
    <row r="285" spans="1:2" x14ac:dyDescent="0.3">
      <c r="A285" s="2" t="s">
        <v>285</v>
      </c>
      <c r="B285" s="4" t="str">
        <f>HYPERLINK("http://www.collabfund.com","www.collabfund.com")</f>
        <v>www.collabfund.com</v>
      </c>
    </row>
    <row r="286" spans="1:2" x14ac:dyDescent="0.3">
      <c r="A286" s="3" t="s">
        <v>286</v>
      </c>
      <c r="B286" s="5" t="str">
        <f>HYPERLINK("http://www.colle.vc","www.colle.vc")</f>
        <v>www.colle.vc</v>
      </c>
    </row>
    <row r="287" spans="1:2" x14ac:dyDescent="0.3">
      <c r="A287" s="2" t="s">
        <v>287</v>
      </c>
      <c r="B287" s="4" t="str">
        <f>HYPERLINK("http://www.thecollectivefoundation.com","www.thecollectivefoundation.com")</f>
        <v>www.thecollectivefoundation.com</v>
      </c>
    </row>
    <row r="288" spans="1:2" x14ac:dyDescent="0.3">
      <c r="A288" s="3" t="s">
        <v>288</v>
      </c>
      <c r="B288" s="5" t="str">
        <f>HYPERLINK("http://www.collidecap.com","www.collidecap.com")</f>
        <v>www.collidecap.com</v>
      </c>
    </row>
    <row r="289" spans="1:2" x14ac:dyDescent="0.3">
      <c r="A289" s="2" t="s">
        <v>289</v>
      </c>
      <c r="B289" s="4" t="str">
        <f>HYPERLINK("http://www.colombiavcit.com","www.colombiavcit.com")</f>
        <v>www.colombiavcit.com</v>
      </c>
    </row>
    <row r="290" spans="1:2" x14ac:dyDescent="0.3">
      <c r="A290" s="3" t="s">
        <v>290</v>
      </c>
      <c r="B290" s="5" t="str">
        <f>HYPERLINK("http://www.cnrcol.co","www.cnrcol.co")</f>
        <v>www.cnrcol.co</v>
      </c>
    </row>
    <row r="291" spans="1:2" x14ac:dyDescent="0.3">
      <c r="A291" s="2" t="s">
        <v>291</v>
      </c>
      <c r="B291" s="4" t="str">
        <f>HYPERLINK("http://www.combuscol.com","www.combuscol.com")</f>
        <v>www.combuscol.com</v>
      </c>
    </row>
    <row r="292" spans="1:2" x14ac:dyDescent="0.3">
      <c r="A292" s="3" t="s">
        <v>292</v>
      </c>
      <c r="B292" s="5" t="str">
        <f>HYPERLINK("http://www.colpatriacapital.com","www.colpatriacapital.com")</f>
        <v>www.colpatriacapital.com</v>
      </c>
    </row>
    <row r="293" spans="1:2" x14ac:dyDescent="0.3">
      <c r="A293" s="2" t="s">
        <v>293</v>
      </c>
      <c r="B293" s="4" t="str">
        <f>HYPERLINK("http://www.colombiafintech.co","www.colombiafintech.co")</f>
        <v>www.colombiafintech.co</v>
      </c>
    </row>
    <row r="294" spans="1:2" x14ac:dyDescent="0.3">
      <c r="A294" s="3" t="s">
        <v>294</v>
      </c>
      <c r="B294" s="5" t="str">
        <f>HYPERLINK("http://www.columbia.edu","www.columbia.edu")</f>
        <v>www.columbia.edu</v>
      </c>
    </row>
    <row r="295" spans="1:2" x14ac:dyDescent="0.3">
      <c r="A295" s="2" t="s">
        <v>295</v>
      </c>
      <c r="B295" s="4" t="str">
        <f>HYPERLINK("http://www.columbuscommunications.com","www.columbuscommunications.com")</f>
        <v>www.columbuscommunications.com</v>
      </c>
    </row>
    <row r="296" spans="1:2" x14ac:dyDescent="0.3">
      <c r="A296" s="3" t="s">
        <v>296</v>
      </c>
      <c r="B296" s="5" t="str">
        <f>HYPERLINK("http://commerce.vc","commerce.vc")</f>
        <v>commerce.vc</v>
      </c>
    </row>
    <row r="297" spans="1:2" x14ac:dyDescent="0.3">
      <c r="A297" s="2" t="s">
        <v>297</v>
      </c>
      <c r="B297" s="4" t="str">
        <f>HYPERLINK("http://cim-llc.com","cim-llc.com")</f>
        <v>cim-llc.com</v>
      </c>
    </row>
    <row r="298" spans="1:2" x14ac:dyDescent="0.3">
      <c r="A298" s="3" t="s">
        <v>298</v>
      </c>
      <c r="B298" s="5" t="str">
        <f>HYPERLINK("http://www.compa.xyz","www.compa.xyz")</f>
        <v>www.compa.xyz</v>
      </c>
    </row>
    <row r="299" spans="1:2" x14ac:dyDescent="0.3">
      <c r="A299" s="2" t="s">
        <v>299</v>
      </c>
      <c r="B299" s="4" t="str">
        <f>HYPERLINK("http://www.comparaonline.cl","www.comparaonline.cl")</f>
        <v>www.comparaonline.cl</v>
      </c>
    </row>
    <row r="300" spans="1:2" x14ac:dyDescent="0.3">
      <c r="A300" s="3" t="s">
        <v>300</v>
      </c>
      <c r="B300" s="5" t="str">
        <f>HYPERLINK("http://www.compass-group.com","www.compass-group.com")</f>
        <v>www.compass-group.com</v>
      </c>
    </row>
    <row r="301" spans="1:2" x14ac:dyDescent="0.3">
      <c r="A301" s="2" t="s">
        <v>301</v>
      </c>
      <c r="B301" s="4" t="str">
        <f>HYPERLINK("http://www.condor-group.eu","www.condor-group.eu")</f>
        <v>www.condor-group.eu</v>
      </c>
    </row>
    <row r="302" spans="1:2" x14ac:dyDescent="0.3">
      <c r="A302" s="2" t="s">
        <v>302</v>
      </c>
      <c r="B302" s="4" t="str">
        <f>HYPERLINK("http://www.confiar.coop","www.confiar.coop")</f>
        <v>www.confiar.coop</v>
      </c>
    </row>
    <row r="303" spans="1:2" x14ac:dyDescent="0.3">
      <c r="A303" s="3" t="s">
        <v>303</v>
      </c>
      <c r="B303" s="5" t="str">
        <f>HYPERLINK("http://www.conocophillips.com","www.conocophillips.com")</f>
        <v>www.conocophillips.com</v>
      </c>
    </row>
    <row r="304" spans="1:2" x14ac:dyDescent="0.3">
      <c r="A304" s="3" t="s">
        <v>304</v>
      </c>
      <c r="B304" s="5" t="str">
        <f>HYPERLINK("http://www.zfbarcelona.es","www.zfbarcelona.es")</f>
        <v>www.zfbarcelona.es</v>
      </c>
    </row>
    <row r="305" spans="1:2" x14ac:dyDescent="0.3">
      <c r="A305" s="3" t="s">
        <v>305</v>
      </c>
      <c r="B305" s="5" t="str">
        <f>HYPERLINK("http://www.constellar.vc","www.constellar.vc")</f>
        <v>www.constellar.vc</v>
      </c>
    </row>
    <row r="306" spans="1:2" x14ac:dyDescent="0.3">
      <c r="A306" s="2" t="s">
        <v>306</v>
      </c>
      <c r="B306" s="4" t="str">
        <f>HYPERLINK("http://www.conconcreto.com","www.conconcreto.com")</f>
        <v>www.conconcreto.com</v>
      </c>
    </row>
    <row r="307" spans="1:2" x14ac:dyDescent="0.3">
      <c r="A307" s="3" t="s">
        <v>307</v>
      </c>
      <c r="B307" s="5" t="str">
        <f>HYPERLINK("http://www.contentobps.com","www.contentobps.com")</f>
        <v>www.contentobps.com</v>
      </c>
    </row>
    <row r="308" spans="1:2" x14ac:dyDescent="0.3">
      <c r="A308" s="3" t="s">
        <v>308</v>
      </c>
      <c r="B308" s="5" t="str">
        <f>HYPERLINK("http://www.copaair.com","www.copaair.com")</f>
        <v>www.copaair.com</v>
      </c>
    </row>
    <row r="309" spans="1:2" x14ac:dyDescent="0.3">
      <c r="A309" s="2" t="s">
        <v>309</v>
      </c>
      <c r="B309" s="4" t="str">
        <f>HYPERLINK("http://www.cip.com","www.cip.com")</f>
        <v>www.cip.com</v>
      </c>
    </row>
    <row r="310" spans="1:2" x14ac:dyDescent="0.3">
      <c r="A310" s="3" t="s">
        <v>310</v>
      </c>
      <c r="B310" s="5" t="str">
        <f>HYPERLINK("http://www.cordesfoundation.org","www.cordesfoundation.org")</f>
        <v>www.cordesfoundation.org</v>
      </c>
    </row>
    <row r="311" spans="1:2" x14ac:dyDescent="0.3">
      <c r="A311" s="2" t="s">
        <v>311</v>
      </c>
      <c r="B311" s="4" t="str">
        <f>HYPERLINK("http://www.cdfunds.com.au","www.cdfunds.com.au")</f>
        <v>www.cdfunds.com.au</v>
      </c>
    </row>
    <row r="312" spans="1:2" x14ac:dyDescent="0.3">
      <c r="A312" s="2" t="s">
        <v>312</v>
      </c>
      <c r="B312" s="4" t="str">
        <f>HYPERLINK("http://conny-boersch.com","conny-boersch.com")</f>
        <v>conny-boersch.com</v>
      </c>
    </row>
    <row r="313" spans="1:2" x14ac:dyDescent="0.3">
      <c r="A313" s="2" t="s">
        <v>313</v>
      </c>
      <c r="B313" s="4" t="str">
        <f>HYPERLINK("http://www.corporaciongestamp.com","www.corporaciongestamp.com")</f>
        <v>www.corporaciongestamp.com</v>
      </c>
    </row>
    <row r="314" spans="1:2" x14ac:dyDescent="0.3">
      <c r="A314" s="3" t="s">
        <v>314</v>
      </c>
      <c r="B314" s="5" t="str">
        <f>HYPERLINK("http://www.cosmobluemedia.com","www.cosmobluemedia.com")</f>
        <v>www.cosmobluemedia.com</v>
      </c>
    </row>
    <row r="315" spans="1:2" x14ac:dyDescent="0.3">
      <c r="A315" s="2" t="s">
        <v>315</v>
      </c>
      <c r="B315" s="4" t="str">
        <f>HYPERLINK("http://www.cracksfund.com","www.cracksfund.com")</f>
        <v>www.cracksfund.com</v>
      </c>
    </row>
    <row r="316" spans="1:2" x14ac:dyDescent="0.3">
      <c r="A316" s="3" t="s">
        <v>316</v>
      </c>
      <c r="B316" s="5" t="str">
        <f>HYPERLINK("http://www.cranepumps.com","www.cranepumps.com")</f>
        <v>www.cranepumps.com</v>
      </c>
    </row>
    <row r="317" spans="1:2" x14ac:dyDescent="0.3">
      <c r="A317" s="2" t="s">
        <v>317</v>
      </c>
      <c r="B317" s="4" t="str">
        <f>HYPERLINK("http://www.creame.com.co","www.creame.com.co")</f>
        <v>www.creame.com.co</v>
      </c>
    </row>
    <row r="318" spans="1:2" x14ac:dyDescent="0.3">
      <c r="A318" s="3" t="s">
        <v>318</v>
      </c>
      <c r="B318" s="5" t="str">
        <f>HYPERLINK("http://www.creasecuador.com","www.creasecuador.com")</f>
        <v>www.creasecuador.com</v>
      </c>
    </row>
    <row r="319" spans="1:2" x14ac:dyDescent="0.3">
      <c r="A319" s="2" t="s">
        <v>319</v>
      </c>
      <c r="B319" s="4" t="str">
        <f>HYPERLINK("http://www.credit-agricole.com","www.credit-agricole.com")</f>
        <v>www.credit-agricole.com</v>
      </c>
    </row>
    <row r="320" spans="1:2" x14ac:dyDescent="0.3">
      <c r="A320" s="3" t="s">
        <v>320</v>
      </c>
      <c r="B320" s="5" t="str">
        <f>HYPERLINK("http://www.credifinanciera.com.co","www.credifinanciera.com.co")</f>
        <v>www.credifinanciera.com.co</v>
      </c>
    </row>
    <row r="321" spans="1:2" x14ac:dyDescent="0.3">
      <c r="A321" s="2" t="s">
        <v>321</v>
      </c>
      <c r="B321" s="4" t="str">
        <f>HYPERLINK("http://www.crescentcap.com","www.crescentcap.com")</f>
        <v>www.crescentcap.com</v>
      </c>
    </row>
    <row r="322" spans="1:2" x14ac:dyDescent="0.3">
      <c r="A322" s="3" t="s">
        <v>322</v>
      </c>
      <c r="B322" s="5" t="str">
        <f>HYPERLINK("http://www.crezcamos.com","www.crezcamos.com")</f>
        <v>www.crezcamos.com</v>
      </c>
    </row>
    <row r="323" spans="1:2" x14ac:dyDescent="0.3">
      <c r="A323" s="2" t="s">
        <v>323</v>
      </c>
      <c r="B323" s="4" t="str">
        <f>HYPERLINK("http://cristinaarango.com","cristinaarango.com")</f>
        <v>cristinaarango.com</v>
      </c>
    </row>
    <row r="324" spans="1:2" x14ac:dyDescent="0.3">
      <c r="A324" s="3" t="s">
        <v>324</v>
      </c>
      <c r="B324" s="5" t="str">
        <f>HYPERLINK("http://www.crown.holdings","www.crown.holdings")</f>
        <v>www.crown.holdings</v>
      </c>
    </row>
    <row r="325" spans="1:2" x14ac:dyDescent="0.3">
      <c r="A325" s="2" t="s">
        <v>325</v>
      </c>
      <c r="B325" s="4" t="str">
        <f>HYPERLINK("http://www.csitechincubator.com","www.csitechincubator.com")</f>
        <v>www.csitechincubator.com</v>
      </c>
    </row>
    <row r="326" spans="1:2" x14ac:dyDescent="0.3">
      <c r="A326" s="3" t="s">
        <v>326</v>
      </c>
      <c r="B326" s="5" t="str">
        <f>HYPERLINK("http://acelera.cuatrecasas.com","acelera.cuatrecasas.com")</f>
        <v>acelera.cuatrecasas.com</v>
      </c>
    </row>
    <row r="327" spans="1:2" x14ac:dyDescent="0.3">
      <c r="A327" s="2" t="s">
        <v>327</v>
      </c>
      <c r="B327" s="4" t="str">
        <f>HYPERLINK("http://www.cubicoinvest.com","www.cubicoinvest.com")</f>
        <v>www.cubicoinvest.com</v>
      </c>
    </row>
    <row r="328" spans="1:2" x14ac:dyDescent="0.3">
      <c r="A328" s="3" t="s">
        <v>328</v>
      </c>
      <c r="B328" s="5" t="str">
        <f>HYPERLINK("http://joincursive.com","joincursive.com")</f>
        <v>joincursive.com</v>
      </c>
    </row>
    <row r="329" spans="1:2" x14ac:dyDescent="0.3">
      <c r="A329" s="2" t="s">
        <v>329</v>
      </c>
      <c r="B329" s="4" t="str">
        <f>HYPERLINK("http://cyber-nyc.com","cyber-nyc.com")</f>
        <v>cyber-nyc.com</v>
      </c>
    </row>
    <row r="330" spans="1:2" x14ac:dyDescent="0.3">
      <c r="A330" s="3" t="s">
        <v>330</v>
      </c>
      <c r="B330" s="5" t="str">
        <f>HYPERLINK("http://www.cyberlux.com","www.cyberlux.com")</f>
        <v>www.cyberlux.com</v>
      </c>
    </row>
    <row r="331" spans="1:2" x14ac:dyDescent="0.3">
      <c r="A331" s="2" t="s">
        <v>331</v>
      </c>
      <c r="B331" s="4" t="str">
        <f>HYPERLINK("http://cyphercapital.com","cyphercapital.com")</f>
        <v>cyphercapital.com</v>
      </c>
    </row>
    <row r="332" spans="1:2" x14ac:dyDescent="0.3">
      <c r="A332" s="3" t="s">
        <v>332</v>
      </c>
      <c r="B332" s="5" t="str">
        <f>HYPERLINK("http://www.danone.com","www.danone.com")</f>
        <v>www.danone.com</v>
      </c>
    </row>
    <row r="333" spans="1:2" x14ac:dyDescent="0.3">
      <c r="A333" s="2" t="s">
        <v>333</v>
      </c>
      <c r="B333" s="4" t="str">
        <f>HYPERLINK("http://www.darbyinternational.com","www.darbyinternational.com")</f>
        <v>www.darbyinternational.com</v>
      </c>
    </row>
    <row r="334" spans="1:2" x14ac:dyDescent="0.3">
      <c r="A334" s="3" t="s">
        <v>334</v>
      </c>
      <c r="B334" s="5" t="str">
        <f>HYPERLINK("http://www.dashfund.co","www.dashfund.co")</f>
        <v>www.dashfund.co</v>
      </c>
    </row>
    <row r="335" spans="1:2" x14ac:dyDescent="0.3">
      <c r="A335" s="2" t="s">
        <v>335</v>
      </c>
      <c r="B335" s="4" t="str">
        <f>HYPERLINK("http://datacrm.com","datacrm.com")</f>
        <v>datacrm.com</v>
      </c>
    </row>
    <row r="336" spans="1:2" x14ac:dyDescent="0.3">
      <c r="A336" s="3" t="s">
        <v>336</v>
      </c>
      <c r="B336" s="5" t="str">
        <f>HYPERLINK("http://wired.co.uk","wired.co.uk")</f>
        <v>wired.co.uk</v>
      </c>
    </row>
    <row r="337" spans="1:2" x14ac:dyDescent="0.3">
      <c r="A337" s="3" t="s">
        <v>337</v>
      </c>
      <c r="B337" s="5" t="str">
        <f>HYPERLINK("http://www.davita.com","www.davita.com")</f>
        <v>www.davita.com</v>
      </c>
    </row>
    <row r="338" spans="1:2" x14ac:dyDescent="0.3">
      <c r="A338" s="3" t="s">
        <v>338</v>
      </c>
      <c r="B338" s="5" t="str">
        <f>HYPERLINK("http://expeditions.dcg.co","expeditions.dcg.co")</f>
        <v>expeditions.dcg.co</v>
      </c>
    </row>
    <row r="339" spans="1:2" x14ac:dyDescent="0.3">
      <c r="A339" s="3" t="s">
        <v>339</v>
      </c>
      <c r="B339" s="5" t="str">
        <f>HYPERLINK("http://www.joindvc.com","www.joindvc.com")</f>
        <v>www.joindvc.com</v>
      </c>
    </row>
    <row r="340" spans="1:2" x14ac:dyDescent="0.3">
      <c r="A340" s="2" t="s">
        <v>340</v>
      </c>
      <c r="B340" s="4" t="str">
        <f>HYPERLINK("http://www.deetkenimpact.com","www.deetkenimpact.com")</f>
        <v>www.deetkenimpact.com</v>
      </c>
    </row>
    <row r="341" spans="1:2" x14ac:dyDescent="0.3">
      <c r="A341" s="3" t="s">
        <v>341</v>
      </c>
      <c r="B341" s="5" t="str">
        <f>HYPERLINK("http://www.delcopusa.com","www.delcopusa.com")</f>
        <v>www.delcopusa.com</v>
      </c>
    </row>
    <row r="342" spans="1:2" x14ac:dyDescent="0.3">
      <c r="A342" s="2" t="s">
        <v>342</v>
      </c>
      <c r="B342" s="4" t="str">
        <f>HYPERLINK("http://www.deliveryhero.com","www.deliveryhero.com")</f>
        <v>www.deliveryhero.com</v>
      </c>
    </row>
    <row r="343" spans="1:2" x14ac:dyDescent="0.3">
      <c r="A343" s="3" t="s">
        <v>343</v>
      </c>
      <c r="B343" s="5" t="str">
        <f>HYPERLINK("http://www.deloitte.com","www.deloitte.com")</f>
        <v>www.deloitte.com</v>
      </c>
    </row>
    <row r="344" spans="1:2" x14ac:dyDescent="0.3">
      <c r="A344" s="2" t="s">
        <v>344</v>
      </c>
      <c r="B344" s="4" t="str">
        <f>HYPERLINK("http://www.deltaplus.eu","www.deltaplus.eu")</f>
        <v>www.deltaplus.eu</v>
      </c>
    </row>
    <row r="345" spans="1:2" x14ac:dyDescent="0.3">
      <c r="A345" s="3" t="s">
        <v>345</v>
      </c>
      <c r="B345" s="5" t="str">
        <f>HYPERLINK("http://www.dentons.com","www.dentons.com")</f>
        <v>www.dentons.com</v>
      </c>
    </row>
    <row r="346" spans="1:2" x14ac:dyDescent="0.3">
      <c r="A346" s="2" t="s">
        <v>346</v>
      </c>
      <c r="B346" s="4" t="str">
        <f>HYPERLINK("http://www.dentsuaegisnetwork.com","www.dentsuaegisnetwork.com")</f>
        <v>www.dentsuaegisnetwork.com</v>
      </c>
    </row>
    <row r="347" spans="1:2" x14ac:dyDescent="0.3">
      <c r="A347" s="3" t="s">
        <v>347</v>
      </c>
      <c r="B347" s="5" t="str">
        <f>HYPERLINK("http://www.certus.edu.pe","www.certus.edu.pe")</f>
        <v>www.certus.edu.pe</v>
      </c>
    </row>
    <row r="348" spans="1:2" x14ac:dyDescent="0.3">
      <c r="A348" s="2" t="s">
        <v>348</v>
      </c>
      <c r="B348" s="4" t="str">
        <f>HYPERLINK("http://www.dwmarkets.com","www.dwmarkets.com")</f>
        <v>www.dwmarkets.com</v>
      </c>
    </row>
    <row r="349" spans="1:2" x14ac:dyDescent="0.3">
      <c r="A349" s="3" t="s">
        <v>349</v>
      </c>
      <c r="B349" s="5" t="str">
        <f>HYPERLINK("http://www.devlabs.vc","www.devlabs.vc")</f>
        <v>www.devlabs.vc</v>
      </c>
    </row>
    <row r="350" spans="1:2" x14ac:dyDescent="0.3">
      <c r="A350" s="2" t="s">
        <v>350</v>
      </c>
      <c r="B350" s="4" t="str">
        <f>HYPERLINK("http://www.devmarequities.com","www.devmarequities.com")</f>
        <v>www.devmarequities.com</v>
      </c>
    </row>
    <row r="351" spans="1:2" x14ac:dyDescent="0.3">
      <c r="A351" s="3" t="s">
        <v>351</v>
      </c>
      <c r="B351" s="5" t="str">
        <f>HYPERLINK("http://www.dgventures.com","www.dgventures.com")</f>
        <v>www.dgventures.com</v>
      </c>
    </row>
    <row r="352" spans="1:2" x14ac:dyDescent="0.3">
      <c r="A352" s="3" t="s">
        <v>352</v>
      </c>
      <c r="B352" s="5" t="str">
        <f>HYPERLINK("http://www.diesco.com","www.diesco.com")</f>
        <v>www.diesco.com</v>
      </c>
    </row>
    <row r="353" spans="1:2" x14ac:dyDescent="0.3">
      <c r="A353" s="2" t="s">
        <v>353</v>
      </c>
      <c r="B353" s="4" t="str">
        <f>HYPERLINK("http://www.digitalbridges.com","www.digitalbridges.com")</f>
        <v>www.digitalbridges.com</v>
      </c>
    </row>
    <row r="354" spans="1:2" x14ac:dyDescent="0.3">
      <c r="A354" s="3" t="s">
        <v>354</v>
      </c>
      <c r="B354" s="5" t="str">
        <f>HYPERLINK("http://www.digitalventuresla.com","www.digitalventuresla.com")</f>
        <v>www.digitalventuresla.com</v>
      </c>
    </row>
    <row r="355" spans="1:2" x14ac:dyDescent="0.3">
      <c r="A355" s="2" t="s">
        <v>355</v>
      </c>
      <c r="B355" s="4" t="str">
        <f>HYPERLINK("http://www.discoveryamericas.com","www.discoveryamericas.com")</f>
        <v>www.discoveryamericas.com</v>
      </c>
    </row>
    <row r="356" spans="1:2" x14ac:dyDescent="0.3">
      <c r="A356" s="3" t="s">
        <v>356</v>
      </c>
      <c r="B356" s="5" t="str">
        <f>HYPERLINK("http://www.disruptive.vc","www.disruptive.vc")</f>
        <v>www.disruptive.vc</v>
      </c>
    </row>
    <row r="357" spans="1:2" x14ac:dyDescent="0.3">
      <c r="A357" s="2" t="s">
        <v>357</v>
      </c>
      <c r="B357" s="4" t="str">
        <f>HYPERLINK("http://www.distoyota.com","www.distoyota.com")</f>
        <v>www.distoyota.com</v>
      </c>
    </row>
    <row r="358" spans="1:2" x14ac:dyDescent="0.3">
      <c r="A358" s="3" t="s">
        <v>358</v>
      </c>
      <c r="B358" s="5" t="str">
        <f>HYPERLINK("http://www.districtmines.com","www.districtmines.com")</f>
        <v>www.districtmines.com</v>
      </c>
    </row>
    <row r="359" spans="1:2" x14ac:dyDescent="0.3">
      <c r="A359" s="2" t="s">
        <v>359</v>
      </c>
      <c r="B359" s="4" t="str">
        <f>HYPERLINK("http://www.donaldson.com","www.donaldson.com")</f>
        <v>www.donaldson.com</v>
      </c>
    </row>
    <row r="360" spans="1:2" x14ac:dyDescent="0.3">
      <c r="A360" s="3" t="s">
        <v>360</v>
      </c>
      <c r="B360" s="5" t="str">
        <f>HYPERLINK("http://www.dorelhome.com","www.dorelhome.com")</f>
        <v>www.dorelhome.com</v>
      </c>
    </row>
    <row r="361" spans="1:2" x14ac:dyDescent="0.3">
      <c r="A361" s="2" t="s">
        <v>361</v>
      </c>
      <c r="B361" s="4" t="str">
        <f>HYPERLINK("http://www.dormakabagroup.com","www.dormakabagroup.com")</f>
        <v>www.dormakabagroup.com</v>
      </c>
    </row>
    <row r="362" spans="1:2" x14ac:dyDescent="0.3">
      <c r="A362" s="3" t="s">
        <v>362</v>
      </c>
      <c r="B362" s="5" t="str">
        <f>HYPERLINK("http://www.doublestartyre.com","www.doublestartyre.com")</f>
        <v>www.doublestartyre.com</v>
      </c>
    </row>
    <row r="363" spans="1:2" x14ac:dyDescent="0.3">
      <c r="A363" s="2" t="s">
        <v>363</v>
      </c>
      <c r="B363" s="4" t="str">
        <f>HYPERLINK("http://www.dccl.com.cy","www.dccl.com.cy")</f>
        <v>www.dccl.com.cy</v>
      </c>
    </row>
    <row r="364" spans="1:2" x14ac:dyDescent="0.3">
      <c r="A364" s="3" t="s">
        <v>364</v>
      </c>
      <c r="B364" s="5" t="str">
        <f>HYPERLINK("http://www.dragoneer.com","www.dragoneer.com")</f>
        <v>www.dragoneer.com</v>
      </c>
    </row>
    <row r="365" spans="1:2" x14ac:dyDescent="0.3">
      <c r="A365" s="3" t="s">
        <v>365</v>
      </c>
      <c r="B365" s="5" t="str">
        <f>HYPERLINK("http://www.drkfoundation.org","www.drkfoundation.org")</f>
        <v>www.drkfoundation.org</v>
      </c>
    </row>
    <row r="366" spans="1:2" x14ac:dyDescent="0.3">
      <c r="A366" s="2" t="s">
        <v>366</v>
      </c>
      <c r="B366" s="4" t="str">
        <f>HYPERLINK("http://www.dst-global.com","www.dst-global.com")</f>
        <v>www.dst-global.com</v>
      </c>
    </row>
    <row r="367" spans="1:2" x14ac:dyDescent="0.3">
      <c r="A367" s="3" t="s">
        <v>367</v>
      </c>
      <c r="B367" s="5" t="str">
        <f>HYPERLINK("http://www.dsv.com","www.dsv.com")</f>
        <v>www.dsv.com</v>
      </c>
    </row>
    <row r="368" spans="1:2" x14ac:dyDescent="0.3">
      <c r="A368" s="2" t="s">
        <v>368</v>
      </c>
      <c r="B368" s="4" t="str">
        <f>HYPERLINK("http://dune.ventures","dune.ventures")</f>
        <v>dune.ventures</v>
      </c>
    </row>
    <row r="369" spans="1:2" x14ac:dyDescent="0.3">
      <c r="A369" s="3" t="s">
        <v>369</v>
      </c>
      <c r="B369" s="5" t="str">
        <f>HYPERLINK("http://www.duwestcolombia.com","www.duwestcolombia.com")</f>
        <v>www.duwestcolombia.com</v>
      </c>
    </row>
    <row r="370" spans="1:2" x14ac:dyDescent="0.3">
      <c r="A370" s="3" t="s">
        <v>370</v>
      </c>
      <c r="B370" s="5" t="str">
        <f>HYPERLINK("http://www.dysatex.com","www.dysatex.com")</f>
        <v>www.dysatex.com</v>
      </c>
    </row>
    <row r="371" spans="1:2" x14ac:dyDescent="0.3">
      <c r="A371" s="2" t="s">
        <v>371</v>
      </c>
      <c r="B371" s="4" t="str">
        <f>HYPERLINK("http://www.ebd.cl","www.ebd.cl")</f>
        <v>www.ebd.cl</v>
      </c>
    </row>
    <row r="372" spans="1:2" x14ac:dyDescent="0.3">
      <c r="A372" s="2" t="s">
        <v>372</v>
      </c>
      <c r="B372" s="4" t="str">
        <f>HYPERLINK("http://www.efy.com.co","www.efy.com.co")</f>
        <v>www.efy.com.co</v>
      </c>
    </row>
    <row r="373" spans="1:2" x14ac:dyDescent="0.3">
      <c r="A373" s="3" t="s">
        <v>373</v>
      </c>
      <c r="B373" s="5" t="str">
        <f>HYPERLINK("http://www.eaton.com","www.eaton.com")</f>
        <v>www.eaton.com</v>
      </c>
    </row>
    <row r="374" spans="1:2" x14ac:dyDescent="0.3">
      <c r="A374" s="2" t="s">
        <v>374</v>
      </c>
      <c r="B374" s="4" t="str">
        <f>HYPERLINK("http://www.echoinggreen.org","www.echoinggreen.org")</f>
        <v>www.echoinggreen.org</v>
      </c>
    </row>
    <row r="375" spans="1:2" x14ac:dyDescent="0.3">
      <c r="A375" s="3" t="s">
        <v>375</v>
      </c>
      <c r="B375" s="5" t="str">
        <f>HYPERLINK("http://www.eco-oro.com","www.eco-oro.com")</f>
        <v>www.eco-oro.com</v>
      </c>
    </row>
    <row r="376" spans="1:2" x14ac:dyDescent="0.3">
      <c r="A376" s="2" t="s">
        <v>376</v>
      </c>
      <c r="B376" s="4" t="str">
        <f>HYPERLINK("http://www.ecos.ch","www.ecos.ch")</f>
        <v>www.ecos.ch</v>
      </c>
    </row>
    <row r="377" spans="1:2" x14ac:dyDescent="0.3">
      <c r="A377" s="3" t="s">
        <v>377</v>
      </c>
      <c r="B377" s="5" t="str">
        <f>HYPERLINK("http://www.edelman.com","www.edelman.com")</f>
        <v>www.edelman.com</v>
      </c>
    </row>
    <row r="378" spans="1:2" x14ac:dyDescent="0.3">
      <c r="A378" s="2" t="s">
        <v>378</v>
      </c>
      <c r="B378" s="4" t="str">
        <f>HYPERLINK("http://www.edenred.com","www.edenred.com")</f>
        <v>www.edenred.com</v>
      </c>
    </row>
    <row r="379" spans="1:2" x14ac:dyDescent="0.3">
      <c r="A379" s="3" t="s">
        <v>379</v>
      </c>
      <c r="B379" s="5" t="str">
        <f>HYPERLINK("http://www.efronconsulting.com","www.efronconsulting.com")</f>
        <v>www.efronconsulting.com</v>
      </c>
    </row>
    <row r="380" spans="1:2" x14ac:dyDescent="0.3">
      <c r="A380" s="2" t="s">
        <v>380</v>
      </c>
      <c r="B380" s="4" t="str">
        <f>HYPERLINK("http://www.egis-group.com","www.egis-group.com")</f>
        <v>www.egis-group.com</v>
      </c>
    </row>
    <row r="381" spans="1:2" x14ac:dyDescent="0.3">
      <c r="A381" s="3" t="s">
        <v>381</v>
      </c>
      <c r="B381" s="5" t="str">
        <f>HYPERLINK("http://www.estructurasinmobiliarias.co","www.estructurasinmobiliarias.co")</f>
        <v>www.estructurasinmobiliarias.co</v>
      </c>
    </row>
    <row r="382" spans="1:2" x14ac:dyDescent="0.3">
      <c r="A382" s="2" t="s">
        <v>382</v>
      </c>
      <c r="B382" s="4" t="str">
        <f>HYPERLINK("http://www.eiffage.com","www.eiffage.com")</f>
        <v>www.eiffage.com</v>
      </c>
    </row>
    <row r="383" spans="1:2" x14ac:dyDescent="0.3">
      <c r="A383" s="3" t="s">
        <v>383</v>
      </c>
      <c r="B383" s="5" t="str">
        <f>HYPERLINK("http://www.eitfood.eu","www.eitfood.eu")</f>
        <v>www.eitfood.eu</v>
      </c>
    </row>
    <row r="384" spans="1:2" x14ac:dyDescent="0.3">
      <c r="A384" s="2" t="s">
        <v>384</v>
      </c>
      <c r="B384" s="4" t="str">
        <f>HYPERLINK("http://www.elcorral.com","www.elcorral.com")</f>
        <v>www.elcorral.com</v>
      </c>
    </row>
    <row r="385" spans="1:2" x14ac:dyDescent="0.3">
      <c r="A385" s="2" t="s">
        <v>385</v>
      </c>
      <c r="B385" s="4" t="str">
        <f>HYPERLINK("http://www.edemsa.com.co","www.edemsa.com.co")</f>
        <v>www.edemsa.com.co</v>
      </c>
    </row>
    <row r="386" spans="1:2" x14ac:dyDescent="0.3">
      <c r="A386" s="3" t="s">
        <v>386</v>
      </c>
      <c r="B386" s="5" t="str">
        <f>HYPERLINK("http://www.elysiancapital.com","www.elysiancapital.com")</f>
        <v>www.elysiancapital.com</v>
      </c>
    </row>
    <row r="387" spans="1:2" x14ac:dyDescent="0.3">
      <c r="A387" s="2" t="s">
        <v>387</v>
      </c>
      <c r="B387" s="4" t="str">
        <f>HYPERLINK("http://www.emeraldenergy.com","www.emeraldenergy.com")</f>
        <v>www.emeraldenergy.com</v>
      </c>
    </row>
    <row r="388" spans="1:2" x14ac:dyDescent="0.3">
      <c r="A388" s="3" t="s">
        <v>388</v>
      </c>
      <c r="B388" s="5" t="str">
        <f>HYPERLINK("http://www.emergentcoldlatam.com","www.emergentcoldlatam.com")</f>
        <v>www.emergentcoldlatam.com</v>
      </c>
    </row>
    <row r="389" spans="1:2" x14ac:dyDescent="0.3">
      <c r="A389" s="2" t="s">
        <v>389</v>
      </c>
      <c r="B389" s="4" t="str">
        <f>HYPERLINK("http://www.empiregn.com","www.empiregn.com")</f>
        <v>www.empiregn.com</v>
      </c>
    </row>
    <row r="390" spans="1:2" x14ac:dyDescent="0.3">
      <c r="A390" s="3" t="s">
        <v>390</v>
      </c>
      <c r="B390" s="5" t="str">
        <f>HYPERLINK("http://www.grupoelcomercio.com","www.grupoelcomercio.com")</f>
        <v>www.grupoelcomercio.com</v>
      </c>
    </row>
    <row r="391" spans="1:2" x14ac:dyDescent="0.3">
      <c r="A391" s="2" t="s">
        <v>391</v>
      </c>
      <c r="B391" s="4" t="str">
        <f>HYPERLINK("http://www.cmpc.com","www.cmpc.com")</f>
        <v>www.cmpc.com</v>
      </c>
    </row>
    <row r="392" spans="1:2" x14ac:dyDescent="0.3">
      <c r="A392" s="3" t="s">
        <v>392</v>
      </c>
      <c r="B392" s="5" t="str">
        <f>HYPERLINK("http://www.empresasgasco.com","www.empresasgasco.com")</f>
        <v>www.empresasgasco.com</v>
      </c>
    </row>
    <row r="393" spans="1:2" x14ac:dyDescent="0.3">
      <c r="A393" s="2" t="s">
        <v>393</v>
      </c>
      <c r="B393" s="4" t="str">
        <f>HYPERLINK("http://www.enabling.ch","www.enabling.ch")</f>
        <v>www.enabling.ch</v>
      </c>
    </row>
    <row r="394" spans="1:2" x14ac:dyDescent="0.3">
      <c r="A394" s="3" t="s">
        <v>394</v>
      </c>
      <c r="B394" s="5" t="str">
        <f>HYPERLINK("http://www.enbridge.com","www.enbridge.com")</f>
        <v>www.enbridge.com</v>
      </c>
    </row>
    <row r="395" spans="1:2" x14ac:dyDescent="0.3">
      <c r="A395" s="2" t="s">
        <v>395</v>
      </c>
      <c r="B395" s="4" t="str">
        <f>HYPERLINK("http://www.encorecapital.com","www.encorecapital.com")</f>
        <v>www.encorecapital.com</v>
      </c>
    </row>
    <row r="396" spans="1:2" x14ac:dyDescent="0.3">
      <c r="A396" s="3" t="s">
        <v>396</v>
      </c>
      <c r="B396" s="5" t="str">
        <f>HYPERLINK("http://www.endeavor.bg","www.endeavor.bg")</f>
        <v>www.endeavor.bg</v>
      </c>
    </row>
    <row r="397" spans="1:2" x14ac:dyDescent="0.3">
      <c r="A397" s="2" t="s">
        <v>397</v>
      </c>
      <c r="B397" s="4" t="str">
        <f>HYPERLINK("http://www.endress.com","www.endress.com")</f>
        <v>www.endress.com</v>
      </c>
    </row>
    <row r="398" spans="1:2" x14ac:dyDescent="0.3">
      <c r="A398" s="3" t="s">
        <v>398</v>
      </c>
      <c r="B398" s="5" t="str">
        <f>HYPERLINK("http://www.enel.com","www.enel.com")</f>
        <v>www.enel.com</v>
      </c>
    </row>
    <row r="399" spans="1:2" x14ac:dyDescent="0.3">
      <c r="A399" s="2" t="s">
        <v>399</v>
      </c>
      <c r="B399" s="4" t="str">
        <f>HYPERLINK("http://www.enel.com.co","www.enel.com.co")</f>
        <v>www.enel.com.co</v>
      </c>
    </row>
    <row r="400" spans="1:2" x14ac:dyDescent="0.3">
      <c r="A400" s="3" t="s">
        <v>400</v>
      </c>
      <c r="B400" s="5" t="str">
        <f>HYPERLINK("http://www.gmsacha.us","www.gmsacha.us")</f>
        <v>www.gmsacha.us</v>
      </c>
    </row>
    <row r="401" spans="1:2" x14ac:dyDescent="0.3">
      <c r="A401" s="3" t="s">
        <v>401</v>
      </c>
      <c r="B401" s="5" t="str">
        <f>HYPERLINK("http://www.engineergoldmines.com","www.engineergoldmines.com")</f>
        <v>www.engineergoldmines.com</v>
      </c>
    </row>
    <row r="402" spans="1:2" x14ac:dyDescent="0.3">
      <c r="A402" s="2" t="s">
        <v>402</v>
      </c>
      <c r="B402" s="4" t="str">
        <f>HYPERLINK("http://www.enlaceoperativo.com","www.enlaceoperativo.com")</f>
        <v>www.enlaceoperativo.com</v>
      </c>
    </row>
    <row r="403" spans="1:2" x14ac:dyDescent="0.3">
      <c r="A403" s="3" t="s">
        <v>403</v>
      </c>
      <c r="B403" s="5" t="str">
        <f>HYPERLINK("http://enlaces.org.do","enlaces.org.do")</f>
        <v>enlaces.org.do</v>
      </c>
    </row>
    <row r="404" spans="1:2" x14ac:dyDescent="0.3">
      <c r="A404" s="3" t="s">
        <v>404</v>
      </c>
      <c r="B404" s="5" t="str">
        <f>HYPERLINK("http://www.joinef.com","www.joinef.com")</f>
        <v>www.joinef.com</v>
      </c>
    </row>
    <row r="405" spans="1:2" x14ac:dyDescent="0.3">
      <c r="A405" s="2" t="s">
        <v>405</v>
      </c>
      <c r="B405" s="4" t="str">
        <f>HYPERLINK("http://hub.eonetwork.org/Web/web/Accelerator/Accelerator-Home.aspx","hub.eonetwork.org/Web/web/Accelerator/Accelerator-Home.aspx")</f>
        <v>hub.eonetwork.org/Web/web/Accelerator/Accelerator-Home.aspx</v>
      </c>
    </row>
    <row r="406" spans="1:2" x14ac:dyDescent="0.3">
      <c r="A406" s="3" t="s">
        <v>406</v>
      </c>
      <c r="B406" s="5" t="str">
        <f>HYPERLINK("http://www.envisionaccelerator.com","www.envisionaccelerator.com")</f>
        <v>www.envisionaccelerator.com</v>
      </c>
    </row>
    <row r="407" spans="1:2" x14ac:dyDescent="0.3">
      <c r="A407" s="2" t="s">
        <v>407</v>
      </c>
      <c r="B407" s="4" t="str">
        <f>HYPERLINK("http://www.epakon.com","www.epakon.com")</f>
        <v>www.epakon.com</v>
      </c>
    </row>
    <row r="408" spans="1:2" x14ac:dyDescent="0.3">
      <c r="A408" s="3" t="s">
        <v>408</v>
      </c>
      <c r="B408" s="5" t="str">
        <f>HYPERLINK("http://www.epam.com","www.epam.com")</f>
        <v>www.epam.com</v>
      </c>
    </row>
    <row r="409" spans="1:2" x14ac:dyDescent="0.3">
      <c r="A409" s="2" t="s">
        <v>409</v>
      </c>
      <c r="B409" s="4" t="str">
        <f>HYPERLINK("http://www.equinor.com","www.equinor.com")</f>
        <v>www.equinor.com</v>
      </c>
    </row>
    <row r="410" spans="1:2" x14ac:dyDescent="0.3">
      <c r="A410" s="3" t="s">
        <v>410</v>
      </c>
      <c r="B410" s="5" t="str">
        <f>HYPERLINK("http://www.erahelicopters.com","www.erahelicopters.com")</f>
        <v>www.erahelicopters.com</v>
      </c>
    </row>
    <row r="411" spans="1:2" x14ac:dyDescent="0.3">
      <c r="A411" s="2" t="s">
        <v>411</v>
      </c>
      <c r="B411" s="4" t="str">
        <f>HYPERLINK("http://www.esabindia.com","www.esabindia.com")</f>
        <v>www.esabindia.com</v>
      </c>
    </row>
    <row r="412" spans="1:2" x14ac:dyDescent="0.3">
      <c r="A412" s="3" t="s">
        <v>412</v>
      </c>
      <c r="B412" s="5" t="str">
        <f>HYPERLINK("http://www.esalenventures.vc","www.esalenventures.vc")</f>
        <v>www.esalenventures.vc</v>
      </c>
    </row>
    <row r="413" spans="1:2" x14ac:dyDescent="0.3">
      <c r="A413" s="2" t="s">
        <v>413</v>
      </c>
      <c r="B413" s="4" t="str">
        <f>HYPERLINK("http://esourcecapital.com","esourcecapital.com")</f>
        <v>esourcecapital.com</v>
      </c>
    </row>
    <row r="414" spans="1:2" x14ac:dyDescent="0.3">
      <c r="A414" s="3" t="s">
        <v>414</v>
      </c>
      <c r="B414" s="5" t="str">
        <f>HYPERLINK("http://www.espacio.co","www.espacio.co")</f>
        <v>www.espacio.co</v>
      </c>
    </row>
    <row r="415" spans="1:2" x14ac:dyDescent="0.3">
      <c r="A415" s="2" t="s">
        <v>415</v>
      </c>
      <c r="B415" s="4" t="str">
        <f>HYPERLINK("http://www.espinosacapital.com","www.espinosacapital.com")</f>
        <v>www.espinosacapital.com</v>
      </c>
    </row>
    <row r="416" spans="1:2" x14ac:dyDescent="0.3">
      <c r="A416" s="3" t="s">
        <v>416</v>
      </c>
      <c r="B416" s="5" t="str">
        <f>HYPERLINK("http://www.estarte.me","www.estarte.me")</f>
        <v>www.estarte.me</v>
      </c>
    </row>
    <row r="417" spans="1:2" x14ac:dyDescent="0.3">
      <c r="A417" s="2" t="s">
        <v>417</v>
      </c>
      <c r="B417" s="4" t="str">
        <f>HYPERLINK("http://www.eterna.com.co","www.eterna.com.co")</f>
        <v>www.eterna.com.co</v>
      </c>
    </row>
    <row r="418" spans="1:2" x14ac:dyDescent="0.3">
      <c r="A418" s="3" t="s">
        <v>418</v>
      </c>
      <c r="B418" s="5" t="str">
        <f>HYPERLINK("http://www.ethos.vc","www.ethos.vc")</f>
        <v>www.ethos.vc</v>
      </c>
    </row>
    <row r="419" spans="1:2" x14ac:dyDescent="0.3">
      <c r="A419" s="3" t="s">
        <v>419</v>
      </c>
      <c r="B419" s="5" t="str">
        <f>HYPERLINK("http://www.eurazeo.com","www.eurazeo.com")</f>
        <v>www.eurazeo.com</v>
      </c>
    </row>
    <row r="420" spans="1:2" x14ac:dyDescent="0.3">
      <c r="A420" s="2" t="s">
        <v>420</v>
      </c>
      <c r="B420" s="4" t="str">
        <f>HYPERLINK("http://www.eurofarma.com","www.eurofarma.com")</f>
        <v>www.eurofarma.com</v>
      </c>
    </row>
    <row r="421" spans="1:2" x14ac:dyDescent="0.3">
      <c r="A421" s="2" t="s">
        <v>421</v>
      </c>
      <c r="B421" s="4" t="str">
        <f>HYPERLINK("http://www.evening.fund","www.evening.fund")</f>
        <v>www.evening.fund</v>
      </c>
    </row>
    <row r="422" spans="1:2" x14ac:dyDescent="0.3">
      <c r="A422" s="2" t="s">
        <v>422</v>
      </c>
      <c r="B422" s="4" t="str">
        <f>HYPERLINK("http://www.everfit.com.co","www.everfit.com.co")</f>
        <v>www.everfit.com.co</v>
      </c>
    </row>
    <row r="423" spans="1:2" x14ac:dyDescent="0.3">
      <c r="A423" s="3" t="s">
        <v>423</v>
      </c>
      <c r="B423" s="5" t="str">
        <f>HYPERLINK("http://dev.evernote.com/accelerator","dev.evernote.com/accelerator")</f>
        <v>dev.evernote.com/accelerator</v>
      </c>
    </row>
    <row r="424" spans="1:2" x14ac:dyDescent="0.3">
      <c r="A424" s="2" t="s">
        <v>424</v>
      </c>
      <c r="B424" s="4" t="str">
        <f>HYPERLINK("http://www.evolutionacceleration.com","www.evolutionacceleration.com")</f>
        <v>www.evolutionacceleration.com</v>
      </c>
    </row>
    <row r="425" spans="1:2" x14ac:dyDescent="0.3">
      <c r="A425" s="2" t="s">
        <v>425</v>
      </c>
      <c r="B425" s="4" t="str">
        <f>HYPERLINK("http://www.exilecontent.com","www.exilecontent.com")</f>
        <v>www.exilecontent.com</v>
      </c>
    </row>
    <row r="426" spans="1:2" x14ac:dyDescent="0.3">
      <c r="A426" s="3" t="s">
        <v>426</v>
      </c>
      <c r="B426" s="5" t="str">
        <f>HYPERLINK("http://www.exlservice.com","www.exlservice.com")</f>
        <v>www.exlservice.com</v>
      </c>
    </row>
    <row r="427" spans="1:2" x14ac:dyDescent="0.3">
      <c r="A427" s="2" t="s">
        <v>427</v>
      </c>
      <c r="B427" s="4" t="str">
        <f>HYPERLINK("http://www.experianplc.com","www.experianplc.com")</f>
        <v>www.experianplc.com</v>
      </c>
    </row>
    <row r="428" spans="1:2" x14ac:dyDescent="0.3">
      <c r="A428" s="3" t="s">
        <v>428</v>
      </c>
      <c r="B428" s="5" t="str">
        <f>HYPERLINK("http://www.expertdojo.com","www.expertdojo.com")</f>
        <v>www.expertdojo.com</v>
      </c>
    </row>
    <row r="429" spans="1:2" x14ac:dyDescent="0.3">
      <c r="A429" s="2" t="s">
        <v>429</v>
      </c>
      <c r="B429" s="4" t="str">
        <f>HYPERLINK("http://www.expocitydubai.com","www.expocitydubai.com")</f>
        <v>www.expocitydubai.com</v>
      </c>
    </row>
    <row r="430" spans="1:2" x14ac:dyDescent="0.3">
      <c r="A430" s="3" t="s">
        <v>430</v>
      </c>
      <c r="B430" s="5" t="str">
        <f>HYPERLINK("http://expo2020dubai.com","expo2020dubai.com")</f>
        <v>expo2020dubai.com</v>
      </c>
    </row>
    <row r="431" spans="1:2" x14ac:dyDescent="0.3">
      <c r="A431" s="2" t="s">
        <v>431</v>
      </c>
      <c r="B431" s="4" t="str">
        <f>HYPERLINK("http://www.exponentialimpact.com","www.exponentialimpact.com")</f>
        <v>www.exponentialimpact.com</v>
      </c>
    </row>
    <row r="432" spans="1:2" x14ac:dyDescent="0.3">
      <c r="A432" s="2" t="s">
        <v>432</v>
      </c>
      <c r="B432" s="4" t="str">
        <f>HYPERLINK("http://www.fabric.vc","www.fabric.vc")</f>
        <v>www.fabric.vc</v>
      </c>
    </row>
    <row r="433" spans="1:2" x14ac:dyDescent="0.3">
      <c r="A433" s="3" t="s">
        <v>433</v>
      </c>
      <c r="B433" s="5" t="str">
        <f>HYPERLINK("http://www.fabricegrinda.com","www.fabricegrinda.com")</f>
        <v>www.fabricegrinda.com</v>
      </c>
    </row>
    <row r="434" spans="1:2" x14ac:dyDescent="0.3">
      <c r="A434" s="2" t="s">
        <v>434</v>
      </c>
      <c r="B434" s="4" t="str">
        <f>HYPERLINK("http://www.faesfarma.com","www.faesfarma.com")</f>
        <v>www.faesfarma.com</v>
      </c>
    </row>
    <row r="435" spans="1:2" x14ac:dyDescent="0.3">
      <c r="A435" s="3" t="s">
        <v>435</v>
      </c>
      <c r="B435" s="5" t="str">
        <f>HYPERLINK("http://www.famainvestments.com","www.famainvestments.com")</f>
        <v>www.famainvestments.com</v>
      </c>
    </row>
    <row r="436" spans="1:2" x14ac:dyDescent="0.3">
      <c r="A436" s="2" t="s">
        <v>436</v>
      </c>
      <c r="B436" s="4" t="str">
        <f>HYPERLINK("http://www.cruzverde.cl","www.cruzverde.cl")</f>
        <v>www.cruzverde.cl</v>
      </c>
    </row>
    <row r="437" spans="1:2" x14ac:dyDescent="0.3">
      <c r="A437" s="3" t="s">
        <v>437</v>
      </c>
      <c r="B437" s="5" t="str">
        <f>HYPERLINK("http://www.farmindustria.com.pe","www.farmindustria.com.pe")</f>
        <v>www.farmindustria.com.pe</v>
      </c>
    </row>
    <row r="438" spans="1:2" x14ac:dyDescent="0.3">
      <c r="A438" s="2" t="s">
        <v>438</v>
      </c>
      <c r="B438" s="4" t="str">
        <f>HYPERLINK("http://www.fasanara.com","www.fasanara.com")</f>
        <v>www.fasanara.com</v>
      </c>
    </row>
    <row r="439" spans="1:2" x14ac:dyDescent="0.3">
      <c r="A439" s="3" t="s">
        <v>439</v>
      </c>
      <c r="B439" s="5" t="str">
        <f>HYPERLINK("http://fcm-global.com","fcm-global.com")</f>
        <v>fcm-global.com</v>
      </c>
    </row>
    <row r="440" spans="1:2" x14ac:dyDescent="0.3">
      <c r="A440" s="3" t="s">
        <v>440</v>
      </c>
      <c r="B440" s="5" t="str">
        <f>HYPERLINK("http://www.fedex.com","www.fedex.com")</f>
        <v>www.fedex.com</v>
      </c>
    </row>
    <row r="441" spans="1:2" x14ac:dyDescent="0.3">
      <c r="A441" s="3" t="s">
        <v>441</v>
      </c>
      <c r="B441" s="5" t="str">
        <f>HYPERLINK("http://www.fenventures.com","www.fenventures.com")</f>
        <v>www.fenventures.com</v>
      </c>
    </row>
    <row r="442" spans="1:2" x14ac:dyDescent="0.3">
      <c r="A442" s="3" t="s">
        <v>442</v>
      </c>
      <c r="B442" s="5" t="str">
        <f>HYPERLINK("http://www.fga.com.co","www.fga.com.co")</f>
        <v>www.fga.com.co</v>
      </c>
    </row>
    <row r="443" spans="1:2" x14ac:dyDescent="0.3">
      <c r="A443" s="2" t="s">
        <v>443</v>
      </c>
      <c r="B443" s="4" t="str">
        <f>HYPERLINK("http://www.ficohsa.com","www.ficohsa.com")</f>
        <v>www.ficohsa.com</v>
      </c>
    </row>
    <row r="444" spans="1:2" x14ac:dyDescent="0.3">
      <c r="A444" s="3" t="s">
        <v>444</v>
      </c>
      <c r="B444" s="5" t="str">
        <f>HYPERLINK("http://www.fiinlab.com","www.fiinlab.com")</f>
        <v>www.fiinlab.com</v>
      </c>
    </row>
    <row r="445" spans="1:2" x14ac:dyDescent="0.3">
      <c r="A445" s="2" t="s">
        <v>445</v>
      </c>
      <c r="B445" s="4" t="str">
        <f>HYPERLINK("http://www.finaktiva.com","www.finaktiva.com")</f>
        <v>www.finaktiva.com</v>
      </c>
    </row>
    <row r="446" spans="1:2" x14ac:dyDescent="0.3">
      <c r="A446" s="2" t="s">
        <v>446</v>
      </c>
      <c r="B446" s="4" t="str">
        <f>HYPERLINK("http://www.finnfund.fi","www.finnfund.fi")</f>
        <v>www.finnfund.fi</v>
      </c>
    </row>
    <row r="447" spans="1:2" x14ac:dyDescent="0.3">
      <c r="A447" s="3" t="s">
        <v>447</v>
      </c>
      <c r="B447" s="5" t="str">
        <f>HYPERLINK("http://www.firstrowpartners.vc","www.firstrowpartners.vc")</f>
        <v>www.firstrowpartners.vc</v>
      </c>
    </row>
    <row r="448" spans="1:2" x14ac:dyDescent="0.3">
      <c r="A448" s="2" t="s">
        <v>448</v>
      </c>
      <c r="B448" s="4" t="str">
        <f>HYPERLINK("http://www.fiserv.com","www.fiserv.com")</f>
        <v>www.fiserv.com</v>
      </c>
    </row>
    <row r="449" spans="1:2" x14ac:dyDescent="0.3">
      <c r="A449" s="3" t="s">
        <v>449</v>
      </c>
      <c r="B449" s="5" t="str">
        <f>HYPERLINK("http://www.fison.org","www.fison.org")</f>
        <v>www.fison.org</v>
      </c>
    </row>
    <row r="450" spans="1:2" x14ac:dyDescent="0.3">
      <c r="A450" s="2" t="s">
        <v>450</v>
      </c>
      <c r="B450" s="4" t="str">
        <f>HYPERLINK("http://www.fiveelms.com","www.fiveelms.com")</f>
        <v>www.fiveelms.com</v>
      </c>
    </row>
    <row r="451" spans="1:2" x14ac:dyDescent="0.3">
      <c r="A451" s="3" t="s">
        <v>451</v>
      </c>
      <c r="B451" s="5" t="str">
        <f>HYPERLINK("http://www.fiveonelabs.org","www.fiveonelabs.org")</f>
        <v>www.fiveonelabs.org</v>
      </c>
    </row>
    <row r="452" spans="1:2" x14ac:dyDescent="0.3">
      <c r="A452" s="2" t="s">
        <v>452</v>
      </c>
      <c r="B452" s="4" t="str">
        <f>HYPERLINK("http://www.flven.com","www.flven.com")</f>
        <v>www.flven.com</v>
      </c>
    </row>
    <row r="453" spans="1:2" x14ac:dyDescent="0.3">
      <c r="A453" s="3" t="s">
        <v>453</v>
      </c>
      <c r="B453" s="5" t="str">
        <f>HYPERLINK("http://www.flash.vc","www.flash.vc")</f>
        <v>www.flash.vc</v>
      </c>
    </row>
    <row r="454" spans="1:2" x14ac:dyDescent="0.3">
      <c r="A454" s="2" t="s">
        <v>454</v>
      </c>
      <c r="B454" s="4" t="str">
        <f>HYPERLINK("http://www.flatiron.com","www.flatiron.com")</f>
        <v>www.flatiron.com</v>
      </c>
    </row>
    <row r="455" spans="1:2" x14ac:dyDescent="0.3">
      <c r="A455" s="3" t="s">
        <v>455</v>
      </c>
      <c r="B455" s="5" t="str">
        <f>HYPERLINK("http://www.flexstonepartners.com","www.flexstonepartners.com")</f>
        <v>www.flexstonepartners.com</v>
      </c>
    </row>
    <row r="456" spans="1:2" x14ac:dyDescent="0.3">
      <c r="A456" s="2" t="s">
        <v>456</v>
      </c>
      <c r="B456" s="4" t="str">
        <f>HYPERLINK("http://flightventures.godaddysites.com","flightventures.godaddysites.com")</f>
        <v>flightventures.godaddysites.com</v>
      </c>
    </row>
    <row r="457" spans="1:2" x14ac:dyDescent="0.3">
      <c r="A457" s="3" t="s">
        <v>457</v>
      </c>
      <c r="B457" s="5" t="str">
        <f>HYPERLINK("http://miflink.com","miflink.com")</f>
        <v>miflink.com</v>
      </c>
    </row>
    <row r="458" spans="1:2" x14ac:dyDescent="0.3">
      <c r="A458" s="2" t="s">
        <v>458</v>
      </c>
      <c r="B458" s="4" t="str">
        <f>HYPERLINK("http://www.floramedholdings.com","www.floramedholdings.com")</f>
        <v>www.floramedholdings.com</v>
      </c>
    </row>
    <row r="459" spans="1:2" x14ac:dyDescent="0.3">
      <c r="A459" s="3" t="s">
        <v>459</v>
      </c>
      <c r="B459" s="5" t="str">
        <f>HYPERLINK("http://www.flourishventures.com","www.flourishventures.com")</f>
        <v>www.flourishventures.com</v>
      </c>
    </row>
    <row r="460" spans="1:2" x14ac:dyDescent="0.3">
      <c r="A460" s="2" t="s">
        <v>460</v>
      </c>
      <c r="B460" s="4" t="str">
        <f>HYPERLINK("http://www.flucasvc.com","www.flucasvc.com")</f>
        <v>www.flucasvc.com</v>
      </c>
    </row>
    <row r="461" spans="1:2" x14ac:dyDescent="0.3">
      <c r="A461" s="3" t="s">
        <v>461</v>
      </c>
      <c r="B461" s="5" t="str">
        <f>HYPERLINK("http://www.fluiconnecto.com","www.fluiconnecto.com")</f>
        <v>www.fluiconnecto.com</v>
      </c>
    </row>
    <row r="462" spans="1:2" x14ac:dyDescent="0.3">
      <c r="A462" s="2" t="s">
        <v>462</v>
      </c>
      <c r="B462" s="4" t="str">
        <f>HYPERLINK("http://www.flyerone.vc","www.flyerone.vc")</f>
        <v>www.flyerone.vc</v>
      </c>
    </row>
    <row r="463" spans="1:2" x14ac:dyDescent="0.3">
      <c r="A463" s="2" t="s">
        <v>463</v>
      </c>
      <c r="B463" s="4" t="str">
        <f>HYPERLINK("http://www.fonade.gov.co","www.fonade.gov.co")</f>
        <v>www.fonade.gov.co</v>
      </c>
    </row>
    <row r="464" spans="1:2" x14ac:dyDescent="0.3">
      <c r="A464" s="3" t="s">
        <v>464</v>
      </c>
      <c r="B464" s="5" t="str">
        <f>HYPERLINK("http://www.fondoaccion.org","www.fondoaccion.org")</f>
        <v>www.fondoaccion.org</v>
      </c>
    </row>
    <row r="465" spans="1:2" x14ac:dyDescent="0.3">
      <c r="A465" s="2" t="s">
        <v>465</v>
      </c>
      <c r="B465" s="4" t="str">
        <f>HYPERLINK("http://www.fondoemprender.com","www.fondoemprender.com")</f>
        <v>www.fondoemprender.com</v>
      </c>
    </row>
    <row r="466" spans="1:2" x14ac:dyDescent="0.3">
      <c r="A466" s="3" t="s">
        <v>466</v>
      </c>
      <c r="B466" s="5" t="str">
        <f>HYPERLINK("http://foodfuture.co","foodfuture.co")</f>
        <v>foodfuture.co</v>
      </c>
    </row>
    <row r="467" spans="1:2" x14ac:dyDescent="0.3">
      <c r="A467" s="2" t="s">
        <v>467</v>
      </c>
      <c r="B467" s="4" t="str">
        <f>HYPERLINK("http://www.foreword.vc","www.foreword.vc")</f>
        <v>www.foreword.vc</v>
      </c>
    </row>
    <row r="468" spans="1:2" x14ac:dyDescent="0.3">
      <c r="A468" s="3" t="s">
        <v>468</v>
      </c>
      <c r="B468" s="5" t="str">
        <f>HYPERLINK("http://www.forumvc.com","www.forumvc.com")</f>
        <v>www.forumvc.com</v>
      </c>
    </row>
    <row r="469" spans="1:2" x14ac:dyDescent="0.3">
      <c r="A469" s="2" t="s">
        <v>469</v>
      </c>
      <c r="B469" s="4" t="str">
        <f>HYPERLINK("http://www.forwardleap.com","www.forwardleap.com")</f>
        <v>www.forwardleap.com</v>
      </c>
    </row>
    <row r="470" spans="1:2" x14ac:dyDescent="0.3">
      <c r="A470" s="3" t="s">
        <v>470</v>
      </c>
      <c r="B470" s="5" t="str">
        <f>HYPERLINK("http://www.foundamental.com","www.foundamental.com")</f>
        <v>www.foundamental.com</v>
      </c>
    </row>
    <row r="471" spans="1:2" x14ac:dyDescent="0.3">
      <c r="A471" s="2" t="s">
        <v>471</v>
      </c>
      <c r="B471" s="4" t="str">
        <f>HYPERLINK("http://www.foundersx.com","www.foundersx.com")</f>
        <v>www.foundersx.com</v>
      </c>
    </row>
    <row r="472" spans="1:2" x14ac:dyDescent="0.3">
      <c r="A472" s="3" t="s">
        <v>472</v>
      </c>
      <c r="B472" s="5" t="str">
        <f>HYPERLINK("http://fourthrealm.vc","fourthrealm.vc")</f>
        <v>fourthrealm.vc</v>
      </c>
    </row>
    <row r="473" spans="1:2" x14ac:dyDescent="0.3">
      <c r="A473" s="2" t="s">
        <v>473</v>
      </c>
      <c r="B473" s="4" t="str">
        <f>HYPERLINK("http://frachtgroup.com","frachtgroup.com")</f>
        <v>frachtgroup.com</v>
      </c>
    </row>
    <row r="474" spans="1:2" x14ac:dyDescent="0.3">
      <c r="A474" s="3" t="s">
        <v>474</v>
      </c>
      <c r="B474" s="5" t="str">
        <f>HYPERLINK("http://dev-frameworkventures.netlify.app","dev-frameworkventures.netlify.app")</f>
        <v>dev-frameworkventures.netlify.app</v>
      </c>
    </row>
    <row r="475" spans="1:2" x14ac:dyDescent="0.3">
      <c r="A475" s="2" t="s">
        <v>475</v>
      </c>
      <c r="B475" s="4" t="str">
        <f>HYPERLINK("http://www.fcx.com","www.fcx.com")</f>
        <v>www.fcx.com</v>
      </c>
    </row>
    <row r="476" spans="1:2" x14ac:dyDescent="0.3">
      <c r="A476" s="3" t="s">
        <v>476</v>
      </c>
      <c r="B476" s="5" t="str">
        <f>HYPERLINK("http://www.fresenius.com","www.fresenius.com")</f>
        <v>www.fresenius.com</v>
      </c>
    </row>
    <row r="477" spans="1:2" x14ac:dyDescent="0.3">
      <c r="A477" s="2" t="s">
        <v>477</v>
      </c>
      <c r="B477" s="4" t="str">
        <f>HYPERLINK("http://www.freya.ventures","www.freya.ventures")</f>
        <v>www.freya.ventures</v>
      </c>
    </row>
    <row r="478" spans="1:2" x14ac:dyDescent="0.3">
      <c r="A478" s="3" t="s">
        <v>478</v>
      </c>
      <c r="B478" s="5" t="str">
        <f>HYPERLINK("http://www.frontierdv.com","www.frontierdv.com")</f>
        <v>www.frontierdv.com</v>
      </c>
    </row>
    <row r="479" spans="1:2" x14ac:dyDescent="0.3">
      <c r="A479" s="2" t="s">
        <v>479</v>
      </c>
      <c r="B479" s="4" t="str">
        <f>HYPERLINK("http://www.fundacionbarco.org","www.fundacionbarco.org")</f>
        <v>www.fundacionbarco.org</v>
      </c>
    </row>
    <row r="480" spans="1:2" x14ac:dyDescent="0.3">
      <c r="A480" s="3" t="s">
        <v>480</v>
      </c>
      <c r="B480" s="5" t="str">
        <f>HYPERLINK("http://www.fch.cl","www.fch.cl")</f>
        <v>www.fch.cl</v>
      </c>
    </row>
    <row r="481" spans="1:2" x14ac:dyDescent="0.3">
      <c r="A481" s="2" t="s">
        <v>481</v>
      </c>
      <c r="B481" s="4" t="str">
        <f>HYPERLINK("http://www.fundaciongruposocial.co","www.fundaciongruposocial.co")</f>
        <v>www.fundaciongruposocial.co</v>
      </c>
    </row>
    <row r="482" spans="1:2" x14ac:dyDescent="0.3">
      <c r="A482" s="2" t="s">
        <v>482</v>
      </c>
      <c r="B482" s="4" t="str">
        <f>HYPERLINK("http://www.enalta.es","www.enalta.es")</f>
        <v>www.enalta.es</v>
      </c>
    </row>
    <row r="483" spans="1:2" x14ac:dyDescent="0.3">
      <c r="A483" s="3" t="s">
        <v>483</v>
      </c>
      <c r="B483" s="5" t="str">
        <f>HYPERLINK("http://www.fxnetworks.com","www.fxnetworks.com")</f>
        <v>www.fxnetworks.com</v>
      </c>
    </row>
    <row r="484" spans="1:2" x14ac:dyDescent="0.3">
      <c r="A484" s="2" t="s">
        <v>484</v>
      </c>
      <c r="B484" s="4" t="str">
        <f>HYPERLINK("http://www.g20vc.com","www.g20vc.com")</f>
        <v>www.g20vc.com</v>
      </c>
    </row>
    <row r="485" spans="1:2" x14ac:dyDescent="0.3">
      <c r="A485" s="2" t="s">
        <v>485</v>
      </c>
      <c r="B485" s="4" t="str">
        <f>HYPERLINK("http://www.galgo.com","www.galgo.com")</f>
        <v>www.galgo.com</v>
      </c>
    </row>
    <row r="486" spans="1:2" x14ac:dyDescent="0.3">
      <c r="A486" s="3" t="s">
        <v>486</v>
      </c>
      <c r="B486" s="5" t="str">
        <f>HYPERLINK("http://www.gamefounders.com","www.gamefounders.com")</f>
        <v>www.gamefounders.com</v>
      </c>
    </row>
    <row r="487" spans="1:2" x14ac:dyDescent="0.3">
      <c r="A487" s="2" t="s">
        <v>487</v>
      </c>
      <c r="B487" s="4" t="str">
        <f>HYPERLINK("http://www.gamespad.io","www.gamespad.io")</f>
        <v>www.gamespad.io</v>
      </c>
    </row>
    <row r="488" spans="1:2" x14ac:dyDescent="0.3">
      <c r="A488" s="3" t="s">
        <v>488</v>
      </c>
      <c r="B488" s="5" t="str">
        <f>HYPERLINK("http://independiente.pe","independiente.pe")</f>
        <v>independiente.pe</v>
      </c>
    </row>
    <row r="489" spans="1:2" x14ac:dyDescent="0.3">
      <c r="A489" s="3" t="s">
        <v>489</v>
      </c>
      <c r="B489" s="5" t="str">
        <f>HYPERLINK("http://gbetastartups.com","gbetastartups.com")</f>
        <v>gbetastartups.com</v>
      </c>
    </row>
    <row r="490" spans="1:2" x14ac:dyDescent="0.3">
      <c r="A490" s="2" t="s">
        <v>490</v>
      </c>
      <c r="B490" s="4" t="str">
        <f>HYPERLINK("http://www.gbmventures.com","www.gbmventures.com")</f>
        <v>www.gbmventures.com</v>
      </c>
    </row>
    <row r="491" spans="1:2" x14ac:dyDescent="0.3">
      <c r="A491" s="3" t="s">
        <v>491</v>
      </c>
      <c r="B491" s="5" t="str">
        <f>HYPERLINK("http://www.gbsfinance.com","www.gbsfinance.com")</f>
        <v>www.gbsfinance.com</v>
      </c>
    </row>
    <row r="492" spans="1:2" x14ac:dyDescent="0.3">
      <c r="A492" s="3" t="s">
        <v>492</v>
      </c>
      <c r="B492" s="5" t="str">
        <f>HYPERLINK("http://www.gcggroup.com","www.gcggroup.com")</f>
        <v>www.gcggroup.com</v>
      </c>
    </row>
    <row r="493" spans="1:2" x14ac:dyDescent="0.3">
      <c r="A493" s="2" t="s">
        <v>493</v>
      </c>
      <c r="B493" s="4" t="str">
        <f>HYPERLINK("http://www.gdaluma.com","www.gdaluma.com")</f>
        <v>www.gdaluma.com</v>
      </c>
    </row>
    <row r="494" spans="1:2" x14ac:dyDescent="0.3">
      <c r="A494" s="3" t="s">
        <v>494</v>
      </c>
      <c r="B494" s="5" t="str">
        <f>HYPERLINK("http://www.gecapital.com","www.gecapital.com")</f>
        <v>www.gecapital.com</v>
      </c>
    </row>
    <row r="495" spans="1:2" x14ac:dyDescent="0.3">
      <c r="A495" s="2" t="s">
        <v>495</v>
      </c>
      <c r="B495" s="4" t="str">
        <f>HYPERLINK("http://www.gehealthcare.com","www.gehealthcare.com")</f>
        <v>www.gehealthcare.com</v>
      </c>
    </row>
    <row r="496" spans="1:2" x14ac:dyDescent="0.3">
      <c r="A496" s="3" t="s">
        <v>496</v>
      </c>
      <c r="B496" s="5" t="str">
        <f>HYPERLINK("http://www.gelt.vc","www.gelt.vc")</f>
        <v>www.gelt.vc</v>
      </c>
    </row>
    <row r="497" spans="1:2" x14ac:dyDescent="0.3">
      <c r="A497" s="2" t="s">
        <v>497</v>
      </c>
      <c r="B497" s="4" t="str">
        <f>HYPERLINK("http://www.generalcable.com","www.generalcable.com")</f>
        <v>www.generalcable.com</v>
      </c>
    </row>
    <row r="498" spans="1:2" x14ac:dyDescent="0.3">
      <c r="A498" s="3" t="s">
        <v>498</v>
      </c>
      <c r="B498" s="5" t="str">
        <f>HYPERLINK("http://www.gm.com","www.gm.com")</f>
        <v>www.gm.com</v>
      </c>
    </row>
    <row r="499" spans="1:2" x14ac:dyDescent="0.3">
      <c r="A499" s="2" t="s">
        <v>499</v>
      </c>
      <c r="B499" s="4" t="str">
        <f>HYPERLINK("http://www.genomar.com","www.genomar.com")</f>
        <v>www.genomar.com</v>
      </c>
    </row>
    <row r="500" spans="1:2" x14ac:dyDescent="0.3">
      <c r="A500" s="3" t="s">
        <v>500</v>
      </c>
      <c r="B500" s="5" t="str">
        <f>HYPERLINK("http://www.gencap.com","www.gencap.com")</f>
        <v>www.gencap.com</v>
      </c>
    </row>
    <row r="501" spans="1:2" x14ac:dyDescent="0.3">
      <c r="A501" s="3" t="s">
        <v>501</v>
      </c>
      <c r="B501" s="5" t="str">
        <f>HYPERLINK("http://www.georgetownangelnetwork.org","www.georgetownangelnetwork.org")</f>
        <v>www.georgetownangelnetwork.org</v>
      </c>
    </row>
    <row r="502" spans="1:2" x14ac:dyDescent="0.3">
      <c r="A502" s="2" t="s">
        <v>502</v>
      </c>
      <c r="B502" s="4" t="str">
        <f>HYPERLINK("http://msb.georgetown.edu","msb.georgetown.edu")</f>
        <v>msb.georgetown.edu</v>
      </c>
    </row>
    <row r="503" spans="1:2" x14ac:dyDescent="0.3">
      <c r="A503" s="2" t="s">
        <v>503</v>
      </c>
      <c r="B503" s="4" t="str">
        <f>HYPERLINK("http://www.gestagua.es","www.gestagua.es")</f>
        <v>www.gestagua.es</v>
      </c>
    </row>
    <row r="504" spans="1:2" x14ac:dyDescent="0.3">
      <c r="A504" s="3" t="s">
        <v>504</v>
      </c>
      <c r="B504" s="5" t="str">
        <f>HYPERLINK("http://www.gft.com","www.gft.com")</f>
        <v>www.gft.com</v>
      </c>
    </row>
    <row r="505" spans="1:2" x14ac:dyDescent="0.3">
      <c r="A505" s="3" t="s">
        <v>505</v>
      </c>
      <c r="B505" s="5" t="str">
        <f>HYPERLINK("http://www.gibbscity.com","www.gibbscity.com")</f>
        <v>www.gibbscity.com</v>
      </c>
    </row>
    <row r="506" spans="1:2" x14ac:dyDescent="0.3">
      <c r="A506" s="2" t="s">
        <v>506</v>
      </c>
      <c r="B506" s="4" t="str">
        <f>HYPERLINK("http://www.gigas.com","www.gigas.com")</f>
        <v>www.gigas.com</v>
      </c>
    </row>
    <row r="507" spans="1:2" x14ac:dyDescent="0.3">
      <c r="A507" s="2" t="s">
        <v>507</v>
      </c>
      <c r="B507" s="4" t="str">
        <f>HYPERLINK("http://www.girasolpayments.com","www.girasolpayments.com")</f>
        <v>www.girasolpayments.com</v>
      </c>
    </row>
    <row r="508" spans="1:2" x14ac:dyDescent="0.3">
      <c r="A508" s="3" t="s">
        <v>508</v>
      </c>
      <c r="B508" s="5" t="str">
        <f>HYPERLINK("http://www.girosyfinanzas.com","www.girosyfinanzas.com")</f>
        <v>www.girosyfinanzas.com</v>
      </c>
    </row>
    <row r="509" spans="1:2" x14ac:dyDescent="0.3">
      <c r="A509" s="2" t="s">
        <v>509</v>
      </c>
      <c r="B509" s="4" t="str">
        <f>HYPERLINK("http://giustrafoundation.org","giustrafoundation.org")</f>
        <v>giustrafoundation.org</v>
      </c>
    </row>
    <row r="510" spans="1:2" x14ac:dyDescent="0.3">
      <c r="A510" s="3" t="s">
        <v>510</v>
      </c>
      <c r="B510" s="5" t="str">
        <f>HYPERLINK("http://www.glenfarnegroup.com","www.glenfarnegroup.com")</f>
        <v>www.glenfarnegroup.com</v>
      </c>
    </row>
    <row r="511" spans="1:2" x14ac:dyDescent="0.3">
      <c r="A511" s="2" t="s">
        <v>511</v>
      </c>
      <c r="B511" s="4" t="str">
        <f>HYPERLINK("http://www.gliscopartners.com","www.gliscopartners.com")</f>
        <v>www.gliscopartners.com</v>
      </c>
    </row>
    <row r="512" spans="1:2" x14ac:dyDescent="0.3">
      <c r="A512" s="3" t="s">
        <v>512</v>
      </c>
      <c r="B512" s="5" t="str">
        <f>HYPERLINK("http://globaladvances.com","globaladvances.com")</f>
        <v>globaladvances.com</v>
      </c>
    </row>
    <row r="513" spans="1:2" x14ac:dyDescent="0.3">
      <c r="A513" s="2" t="s">
        <v>513</v>
      </c>
      <c r="B513" s="4" t="str">
        <f>HYPERLINK("http://www.gfvp.com","www.gfvp.com")</f>
        <v>www.gfvp.com</v>
      </c>
    </row>
    <row r="514" spans="1:2" x14ac:dyDescent="0.3">
      <c r="A514" s="3" t="s">
        <v>514</v>
      </c>
      <c r="B514" s="5" t="str">
        <f>HYPERLINK("http://gsvc.org","gsvc.org")</f>
        <v>gsvc.org</v>
      </c>
    </row>
    <row r="515" spans="1:2" x14ac:dyDescent="0.3">
      <c r="A515" s="2" t="s">
        <v>515</v>
      </c>
      <c r="B515" s="4" t="str">
        <f>HYPERLINK("http://www.globaltopround.com","www.globaltopround.com")</f>
        <v>www.globaltopround.com</v>
      </c>
    </row>
    <row r="516" spans="1:2" x14ac:dyDescent="0.3">
      <c r="A516" s="3" t="s">
        <v>516</v>
      </c>
      <c r="B516" s="5" t="str">
        <f>HYPERLINK("http://www.globalsinc.com","www.globalsinc.com")</f>
        <v>www.globalsinc.com</v>
      </c>
    </row>
    <row r="517" spans="1:2" x14ac:dyDescent="0.3">
      <c r="A517" s="2" t="s">
        <v>517</v>
      </c>
      <c r="B517" s="4" t="str">
        <f>HYPERLINK("http://www.glocalmanagers.com","www.glocalmanagers.com")</f>
        <v>www.glocalmanagers.com</v>
      </c>
    </row>
    <row r="518" spans="1:2" x14ac:dyDescent="0.3">
      <c r="A518" s="3" t="s">
        <v>518</v>
      </c>
      <c r="B518" s="5" t="str">
        <f>HYPERLINK("http://www.gluky.com","www.gluky.com")</f>
        <v>www.gluky.com</v>
      </c>
    </row>
    <row r="519" spans="1:2" x14ac:dyDescent="0.3">
      <c r="A519" s="2" t="s">
        <v>519</v>
      </c>
      <c r="B519" s="4" t="str">
        <f>HYPERLINK("http://www.gncc-capital.com","www.gncc-capital.com")</f>
        <v>www.gncc-capital.com</v>
      </c>
    </row>
    <row r="520" spans="1:2" x14ac:dyDescent="0.3">
      <c r="A520" s="3" t="s">
        <v>520</v>
      </c>
      <c r="B520" s="5" t="str">
        <f>HYPERLINK("http://goddardenterprisesltd.com","goddardenterprisesltd.com")</f>
        <v>goddardenterprisesltd.com</v>
      </c>
    </row>
    <row r="521" spans="1:2" x14ac:dyDescent="0.3">
      <c r="A521" s="2" t="s">
        <v>521</v>
      </c>
      <c r="B521" s="4" t="str">
        <f>HYPERLINK("http://www.goldxmining.com","www.goldxmining.com")</f>
        <v>www.goldxmining.com</v>
      </c>
    </row>
    <row r="522" spans="1:2" x14ac:dyDescent="0.3">
      <c r="A522" s="3" t="s">
        <v>522</v>
      </c>
      <c r="B522" s="5" t="str">
        <f>HYPERLINK("http://www.goloso.com.co","www.goloso.com.co")</f>
        <v>www.goloso.com.co</v>
      </c>
    </row>
    <row r="523" spans="1:2" x14ac:dyDescent="0.3">
      <c r="A523" s="2" t="s">
        <v>523</v>
      </c>
      <c r="B523" s="4" t="str">
        <f>HYPERLINK("http://www.gomezpineda.com","www.gomezpineda.com")</f>
        <v>www.gomezpineda.com</v>
      </c>
    </row>
    <row r="524" spans="1:2" x14ac:dyDescent="0.3">
      <c r="A524" s="2" t="s">
        <v>524</v>
      </c>
      <c r="B524" s="4" t="str">
        <f>HYPERLINK("http://www.gov.uk","www.gov.uk")</f>
        <v>www.gov.uk</v>
      </c>
    </row>
    <row r="525" spans="1:2" x14ac:dyDescent="0.3">
      <c r="A525" s="2" t="s">
        <v>525</v>
      </c>
      <c r="B525" s="4" t="str">
        <f>HYPERLINK("http://www.grandluminy.com","www.grandluminy.com")</f>
        <v>www.grandluminy.com</v>
      </c>
    </row>
    <row r="526" spans="1:2" x14ac:dyDescent="0.3">
      <c r="A526" s="3" t="s">
        <v>526</v>
      </c>
      <c r="B526" s="5" t="str">
        <f>HYPERLINK("http://www.grandvision.com","www.grandvision.com")</f>
        <v>www.grandvision.com</v>
      </c>
    </row>
    <row r="527" spans="1:2" x14ac:dyDescent="0.3">
      <c r="A527" s="2" t="s">
        <v>527</v>
      </c>
      <c r="B527" s="4" t="str">
        <f>HYPERLINK("http://www.grao.vc","www.grao.vc")</f>
        <v>www.grao.vc</v>
      </c>
    </row>
    <row r="528" spans="1:2" x14ac:dyDescent="0.3">
      <c r="A528" s="3" t="s">
        <v>528</v>
      </c>
      <c r="B528" s="5" t="str">
        <f>HYPERLINK("http://www.gbfund.org","www.gbfund.org")</f>
        <v>www.gbfund.org</v>
      </c>
    </row>
    <row r="529" spans="1:2" x14ac:dyDescent="0.3">
      <c r="A529" s="2" t="s">
        <v>529</v>
      </c>
      <c r="B529" s="4" t="str">
        <f>HYPERLINK("http://www.greathillpartners.com","www.greathillpartners.com")</f>
        <v>www.greathillpartners.com</v>
      </c>
    </row>
    <row r="530" spans="1:2" x14ac:dyDescent="0.3">
      <c r="A530" s="3" t="s">
        <v>530</v>
      </c>
      <c r="B530" s="5" t="str">
        <f>HYPERLINK("http://www.greatstuffventures.com","www.greatstuffventures.com")</f>
        <v>www.greatstuffventures.com</v>
      </c>
    </row>
    <row r="531" spans="1:2" x14ac:dyDescent="0.3">
      <c r="A531" s="2" t="s">
        <v>531</v>
      </c>
      <c r="B531" s="4" t="str">
        <f>HYPERLINK("http://www.greencoffeecompany.com","www.greencoffeecompany.com")</f>
        <v>www.greencoffeecompany.com</v>
      </c>
    </row>
    <row r="532" spans="1:2" x14ac:dyDescent="0.3">
      <c r="A532" s="2" t="s">
        <v>532</v>
      </c>
      <c r="B532" s="4" t="str">
        <f>HYPERLINK("http://acumenacademy.org","acumenacademy.org")</f>
        <v>acumenacademy.org</v>
      </c>
    </row>
    <row r="533" spans="1:2" x14ac:dyDescent="0.3">
      <c r="A533" s="3" t="s">
        <v>533</v>
      </c>
      <c r="B533" s="5" t="str">
        <f>HYPERLINK("http://www.greenvisorcapital.com","www.greenvisorcapital.com")</f>
        <v>www.greenvisorcapital.com</v>
      </c>
    </row>
    <row r="534" spans="1:2" x14ac:dyDescent="0.3">
      <c r="A534" s="2" t="s">
        <v>534</v>
      </c>
      <c r="B534" s="4" t="str">
        <f>HYPERLINK("http://www.greensill.com","www.greensill.com")</f>
        <v>www.greensill.com</v>
      </c>
    </row>
    <row r="535" spans="1:2" x14ac:dyDescent="0.3">
      <c r="A535" s="3" t="s">
        <v>535</v>
      </c>
      <c r="B535" s="5" t="str">
        <f>HYPERLINK("http://www.greenspringassociates.com","www.greenspringassociates.com")</f>
        <v>www.greenspringassociates.com</v>
      </c>
    </row>
    <row r="536" spans="1:2" x14ac:dyDescent="0.3">
      <c r="A536" s="2" t="s">
        <v>536</v>
      </c>
      <c r="B536" s="4" t="str">
        <f>HYPERLINK("http://www.greentownlabs.com","www.greentownlabs.com")</f>
        <v>www.greentownlabs.com</v>
      </c>
    </row>
    <row r="537" spans="1:2" x14ac:dyDescent="0.3">
      <c r="A537" s="3" t="s">
        <v>537</v>
      </c>
      <c r="B537" s="5" t="str">
        <f>HYPERLINK("http://www.greenwayinvestment.com","www.greenwayinvestment.com")</f>
        <v>www.greenwayinvestment.com</v>
      </c>
    </row>
    <row r="538" spans="1:2" x14ac:dyDescent="0.3">
      <c r="A538" s="2" t="s">
        <v>538</v>
      </c>
      <c r="B538" s="4" t="str">
        <f>HYPERLINK("http://www.gwenergy.com","www.gwenergy.com")</f>
        <v>www.gwenergy.com</v>
      </c>
    </row>
    <row r="539" spans="1:2" x14ac:dyDescent="0.3">
      <c r="A539" s="3" t="s">
        <v>539</v>
      </c>
      <c r="B539" s="5" t="str">
        <f>HYPERLINK("http://www.greenwoodresources.com","www.greenwoodresources.com")</f>
        <v>www.greenwoodresources.com</v>
      </c>
    </row>
    <row r="540" spans="1:2" x14ac:dyDescent="0.3">
      <c r="A540" s="3" t="s">
        <v>540</v>
      </c>
      <c r="B540" s="5" t="str">
        <f>HYPERLINK("http://grenergy.eu","grenergy.eu")</f>
        <v>grenergy.eu</v>
      </c>
    </row>
    <row r="541" spans="1:2" x14ac:dyDescent="0.3">
      <c r="A541" s="2" t="s">
        <v>541</v>
      </c>
      <c r="B541" s="4" t="str">
        <f>HYPERLINK("http://www.greycroft.com","www.greycroft.com")</f>
        <v>www.greycroft.com</v>
      </c>
    </row>
    <row r="542" spans="1:2" x14ac:dyDescent="0.3">
      <c r="A542" s="3" t="s">
        <v>542</v>
      </c>
      <c r="B542" s="5" t="str">
        <f>HYPERLINK("http://www.greyhoundcapital.com","www.greyhoundcapital.com")</f>
        <v>www.greyhoundcapital.com</v>
      </c>
    </row>
    <row r="543" spans="1:2" x14ac:dyDescent="0.3">
      <c r="A543" s="2" t="s">
        <v>543</v>
      </c>
      <c r="B543" s="4" t="str">
        <f>HYPERLINK("http://www.gridexponential.com","www.gridexponential.com")</f>
        <v>www.gridexponential.com</v>
      </c>
    </row>
    <row r="544" spans="1:2" x14ac:dyDescent="0.3">
      <c r="A544" s="3" t="s">
        <v>544</v>
      </c>
      <c r="B544" s="5" t="str">
        <f>HYPERLINK("http://www.grmdocumentmanagement.com","www.grmdocumentmanagement.com")</f>
        <v>www.grmdocumentmanagement.com</v>
      </c>
    </row>
    <row r="545" spans="1:2" x14ac:dyDescent="0.3">
      <c r="A545" s="2" t="s">
        <v>545</v>
      </c>
      <c r="B545" s="4" t="str">
        <f>HYPERLINK("http://www.groupeseb.com","www.groupeseb.com")</f>
        <v>www.groupeseb.com</v>
      </c>
    </row>
    <row r="546" spans="1:2" x14ac:dyDescent="0.3">
      <c r="A546" s="3" t="s">
        <v>546</v>
      </c>
      <c r="B546" s="5" t="str">
        <f>HYPERLINK("http://www.growthafrica.com","www.growthafrica.com")</f>
        <v>www.growthafrica.com</v>
      </c>
    </row>
    <row r="547" spans="1:2" x14ac:dyDescent="0.3">
      <c r="A547" s="3" t="s">
        <v>547</v>
      </c>
      <c r="B547" s="5" t="str">
        <f>HYPERLINK("http://www.grupoamper.com","www.grupoamper.com")</f>
        <v>www.grupoamper.com</v>
      </c>
    </row>
    <row r="548" spans="1:2" x14ac:dyDescent="0.3">
      <c r="A548" s="2" t="s">
        <v>548</v>
      </c>
      <c r="B548" s="4" t="str">
        <f>HYPERLINK("http://www.grupoasv.com","www.grupoasv.com")</f>
        <v>www.grupoasv.com</v>
      </c>
    </row>
    <row r="549" spans="1:2" x14ac:dyDescent="0.3">
      <c r="A549" s="3" t="s">
        <v>549</v>
      </c>
      <c r="B549" s="5" t="str">
        <f>HYPERLINK("http://www.grupobios.co","www.grupobios.co")</f>
        <v>www.grupobios.co</v>
      </c>
    </row>
    <row r="550" spans="1:2" x14ac:dyDescent="0.3">
      <c r="A550" s="2" t="s">
        <v>550</v>
      </c>
      <c r="B550" s="4" t="str">
        <f>HYPERLINK("http://www.superselectos.com","www.superselectos.com")</f>
        <v>www.superselectos.com</v>
      </c>
    </row>
    <row r="551" spans="1:2" x14ac:dyDescent="0.3">
      <c r="A551" s="3" t="s">
        <v>551</v>
      </c>
      <c r="B551" s="5" t="str">
        <f>HYPERLINK("http://www.carso.com.mx","www.carso.com.mx")</f>
        <v>www.carso.com.mx</v>
      </c>
    </row>
    <row r="552" spans="1:2" x14ac:dyDescent="0.3">
      <c r="A552" s="2" t="s">
        <v>552</v>
      </c>
      <c r="B552" s="4" t="str">
        <f>HYPERLINK("http://www.grupocomeca.com","www.grupocomeca.com")</f>
        <v>www.grupocomeca.com</v>
      </c>
    </row>
    <row r="553" spans="1:2" x14ac:dyDescent="0.3">
      <c r="A553" s="3" t="s">
        <v>553</v>
      </c>
      <c r="B553" s="5" t="str">
        <f>HYPERLINK("http://www.bavaria.co","www.bavaria.co")</f>
        <v>www.bavaria.co</v>
      </c>
    </row>
    <row r="554" spans="1:2" x14ac:dyDescent="0.3">
      <c r="A554" s="2" t="s">
        <v>554</v>
      </c>
      <c r="B554" s="4" t="str">
        <f>HYPERLINK("http://www.cronomed.com.co","www.cronomed.com.co")</f>
        <v>www.cronomed.com.co</v>
      </c>
    </row>
    <row r="555" spans="1:2" x14ac:dyDescent="0.3">
      <c r="A555" s="3" t="s">
        <v>555</v>
      </c>
      <c r="B555" s="5" t="str">
        <f>HYPERLINK("http://www.grupogarnier.com","www.grupogarnier.com")</f>
        <v>www.grupogarnier.com</v>
      </c>
    </row>
    <row r="556" spans="1:2" x14ac:dyDescent="0.3">
      <c r="A556" s="2" t="s">
        <v>556</v>
      </c>
      <c r="B556" s="4" t="str">
        <f>HYPERLINK("http://www.grupoi33.com","www.grupoi33.com")</f>
        <v>www.grupoi33.com</v>
      </c>
    </row>
    <row r="557" spans="1:2" x14ac:dyDescent="0.3">
      <c r="A557" s="3" t="s">
        <v>557</v>
      </c>
      <c r="B557" s="5" t="str">
        <f>HYPERLINK("http://www.grupoimsa.com","www.grupoimsa.com")</f>
        <v>www.grupoimsa.com</v>
      </c>
    </row>
    <row r="558" spans="1:2" x14ac:dyDescent="0.3">
      <c r="A558" s="2" t="s">
        <v>558</v>
      </c>
      <c r="B558" s="4" t="str">
        <f>HYPERLINK("http://www.kaltex.com.mx","www.kaltex.com.mx")</f>
        <v>www.kaltex.com.mx</v>
      </c>
    </row>
    <row r="559" spans="1:2" x14ac:dyDescent="0.3">
      <c r="A559" s="3" t="s">
        <v>559</v>
      </c>
      <c r="B559" s="5" t="str">
        <f>HYPERLINK("http://www.grupolamosa.com","www.grupolamosa.com")</f>
        <v>www.grupolamosa.com</v>
      </c>
    </row>
    <row r="560" spans="1:2" x14ac:dyDescent="0.3">
      <c r="A560" s="2" t="s">
        <v>560</v>
      </c>
      <c r="B560" s="4" t="str">
        <f>HYPERLINK("http://glf.com.co","glf.com.co")</f>
        <v>glf.com.co</v>
      </c>
    </row>
    <row r="561" spans="1:2" x14ac:dyDescent="0.3">
      <c r="A561" s="3" t="s">
        <v>561</v>
      </c>
      <c r="B561" s="5" t="str">
        <f>HYPERLINK("http://www.grupomok.com","www.grupomok.com")</f>
        <v>www.grupomok.com</v>
      </c>
    </row>
    <row r="562" spans="1:2" x14ac:dyDescent="0.3">
      <c r="A562" s="2" t="s">
        <v>562</v>
      </c>
      <c r="B562" s="4" t="str">
        <f>HYPERLINK("http://www.nefrouros.net","www.nefrouros.net")</f>
        <v>www.nefrouros.net</v>
      </c>
    </row>
    <row r="563" spans="1:2" x14ac:dyDescent="0.3">
      <c r="A563" s="3" t="s">
        <v>563</v>
      </c>
      <c r="B563" s="5" t="str">
        <f>HYPERLINK("http://www.grupo-orbis.com","www.grupo-orbis.com")</f>
        <v>www.grupo-orbis.com</v>
      </c>
    </row>
    <row r="564" spans="1:2" x14ac:dyDescent="0.3">
      <c r="A564" s="2" t="s">
        <v>564</v>
      </c>
      <c r="B564" s="4" t="str">
        <f>HYPERLINK("http://www.gpari.com.br","www.gpari.com.br")</f>
        <v>www.gpari.com.br</v>
      </c>
    </row>
    <row r="565" spans="1:2" x14ac:dyDescent="0.3">
      <c r="A565" s="3" t="s">
        <v>565</v>
      </c>
      <c r="B565" s="5" t="str">
        <f>HYPERLINK("http://www.planeta.es","www.planeta.es")</f>
        <v>www.planeta.es</v>
      </c>
    </row>
    <row r="566" spans="1:2" x14ac:dyDescent="0.3">
      <c r="A566" s="2" t="s">
        <v>566</v>
      </c>
      <c r="B566" s="4" t="str">
        <f>HYPERLINK("http://www.tcc.com.co","www.tcc.com.co")</f>
        <v>www.tcc.com.co</v>
      </c>
    </row>
    <row r="567" spans="1:2" x14ac:dyDescent="0.3">
      <c r="A567" s="3" t="s">
        <v>567</v>
      </c>
      <c r="B567" s="5" t="str">
        <f>HYPERLINK("http://www.gtm.com.mx","www.gtm.com.mx")</f>
        <v>www.gtm.com.mx</v>
      </c>
    </row>
    <row r="568" spans="1:2" x14ac:dyDescent="0.3">
      <c r="A568" s="2" t="s">
        <v>568</v>
      </c>
      <c r="B568" s="4" t="str">
        <f>HYPERLINK("http://www.trebolcomunicaciones.com","www.trebolcomunicaciones.com")</f>
        <v>www.trebolcomunicaciones.com</v>
      </c>
    </row>
    <row r="569" spans="1:2" x14ac:dyDescent="0.3">
      <c r="A569" s="2" t="s">
        <v>569</v>
      </c>
      <c r="B569" s="4" t="str">
        <f>HYPERLINK("http://www.grupowiese.com","www.grupowiese.com")</f>
        <v>www.grupowiese.com</v>
      </c>
    </row>
    <row r="570" spans="1:2" x14ac:dyDescent="0.3">
      <c r="A570" s="3" t="s">
        <v>570</v>
      </c>
      <c r="B570" s="5" t="str">
        <f>HYPERLINK("http://www.gtd.cl","www.gtd.cl")</f>
        <v>www.gtd.cl</v>
      </c>
    </row>
    <row r="571" spans="1:2" x14ac:dyDescent="0.3">
      <c r="A571" s="2" t="s">
        <v>571</v>
      </c>
      <c r="B571" s="4" t="str">
        <f>HYPERLINK("http://guilventures.com","guilventures.com")</f>
        <v>guilventures.com</v>
      </c>
    </row>
    <row r="572" spans="1:2" x14ac:dyDescent="0.3">
      <c r="A572" s="2" t="s">
        <v>572</v>
      </c>
      <c r="B572" s="4" t="str">
        <f>HYPERLINK("http://www.tuhabitat.co","www.tuhabitat.co")</f>
        <v>www.tuhabitat.co</v>
      </c>
    </row>
    <row r="573" spans="1:2" x14ac:dyDescent="0.3">
      <c r="A573" s="3" t="s">
        <v>573</v>
      </c>
      <c r="B573" s="5" t="str">
        <f>HYPERLINK("http://www.haceb.com","www.haceb.com")</f>
        <v>www.haceb.com</v>
      </c>
    </row>
    <row r="574" spans="1:2" x14ac:dyDescent="0.3">
      <c r="A574" s="2" t="s">
        <v>574</v>
      </c>
      <c r="B574" s="4" t="str">
        <f>HYPERLINK("http://www.hack.vc","www.hack.vc")</f>
        <v>www.hack.vc</v>
      </c>
    </row>
    <row r="575" spans="1:2" x14ac:dyDescent="0.3">
      <c r="A575" s="2" t="s">
        <v>575</v>
      </c>
      <c r="B575" s="4" t="str">
        <f>HYPERLINK("http://www.halinvestments.nl","www.halinvestments.nl")</f>
        <v>www.halinvestments.nl</v>
      </c>
    </row>
    <row r="576" spans="1:2" x14ac:dyDescent="0.3">
      <c r="A576" s="3" t="s">
        <v>576</v>
      </c>
      <c r="B576" s="5" t="str">
        <f>HYPERLINK("http://www.harbourgroup.com","www.harbourgroup.com")</f>
        <v>www.harbourgroup.com</v>
      </c>
    </row>
    <row r="577" spans="1:2" x14ac:dyDescent="0.3">
      <c r="A577" s="2" t="s">
        <v>577</v>
      </c>
      <c r="B577" s="4" t="str">
        <f>HYPERLINK("http://www.hardycapital.com","www.hardycapital.com")</f>
        <v>www.hardycapital.com</v>
      </c>
    </row>
    <row r="578" spans="1:2" x14ac:dyDescent="0.3">
      <c r="A578" s="2" t="s">
        <v>578</v>
      </c>
      <c r="B578" s="4" t="str">
        <f>HYPERLINK("http://www.hartinternational.com","www.hartinternational.com")</f>
        <v>www.hartinternational.com</v>
      </c>
    </row>
    <row r="579" spans="1:2" x14ac:dyDescent="0.3">
      <c r="A579" s="3" t="s">
        <v>579</v>
      </c>
      <c r="B579" s="5" t="str">
        <f>HYPERLINK("http://harvardae.org","harvardae.org")</f>
        <v>harvardae.org</v>
      </c>
    </row>
    <row r="580" spans="1:2" x14ac:dyDescent="0.3">
      <c r="A580" s="3" t="s">
        <v>580</v>
      </c>
      <c r="B580" s="5" t="str">
        <f>HYPERLINK("http://capital.hashkey.com","capital.hashkey.com")</f>
        <v>capital.hashkey.com</v>
      </c>
    </row>
    <row r="581" spans="1:2" x14ac:dyDescent="0.3">
      <c r="A581" s="2" t="s">
        <v>581</v>
      </c>
      <c r="B581" s="4" t="str">
        <f>HYPERLINK("http://www.havanaroasters.com","www.havanaroasters.com")</f>
        <v>www.havanaroasters.com</v>
      </c>
    </row>
    <row r="582" spans="1:2" x14ac:dyDescent="0.3">
      <c r="A582" s="3" t="s">
        <v>582</v>
      </c>
      <c r="B582" s="5" t="str">
        <f>HYPERLINK("http://haven.vc","haven.vc")</f>
        <v>haven.vc</v>
      </c>
    </row>
    <row r="583" spans="1:2" x14ac:dyDescent="0.3">
      <c r="A583" s="2" t="s">
        <v>583</v>
      </c>
      <c r="B583" s="4" t="str">
        <f>HYPERLINK("http://hawktail.com","hawktail.com")</f>
        <v>hawktail.com</v>
      </c>
    </row>
    <row r="584" spans="1:2" x14ac:dyDescent="0.3">
      <c r="A584" s="3" t="s">
        <v>584</v>
      </c>
      <c r="B584" s="5" t="str">
        <f>HYPERLINK("http://www.hayseedventures.com","www.hayseedventures.com")</f>
        <v>www.hayseedventures.com</v>
      </c>
    </row>
    <row r="585" spans="1:2" x14ac:dyDescent="0.3">
      <c r="A585" s="3" t="s">
        <v>585</v>
      </c>
      <c r="B585" s="5" t="str">
        <f>HYPERLINK("http://www.healthcareactivosyield.com","www.healthcareactivosyield.com")</f>
        <v>www.healthcareactivosyield.com</v>
      </c>
    </row>
    <row r="586" spans="1:2" x14ac:dyDescent="0.3">
      <c r="A586" s="2" t="s">
        <v>586</v>
      </c>
      <c r="B586" s="4" t="str">
        <f>HYPERLINK("http://www.helloworldvc.com","www.helloworldvc.com")</f>
        <v>www.helloworldvc.com</v>
      </c>
    </row>
    <row r="587" spans="1:2" x14ac:dyDescent="0.3">
      <c r="A587" s="2" t="s">
        <v>587</v>
      </c>
      <c r="B587" s="4" t="str">
        <f>HYPERLINK("http://www.hgcapital.com","www.hgcapital.com")</f>
        <v>www.hgcapital.com</v>
      </c>
    </row>
    <row r="588" spans="1:2" x14ac:dyDescent="0.3">
      <c r="A588" s="3" t="s">
        <v>588</v>
      </c>
      <c r="B588" s="5" t="str">
        <f>HYPERLINK("http://www.hi.vc","www.hi.vc")</f>
        <v>www.hi.vc</v>
      </c>
    </row>
    <row r="589" spans="1:2" x14ac:dyDescent="0.3">
      <c r="A589" s="3" t="s">
        <v>589</v>
      </c>
      <c r="B589" s="5" t="str">
        <f>HYPERLINK("http://www.hlessing.com","www.hlessing.com")</f>
        <v>www.hlessing.com</v>
      </c>
    </row>
    <row r="590" spans="1:2" x14ac:dyDescent="0.3">
      <c r="A590" s="2" t="s">
        <v>590</v>
      </c>
      <c r="B590" s="4" t="str">
        <f>HYPERLINK("http://www.hmccap.com","www.hmccap.com")</f>
        <v>www.hmccap.com</v>
      </c>
    </row>
    <row r="591" spans="1:2" x14ac:dyDescent="0.3">
      <c r="A591" s="3" t="s">
        <v>591</v>
      </c>
      <c r="B591" s="5" t="str">
        <f>HYPERLINK("http://www.hochepartners.com","www.hochepartners.com")</f>
        <v>www.hochepartners.com</v>
      </c>
    </row>
    <row r="592" spans="1:2" x14ac:dyDescent="0.3">
      <c r="A592" s="2" t="s">
        <v>592</v>
      </c>
      <c r="B592" s="4" t="str">
        <f>HYPERLINK("http://www.hofburgcapital.com","www.hofburgcapital.com")</f>
        <v>www.hofburgcapital.com</v>
      </c>
    </row>
    <row r="593" spans="1:2" x14ac:dyDescent="0.3">
      <c r="A593" s="3" t="s">
        <v>593</v>
      </c>
      <c r="B593" s="5" t="str">
        <f>HYPERLINK("http://www.hoggrobinson.com","www.hoggrobinson.com")</f>
        <v>www.hoggrobinson.com</v>
      </c>
    </row>
    <row r="594" spans="1:2" x14ac:dyDescent="0.3">
      <c r="A594" s="3" t="s">
        <v>594</v>
      </c>
      <c r="B594" s="5" t="str">
        <f>HYPERLINK("http://www.hklaw.com","www.hklaw.com")</f>
        <v>www.hklaw.com</v>
      </c>
    </row>
    <row r="595" spans="1:2" x14ac:dyDescent="0.3">
      <c r="A595" s="2" t="s">
        <v>595</v>
      </c>
      <c r="B595" s="4" t="str">
        <f>HYPERLINK("http://www.holtxchange.com","www.holtxchange.com")</f>
        <v>www.holtxchange.com</v>
      </c>
    </row>
    <row r="596" spans="1:2" x14ac:dyDescent="0.3">
      <c r="A596" s="3" t="s">
        <v>596</v>
      </c>
      <c r="B596" s="5" t="str">
        <f>HYPERLINK("http://www.homely.mx","www.homely.mx")</f>
        <v>www.homely.mx</v>
      </c>
    </row>
    <row r="597" spans="1:2" x14ac:dyDescent="0.3">
      <c r="A597" s="2" t="s">
        <v>597</v>
      </c>
      <c r="B597" s="4" t="str">
        <f>HYPERLINK("http://www.homesteadbeerco.com","www.homesteadbeerco.com")</f>
        <v>www.homesteadbeerco.com</v>
      </c>
    </row>
    <row r="598" spans="1:2" x14ac:dyDescent="0.3">
      <c r="A598" s="3" t="s">
        <v>598</v>
      </c>
      <c r="B598" s="5" t="str">
        <f>HYPERLINK("http://www.hometeam.vc","www.hometeam.vc")</f>
        <v>www.hometeam.vc</v>
      </c>
    </row>
    <row r="599" spans="1:2" x14ac:dyDescent="0.3">
      <c r="A599" s="2" t="s">
        <v>599</v>
      </c>
      <c r="B599" s="4" t="str">
        <f>HYPERLINK("http://www.hopper.com","www.hopper.com")</f>
        <v>www.hopper.com</v>
      </c>
    </row>
    <row r="600" spans="1:2" x14ac:dyDescent="0.3">
      <c r="A600" s="2" t="s">
        <v>600</v>
      </c>
      <c r="B600" s="4" t="str">
        <f>HYPERLINK("http://www.houstonangelnetwork.org","www.houstonangelnetwork.org")</f>
        <v>www.houstonangelnetwork.org</v>
      </c>
    </row>
    <row r="601" spans="1:2" x14ac:dyDescent="0.3">
      <c r="A601" s="3" t="s">
        <v>601</v>
      </c>
      <c r="B601" s="5" t="str">
        <f>HYPERLINK("http://www.howdengroup.com","www.howdengroup.com")</f>
        <v>www.howdengroup.com</v>
      </c>
    </row>
    <row r="602" spans="1:2" x14ac:dyDescent="0.3">
      <c r="A602" s="2" t="s">
        <v>602</v>
      </c>
      <c r="B602" s="4" t="str">
        <f>HYPERLINK("http://www.hustlefund.vc","www.hustlefund.vc")</f>
        <v>www.hustlefund.vc</v>
      </c>
    </row>
    <row r="603" spans="1:2" x14ac:dyDescent="0.3">
      <c r="A603" s="3" t="s">
        <v>603</v>
      </c>
      <c r="B603" s="5" t="str">
        <f>HYPERLINK("http://www.hyperaccelerator.com","www.hyperaccelerator.com")</f>
        <v>www.hyperaccelerator.com</v>
      </c>
    </row>
    <row r="604" spans="1:2" x14ac:dyDescent="0.3">
      <c r="A604" s="2" t="s">
        <v>604</v>
      </c>
      <c r="B604" s="4" t="str">
        <f>HYPERLINK("http://www.ic-ventures.vc","www.ic-ventures.vc")</f>
        <v>www.ic-ventures.vc</v>
      </c>
    </row>
    <row r="605" spans="1:2" x14ac:dyDescent="0.3">
      <c r="A605" s="3" t="s">
        <v>605</v>
      </c>
      <c r="B605" s="5" t="str">
        <f>HYPERLINK("http://www.icclabs.com","www.icclabs.com")</f>
        <v>www.icclabs.com</v>
      </c>
    </row>
    <row r="606" spans="1:2" x14ac:dyDescent="0.3">
      <c r="A606" s="2" t="s">
        <v>606</v>
      </c>
      <c r="B606" s="4" t="str">
        <f>HYPERLINK("http://icestarlatam.com","icestarlatam.com")</f>
        <v>icestarlatam.com</v>
      </c>
    </row>
    <row r="607" spans="1:2" x14ac:dyDescent="0.3">
      <c r="A607" s="3" t="s">
        <v>607</v>
      </c>
      <c r="B607" s="5" t="str">
        <f>HYPERLINK("http://www.icg-enterprise.co.uk","www.icg-enterprise.co.uk")</f>
        <v>www.icg-enterprise.co.uk</v>
      </c>
    </row>
    <row r="608" spans="1:2" x14ac:dyDescent="0.3">
      <c r="A608" s="3" t="s">
        <v>608</v>
      </c>
      <c r="B608" s="5" t="str">
        <f>HYPERLINK("http://en.idgcapital.com","en.idgcapital.com")</f>
        <v>en.idgcapital.com</v>
      </c>
    </row>
    <row r="609" spans="1:2" x14ac:dyDescent="0.3">
      <c r="A609" s="2" t="s">
        <v>609</v>
      </c>
      <c r="B609" s="4" t="str">
        <f>HYPERLINK("http://www.ca-idia.com","www.ca-idia.com")</f>
        <v>www.ca-idia.com</v>
      </c>
    </row>
    <row r="610" spans="1:2" x14ac:dyDescent="0.3">
      <c r="A610" s="3" t="s">
        <v>610</v>
      </c>
      <c r="B610" s="5" t="str">
        <f>HYPERLINK("http://www.ifcamc.org","www.ifcamc.org")</f>
        <v>www.ifcamc.org</v>
      </c>
    </row>
    <row r="611" spans="1:2" x14ac:dyDescent="0.3">
      <c r="A611" s="2" t="s">
        <v>611</v>
      </c>
      <c r="B611" s="4" t="str">
        <f>HYPERLINK("http://www.ifood.com.br","www.ifood.com.br")</f>
        <v>www.ifood.com.br</v>
      </c>
    </row>
    <row r="612" spans="1:2" x14ac:dyDescent="0.3">
      <c r="A612" s="3" t="s">
        <v>612</v>
      </c>
      <c r="B612" s="5" t="str">
        <f>HYPERLINK("http://www.ihagholding.ch","www.ihagholding.ch")</f>
        <v>www.ihagholding.ch</v>
      </c>
    </row>
    <row r="613" spans="1:2" x14ac:dyDescent="0.3">
      <c r="A613" s="3" t="s">
        <v>613</v>
      </c>
      <c r="B613" s="5" t="str">
        <f>HYPERLINK("http://www.ihsglobal.org","www.ihsglobal.org")</f>
        <v>www.ihsglobal.org</v>
      </c>
    </row>
    <row r="614" spans="1:2" x14ac:dyDescent="0.3">
      <c r="A614" s="2" t="s">
        <v>614</v>
      </c>
      <c r="B614" s="4" t="str">
        <f>HYPERLINK("http://ikoncapital.co","ikoncapital.co")</f>
        <v>ikoncapital.co</v>
      </c>
    </row>
    <row r="615" spans="1:2" x14ac:dyDescent="0.3">
      <c r="A615" s="3" t="s">
        <v>615</v>
      </c>
      <c r="B615" s="5" t="str">
        <f>HYPERLINK("http://www.ikusi.com","www.ikusi.com")</f>
        <v>www.ikusi.com</v>
      </c>
    </row>
    <row r="616" spans="1:2" x14ac:dyDescent="0.3">
      <c r="A616" s="2" t="s">
        <v>616</v>
      </c>
      <c r="B616" s="4" t="str">
        <f>HYPERLINK("http://www.imagine-ventures.com","www.imagine-ventures.com")</f>
        <v>www.imagine-ventures.com</v>
      </c>
    </row>
    <row r="617" spans="1:2" x14ac:dyDescent="0.3">
      <c r="A617" s="3" t="s">
        <v>617</v>
      </c>
      <c r="B617" s="5" t="str">
        <f>HYPERLINK("http://www.imexhs.com","www.imexhs.com")</f>
        <v>www.imexhs.com</v>
      </c>
    </row>
    <row r="618" spans="1:2" x14ac:dyDescent="0.3">
      <c r="A618" s="2" t="s">
        <v>618</v>
      </c>
      <c r="B618" s="4" t="str">
        <f>HYPERLINK("http://www.immeasurable.com","www.immeasurable.com")</f>
        <v>www.immeasurable.com</v>
      </c>
    </row>
    <row r="619" spans="1:2" x14ac:dyDescent="0.3">
      <c r="A619" s="3" t="s">
        <v>619</v>
      </c>
      <c r="B619" s="5" t="str">
        <f>HYPERLINK("http://medellin.impacthub.net","medellin.impacthub.net")</f>
        <v>medellin.impacthub.net</v>
      </c>
    </row>
    <row r="620" spans="1:2" x14ac:dyDescent="0.3">
      <c r="A620" s="2" t="s">
        <v>620</v>
      </c>
      <c r="B620" s="4" t="str">
        <f>HYPERLINK("http://www.impact-group.com.au","www.impact-group.com.au")</f>
        <v>www.impact-group.com.au</v>
      </c>
    </row>
    <row r="621" spans="1:2" x14ac:dyDescent="0.3">
      <c r="A621" s="3" t="s">
        <v>621</v>
      </c>
      <c r="B621" s="5" t="str">
        <f>HYPERLINK("http://ivpsm.org.mx","ivpsm.org.mx")</f>
        <v>ivpsm.org.mx</v>
      </c>
    </row>
    <row r="622" spans="1:2" x14ac:dyDescent="0.3">
      <c r="A622" s="2" t="s">
        <v>622</v>
      </c>
      <c r="B622" s="4" t="str">
        <f>HYPERLINK("http://www.impactventuresuk.com","www.impactventuresuk.com")</f>
        <v>www.impactventuresuk.com</v>
      </c>
    </row>
    <row r="623" spans="1:2" x14ac:dyDescent="0.3">
      <c r="A623" s="3" t="s">
        <v>623</v>
      </c>
      <c r="B623" s="5" t="str">
        <f>HYPERLINK("http://www.impatient.vc","www.impatient.vc")</f>
        <v>www.impatient.vc</v>
      </c>
    </row>
    <row r="624" spans="1:2" x14ac:dyDescent="0.3">
      <c r="A624" s="3" t="s">
        <v>624</v>
      </c>
      <c r="B624" s="5" t="str">
        <f>HYPERLINK("http://www.imwind.at","www.imwind.at")</f>
        <v>www.imwind.at</v>
      </c>
    </row>
    <row r="625" spans="1:2" x14ac:dyDescent="0.3">
      <c r="A625" s="2" t="s">
        <v>625</v>
      </c>
      <c r="B625" s="4" t="str">
        <f>HYPERLINK("http://www.inpactamos.com","www.inpactamos.com")</f>
        <v>www.inpactamos.com</v>
      </c>
    </row>
    <row r="626" spans="1:2" x14ac:dyDescent="0.3">
      <c r="A626" s="3" t="s">
        <v>626</v>
      </c>
      <c r="B626" s="5" t="str">
        <f>HYPERLINK("http://www.inchcape.com","www.inchcape.com")</f>
        <v>www.inchcape.com</v>
      </c>
    </row>
    <row r="627" spans="1:2" x14ac:dyDescent="0.3">
      <c r="A627" s="2" t="s">
        <v>627</v>
      </c>
      <c r="B627" s="4" t="str">
        <f>HYPERLINK("http://www.incorbank.com","www.incorbank.com")</f>
        <v>www.incorbank.com</v>
      </c>
    </row>
    <row r="628" spans="1:2" x14ac:dyDescent="0.3">
      <c r="A628" s="3" t="s">
        <v>628</v>
      </c>
      <c r="B628" s="5" t="str">
        <f>HYPERLINK("http://www.indiacolorada.com","www.indiacolorada.com")</f>
        <v>www.indiacolorada.com</v>
      </c>
    </row>
    <row r="629" spans="1:2" x14ac:dyDescent="0.3">
      <c r="A629" s="2" t="s">
        <v>629</v>
      </c>
      <c r="B629" s="4" t="str">
        <f>HYPERLINK("http://www.indracompany.com","www.indracompany.com")</f>
        <v>www.indracompany.com</v>
      </c>
    </row>
    <row r="630" spans="1:2" x14ac:dyDescent="0.3">
      <c r="A630" s="3" t="s">
        <v>630</v>
      </c>
      <c r="B630" s="5" t="str">
        <f>HYPERLINK("http://inducam.com.co","inducam.com.co")</f>
        <v>inducam.com.co</v>
      </c>
    </row>
    <row r="631" spans="1:2" x14ac:dyDescent="0.3">
      <c r="A631" s="2" t="s">
        <v>631</v>
      </c>
      <c r="B631" s="4" t="str">
        <f>HYPERLINK("http://www.industriadealimentoszenu.com.co","www.industriadealimentoszenu.com.co")</f>
        <v>www.industriadealimentoszenu.com.co</v>
      </c>
    </row>
    <row r="632" spans="1:2" x14ac:dyDescent="0.3">
      <c r="A632" s="3" t="s">
        <v>632</v>
      </c>
      <c r="B632" s="5" t="str">
        <f>HYPERLINK("http://www.vera.com.co","www.vera.com.co")</f>
        <v>www.vera.com.co</v>
      </c>
    </row>
    <row r="633" spans="1:2" x14ac:dyDescent="0.3">
      <c r="A633" s="2" t="s">
        <v>633</v>
      </c>
      <c r="B633" s="4" t="str">
        <f>HYPERLINK("http://www.inepetrol.com","www.inepetrol.com")</f>
        <v>www.inepetrol.com</v>
      </c>
    </row>
    <row r="634" spans="1:2" x14ac:dyDescent="0.3">
      <c r="A634" s="3" t="s">
        <v>634</v>
      </c>
      <c r="B634" s="5" t="str">
        <f>HYPERLINK("http://www.infinitycappartners.com","www.infinitycappartners.com")</f>
        <v>www.infinitycappartners.com</v>
      </c>
    </row>
    <row r="635" spans="1:2" x14ac:dyDescent="0.3">
      <c r="A635" s="3" t="s">
        <v>635</v>
      </c>
      <c r="B635" s="5" t="str">
        <f>HYPERLINK("http://www.inicia.com","www.inicia.com")</f>
        <v>www.inicia.com</v>
      </c>
    </row>
    <row r="636" spans="1:2" x14ac:dyDescent="0.3">
      <c r="A636" s="3" t="s">
        <v>636</v>
      </c>
      <c r="B636" s="5" t="str">
        <f>HYPERLINK("http://www.innocentive.com","www.innocentive.com")</f>
        <v>www.innocentive.com</v>
      </c>
    </row>
    <row r="637" spans="1:2" x14ac:dyDescent="0.3">
      <c r="A637" s="2" t="s">
        <v>637</v>
      </c>
      <c r="B637" s="4" t="str">
        <f>HYPERLINK("http://www.innovationsagainstpoverty.org","www.innovationsagainstpoverty.org")</f>
        <v>www.innovationsagainstpoverty.org</v>
      </c>
    </row>
    <row r="638" spans="1:2" x14ac:dyDescent="0.3">
      <c r="A638" s="3" t="s">
        <v>638</v>
      </c>
      <c r="B638" s="5" t="str">
        <f>HYPERLINK("http://www.inretail.pe","www.inretail.pe")</f>
        <v>www.inretail.pe</v>
      </c>
    </row>
    <row r="639" spans="1:2" x14ac:dyDescent="0.3">
      <c r="A639" s="2" t="s">
        <v>639</v>
      </c>
      <c r="B639" s="4" t="str">
        <f>HYPERLINK("http://www.insigneo.com","www.insigneo.com")</f>
        <v>www.insigneo.com</v>
      </c>
    </row>
    <row r="640" spans="1:2" x14ac:dyDescent="0.3">
      <c r="A640" s="2" t="s">
        <v>640</v>
      </c>
      <c r="B640" s="4" t="str">
        <f>HYPERLINK("http://www.intelbras.com","www.intelbras.com")</f>
        <v>www.intelbras.com</v>
      </c>
    </row>
    <row r="641" spans="1:2" x14ac:dyDescent="0.3">
      <c r="A641" s="3" t="s">
        <v>641</v>
      </c>
      <c r="B641" s="5" t="str">
        <f>HYPERLINK("http://www.interbolsa.com","www.interbolsa.com")</f>
        <v>www.interbolsa.com</v>
      </c>
    </row>
    <row r="642" spans="1:2" x14ac:dyDescent="0.3">
      <c r="A642" s="2" t="s">
        <v>642</v>
      </c>
      <c r="B642" s="4" t="str">
        <f>HYPERLINK("http://interlude.vc","interlude.vc")</f>
        <v>interlude.vc</v>
      </c>
    </row>
    <row r="643" spans="1:2" x14ac:dyDescent="0.3">
      <c r="A643" s="3" t="s">
        <v>643</v>
      </c>
      <c r="B643" s="5" t="str">
        <f>HYPERLINK("http://www.ihcuae.com","www.ihcuae.com")</f>
        <v>www.ihcuae.com</v>
      </c>
    </row>
    <row r="644" spans="1:2" x14ac:dyDescent="0.3">
      <c r="A644" s="3" t="s">
        <v>644</v>
      </c>
      <c r="B644" s="5" t="str">
        <f>HYPERLINK("http://www.intersectiongp.com","www.intersectiongp.com")</f>
        <v>www.intersectiongp.com</v>
      </c>
    </row>
    <row r="645" spans="1:2" x14ac:dyDescent="0.3">
      <c r="A645" s="2" t="s">
        <v>645</v>
      </c>
      <c r="B645" s="4" t="str">
        <f>HYPERLINK("http://www.intertek.com","www.intertek.com")</f>
        <v>www.intertek.com</v>
      </c>
    </row>
    <row r="646" spans="1:2" x14ac:dyDescent="0.3">
      <c r="A646" s="2" t="s">
        <v>646</v>
      </c>
      <c r="B646" s="4" t="str">
        <f>HYPERLINK("http://www.inverquimsa.com","www.inverquimsa.com")</f>
        <v>www.inverquimsa.com</v>
      </c>
    </row>
    <row r="647" spans="1:2" x14ac:dyDescent="0.3">
      <c r="A647" s="2" t="s">
        <v>647</v>
      </c>
      <c r="B647" s="4" t="str">
        <f>HYPERLINK("http://inversionesandinas.com","inversionesandinas.com")</f>
        <v>inversionesandinas.com</v>
      </c>
    </row>
    <row r="648" spans="1:2" x14ac:dyDescent="0.3">
      <c r="A648" s="3" t="s">
        <v>648</v>
      </c>
      <c r="B648" s="5" t="str">
        <f>HYPERLINK("http://www.invesca.com","www.invesca.com")</f>
        <v>www.invesca.com</v>
      </c>
    </row>
    <row r="649" spans="1:2" x14ac:dyDescent="0.3">
      <c r="A649" s="2" t="s">
        <v>649</v>
      </c>
      <c r="B649" s="4" t="str">
        <f>HYPERLINK("http://www.invexans.cl","www.invexans.cl")</f>
        <v>www.invexans.cl</v>
      </c>
    </row>
    <row r="650" spans="1:2" x14ac:dyDescent="0.3">
      <c r="A650" s="3" t="s">
        <v>650</v>
      </c>
      <c r="B650" s="5" t="str">
        <f>HYPERLINK("http://icsltd.ch","icsltd.ch")</f>
        <v>icsltd.ch</v>
      </c>
    </row>
    <row r="651" spans="1:2" x14ac:dyDescent="0.3">
      <c r="A651" s="2" t="s">
        <v>651</v>
      </c>
      <c r="B651" s="4" t="str">
        <f>HYPERLINK("http://iosg.vc","iosg.vc")</f>
        <v>iosg.vc</v>
      </c>
    </row>
    <row r="652" spans="1:2" x14ac:dyDescent="0.3">
      <c r="A652" s="2" t="s">
        <v>652</v>
      </c>
      <c r="B652" s="4" t="str">
        <f>HYPERLINK("http://www.ipo.ventures","www.ipo.ventures")</f>
        <v>www.ipo.ventures</v>
      </c>
    </row>
    <row r="653" spans="1:2" x14ac:dyDescent="0.3">
      <c r="A653" s="3" t="s">
        <v>653</v>
      </c>
      <c r="B653" s="5" t="str">
        <f>HYPERLINK("http://www.iris.com.co","www.iris.com.co")</f>
        <v>www.iris.com.co</v>
      </c>
    </row>
    <row r="654" spans="1:2" x14ac:dyDescent="0.3">
      <c r="A654" s="2" t="s">
        <v>654</v>
      </c>
      <c r="B654" s="4" t="str">
        <f>HYPERLINK("http://www.ironmountain.com","www.ironmountain.com")</f>
        <v>www.ironmountain.com</v>
      </c>
    </row>
    <row r="655" spans="1:2" x14ac:dyDescent="0.3">
      <c r="A655" s="2" t="s">
        <v>655</v>
      </c>
      <c r="B655" s="4" t="str">
        <f>HYPERLINK("http://www.istari.ventures","www.istari.ventures")</f>
        <v>www.istari.ventures</v>
      </c>
    </row>
    <row r="656" spans="1:2" x14ac:dyDescent="0.3">
      <c r="A656" s="3" t="s">
        <v>656</v>
      </c>
      <c r="B656" s="5" t="str">
        <f>HYPERLINK("http://www.iterative.vc","www.iterative.vc")</f>
        <v>www.iterative.vc</v>
      </c>
    </row>
    <row r="657" spans="1:2" x14ac:dyDescent="0.3">
      <c r="A657" s="2" t="s">
        <v>657</v>
      </c>
      <c r="B657" s="4" t="str">
        <f>HYPERLINK("http://www.ithacacapitalpartners.com","www.ithacacapitalpartners.com")</f>
        <v>www.ithacacapitalpartners.com</v>
      </c>
    </row>
    <row r="658" spans="1:2" x14ac:dyDescent="0.3">
      <c r="A658" s="2" t="s">
        <v>658</v>
      </c>
      <c r="B658" s="4" t="str">
        <f>HYPERLINK("http://www.ivanhoeelectric.com","www.ivanhoeelectric.com")</f>
        <v>www.ivanhoeelectric.com</v>
      </c>
    </row>
    <row r="659" spans="1:2" x14ac:dyDescent="0.3">
      <c r="A659" s="3" t="s">
        <v>659</v>
      </c>
      <c r="B659" s="5" t="str">
        <f>HYPERLINK("http://www.garrigues.com","www.garrigues.com")</f>
        <v>www.garrigues.com</v>
      </c>
    </row>
    <row r="660" spans="1:2" x14ac:dyDescent="0.3">
      <c r="A660" s="2" t="s">
        <v>660</v>
      </c>
      <c r="B660" s="4" t="str">
        <f>HYPERLINK("http://www.jmalucelliseguradora.com.br","www.jmalucelliseguradora.com.br")</f>
        <v>www.jmalucelliseguradora.com.br</v>
      </c>
    </row>
    <row r="661" spans="1:2" x14ac:dyDescent="0.3">
      <c r="A661" s="3" t="s">
        <v>661</v>
      </c>
      <c r="B661" s="5" t="str">
        <f>HYPERLINK("http://www.jpmorgan.com","www.jpmorgan.com")</f>
        <v>www.jpmorgan.com</v>
      </c>
    </row>
    <row r="662" spans="1:2" x14ac:dyDescent="0.3">
      <c r="A662" s="3" t="s">
        <v>662</v>
      </c>
      <c r="B662" s="5" t="str">
        <f>HYPERLINK("http://www.jacobsholding.com","www.jacobsholding.com")</f>
        <v>www.jacobsholding.com</v>
      </c>
    </row>
    <row r="663" spans="1:2" x14ac:dyDescent="0.3">
      <c r="A663" s="2" t="s">
        <v>663</v>
      </c>
      <c r="B663" s="4" t="str">
        <f>HYPERLINK("http://www.jaguargrowth.com","www.jaguargrowth.com")</f>
        <v>www.jaguargrowth.com</v>
      </c>
    </row>
    <row r="664" spans="1:2" x14ac:dyDescent="0.3">
      <c r="A664" s="3" t="s">
        <v>664</v>
      </c>
      <c r="B664" s="5" t="str">
        <f>HYPERLINK("http://www.jantzenbrands.com","www.jantzenbrands.com")</f>
        <v>www.jantzenbrands.com</v>
      </c>
    </row>
    <row r="665" spans="1:2" x14ac:dyDescent="0.3">
      <c r="A665" s="2" t="s">
        <v>665</v>
      </c>
      <c r="B665" s="4" t="str">
        <f>HYPERLINK("http://www.january.capital","www.january.capital")</f>
        <v>www.january.capital</v>
      </c>
    </row>
    <row r="666" spans="1:2" x14ac:dyDescent="0.3">
      <c r="A666" s="3" t="s">
        <v>666</v>
      </c>
      <c r="B666" s="5" t="str">
        <f>HYPERLINK("http://www.jas.com","www.jas.com")</f>
        <v>www.jas.com</v>
      </c>
    </row>
    <row r="667" spans="1:2" x14ac:dyDescent="0.3">
      <c r="A667" s="3" t="s">
        <v>667</v>
      </c>
      <c r="B667" s="5" t="str">
        <f>HYPERLINK("http://www.jeeny.me","www.jeeny.me")</f>
        <v>www.jeeny.me</v>
      </c>
    </row>
    <row r="668" spans="1:2" x14ac:dyDescent="0.3">
      <c r="A668" s="3" t="s">
        <v>668</v>
      </c>
      <c r="B668" s="5" t="str">
        <f>HYPERLINK("http://www.jlabs.jnjinnovation.com","www.jlabs.jnjinnovation.com")</f>
        <v>www.jlabs.jnjinnovation.com</v>
      </c>
    </row>
    <row r="669" spans="1:2" x14ac:dyDescent="0.3">
      <c r="A669" s="2" t="s">
        <v>669</v>
      </c>
      <c r="B669" s="4" t="str">
        <f>HYPERLINK("http://www.johnsoncontrols.com","www.johnsoncontrols.com")</f>
        <v>www.johnsoncontrols.com</v>
      </c>
    </row>
    <row r="670" spans="1:2" x14ac:dyDescent="0.3">
      <c r="A670" s="3" t="s">
        <v>670</v>
      </c>
      <c r="B670" s="5" t="str">
        <f>HYPERLINK("http://www.jf.capital","www.jf.capital")</f>
        <v>www.jf.capital</v>
      </c>
    </row>
    <row r="671" spans="1:2" x14ac:dyDescent="0.3">
      <c r="A671" s="2" t="s">
        <v>671</v>
      </c>
      <c r="B671" s="4" t="str">
        <f>HYPERLINK("http://www.jokr.com","www.jokr.com")</f>
        <v>www.jokr.com</v>
      </c>
    </row>
    <row r="672" spans="1:2" x14ac:dyDescent="0.3">
      <c r="A672" s="3" t="s">
        <v>672</v>
      </c>
      <c r="B672" s="5" t="str">
        <f>HYPERLINK("http://www.joyancepartners.com","www.joyancepartners.com")</f>
        <v>www.joyancepartners.com</v>
      </c>
    </row>
    <row r="673" spans="1:2" x14ac:dyDescent="0.3">
      <c r="A673" s="3" t="s">
        <v>673</v>
      </c>
      <c r="B673" s="5" t="str">
        <f>HYPERLINK("http://www.julius2grow.com","www.julius2grow.com")</f>
        <v>www.julius2grow.com</v>
      </c>
    </row>
    <row r="674" spans="1:2" x14ac:dyDescent="0.3">
      <c r="A674" s="2" t="s">
        <v>674</v>
      </c>
      <c r="B674" s="4" t="str">
        <f>HYPERLINK("http://www.jumpseller.com","www.jumpseller.com")</f>
        <v>www.jumpseller.com</v>
      </c>
    </row>
    <row r="675" spans="1:2" x14ac:dyDescent="0.3">
      <c r="A675" s="2" t="s">
        <v>675</v>
      </c>
      <c r="B675" s="4" t="str">
        <f>HYPERLINK("http://www.jungheinrich.com","www.jungheinrich.com")</f>
        <v>www.jungheinrich.com</v>
      </c>
    </row>
    <row r="676" spans="1:2" x14ac:dyDescent="0.3">
      <c r="A676" s="2" t="s">
        <v>676</v>
      </c>
      <c r="B676" s="4" t="str">
        <f>HYPERLINK("http://www.jvaxig.com","www.jvaxig.com")</f>
        <v>www.jvaxig.com</v>
      </c>
    </row>
    <row r="677" spans="1:2" x14ac:dyDescent="0.3">
      <c r="A677" s="3" t="s">
        <v>677</v>
      </c>
      <c r="B677" s="5" t="str">
        <f>HYPERLINK("http://www.k20fund.com","www.k20fund.com")</f>
        <v>www.k20fund.com</v>
      </c>
    </row>
    <row r="678" spans="1:2" x14ac:dyDescent="0.3">
      <c r="A678" s="2" t="s">
        <v>678</v>
      </c>
      <c r="B678" s="4" t="str">
        <f>HYPERLINK("http://www.k5global.com","www.k5global.com")</f>
        <v>www.k5global.com</v>
      </c>
    </row>
    <row r="679" spans="1:2" x14ac:dyDescent="0.3">
      <c r="A679" s="3" t="s">
        <v>679</v>
      </c>
      <c r="B679" s="5" t="str">
        <f>HYPERLINK("http://www.kairosventures.com","www.kairosventures.com")</f>
        <v>www.kairosventures.com</v>
      </c>
    </row>
    <row r="680" spans="1:2" x14ac:dyDescent="0.3">
      <c r="A680" s="3" t="s">
        <v>680</v>
      </c>
      <c r="B680" s="5" t="str">
        <f>HYPERLINK("http://katapult.vc","katapult.vc")</f>
        <v>katapult.vc</v>
      </c>
    </row>
    <row r="681" spans="1:2" x14ac:dyDescent="0.3">
      <c r="A681" s="2" t="s">
        <v>681</v>
      </c>
      <c r="B681" s="4" t="str">
        <f>HYPERLINK("http://katapultocean.com","katapultocean.com")</f>
        <v>katapultocean.com</v>
      </c>
    </row>
    <row r="682" spans="1:2" x14ac:dyDescent="0.3">
      <c r="A682" s="2" t="s">
        <v>682</v>
      </c>
      <c r="B682" s="4" t="str">
        <f>HYPERLINK("http://www.kdvcapital.com","www.kdvcapital.com")</f>
        <v>www.kdvcapital.com</v>
      </c>
    </row>
    <row r="683" spans="1:2" x14ac:dyDescent="0.3">
      <c r="A683" s="2" t="s">
        <v>683</v>
      </c>
      <c r="B683" s="4" t="str">
        <f>HYPERLINK("http://www.kerry.com","www.kerry.com")</f>
        <v>www.kerry.com</v>
      </c>
    </row>
    <row r="684" spans="1:2" x14ac:dyDescent="0.3">
      <c r="A684" s="2" t="s">
        <v>684</v>
      </c>
      <c r="B684" s="4" t="str">
        <f>HYPERLINK("http://www.keybe.us","www.keybe.us")</f>
        <v>www.keybe.us</v>
      </c>
    </row>
    <row r="685" spans="1:2" x14ac:dyDescent="0.3">
      <c r="A685" s="3" t="s">
        <v>685</v>
      </c>
      <c r="B685" s="5" t="str">
        <f>HYPERLINK("http://www.keyrus.com","www.keyrus.com")</f>
        <v>www.keyrus.com</v>
      </c>
    </row>
    <row r="686" spans="1:2" x14ac:dyDescent="0.3">
      <c r="A686" s="2" t="s">
        <v>686</v>
      </c>
      <c r="B686" s="4" t="str">
        <f>HYPERLINK("http://www.kfund.vc","www.kfund.vc")</f>
        <v>www.kfund.vc</v>
      </c>
    </row>
    <row r="687" spans="1:2" x14ac:dyDescent="0.3">
      <c r="A687" s="3" t="s">
        <v>687</v>
      </c>
      <c r="B687" s="5" t="str">
        <f>HYPERLINK("http://www.khiron.ca","www.khiron.ca")</f>
        <v>www.khiron.ca</v>
      </c>
    </row>
    <row r="688" spans="1:2" x14ac:dyDescent="0.3">
      <c r="A688" s="3" t="s">
        <v>688</v>
      </c>
      <c r="B688" s="5" t="str">
        <f>HYPERLINK("http://www.kinderhookpartners.com","www.kinderhookpartners.com")</f>
        <v>www.kinderhookpartners.com</v>
      </c>
    </row>
    <row r="689" spans="1:2" x14ac:dyDescent="0.3">
      <c r="A689" s="2" t="s">
        <v>689</v>
      </c>
      <c r="B689" s="4" t="str">
        <f>HYPERLINK("http://www.kingspangroup.com","www.kingspangroup.com")</f>
        <v>www.kingspangroup.com</v>
      </c>
    </row>
    <row r="690" spans="1:2" x14ac:dyDescent="0.3">
      <c r="A690" s="3" t="s">
        <v>690</v>
      </c>
      <c r="B690" s="5" t="str">
        <f>HYPERLINK("http://www.kinross.com","www.kinross.com")</f>
        <v>www.kinross.com</v>
      </c>
    </row>
    <row r="691" spans="1:2" x14ac:dyDescent="0.3">
      <c r="A691" s="2" t="s">
        <v>691</v>
      </c>
      <c r="B691" s="4" t="str">
        <f>HYPERLINK("http://kiruna.com.co/inicio","kiruna.com.co/inicio")</f>
        <v>kiruna.com.co/inicio</v>
      </c>
    </row>
    <row r="692" spans="1:2" x14ac:dyDescent="0.3">
      <c r="A692" s="2" t="s">
        <v>692</v>
      </c>
      <c r="B692" s="4" t="str">
        <f>HYPERLINK("http://www.vopak.com","www.vopak.com")</f>
        <v>www.vopak.com</v>
      </c>
    </row>
    <row r="693" spans="1:2" x14ac:dyDescent="0.3">
      <c r="A693" s="3" t="s">
        <v>693</v>
      </c>
      <c r="B693" s="5" t="str">
        <f>HYPERLINK("http://www.kraftheinzcompany.com","www.kraftheinzcompany.com")</f>
        <v>www.kraftheinzcompany.com</v>
      </c>
    </row>
    <row r="694" spans="1:2" x14ac:dyDescent="0.3">
      <c r="A694" s="3" t="s">
        <v>694</v>
      </c>
      <c r="B694" s="5" t="str">
        <f>HYPERLINK("http://www.kronosvc.com","www.kronosvc.com")</f>
        <v>www.kronosvc.com</v>
      </c>
    </row>
    <row r="695" spans="1:2" x14ac:dyDescent="0.3">
      <c r="A695" s="2" t="s">
        <v>695</v>
      </c>
      <c r="B695" s="4" t="str">
        <f>HYPERLINK("http://www.ksfimpact.org","www.ksfimpact.org")</f>
        <v>www.ksfimpact.org</v>
      </c>
    </row>
    <row r="696" spans="1:2" x14ac:dyDescent="0.3">
      <c r="A696" s="2" t="s">
        <v>696</v>
      </c>
      <c r="B696" s="4" t="str">
        <f>HYPERLINK("http://kube-ventures.com","kube-ventures.com")</f>
        <v>kube-ventures.com</v>
      </c>
    </row>
    <row r="697" spans="1:2" x14ac:dyDescent="0.3">
      <c r="A697" s="3" t="s">
        <v>697</v>
      </c>
      <c r="B697" s="5" t="str">
        <f>HYPERLINK("http://www.kuehne-nagel.com","www.kuehne-nagel.com")</f>
        <v>www.kuehne-nagel.com</v>
      </c>
    </row>
    <row r="698" spans="1:2" x14ac:dyDescent="0.3">
      <c r="A698" s="2" t="s">
        <v>698</v>
      </c>
      <c r="B698" s="4" t="str">
        <f>HYPERLINK("http://www.kuepaedutech.com","www.kuepaedutech.com")</f>
        <v>www.kuepaedutech.com</v>
      </c>
    </row>
    <row r="699" spans="1:2" x14ac:dyDescent="0.3">
      <c r="A699" s="3" t="s">
        <v>699</v>
      </c>
      <c r="B699" s="5" t="str">
        <f>HYPERLINK("http://www.kyotomotors.com.co","www.kyotomotors.com.co")</f>
        <v>www.kyotomotors.com.co</v>
      </c>
    </row>
    <row r="700" spans="1:2" x14ac:dyDescent="0.3">
      <c r="A700" s="2" t="s">
        <v>700</v>
      </c>
      <c r="B700" s="4" t="str">
        <f>HYPERLINK("http://www.lcattertonasia.com","www.lcattertonasia.com")</f>
        <v>www.lcattertonasia.com</v>
      </c>
    </row>
    <row r="701" spans="1:2" x14ac:dyDescent="0.3">
      <c r="A701" s="2" t="s">
        <v>701</v>
      </c>
      <c r="B701" s="4" t="str">
        <f>HYPERLINK("http://www.labventures.co","www.labventures.co")</f>
        <v>www.labventures.co</v>
      </c>
    </row>
    <row r="702" spans="1:2" x14ac:dyDescent="0.3">
      <c r="A702" s="3" t="s">
        <v>702</v>
      </c>
      <c r="B702" s="5" t="str">
        <f>HYPERLINK("http://www.ecar.com.co","www.ecar.com.co")</f>
        <v>www.ecar.com.co</v>
      </c>
    </row>
    <row r="703" spans="1:2" x14ac:dyDescent="0.3">
      <c r="A703" s="2" t="s">
        <v>703</v>
      </c>
      <c r="B703" s="4" t="str">
        <f>HYPERLINK("http://www.lanzadera.es","www.lanzadera.es")</f>
        <v>www.lanzadera.es</v>
      </c>
    </row>
    <row r="704" spans="1:2" x14ac:dyDescent="0.3">
      <c r="A704" s="3" t="s">
        <v>704</v>
      </c>
      <c r="B704" s="5" t="str">
        <f>HYPERLINK("http://www.latamairlines.com","www.latamairlines.com")</f>
        <v>www.latamairlines.com</v>
      </c>
    </row>
    <row r="705" spans="1:2" x14ac:dyDescent="0.3">
      <c r="A705" s="2" t="s">
        <v>705</v>
      </c>
      <c r="B705" s="4" t="str">
        <f>HYPERLINK("http://lateralfrontiers.com","lateralfrontiers.com")</f>
        <v>lateralfrontiers.com</v>
      </c>
    </row>
    <row r="706" spans="1:2" x14ac:dyDescent="0.3">
      <c r="A706" s="3" t="s">
        <v>706</v>
      </c>
      <c r="B706" s="5" t="str">
        <f>HYPERLINK("http://www.latinia.com","www.latinia.com")</f>
        <v>www.latinia.com</v>
      </c>
    </row>
    <row r="707" spans="1:2" x14ac:dyDescent="0.3">
      <c r="A707" s="2" t="s">
        <v>707</v>
      </c>
      <c r="B707" s="4" t="str">
        <f>HYPERLINK("http://www.latitudeventures.vc","www.latitudeventures.vc")</f>
        <v>www.latitudeventures.vc</v>
      </c>
    </row>
    <row r="708" spans="1:2" x14ac:dyDescent="0.3">
      <c r="A708" s="3" t="s">
        <v>708</v>
      </c>
      <c r="B708" s="5" t="str">
        <f>HYPERLINK("http://www.layla.ai","www.layla.ai")</f>
        <v>www.layla.ai</v>
      </c>
    </row>
    <row r="709" spans="1:2" x14ac:dyDescent="0.3">
      <c r="A709" s="2" t="s">
        <v>709</v>
      </c>
      <c r="B709" s="4" t="str">
        <f>HYPERLINK("http://www.ldacap.com","www.ldacap.com")</f>
        <v>www.ldacap.com</v>
      </c>
    </row>
    <row r="710" spans="1:2" x14ac:dyDescent="0.3">
      <c r="A710" s="3" t="s">
        <v>710</v>
      </c>
      <c r="B710" s="5" t="str">
        <f>HYPERLINK("http://www.lead.vc","www.lead.vc")</f>
        <v>www.lead.vc</v>
      </c>
    </row>
    <row r="711" spans="1:2" x14ac:dyDescent="0.3">
      <c r="A711" s="2" t="s">
        <v>711</v>
      </c>
      <c r="B711" s="4" t="str">
        <f>HYPERLINK("http://leadingcities.org","leadingcities.org")</f>
        <v>leadingcities.org</v>
      </c>
    </row>
    <row r="712" spans="1:2" x14ac:dyDescent="0.3">
      <c r="A712" s="3" t="s">
        <v>712</v>
      </c>
      <c r="B712" s="5" t="str">
        <f>HYPERLINK("http://www.leapglobalpartners.com","www.leapglobalpartners.com")</f>
        <v>www.leapglobalpartners.com</v>
      </c>
    </row>
    <row r="713" spans="1:2" x14ac:dyDescent="0.3">
      <c r="A713" s="2" t="s">
        <v>713</v>
      </c>
      <c r="B713" s="4" t="str">
        <f>HYPERLINK("http://www.leapfrogs.lu.se","www.leapfrogs.lu.se")</f>
        <v>www.leapfrogs.lu.se</v>
      </c>
    </row>
    <row r="714" spans="1:2" x14ac:dyDescent="0.3">
      <c r="A714" s="3" t="s">
        <v>714</v>
      </c>
      <c r="B714" s="5" t="str">
        <f>HYPERLINK("http://www.legrandgroup.com","www.legrandgroup.com")</f>
        <v>www.legrandgroup.com</v>
      </c>
    </row>
    <row r="715" spans="1:2" x14ac:dyDescent="0.3">
      <c r="A715" s="3" t="s">
        <v>715</v>
      </c>
      <c r="B715" s="5" t="str">
        <f>HYPERLINK("http://www.lenuscp.com","www.lenuscp.com")</f>
        <v>www.lenuscp.com</v>
      </c>
    </row>
    <row r="716" spans="1:2" x14ac:dyDescent="0.3">
      <c r="A716" s="3" t="s">
        <v>716</v>
      </c>
      <c r="B716" s="5" t="str">
        <f>HYPERLINK("http://www.lesaffre.com","www.lesaffre.com")</f>
        <v>www.lesaffre.com</v>
      </c>
    </row>
    <row r="717" spans="1:2" x14ac:dyDescent="0.3">
      <c r="A717" s="2" t="s">
        <v>717</v>
      </c>
      <c r="B717" s="4" t="str">
        <f>HYPERLINK("http://www.leschaco.com","www.leschaco.com")</f>
        <v>www.leschaco.com</v>
      </c>
    </row>
    <row r="718" spans="1:2" x14ac:dyDescent="0.3">
      <c r="A718" s="3" t="s">
        <v>718</v>
      </c>
      <c r="B718" s="5" t="str">
        <f>HYPERLINK("http://www.levelsup.ventures","www.levelsup.ventures")</f>
        <v>www.levelsup.ventures</v>
      </c>
    </row>
    <row r="719" spans="1:2" x14ac:dyDescent="0.3">
      <c r="A719" s="2" t="s">
        <v>719</v>
      </c>
      <c r="B719" s="4" t="str">
        <f>HYPERLINK("http://www.levistrauss.com","www.levistrauss.com")</f>
        <v>www.levistrauss.com</v>
      </c>
    </row>
    <row r="720" spans="1:2" x14ac:dyDescent="0.3">
      <c r="A720" s="3" t="s">
        <v>720</v>
      </c>
      <c r="B720" s="5" t="str">
        <f>HYPERLINK("http://www.lgt-europeancapital.com","www.lgt-europeancapital.com")</f>
        <v>www.lgt-europeancapital.com</v>
      </c>
    </row>
    <row r="721" spans="1:2" x14ac:dyDescent="0.3">
      <c r="A721" s="2" t="s">
        <v>721</v>
      </c>
      <c r="B721" s="4" t="str">
        <f>HYPERLINK("http://www.lhoist.com","www.lhoist.com")</f>
        <v>www.lhoist.com</v>
      </c>
    </row>
    <row r="722" spans="1:2" x14ac:dyDescent="0.3">
      <c r="A722" s="3" t="s">
        <v>722</v>
      </c>
      <c r="B722" s="5" t="str">
        <f>HYPERLINK("http://www.liberocopper.com","www.liberocopper.com")</f>
        <v>www.liberocopper.com</v>
      </c>
    </row>
    <row r="723" spans="1:2" x14ac:dyDescent="0.3">
      <c r="A723" s="2" t="s">
        <v>723</v>
      </c>
      <c r="B723" s="4" t="str">
        <f>HYPERLINK("http://www.libertymutual.com","www.libertymutual.com")</f>
        <v>www.libertymutual.com</v>
      </c>
    </row>
    <row r="724" spans="1:2" x14ac:dyDescent="0.3">
      <c r="A724" s="3" t="s">
        <v>724</v>
      </c>
      <c r="B724" s="5" t="str">
        <f>HYPERLINK("http://liderholding.com.tr","liderholding.com.tr")</f>
        <v>liderholding.com.tr</v>
      </c>
    </row>
    <row r="725" spans="1:2" x14ac:dyDescent="0.3">
      <c r="A725" s="2" t="s">
        <v>725</v>
      </c>
      <c r="B725" s="4" t="str">
        <f>HYPERLINK("http://www.lsvp.com","www.lsvp.com")</f>
        <v>www.lsvp.com</v>
      </c>
    </row>
    <row r="726" spans="1:2" x14ac:dyDescent="0.3">
      <c r="A726" s="3" t="s">
        <v>726</v>
      </c>
      <c r="B726" s="5" t="str">
        <f>HYPERLINK("http://www.liil.city","www.liil.city")</f>
        <v>www.liil.city</v>
      </c>
    </row>
    <row r="727" spans="1:2" x14ac:dyDescent="0.3">
      <c r="A727" s="2" t="s">
        <v>727</v>
      </c>
      <c r="B727" s="4" t="str">
        <f>HYPERLINK("http://www.linde.com","www.linde.com")</f>
        <v>www.linde.com</v>
      </c>
    </row>
    <row r="728" spans="1:2" x14ac:dyDescent="0.3">
      <c r="A728" s="3" t="s">
        <v>728</v>
      </c>
      <c r="B728" s="5" t="str">
        <f>HYPERLINK("http://www.linden3.com","www.linden3.com")</f>
        <v>www.linden3.com</v>
      </c>
    </row>
    <row r="729" spans="1:2" x14ac:dyDescent="0.3">
      <c r="A729" s="3" t="s">
        <v>729</v>
      </c>
      <c r="B729" s="5" t="str">
        <f>HYPERLINK("http://www.lisbon-challenge.com","www.lisbon-challenge.com")</f>
        <v>www.lisbon-challenge.com</v>
      </c>
    </row>
    <row r="730" spans="1:2" x14ac:dyDescent="0.3">
      <c r="A730" s="2" t="s">
        <v>730</v>
      </c>
      <c r="B730" s="4" t="str">
        <f>HYPERLINK("http://www.livenationentertainment.com","www.livenationentertainment.com")</f>
        <v>www.livenationentertainment.com</v>
      </c>
    </row>
    <row r="731" spans="1:2" x14ac:dyDescent="0.3">
      <c r="A731" s="3" t="s">
        <v>731</v>
      </c>
      <c r="B731" s="5" t="str">
        <f>HYPERLINK("http://www.liwa.co","www.liwa.co")</f>
        <v>www.liwa.co</v>
      </c>
    </row>
    <row r="732" spans="1:2" x14ac:dyDescent="0.3">
      <c r="A732" s="2" t="s">
        <v>732</v>
      </c>
      <c r="B732" s="4" t="str">
        <f>HYPERLINK("http://www.lngenergygroup.com","www.lngenergygroup.com")</f>
        <v>www.lngenergygroup.com</v>
      </c>
    </row>
    <row r="733" spans="1:2" x14ac:dyDescent="0.3">
      <c r="A733" s="3" t="s">
        <v>733</v>
      </c>
      <c r="B733" s="5" t="str">
        <f>HYPERLINK("http://www.loggro.com","www.loggro.com")</f>
        <v>www.loggro.com</v>
      </c>
    </row>
    <row r="734" spans="1:2" x14ac:dyDescent="0.3">
      <c r="A734" s="3" t="s">
        <v>734</v>
      </c>
      <c r="B734" s="5" t="str">
        <f>HYPERLINK("http://www.longitudecapital.com","www.longitudecapital.com")</f>
        <v>www.longitudecapital.com</v>
      </c>
    </row>
    <row r="735" spans="1:2" x14ac:dyDescent="0.3">
      <c r="A735" s="2" t="s">
        <v>735</v>
      </c>
      <c r="B735" s="4" t="str">
        <f>HYPERLINK("http://www.lookersplc.com","www.lookersplc.com")</f>
        <v>www.lookersplc.com</v>
      </c>
    </row>
    <row r="736" spans="1:2" x14ac:dyDescent="0.3">
      <c r="A736" s="3" t="s">
        <v>736</v>
      </c>
      <c r="B736" s="5" t="str">
        <f>HYPERLINK("http://www.losagroup.co","www.losagroup.co")</f>
        <v>www.losagroup.co</v>
      </c>
    </row>
    <row r="737" spans="1:2" x14ac:dyDescent="0.3">
      <c r="A737" s="2" t="s">
        <v>737</v>
      </c>
      <c r="B737" s="4" t="str">
        <f>HYPERLINK("http://www.hune.com","www.hune.com")</f>
        <v>www.hune.com</v>
      </c>
    </row>
    <row r="738" spans="1:2" x14ac:dyDescent="0.3">
      <c r="A738" s="3" t="s">
        <v>738</v>
      </c>
      <c r="B738" s="5" t="str">
        <f>HYPERLINK("http://www.lundbeckfonden.com","www.lundbeckfonden.com")</f>
        <v>www.lundbeckfonden.com</v>
      </c>
    </row>
    <row r="739" spans="1:2" x14ac:dyDescent="0.3">
      <c r="A739" s="2" t="s">
        <v>739</v>
      </c>
      <c r="B739" s="4" t="str">
        <f>HYPERLINK("http://www.lupacapital.com.br","www.lupacapital.com.br")</f>
        <v>www.lupacapital.com.br</v>
      </c>
    </row>
    <row r="740" spans="1:2" x14ac:dyDescent="0.3">
      <c r="A740" s="2" t="s">
        <v>740</v>
      </c>
      <c r="B740" s="4" t="str">
        <f>HYPERLINK("http://www.lxinternational.com","www.lxinternational.com")</f>
        <v>www.lxinternational.com</v>
      </c>
    </row>
    <row r="741" spans="1:2" x14ac:dyDescent="0.3">
      <c r="A741" s="3" t="s">
        <v>741</v>
      </c>
      <c r="B741" s="5" t="str">
        <f>HYPERLINK("http://www.mandacap.com","www.mandacap.com")</f>
        <v>www.mandacap.com</v>
      </c>
    </row>
    <row r="742" spans="1:2" x14ac:dyDescent="0.3">
      <c r="A742" s="2" t="s">
        <v>742</v>
      </c>
      <c r="B742" s="4" t="str">
        <f>HYPERLINK("http://www.retreat.startupmadeira.eu","www.retreat.startupmadeira.eu")</f>
        <v>www.retreat.startupmadeira.eu</v>
      </c>
    </row>
    <row r="743" spans="1:2" x14ac:dyDescent="0.3">
      <c r="A743" s="3" t="s">
        <v>743</v>
      </c>
      <c r="B743" s="5" t="str">
        <f>HYPERLINK("http://www.mge.com","www.mge.com")</f>
        <v>www.mge.com</v>
      </c>
    </row>
    <row r="744" spans="1:2" x14ac:dyDescent="0.3">
      <c r="A744" s="2" t="s">
        <v>744</v>
      </c>
      <c r="B744" s="4" t="str">
        <f>HYPERLINK("http://www.magnumpartners.com","www.magnumpartners.com")</f>
        <v>www.magnumpartners.com</v>
      </c>
    </row>
    <row r="745" spans="1:2" x14ac:dyDescent="0.3">
      <c r="A745" s="3" t="s">
        <v>745</v>
      </c>
      <c r="B745" s="5" t="str">
        <f>HYPERLINK("http://www.majinvest.com","www.majinvest.com")</f>
        <v>www.majinvest.com</v>
      </c>
    </row>
    <row r="746" spans="1:2" x14ac:dyDescent="0.3">
      <c r="A746" s="2" t="s">
        <v>746</v>
      </c>
      <c r="B746" s="4" t="str">
        <f>HYPERLINK("http://www.man-capital.com","www.man-capital.com")</f>
        <v>www.man-capital.com</v>
      </c>
    </row>
    <row r="747" spans="1:2" x14ac:dyDescent="0.3">
      <c r="A747" s="3" t="s">
        <v>747</v>
      </c>
      <c r="B747" s="5" t="str">
        <f>HYPERLINK("http://www.manaventures.vc","www.manaventures.vc")</f>
        <v>www.manaventures.vc</v>
      </c>
    </row>
    <row r="748" spans="1:2" x14ac:dyDescent="0.3">
      <c r="A748" s="2" t="s">
        <v>748</v>
      </c>
      <c r="B748" s="4" t="str">
        <f>HYPERLINK("http://mandeep.co.uk","mandeep.co.uk")</f>
        <v>mandeep.co.uk</v>
      </c>
    </row>
    <row r="749" spans="1:2" x14ac:dyDescent="0.3">
      <c r="A749" s="3" t="s">
        <v>749</v>
      </c>
      <c r="B749" s="5" t="str">
        <f>HYPERLINK("http://www.mango.vc","www.mango.vc")</f>
        <v>www.mango.vc</v>
      </c>
    </row>
    <row r="750" spans="1:2" x14ac:dyDescent="0.3">
      <c r="A750" s="2" t="s">
        <v>750</v>
      </c>
      <c r="B750" s="4" t="str">
        <f>HYPERLINK("http://www.manosaccelerator.com","www.manosaccelerator.com")</f>
        <v>www.manosaccelerator.com</v>
      </c>
    </row>
    <row r="751" spans="1:2" x14ac:dyDescent="0.3">
      <c r="A751" s="3" t="s">
        <v>751</v>
      </c>
      <c r="B751" s="5" t="str">
        <f>HYPERLINK("http://www.mantisvc.com","www.mantisvc.com")</f>
        <v>www.mantisvc.com</v>
      </c>
    </row>
    <row r="752" spans="1:2" x14ac:dyDescent="0.3">
      <c r="A752" s="3" t="s">
        <v>752</v>
      </c>
      <c r="B752" s="5" t="str">
        <f>HYPERLINK("http://www.manufactura.com.co","www.manufactura.com.co")</f>
        <v>www.manufactura.com.co</v>
      </c>
    </row>
    <row r="753" spans="1:2" x14ac:dyDescent="0.3">
      <c r="A753" s="2" t="s">
        <v>753</v>
      </c>
      <c r="B753" s="4" t="str">
        <f>HYPERLINK("http://www.manutaraventures.com","www.manutaraventures.com")</f>
        <v>www.manutaraventures.com</v>
      </c>
    </row>
    <row r="754" spans="1:2" x14ac:dyDescent="0.3">
      <c r="A754" s="3" t="s">
        <v>754</v>
      </c>
      <c r="B754" s="5" t="str">
        <f>HYPERLINK("http://www.maquet.com","www.maquet.com")</f>
        <v>www.maquet.com</v>
      </c>
    </row>
    <row r="755" spans="1:2" x14ac:dyDescent="0.3">
      <c r="A755" s="2" t="s">
        <v>755</v>
      </c>
      <c r="B755" s="4" t="str">
        <f>HYPERLINK("http://www.marcomarinucci.com","www.marcomarinucci.com")</f>
        <v>www.marcomarinucci.com</v>
      </c>
    </row>
    <row r="756" spans="1:2" x14ac:dyDescent="0.3">
      <c r="A756" s="2" t="s">
        <v>756</v>
      </c>
      <c r="B756" s="4" t="str">
        <f>HYPERLINK("http://martifer.pt","martifer.pt")</f>
        <v>martifer.pt</v>
      </c>
    </row>
    <row r="757" spans="1:2" x14ac:dyDescent="0.3">
      <c r="A757" s="2" t="s">
        <v>757</v>
      </c>
      <c r="B757" s="4" t="str">
        <f>HYPERLINK("http://www.marubeni.com","www.marubeni.com")</f>
        <v>www.marubeni.com</v>
      </c>
    </row>
    <row r="758" spans="1:2" x14ac:dyDescent="0.3">
      <c r="A758" s="3" t="s">
        <v>758</v>
      </c>
      <c r="B758" s="5" t="str">
        <f>HYPERLINK("http://masvalor.com.mx","masvalor.com.mx")</f>
        <v>masvalor.com.mx</v>
      </c>
    </row>
    <row r="759" spans="1:2" x14ac:dyDescent="0.3">
      <c r="A759" s="2" t="s">
        <v>759</v>
      </c>
      <c r="B759" s="4" t="str">
        <f>HYPERLINK("http://www.massaffectventures.com","www.massaffectventures.com")</f>
        <v>www.massaffectventures.com</v>
      </c>
    </row>
    <row r="760" spans="1:2" x14ac:dyDescent="0.3">
      <c r="A760" s="3" t="s">
        <v>760</v>
      </c>
      <c r="B760" s="5" t="str">
        <f>HYPERLINK("http://www.massygroup.com","www.massygroup.com")</f>
        <v>www.massygroup.com</v>
      </c>
    </row>
    <row r="761" spans="1:2" x14ac:dyDescent="0.3">
      <c r="A761" s="2" t="s">
        <v>761</v>
      </c>
      <c r="B761" s="4" t="str">
        <f>HYPERLINK("http://www.massymotors.com","www.massymotors.com")</f>
        <v>www.massymotors.com</v>
      </c>
    </row>
    <row r="762" spans="1:2" x14ac:dyDescent="0.3">
      <c r="A762" s="3" t="s">
        <v>762</v>
      </c>
      <c r="B762" s="5" t="str">
        <f>HYPERLINK("http://masterpaintspr.com","masterpaintspr.com")</f>
        <v>masterpaintspr.com</v>
      </c>
    </row>
    <row r="763" spans="1:2" x14ac:dyDescent="0.3">
      <c r="A763" s="3" t="s">
        <v>763</v>
      </c>
      <c r="B763" s="5" t="str">
        <f>HYPERLINK("http://www.matlinpatterson.com","www.matlinpatterson.com")</f>
        <v>www.matlinpatterson.com</v>
      </c>
    </row>
    <row r="764" spans="1:2" x14ac:dyDescent="0.3">
      <c r="A764" s="3" t="s">
        <v>764</v>
      </c>
      <c r="B764" s="5" t="str">
        <f>HYPERLINK("http://www.maureletprom.fr","www.maureletprom.fr")</f>
        <v>www.maureletprom.fr</v>
      </c>
    </row>
    <row r="765" spans="1:2" x14ac:dyDescent="0.3">
      <c r="A765" s="3" t="s">
        <v>765</v>
      </c>
      <c r="B765" s="5" t="str">
        <f>HYPERLINK("http://www.maya-cap.com","www.maya-cap.com")</f>
        <v>www.maya-cap.com</v>
      </c>
    </row>
    <row r="766" spans="1:2" x14ac:dyDescent="0.3">
      <c r="A766" s="3" t="s">
        <v>766</v>
      </c>
      <c r="B766" s="5" t="str">
        <f>HYPERLINK("http://www.mccain.com","www.mccain.com")</f>
        <v>www.mccain.com</v>
      </c>
    </row>
    <row r="767" spans="1:2" x14ac:dyDescent="0.3">
      <c r="A767" s="3" t="s">
        <v>767</v>
      </c>
      <c r="B767" s="5" t="str">
        <f>HYPERLINK("http://medianetpartners.com","medianetpartners.com")</f>
        <v>medianetpartners.com</v>
      </c>
    </row>
    <row r="768" spans="1:2" x14ac:dyDescent="0.3">
      <c r="A768" s="2" t="s">
        <v>768</v>
      </c>
      <c r="B768" s="4" t="str">
        <f>HYPERLINK("http://www.medicalpropertiestrust.com","www.medicalpropertiestrust.com")</f>
        <v>www.medicalpropertiestrust.com</v>
      </c>
    </row>
    <row r="769" spans="1:2" x14ac:dyDescent="0.3">
      <c r="A769" s="3" t="s">
        <v>769</v>
      </c>
      <c r="B769" s="5" t="str">
        <f>HYPERLINK("http://www.medifarma.com.pe","www.medifarma.com.pe")</f>
        <v>www.medifarma.com.pe</v>
      </c>
    </row>
    <row r="770" spans="1:2" x14ac:dyDescent="0.3">
      <c r="A770" s="2" t="s">
        <v>770</v>
      </c>
      <c r="B770" s="4" t="str">
        <f>HYPERLINK("http://www.medreleaf.com","www.medreleaf.com")</f>
        <v>www.medreleaf.com</v>
      </c>
    </row>
    <row r="771" spans="1:2" x14ac:dyDescent="0.3">
      <c r="A771" s="3" t="s">
        <v>771</v>
      </c>
      <c r="B771" s="5" t="str">
        <f>HYPERLINK("http://www.megatelecom.tech","www.megatelecom.tech")</f>
        <v>www.megatelecom.tech</v>
      </c>
    </row>
    <row r="772" spans="1:2" x14ac:dyDescent="0.3">
      <c r="A772" s="2" t="s">
        <v>772</v>
      </c>
      <c r="B772" s="4" t="str">
        <f>HYPERLINK("http://www.melodiolglobalhealth.com","www.melodiolglobalhealth.com")</f>
        <v>www.melodiolglobalhealth.com</v>
      </c>
    </row>
    <row r="773" spans="1:2" x14ac:dyDescent="0.3">
      <c r="A773" s="3" t="s">
        <v>773</v>
      </c>
      <c r="B773" s="5" t="str">
        <f>HYPERLINK("http://www.meda.org","www.meda.org")</f>
        <v>www.meda.org</v>
      </c>
    </row>
    <row r="774" spans="1:2" x14ac:dyDescent="0.3">
      <c r="A774" s="2" t="s">
        <v>774</v>
      </c>
      <c r="B774" s="4" t="str">
        <f>HYPERLINK("http://www.mentelinvests.com","www.mentelinvests.com")</f>
        <v>www.mentelinvests.com</v>
      </c>
    </row>
    <row r="775" spans="1:2" x14ac:dyDescent="0.3">
      <c r="A775" s="3" t="s">
        <v>775</v>
      </c>
      <c r="B775" s="5" t="str">
        <f>HYPERLINK("http://www.mercadolibre.com","www.mercadolibre.com")</f>
        <v>www.mercadolibre.com</v>
      </c>
    </row>
    <row r="776" spans="1:2" x14ac:dyDescent="0.3">
      <c r="A776" s="2" t="s">
        <v>776</v>
      </c>
      <c r="B776" s="4" t="str">
        <f>HYPERLINK("http://www.merieux-partners.com","www.merieux-partners.com")</f>
        <v>www.merieux-partners.com</v>
      </c>
    </row>
    <row r="777" spans="1:2" x14ac:dyDescent="0.3">
      <c r="A777" s="3" t="s">
        <v>777</v>
      </c>
      <c r="B777" s="5" t="str">
        <f>HYPERLINK("http://www.merieuxnutrisciences.com","www.merieuxnutrisciences.com")</f>
        <v>www.merieuxnutrisciences.com</v>
      </c>
    </row>
    <row r="778" spans="1:2" x14ac:dyDescent="0.3">
      <c r="A778" s="2" t="s">
        <v>778</v>
      </c>
      <c r="B778" s="4" t="str">
        <f>HYPERLINK("http://www.merqueo.com","www.merqueo.com")</f>
        <v>www.merqueo.com</v>
      </c>
    </row>
    <row r="779" spans="1:2" x14ac:dyDescent="0.3">
      <c r="A779" s="3" t="s">
        <v>779</v>
      </c>
      <c r="B779" s="5" t="str">
        <f>HYPERLINK("http://www.ml.com","www.ml.com")</f>
        <v>www.ml.com</v>
      </c>
    </row>
    <row r="780" spans="1:2" x14ac:dyDescent="0.3">
      <c r="A780" s="3" t="s">
        <v>780</v>
      </c>
      <c r="B780" s="5" t="str">
        <f>HYPERLINK("http://metfund.co","metfund.co")</f>
        <v>metfund.co</v>
      </c>
    </row>
    <row r="781" spans="1:2" x14ac:dyDescent="0.3">
      <c r="A781" s="2" t="s">
        <v>781</v>
      </c>
      <c r="B781" s="4" t="str">
        <f>HYPERLINK("http://www.metalprobistrita.ro","www.metalprobistrita.ro")</f>
        <v>www.metalprobistrita.ro</v>
      </c>
    </row>
    <row r="782" spans="1:2" x14ac:dyDescent="0.3">
      <c r="A782" s="3" t="s">
        <v>782</v>
      </c>
      <c r="B782" s="5" t="str">
        <f>HYPERLINK("http://www.metaprop.com","www.metaprop.com")</f>
        <v>www.metaprop.com</v>
      </c>
    </row>
    <row r="783" spans="1:2" x14ac:dyDescent="0.3">
      <c r="A783" s="2" t="s">
        <v>783</v>
      </c>
      <c r="B783" s="4" t="str">
        <f>HYPERLINK("http://www.mexicoinfra.com","www.mexicoinfra.com")</f>
        <v>www.mexicoinfra.com</v>
      </c>
    </row>
    <row r="784" spans="1:2" x14ac:dyDescent="0.3">
      <c r="A784" s="3" t="s">
        <v>784</v>
      </c>
      <c r="B784" s="5" t="str">
        <f>HYPERLINK("http://www.mhventures.io","www.mhventures.io")</f>
        <v>www.mhventures.io</v>
      </c>
    </row>
    <row r="785" spans="1:2" x14ac:dyDescent="0.3">
      <c r="A785" s="3" t="s">
        <v>785</v>
      </c>
      <c r="B785" s="5" t="str">
        <f>HYPERLINK("http://www.michaelsidgmore.com","www.michaelsidgmore.com")</f>
        <v>www.michaelsidgmore.com</v>
      </c>
    </row>
    <row r="786" spans="1:2" x14ac:dyDescent="0.3">
      <c r="A786" s="3" t="s">
        <v>786</v>
      </c>
      <c r="B786" s="5" t="str">
        <f>HYPERLINK("http://www.microblend.com","www.microblend.com")</f>
        <v>www.microblend.com</v>
      </c>
    </row>
    <row r="787" spans="1:2" x14ac:dyDescent="0.3">
      <c r="A787" s="3" t="s">
        <v>787</v>
      </c>
      <c r="B787" s="5" t="str">
        <f>HYPERLINK("http://www.milleniumminerals.com","www.milleniumminerals.com")</f>
        <v>www.milleniumminerals.com</v>
      </c>
    </row>
    <row r="788" spans="1:2" x14ac:dyDescent="0.3">
      <c r="A788" s="3" t="s">
        <v>788</v>
      </c>
      <c r="B788" s="5" t="str">
        <f>HYPERLINK("http://www.mindthebridge.com","www.mindthebridge.com")</f>
        <v>www.mindthebridge.com</v>
      </c>
    </row>
    <row r="789" spans="1:2" x14ac:dyDescent="0.3">
      <c r="A789" s="3" t="s">
        <v>789</v>
      </c>
      <c r="B789" s="5" t="str">
        <f>HYPERLINK("http://www.mineros.com.co","www.mineros.com.co")</f>
        <v>www.mineros.com.co</v>
      </c>
    </row>
    <row r="790" spans="1:2" x14ac:dyDescent="0.3">
      <c r="A790" s="2" t="s">
        <v>790</v>
      </c>
      <c r="B790" s="4" t="str">
        <f>HYPERLINK("http://www.minervacapital.es","www.minervacapital.es")</f>
        <v>www.minervacapital.es</v>
      </c>
    </row>
    <row r="791" spans="1:2" x14ac:dyDescent="0.3">
      <c r="A791" s="3" t="s">
        <v>791</v>
      </c>
      <c r="B791" s="5" t="str">
        <f>HYPERLINK("http://minervafoods.com","minervafoods.com")</f>
        <v>minervafoods.com</v>
      </c>
    </row>
    <row r="792" spans="1:2" x14ac:dyDescent="0.3">
      <c r="A792" s="2" t="s">
        <v>792</v>
      </c>
      <c r="B792" s="4" t="str">
        <f>HYPERLINK("http://minciencias.gov.co","minciencias.gov.co")</f>
        <v>minciencias.gov.co</v>
      </c>
    </row>
    <row r="793" spans="1:2" x14ac:dyDescent="0.3">
      <c r="A793" s="2" t="s">
        <v>793</v>
      </c>
      <c r="B793" s="4" t="str">
        <f>HYPERLINK("http://www.nh-hotels.com","www.nh-hotels.com")</f>
        <v>www.nh-hotels.com</v>
      </c>
    </row>
    <row r="794" spans="1:2" x14ac:dyDescent="0.3">
      <c r="A794" s="3" t="s">
        <v>794</v>
      </c>
      <c r="B794" s="5" t="str">
        <f>HYPERLINK("http://miramarequity.com","miramarequity.com")</f>
        <v>miramarequity.com</v>
      </c>
    </row>
    <row r="795" spans="1:2" x14ac:dyDescent="0.3">
      <c r="A795" s="2" t="s">
        <v>795</v>
      </c>
      <c r="B795" s="4" t="str">
        <f>HYPERLINK("http://gsl.mit.edu","gsl.mit.edu")</f>
        <v>gsl.mit.edu</v>
      </c>
    </row>
    <row r="796" spans="1:2" x14ac:dyDescent="0.3">
      <c r="A796" s="3" t="s">
        <v>796</v>
      </c>
      <c r="B796" s="5" t="str">
        <f>HYPERLINK("http://www.mitsubishicorp.com","www.mitsubishicorp.com")</f>
        <v>www.mitsubishicorp.com</v>
      </c>
    </row>
    <row r="797" spans="1:2" x14ac:dyDescent="0.3">
      <c r="A797" s="3" t="s">
        <v>797</v>
      </c>
      <c r="B797" s="5" t="str">
        <f>HYPERLINK("http://www.modara.es","www.modara.es")</f>
        <v>www.modara.es</v>
      </c>
    </row>
    <row r="798" spans="1:2" x14ac:dyDescent="0.3">
      <c r="A798" s="2" t="s">
        <v>798</v>
      </c>
      <c r="B798" s="4" t="str">
        <f>HYPERLINK("http://www.momentive.com","www.momentive.com")</f>
        <v>www.momentive.com</v>
      </c>
    </row>
    <row r="799" spans="1:2" x14ac:dyDescent="0.3">
      <c r="A799" s="3" t="s">
        <v>799</v>
      </c>
      <c r="B799" s="5" t="str">
        <f>HYPERLINK("http://www.monitorclipper.com","www.monitorclipper.com")</f>
        <v>www.monitorclipper.com</v>
      </c>
    </row>
    <row r="800" spans="1:2" x14ac:dyDescent="0.3">
      <c r="A800" s="2" t="s">
        <v>800</v>
      </c>
      <c r="B800" s="4" t="str">
        <f>HYPERLINK("http://www.moodys.com","www.moodys.com")</f>
        <v>www.moodys.com</v>
      </c>
    </row>
    <row r="801" spans="1:2" x14ac:dyDescent="0.3">
      <c r="A801" s="3" t="s">
        <v>801</v>
      </c>
      <c r="B801" s="5" t="str">
        <f>HYPERLINK("http://www.morpho.com","www.morpho.com")</f>
        <v>www.morpho.com</v>
      </c>
    </row>
    <row r="802" spans="1:2" x14ac:dyDescent="0.3">
      <c r="A802" s="2" t="s">
        <v>802</v>
      </c>
      <c r="B802" s="4" t="str">
        <f>HYPERLINK("http://www.mvmd.com","www.mvmd.com")</f>
        <v>www.mvmd.com</v>
      </c>
    </row>
    <row r="803" spans="1:2" x14ac:dyDescent="0.3">
      <c r="A803" s="3" t="s">
        <v>803</v>
      </c>
      <c r="B803" s="5" t="str">
        <f>HYPERLINK("http://www.movistar.com.co","www.movistar.com.co")</f>
        <v>www.movistar.com.co</v>
      </c>
    </row>
    <row r="804" spans="1:2" x14ac:dyDescent="0.3">
      <c r="A804" s="2" t="s">
        <v>804</v>
      </c>
      <c r="B804" s="4" t="str">
        <f>HYPERLINK("http://www.movl.com","www.movl.com")</f>
        <v>www.movl.com</v>
      </c>
    </row>
    <row r="805" spans="1:2" x14ac:dyDescent="0.3">
      <c r="A805" s="3" t="s">
        <v>805</v>
      </c>
      <c r="B805" s="5" t="str">
        <f>HYPERLINK("http://movtechcapital.com","movtechcapital.com")</f>
        <v>movtechcapital.com</v>
      </c>
    </row>
    <row r="806" spans="1:2" x14ac:dyDescent="0.3">
      <c r="A806" s="2" t="s">
        <v>806</v>
      </c>
      <c r="B806" s="4" t="str">
        <f>HYPERLINK("http://www.mpc-energysolutions.com","www.mpc-energysolutions.com")</f>
        <v>www.mpc-energysolutions.com</v>
      </c>
    </row>
    <row r="807" spans="1:2" x14ac:dyDescent="0.3">
      <c r="A807" s="3" t="s">
        <v>807</v>
      </c>
      <c r="B807" s="5" t="str">
        <f>HYPERLINK("http://www.mpc-capital.com","www.mpc-capital.com")</f>
        <v>www.mpc-capital.com</v>
      </c>
    </row>
    <row r="808" spans="1:2" x14ac:dyDescent="0.3">
      <c r="A808" s="2" t="s">
        <v>808</v>
      </c>
      <c r="B808" s="4" t="str">
        <f>HYPERLINK("http://www.mpgfund.com","www.mpgfund.com")</f>
        <v>www.mpgfund.com</v>
      </c>
    </row>
    <row r="809" spans="1:2" x14ac:dyDescent="0.3">
      <c r="A809" s="3" t="s">
        <v>809</v>
      </c>
      <c r="B809" s="5" t="str">
        <f>HYPERLINK("http://www.mtsfund.co","www.mtsfund.co")</f>
        <v>www.mtsfund.co</v>
      </c>
    </row>
    <row r="810" spans="1:2" x14ac:dyDescent="0.3">
      <c r="A810" s="2" t="s">
        <v>810</v>
      </c>
      <c r="B810" s="4" t="str">
        <f>HYPERLINK("http://www.mubadala.com","www.mubadala.com")</f>
        <v>www.mubadala.com</v>
      </c>
    </row>
    <row r="811" spans="1:2" x14ac:dyDescent="0.3">
      <c r="A811" s="3" t="s">
        <v>811</v>
      </c>
      <c r="B811" s="5" t="str">
        <f>HYPERLINK("http://www.mullen-group.com","www.mullen-group.com")</f>
        <v>www.mullen-group.com</v>
      </c>
    </row>
    <row r="812" spans="1:2" x14ac:dyDescent="0.3">
      <c r="A812" s="3" t="s">
        <v>812</v>
      </c>
      <c r="B812" s="5" t="str">
        <f>HYPERLINK("http://murchinsonltd.com","murchinsonltd.com")</f>
        <v>murchinsonltd.com</v>
      </c>
    </row>
    <row r="813" spans="1:2" x14ac:dyDescent="0.3">
      <c r="A813" s="2" t="s">
        <v>813</v>
      </c>
      <c r="B813" s="4" t="str">
        <f>HYPERLINK("http://murchisonventures.com.ar","murchisonventures.com.ar")</f>
        <v>murchisonventures.com.ar</v>
      </c>
    </row>
    <row r="814" spans="1:2" x14ac:dyDescent="0.3">
      <c r="A814" s="3" t="s">
        <v>814</v>
      </c>
      <c r="B814" s="5" t="str">
        <f>HYPERLINK("http://infucina.com","infucina.com")</f>
        <v>infucina.com</v>
      </c>
    </row>
    <row r="815" spans="1:2" x14ac:dyDescent="0.3">
      <c r="A815" s="2" t="s">
        <v>815</v>
      </c>
      <c r="B815" s="4" t="str">
        <f>HYPERLINK("http://www.grupomutua.es","www.grupomutua.es")</f>
        <v>www.grupomutua.es</v>
      </c>
    </row>
    <row r="816" spans="1:2" x14ac:dyDescent="0.3">
      <c r="A816" s="3" t="s">
        <v>816</v>
      </c>
      <c r="B816" s="5" t="str">
        <f>HYPERLINK("http://www.nailab.co","www.nailab.co")</f>
        <v>www.nailab.co</v>
      </c>
    </row>
    <row r="817" spans="1:2" x14ac:dyDescent="0.3">
      <c r="A817" s="2" t="s">
        <v>817</v>
      </c>
      <c r="B817" s="4" t="str">
        <f>HYPERLINK("http://nationaltruckservice.com","nationaltruckservice.com")</f>
        <v>nationaltruckservice.com</v>
      </c>
    </row>
    <row r="818" spans="1:2" x14ac:dyDescent="0.3">
      <c r="A818" s="2" t="s">
        <v>818</v>
      </c>
      <c r="B818" s="4" t="str">
        <f>HYPERLINK("http://www.neobatterymaterials.com","www.neobatterymaterials.com")</f>
        <v>www.neobatterymaterials.com</v>
      </c>
    </row>
    <row r="819" spans="1:2" x14ac:dyDescent="0.3">
      <c r="A819" s="3" t="s">
        <v>819</v>
      </c>
      <c r="B819" s="5" t="str">
        <f>HYPERLINK("http://www.nestle-nespresso.com","www.nestle-nespresso.com")</f>
        <v>www.nestle-nespresso.com</v>
      </c>
    </row>
    <row r="820" spans="1:2" x14ac:dyDescent="0.3">
      <c r="A820" s="2" t="s">
        <v>820</v>
      </c>
      <c r="B820" s="4" t="str">
        <f>HYPERLINK("http://www.network.vc","www.network.vc")</f>
        <v>www.network.vc</v>
      </c>
    </row>
    <row r="821" spans="1:2" x14ac:dyDescent="0.3">
      <c r="A821" s="3" t="s">
        <v>821</v>
      </c>
      <c r="B821" s="5" t="str">
        <f>HYPERLINK("http://www.neuraldesign.co","www.neuraldesign.co")</f>
        <v>www.neuraldesign.co</v>
      </c>
    </row>
    <row r="822" spans="1:2" x14ac:dyDescent="0.3">
      <c r="A822" s="2" t="s">
        <v>822</v>
      </c>
      <c r="B822" s="4" t="str">
        <f>HYPERLINK("http://www.newstratusenergy.com","www.newstratusenergy.com")</f>
        <v>www.newstratusenergy.com</v>
      </c>
    </row>
    <row r="823" spans="1:2" x14ac:dyDescent="0.3">
      <c r="A823" s="3" t="s">
        <v>823</v>
      </c>
      <c r="B823" s="5" t="str">
        <f>HYPERLINK("http://www.newbridgenetworks.com","www.newbridgenetworks.com")</f>
        <v>www.newbridgenetworks.com</v>
      </c>
    </row>
    <row r="824" spans="1:2" x14ac:dyDescent="0.3">
      <c r="A824" s="2" t="s">
        <v>824</v>
      </c>
      <c r="B824" s="4" t="str">
        <f>HYPERLINK("http://newcannahub.com","newcannahub.com")</f>
        <v>newcannahub.com</v>
      </c>
    </row>
    <row r="825" spans="1:2" x14ac:dyDescent="0.3">
      <c r="A825" s="3" t="s">
        <v>825</v>
      </c>
      <c r="B825" s="5" t="str">
        <f>HYPERLINK("http://www.newlin.vc","www.newlin.vc")</f>
        <v>www.newlin.vc</v>
      </c>
    </row>
    <row r="826" spans="1:2" x14ac:dyDescent="0.3">
      <c r="A826" s="2" t="s">
        <v>826</v>
      </c>
      <c r="B826" s="4" t="str">
        <f>HYPERLINK("http://www.newloxgold.com","www.newloxgold.com")</f>
        <v>www.newloxgold.com</v>
      </c>
    </row>
    <row r="827" spans="1:2" x14ac:dyDescent="0.3">
      <c r="A827" s="3" t="s">
        <v>827</v>
      </c>
      <c r="B827" s="5" t="str">
        <f>HYPERLINK("http://www.newtypeventures.com","www.newtypeventures.com")</f>
        <v>www.newtypeventures.com</v>
      </c>
    </row>
    <row r="828" spans="1:2" x14ac:dyDescent="0.3">
      <c r="A828" s="2" t="s">
        <v>828</v>
      </c>
      <c r="B828" s="4" t="str">
        <f>HYPERLINK("http://nextlegacy.com","nextlegacy.com")</f>
        <v>nextlegacy.com</v>
      </c>
    </row>
    <row r="829" spans="1:2" x14ac:dyDescent="0.3">
      <c r="A829" s="3" t="s">
        <v>829</v>
      </c>
      <c r="B829" s="5" t="str">
        <f>HYPERLINK("http://www.nextventures.co.uk","www.nextventures.co.uk")</f>
        <v>www.nextventures.co.uk</v>
      </c>
    </row>
    <row r="830" spans="1:2" x14ac:dyDescent="0.3">
      <c r="A830" s="3" t="s">
        <v>830</v>
      </c>
      <c r="B830" s="5" t="str">
        <f>HYPERLINK("http://www.nexxuscapital.com","www.nexxuscapital.com")</f>
        <v>www.nexxuscapital.com</v>
      </c>
    </row>
    <row r="831" spans="1:2" x14ac:dyDescent="0.3">
      <c r="A831" s="2" t="s">
        <v>831</v>
      </c>
      <c r="B831" s="4" t="str">
        <f>HYPERLINK("http://www.nibc.com","www.nibc.com")</f>
        <v>www.nibc.com</v>
      </c>
    </row>
    <row r="832" spans="1:2" x14ac:dyDescent="0.3">
      <c r="A832" s="3" t="s">
        <v>832</v>
      </c>
      <c r="B832" s="5" t="str">
        <f>HYPERLINK("http://www.nichino.co.jp","www.nichino.co.jp")</f>
        <v>www.nichino.co.jp</v>
      </c>
    </row>
    <row r="833" spans="1:2" x14ac:dyDescent="0.3">
      <c r="A833" s="3" t="s">
        <v>833</v>
      </c>
      <c r="B833" s="5" t="str">
        <f>HYPERLINK("http://www.nimblegravity.com","www.nimblegravity.com")</f>
        <v>www.nimblegravity.com</v>
      </c>
    </row>
    <row r="834" spans="1:2" x14ac:dyDescent="0.3">
      <c r="A834" s="3" t="s">
        <v>834</v>
      </c>
      <c r="B834" s="5" t="str">
        <f>HYPERLINK("http://www.nomura.com","www.nomura.com")</f>
        <v>www.nomura.com</v>
      </c>
    </row>
    <row r="835" spans="1:2" x14ac:dyDescent="0.3">
      <c r="A835" s="2" t="s">
        <v>835</v>
      </c>
      <c r="B835" s="4" t="str">
        <f>HYPERLINK("http://www.nonceclassic.org","www.nonceclassic.org")</f>
        <v>www.nonceclassic.org</v>
      </c>
    </row>
    <row r="836" spans="1:2" x14ac:dyDescent="0.3">
      <c r="A836" s="3" t="s">
        <v>836</v>
      </c>
      <c r="B836" s="5" t="str">
        <f>HYPERLINK("http://www.nordstar.com","www.nordstar.com")</f>
        <v>www.nordstar.com</v>
      </c>
    </row>
    <row r="837" spans="1:2" x14ac:dyDescent="0.3">
      <c r="A837" s="2" t="s">
        <v>837</v>
      </c>
      <c r="B837" s="4" t="str">
        <f>HYPERLINK("http://www.norfund.no","www.norfund.no")</f>
        <v>www.norfund.no</v>
      </c>
    </row>
    <row r="838" spans="1:2" x14ac:dyDescent="0.3">
      <c r="A838" s="3" t="s">
        <v>838</v>
      </c>
      <c r="B838" s="5" t="str">
        <f>HYPERLINK("http://www.nosaracapital.com","www.nosaracapital.com")</f>
        <v>www.nosaracapital.com</v>
      </c>
    </row>
    <row r="839" spans="1:2" x14ac:dyDescent="0.3">
      <c r="A839" s="3" t="s">
        <v>839</v>
      </c>
      <c r="B839" s="5" t="str">
        <f>HYPERLINK("http://novellacenter.org","novellacenter.org")</f>
        <v>novellacenter.org</v>
      </c>
    </row>
    <row r="840" spans="1:2" x14ac:dyDescent="0.3">
      <c r="A840" s="3" t="s">
        <v>840</v>
      </c>
      <c r="B840" s="5" t="str">
        <f>HYPERLINK("http://www.eawardsspain.es","www.eawardsspain.es")</f>
        <v>www.eawardsspain.es</v>
      </c>
    </row>
    <row r="841" spans="1:2" x14ac:dyDescent="0.3">
      <c r="A841" s="3" t="s">
        <v>841</v>
      </c>
      <c r="B841" s="5" t="str">
        <f>HYPERLINK("http://www.nycomed.com","www.nycomed.com")</f>
        <v>www.nycomed.com</v>
      </c>
    </row>
    <row r="842" spans="1:2" x14ac:dyDescent="0.3">
      <c r="A842" s="2" t="s">
        <v>842</v>
      </c>
      <c r="B842" s="4" t="str">
        <f>HYPERLINK("http://www.oakhcft.com","www.oakhcft.com")</f>
        <v>www.oakhcft.com</v>
      </c>
    </row>
    <row r="843" spans="1:2" x14ac:dyDescent="0.3">
      <c r="A843" s="3" t="s">
        <v>843</v>
      </c>
      <c r="B843" s="5" t="str">
        <f>HYPERLINK("http://www.oakleycapital.com","www.oakleycapital.com")</f>
        <v>www.oakleycapital.com</v>
      </c>
    </row>
    <row r="844" spans="1:2" x14ac:dyDescent="0.3">
      <c r="A844" s="2" t="s">
        <v>844</v>
      </c>
      <c r="B844" s="4" t="str">
        <f>HYPERLINK("http://www.ocim.com","www.ocim.com")</f>
        <v>www.ocim.com</v>
      </c>
    </row>
    <row r="845" spans="1:2" x14ac:dyDescent="0.3">
      <c r="A845" s="2" t="s">
        <v>845</v>
      </c>
      <c r="B845" s="4" t="str">
        <f>HYPERLINK("http://www.oiltanking.com","www.oiltanking.com")</f>
        <v>www.oiltanking.com</v>
      </c>
    </row>
    <row r="846" spans="1:2" x14ac:dyDescent="0.3">
      <c r="A846" s="2" t="s">
        <v>846</v>
      </c>
      <c r="B846" s="4" t="str">
        <f>HYPERLINK("http://www.oneequity.com","www.oneequity.com")</f>
        <v>www.oneequity.com</v>
      </c>
    </row>
    <row r="847" spans="1:2" x14ac:dyDescent="0.3">
      <c r="A847" s="3" t="s">
        <v>847</v>
      </c>
      <c r="B847" s="5" t="str">
        <f>HYPERLINK("http://www.oneworldproducts.com","www.oneworldproducts.com")</f>
        <v>www.oneworldproducts.com</v>
      </c>
    </row>
    <row r="848" spans="1:2" x14ac:dyDescent="0.3">
      <c r="A848" s="2" t="s">
        <v>848</v>
      </c>
      <c r="B848" s="4" t="str">
        <f>HYPERLINK("http://www.ongcvidesh.com","www.ongcvidesh.com")</f>
        <v>www.ongcvidesh.com</v>
      </c>
    </row>
    <row r="849" spans="1:2" x14ac:dyDescent="0.3">
      <c r="A849" s="3" t="s">
        <v>849</v>
      </c>
      <c r="B849" s="5" t="str">
        <f>HYPERLINK("http://www.opengreenroad.com","www.opengreenroad.com")</f>
        <v>www.opengreenroad.com</v>
      </c>
    </row>
    <row r="850" spans="1:2" x14ac:dyDescent="0.3">
      <c r="A850" s="3" t="s">
        <v>850</v>
      </c>
      <c r="B850" s="5" t="str">
        <f>HYPERLINK("http://www.operatorpartners.com","www.operatorpartners.com")</f>
        <v>www.operatorpartners.com</v>
      </c>
    </row>
    <row r="851" spans="1:2" x14ac:dyDescent="0.3">
      <c r="A851" s="2" t="s">
        <v>851</v>
      </c>
      <c r="B851" s="4" t="str">
        <f>HYPERLINK("http://www.oplcarga.com","www.oplcarga.com")</f>
        <v>www.oplcarga.com</v>
      </c>
    </row>
    <row r="852" spans="1:2" x14ac:dyDescent="0.3">
      <c r="A852" s="3" t="s">
        <v>852</v>
      </c>
      <c r="B852" s="5" t="str">
        <f>HYPERLINK("http://www.optrust.com","www.optrust.com")</f>
        <v>www.optrust.com</v>
      </c>
    </row>
    <row r="853" spans="1:2" x14ac:dyDescent="0.3">
      <c r="A853" s="2" t="s">
        <v>853</v>
      </c>
      <c r="B853" s="4" t="str">
        <f>HYPERLINK("http://orangedao.xyz","orangedao.xyz")</f>
        <v>orangedao.xyz</v>
      </c>
    </row>
    <row r="854" spans="1:2" x14ac:dyDescent="0.3">
      <c r="A854" s="3" t="s">
        <v>854</v>
      </c>
      <c r="B854" s="5" t="str">
        <f>HYPERLINK("http://www.oranjewoudnv.nl","www.oranjewoudnv.nl")</f>
        <v>www.oranjewoudnv.nl</v>
      </c>
    </row>
    <row r="855" spans="1:2" x14ac:dyDescent="0.3">
      <c r="A855" s="3" t="s">
        <v>855</v>
      </c>
      <c r="B855" s="5" t="str">
        <f>HYPERLINK("http://www.organto.com","www.organto.com")</f>
        <v>www.organto.com</v>
      </c>
    </row>
    <row r="856" spans="1:2" x14ac:dyDescent="0.3">
      <c r="A856" s="2" t="s">
        <v>856</v>
      </c>
      <c r="B856" s="4" t="str">
        <f>HYPERLINK("http://www.osigu.com","www.osigu.com")</f>
        <v>www.osigu.com</v>
      </c>
    </row>
    <row r="857" spans="1:2" x14ac:dyDescent="0.3">
      <c r="A857" s="3" t="s">
        <v>857</v>
      </c>
      <c r="B857" s="5" t="str">
        <f>HYPERLINK("http://www.ottobock.com","www.ottobock.com")</f>
        <v>www.ottobock.com</v>
      </c>
    </row>
    <row r="858" spans="1:2" x14ac:dyDescent="0.3">
      <c r="A858" s="2" t="s">
        <v>858</v>
      </c>
      <c r="B858" s="4" t="str">
        <f>HYPERLINK("http://www.ootbventures.com","www.ootbventures.com")</f>
        <v>www.ootbventures.com</v>
      </c>
    </row>
    <row r="859" spans="1:2" x14ac:dyDescent="0.3">
      <c r="A859" s="3" t="s">
        <v>859</v>
      </c>
      <c r="B859" s="5" t="str">
        <f>HYPERLINK("http://www.outcomesaccelerator.org","www.outcomesaccelerator.org")</f>
        <v>www.outcomesaccelerator.org</v>
      </c>
    </row>
    <row r="860" spans="1:2" x14ac:dyDescent="0.3">
      <c r="A860" s="2" t="s">
        <v>860</v>
      </c>
      <c r="B860" s="4" t="str">
        <f>HYPERLINK("http://www.overboost.me","www.overboost.me")</f>
        <v>www.overboost.me</v>
      </c>
    </row>
    <row r="861" spans="1:2" x14ac:dyDescent="0.3">
      <c r="A861" s="3" t="s">
        <v>861</v>
      </c>
      <c r="B861" s="5" t="str">
        <f>HYPERLINK("http://oxfordfoundry.ox.ac.uk","oxfordfoundry.ox.ac.uk")</f>
        <v>oxfordfoundry.ox.ac.uk</v>
      </c>
    </row>
    <row r="862" spans="1:2" x14ac:dyDescent="0.3">
      <c r="A862" s="3" t="s">
        <v>862</v>
      </c>
      <c r="B862" s="5" t="str">
        <f>HYPERLINK("http://www.pacificlake.com","www.pacificlake.com")</f>
        <v>www.pacificlake.com</v>
      </c>
    </row>
    <row r="863" spans="1:2" x14ac:dyDescent="0.3">
      <c r="A863" s="3" t="s">
        <v>863</v>
      </c>
      <c r="B863" s="5" t="str">
        <f>HYPERLINK("http://www.palatinepe.com","www.palatinepe.com")</f>
        <v>www.palatinepe.com</v>
      </c>
    </row>
    <row r="864" spans="1:2" x14ac:dyDescent="0.3">
      <c r="A864" s="2" t="s">
        <v>864</v>
      </c>
      <c r="B864" s="4" t="str">
        <f>HYPERLINK("http://www.palmfund.com","www.palmfund.com")</f>
        <v>www.palmfund.com</v>
      </c>
    </row>
    <row r="865" spans="1:2" x14ac:dyDescent="0.3">
      <c r="A865" s="3" t="s">
        <v>865</v>
      </c>
      <c r="B865" s="5" t="str">
        <f>HYPERLINK("http://www.panalpina.com","www.panalpina.com")</f>
        <v>www.panalpina.com</v>
      </c>
    </row>
    <row r="866" spans="1:2" x14ac:dyDescent="0.3">
      <c r="A866" s="2" t="s">
        <v>866</v>
      </c>
      <c r="B866" s="4" t="str">
        <f>HYPERLINK("http://www.pandoraoficial.com.co","www.pandoraoficial.com.co")</f>
        <v>www.pandoraoficial.com.co</v>
      </c>
    </row>
    <row r="867" spans="1:2" x14ac:dyDescent="0.3">
      <c r="A867" s="3" t="s">
        <v>867</v>
      </c>
      <c r="B867" s="5" t="str">
        <f>HYPERLINK("http://www.panelrey.com","www.panelrey.com")</f>
        <v>www.panelrey.com</v>
      </c>
    </row>
    <row r="868" spans="1:2" x14ac:dyDescent="0.3">
      <c r="A868" s="2" t="s">
        <v>868</v>
      </c>
      <c r="B868" s="4" t="str">
        <f>HYPERLINK("http://www.panelrockcolombia.com","www.panelrockcolombia.com")</f>
        <v>www.panelrockcolombia.com</v>
      </c>
    </row>
    <row r="869" spans="1:2" x14ac:dyDescent="0.3">
      <c r="A869" s="3" t="s">
        <v>869</v>
      </c>
      <c r="B869" s="5" t="str">
        <f>HYPERLINK("http://www.piplc.com","www.piplc.com")</f>
        <v>www.piplc.com</v>
      </c>
    </row>
    <row r="870" spans="1:2" x14ac:dyDescent="0.3">
      <c r="A870" s="2" t="s">
        <v>870</v>
      </c>
      <c r="B870" s="4" t="str">
        <f>HYPERLINK("http://www.parafi.com","www.parafi.com")</f>
        <v>www.parafi.com</v>
      </c>
    </row>
    <row r="871" spans="1:2" x14ac:dyDescent="0.3">
      <c r="A871" s="3" t="s">
        <v>871</v>
      </c>
      <c r="B871" s="5" t="str">
        <f>HYPERLINK("http://www.pgntgroup.com","www.pgntgroup.com")</f>
        <v>www.pgntgroup.com</v>
      </c>
    </row>
    <row r="872" spans="1:2" x14ac:dyDescent="0.3">
      <c r="A872" s="2" t="s">
        <v>872</v>
      </c>
      <c r="B872" s="4" t="str">
        <f>HYPERLINK("http://www.paramopartners.com/Paramo-Partners-c1fa565fdafd4d628aeccddde36622a2","www.paramopartners.com/Paramo-Partners-c1fa565fdafd4d628aeccddde36622a2")</f>
        <v>www.paramopartners.com/Paramo-Partners-c1fa565fdafd4d628aeccddde36622a2</v>
      </c>
    </row>
    <row r="873" spans="1:2" x14ac:dyDescent="0.3">
      <c r="A873" s="3" t="s">
        <v>873</v>
      </c>
      <c r="B873" s="5" t="str">
        <f>HYPERLINK("http://www.paramount.com","www.paramount.com")</f>
        <v>www.paramount.com</v>
      </c>
    </row>
    <row r="874" spans="1:2" x14ac:dyDescent="0.3">
      <c r="A874" s="3" t="s">
        <v>874</v>
      </c>
      <c r="B874" s="5" t="str">
        <f>HYPERLINK("http://www.partechpartners.com","www.partechpartners.com")</f>
        <v>www.partechpartners.com</v>
      </c>
    </row>
    <row r="875" spans="1:2" x14ac:dyDescent="0.3">
      <c r="A875" s="2" t="s">
        <v>875</v>
      </c>
      <c r="B875" s="4" t="str">
        <f>HYPERLINK("http://www.pg-globalopportunities.net/en/about_us/management.php","www.pg-globalopportunities.net/en/about_us/management.php")</f>
        <v>www.pg-globalopportunities.net/en/about_us/management.php</v>
      </c>
    </row>
    <row r="876" spans="1:2" x14ac:dyDescent="0.3">
      <c r="A876" s="2" t="s">
        <v>876</v>
      </c>
      <c r="B876" s="4" t="str">
        <f>HYPERLINK("http://www.patriaprivateequitytrust.com","www.patriaprivateequitytrust.com")</f>
        <v>www.patriaprivateequitytrust.com</v>
      </c>
    </row>
    <row r="877" spans="1:2" x14ac:dyDescent="0.3">
      <c r="A877" s="2" t="s">
        <v>877</v>
      </c>
      <c r="B877" s="4" t="str">
        <f>HYPERLINK("http://www.paypal.com","www.paypal.com")</f>
        <v>www.paypal.com</v>
      </c>
    </row>
    <row r="878" spans="1:2" x14ac:dyDescent="0.3">
      <c r="A878" s="3" t="s">
        <v>878</v>
      </c>
      <c r="B878" s="5" t="str">
        <f>HYPERLINK("http://www.payretailers.com","www.payretailers.com")</f>
        <v>www.payretailers.com</v>
      </c>
    </row>
    <row r="879" spans="1:2" x14ac:dyDescent="0.3">
      <c r="A879" s="2" t="s">
        <v>879</v>
      </c>
      <c r="B879" s="4" t="str">
        <f>HYPERLINK("http://www.pcpgroup.co.uk","www.pcpgroup.co.uk")</f>
        <v>www.pcpgroup.co.uk</v>
      </c>
    </row>
    <row r="880" spans="1:2" x14ac:dyDescent="0.3">
      <c r="A880" s="2" t="s">
        <v>880</v>
      </c>
      <c r="B880" s="4" t="str">
        <f>HYPERLINK("http://www.pegasusgroup.net","www.pegasusgroup.net")</f>
        <v>www.pegasusgroup.net</v>
      </c>
    </row>
    <row r="881" spans="1:2" x14ac:dyDescent="0.3">
      <c r="A881" s="3" t="s">
        <v>881</v>
      </c>
      <c r="B881" s="5" t="str">
        <f>HYPERLINK("http://www.pepsico.com","www.pepsico.com")</f>
        <v>www.pepsico.com</v>
      </c>
    </row>
    <row r="882" spans="1:2" x14ac:dyDescent="0.3">
      <c r="A882" s="2" t="s">
        <v>882</v>
      </c>
      <c r="B882" s="4" t="str">
        <f>HYPERLINK("http://www.perenco.com","www.perenco.com")</f>
        <v>www.perenco.com</v>
      </c>
    </row>
    <row r="883" spans="1:2" x14ac:dyDescent="0.3">
      <c r="A883" s="3" t="s">
        <v>883</v>
      </c>
      <c r="B883" s="5" t="str">
        <f>HYPERLINK("http://www.perficient.com","www.perficient.com")</f>
        <v>www.perficient.com</v>
      </c>
    </row>
    <row r="884" spans="1:2" x14ac:dyDescent="0.3">
      <c r="A884" s="2" t="s">
        <v>884</v>
      </c>
      <c r="B884" s="4" t="str">
        <f>HYPERLINK("http://www.permira.com","www.permira.com")</f>
        <v>www.permira.com</v>
      </c>
    </row>
    <row r="885" spans="1:2" x14ac:dyDescent="0.3">
      <c r="A885" s="3" t="s">
        <v>885</v>
      </c>
      <c r="B885" s="5" t="str">
        <f>HYPERLINK("http://www.pernod-ricard.com","www.pernod-ricard.com")</f>
        <v>www.pernod-ricard.com</v>
      </c>
    </row>
    <row r="886" spans="1:2" x14ac:dyDescent="0.3">
      <c r="A886" s="3" t="s">
        <v>886</v>
      </c>
      <c r="B886" s="5" t="str">
        <f>HYPERLINK("http://www.petrolatinaenergy.com","www.petrolatinaenergy.com")</f>
        <v>www.petrolatinaenergy.com</v>
      </c>
    </row>
    <row r="887" spans="1:2" x14ac:dyDescent="0.3">
      <c r="A887" s="2" t="s">
        <v>887</v>
      </c>
      <c r="B887" s="4" t="str">
        <f>HYPERLINK("http://www.petrominerales.com","www.petrominerales.com")</f>
        <v>www.petrominerales.com</v>
      </c>
    </row>
    <row r="888" spans="1:2" x14ac:dyDescent="0.3">
      <c r="A888" s="2" t="s">
        <v>888</v>
      </c>
      <c r="B888" s="4" t="str">
        <f>HYPERLINK("http://www.tiger-cos.com","www.tiger-cos.com")</f>
        <v>www.tiger-cos.com</v>
      </c>
    </row>
    <row r="889" spans="1:2" x14ac:dyDescent="0.3">
      <c r="A889" s="3" t="s">
        <v>889</v>
      </c>
      <c r="B889" s="5" t="str">
        <f>HYPERLINK("http://www.pggm.nl","www.pggm.nl")</f>
        <v>www.pggm.nl</v>
      </c>
    </row>
    <row r="890" spans="1:2" x14ac:dyDescent="0.3">
      <c r="A890" s="3" t="s">
        <v>890</v>
      </c>
      <c r="B890" s="5" t="str">
        <f>HYPERLINK("http://www.phoenixglobalresources.com","www.phoenixglobalresources.com")</f>
        <v>www.phoenixglobalresources.com</v>
      </c>
    </row>
    <row r="891" spans="1:2" x14ac:dyDescent="0.3">
      <c r="A891" s="2" t="s">
        <v>891</v>
      </c>
      <c r="B891" s="4" t="str">
        <f>HYPERLINK("http://www.iknkbrands.com","www.iknkbrands.com")</f>
        <v>www.iknkbrands.com</v>
      </c>
    </row>
    <row r="892" spans="1:2" x14ac:dyDescent="0.3">
      <c r="A892" s="3" t="s">
        <v>892</v>
      </c>
      <c r="B892" s="5" t="str">
        <f>HYPERLINK("http://www.pikpok.com","www.pikpok.com")</f>
        <v>www.pikpok.com</v>
      </c>
    </row>
    <row r="893" spans="1:2" x14ac:dyDescent="0.3">
      <c r="A893" s="3" t="s">
        <v>893</v>
      </c>
      <c r="B893" s="5" t="str">
        <f>HYPERLINK("http://www.pitoncap.com","www.pitoncap.com")</f>
        <v>www.pitoncap.com</v>
      </c>
    </row>
    <row r="894" spans="1:2" x14ac:dyDescent="0.3">
      <c r="A894" s="2" t="s">
        <v>894</v>
      </c>
      <c r="B894" s="4" t="str">
        <f>HYPERLINK("http://pkgcenter.mit.edu","pkgcenter.mit.edu")</f>
        <v>pkgcenter.mit.edu</v>
      </c>
    </row>
    <row r="895" spans="1:2" x14ac:dyDescent="0.3">
      <c r="A895" s="3" t="s">
        <v>895</v>
      </c>
      <c r="B895" s="5" t="str">
        <f>HYPERLINK("http://www.platinoenergy.com","www.platinoenergy.com")</f>
        <v>www.platinoenergy.com</v>
      </c>
    </row>
    <row r="896" spans="1:2" x14ac:dyDescent="0.3">
      <c r="A896" s="2" t="s">
        <v>896</v>
      </c>
      <c r="B896" s="4" t="str">
        <f>HYPERLINK("http://www.platinumequity.com","www.platinumequity.com")</f>
        <v>www.platinumequity.com</v>
      </c>
    </row>
    <row r="897" spans="1:2" x14ac:dyDescent="0.3">
      <c r="A897" s="3" t="s">
        <v>897</v>
      </c>
      <c r="B897" s="5" t="str">
        <f>HYPERLINK("http://www.playvox.com","www.playvox.com")</f>
        <v>www.playvox.com</v>
      </c>
    </row>
    <row r="898" spans="1:2" x14ac:dyDescent="0.3">
      <c r="A898" s="3" t="s">
        <v>898</v>
      </c>
      <c r="B898" s="5" t="str">
        <f>HYPERLINK("http://www.poleol.com","www.poleol.com")</f>
        <v>www.poleol.com</v>
      </c>
    </row>
    <row r="899" spans="1:2" x14ac:dyDescent="0.3">
      <c r="A899" s="2" t="s">
        <v>899</v>
      </c>
      <c r="B899" s="4" t="str">
        <f>HYPERLINK("http://www.poligonocapital.com","www.poligonocapital.com")</f>
        <v>www.poligonocapital.com</v>
      </c>
    </row>
    <row r="900" spans="1:2" x14ac:dyDescent="0.3">
      <c r="A900" s="2" t="s">
        <v>900</v>
      </c>
      <c r="B900" s="4" t="str">
        <f>HYPERLINK("http://www.portxl.org","www.portxl.org")</f>
        <v>www.portxl.org</v>
      </c>
    </row>
    <row r="901" spans="1:2" x14ac:dyDescent="0.3">
      <c r="A901" s="2" t="s">
        <v>901</v>
      </c>
      <c r="B901" s="4" t="str">
        <f>HYPERLINK("http://potenciaventures.net","potenciaventures.net")</f>
        <v>potenciaventures.net</v>
      </c>
    </row>
    <row r="902" spans="1:2" x14ac:dyDescent="0.3">
      <c r="A902" s="3" t="s">
        <v>902</v>
      </c>
      <c r="B902" s="5" t="str">
        <f>HYPERLINK("http://www.powereng.com","www.powereng.com")</f>
        <v>www.powereng.com</v>
      </c>
    </row>
    <row r="903" spans="1:2" x14ac:dyDescent="0.3">
      <c r="A903" s="2" t="s">
        <v>903</v>
      </c>
      <c r="B903" s="4" t="str">
        <f>HYPERLINK("http://www.ppg.com","www.ppg.com")</f>
        <v>www.ppg.com</v>
      </c>
    </row>
    <row r="904" spans="1:2" x14ac:dyDescent="0.3">
      <c r="A904" s="2" t="s">
        <v>904</v>
      </c>
      <c r="B904" s="4" t="str">
        <f>HYPERLINK("http://www.predictivevc.com","www.predictivevc.com")</f>
        <v>www.predictivevc.com</v>
      </c>
    </row>
    <row r="905" spans="1:2" x14ac:dyDescent="0.3">
      <c r="A905" s="3" t="s">
        <v>905</v>
      </c>
      <c r="B905" s="5" t="str">
        <f>HYPERLINK("http://www.premise.com","www.premise.com")</f>
        <v>www.premise.com</v>
      </c>
    </row>
    <row r="906" spans="1:2" x14ac:dyDescent="0.3">
      <c r="A906" s="2" t="s">
        <v>906</v>
      </c>
      <c r="B906" s="4" t="str">
        <f>HYPERLINK("http://prestasalud.com","prestasalud.com")</f>
        <v>prestasalud.com</v>
      </c>
    </row>
    <row r="907" spans="1:2" x14ac:dyDescent="0.3">
      <c r="A907" s="3" t="s">
        <v>907</v>
      </c>
      <c r="B907" s="5" t="str">
        <f>HYPERLINK("http://prevent-waste.net","prevent-waste.net")</f>
        <v>prevent-waste.net</v>
      </c>
    </row>
    <row r="908" spans="1:2" x14ac:dyDescent="0.3">
      <c r="A908" s="2" t="s">
        <v>908</v>
      </c>
      <c r="B908" s="4" t="str">
        <f>HYPERLINK("http://www.pricetravel.com","www.pricetravel.com")</f>
        <v>www.pricetravel.com</v>
      </c>
    </row>
    <row r="909" spans="1:2" x14ac:dyDescent="0.3">
      <c r="A909" s="3" t="s">
        <v>909</v>
      </c>
      <c r="B909" s="5" t="str">
        <f>HYPERLINK("http://www.primary.ventures","www.primary.ventures")</f>
        <v>www.primary.ventures</v>
      </c>
    </row>
    <row r="910" spans="1:2" x14ac:dyDescent="0.3">
      <c r="A910" s="2" t="s">
        <v>910</v>
      </c>
      <c r="B910" s="4" t="str">
        <f>HYPERLINK("http://www.primenri.com","www.primenri.com")</f>
        <v>www.primenri.com</v>
      </c>
    </row>
    <row r="911" spans="1:2" x14ac:dyDescent="0.3">
      <c r="A911" s="2" t="s">
        <v>911</v>
      </c>
      <c r="B911" s="4" t="str">
        <f>HYPERLINK("http://www.procolombia.co","www.procolombia.co")</f>
        <v>www.procolombia.co</v>
      </c>
    </row>
    <row r="912" spans="1:2" x14ac:dyDescent="0.3">
      <c r="A912" s="3" t="s">
        <v>912</v>
      </c>
      <c r="B912" s="5" t="str">
        <f>HYPERLINK("http://www.proelectrica.com","www.proelectrica.com")</f>
        <v>www.proelectrica.com</v>
      </c>
    </row>
    <row r="913" spans="1:2" x14ac:dyDescent="0.3">
      <c r="A913" s="2" t="s">
        <v>913</v>
      </c>
      <c r="B913" s="4" t="str">
        <f>HYPERLINK("http://www.promical.com.co","www.promical.com.co")</f>
        <v>www.promical.com.co</v>
      </c>
    </row>
    <row r="914" spans="1:2" x14ac:dyDescent="0.3">
      <c r="A914" s="3" t="s">
        <v>914</v>
      </c>
      <c r="B914" s="5" t="str">
        <f>HYPERLINK("http://promisol.com","promisol.com")</f>
        <v>promisol.com</v>
      </c>
    </row>
    <row r="915" spans="1:2" x14ac:dyDescent="0.3">
      <c r="A915" s="2" t="s">
        <v>915</v>
      </c>
      <c r="B915" s="4" t="str">
        <f>HYPERLINK("http://www.la.logicalis.com","www.la.logicalis.com")</f>
        <v>www.la.logicalis.com</v>
      </c>
    </row>
    <row r="916" spans="1:2" x14ac:dyDescent="0.3">
      <c r="A916" s="3" t="s">
        <v>916</v>
      </c>
      <c r="B916" s="5" t="str">
        <f>HYPERLINK("http://www.prisa.com","www.prisa.com")</f>
        <v>www.prisa.com</v>
      </c>
    </row>
    <row r="917" spans="1:2" x14ac:dyDescent="0.3">
      <c r="A917" s="2" t="s">
        <v>917</v>
      </c>
      <c r="B917" s="4" t="str">
        <f>HYPERLINK("http://propelcapital.vc","propelcapital.vc")</f>
        <v>propelcapital.vc</v>
      </c>
    </row>
    <row r="918" spans="1:2" x14ac:dyDescent="0.3">
      <c r="A918" s="3" t="s">
        <v>918</v>
      </c>
      <c r="B918" s="5" t="str">
        <f>HYPERLINK("http://www.prosegur.de","www.prosegur.de")</f>
        <v>www.prosegur.de</v>
      </c>
    </row>
    <row r="919" spans="1:2" x14ac:dyDescent="0.3">
      <c r="A919" s="2" t="s">
        <v>919</v>
      </c>
      <c r="B919" s="4" t="str">
        <f>HYPERLINK("http://www.proteak.com","www.proteak.com")</f>
        <v>www.proteak.com</v>
      </c>
    </row>
    <row r="920" spans="1:2" x14ac:dyDescent="0.3">
      <c r="A920" s="2" t="s">
        <v>920</v>
      </c>
      <c r="B920" s="4" t="str">
        <f>HYPERLINK("http://www.protex-international.com","www.protex-international.com")</f>
        <v>www.protex-international.com</v>
      </c>
    </row>
    <row r="921" spans="1:2" x14ac:dyDescent="0.3">
      <c r="A921" s="3" t="s">
        <v>921</v>
      </c>
      <c r="B921" s="5" t="str">
        <f>HYPERLINK("http://www.protexa.mx","www.protexa.mx")</f>
        <v>www.protexa.mx</v>
      </c>
    </row>
    <row r="922" spans="1:2" x14ac:dyDescent="0.3">
      <c r="A922" s="2" t="s">
        <v>922</v>
      </c>
      <c r="B922" s="4" t="str">
        <f>HYPERLINK("http://www.grupoprovale.com","www.grupoprovale.com")</f>
        <v>www.grupoprovale.com</v>
      </c>
    </row>
    <row r="923" spans="1:2" x14ac:dyDescent="0.3">
      <c r="A923" s="3" t="s">
        <v>923</v>
      </c>
      <c r="B923" s="5" t="str">
        <f>HYPERLINK("http://www.provequity.com","www.provequity.com")</f>
        <v>www.provequity.com</v>
      </c>
    </row>
    <row r="924" spans="1:2" x14ac:dyDescent="0.3">
      <c r="A924" s="2" t="s">
        <v>924</v>
      </c>
      <c r="B924" s="4" t="str">
        <f>HYPERLINK("http://www.proyectaventures.de","www.proyectaventures.de")</f>
        <v>www.proyectaventures.de</v>
      </c>
    </row>
    <row r="925" spans="1:2" x14ac:dyDescent="0.3">
      <c r="A925" s="3" t="s">
        <v>925</v>
      </c>
      <c r="B925" s="5" t="str">
        <f>HYPERLINK("http://www.prudentminerals.com","www.prudentminerals.com")</f>
        <v>www.prudentminerals.com</v>
      </c>
    </row>
    <row r="926" spans="1:2" x14ac:dyDescent="0.3">
      <c r="A926" s="2" t="s">
        <v>926</v>
      </c>
      <c r="B926" s="4" t="str">
        <f>HYPERLINK("http://www.publicisgroupe.com","www.publicisgroupe.com")</f>
        <v>www.publicisgroupe.com</v>
      </c>
    </row>
    <row r="927" spans="1:2" x14ac:dyDescent="0.3">
      <c r="A927" s="3" t="s">
        <v>927</v>
      </c>
      <c r="B927" s="5" t="str">
        <f>HYPERLINK("http://www.publicize.co","www.publicize.co")</f>
        <v>www.publicize.co</v>
      </c>
    </row>
    <row r="928" spans="1:2" x14ac:dyDescent="0.3">
      <c r="A928" s="2" t="s">
        <v>928</v>
      </c>
      <c r="B928" s="4" t="str">
        <f>HYPERLINK("http://www.pumaenergy.com","www.pumaenergy.com")</f>
        <v>www.pumaenergy.com</v>
      </c>
    </row>
    <row r="929" spans="1:2" x14ac:dyDescent="0.3">
      <c r="A929" s="3" t="s">
        <v>929</v>
      </c>
      <c r="B929" s="5" t="str">
        <f>HYPERLINK("http://www.pymecapital.org","www.pymecapital.org")</f>
        <v>www.pymecapital.org</v>
      </c>
    </row>
    <row r="930" spans="1:2" x14ac:dyDescent="0.3">
      <c r="A930" s="2" t="s">
        <v>930</v>
      </c>
      <c r="B930" s="4" t="str">
        <f>HYPERLINK("http://www.qinternet.uk","www.qinternet.uk")</f>
        <v>www.qinternet.uk</v>
      </c>
    </row>
    <row r="931" spans="1:2" x14ac:dyDescent="0.3">
      <c r="A931" s="3" t="s">
        <v>931</v>
      </c>
      <c r="B931" s="5" t="str">
        <f>HYPERLINK("http://www.grupoqbco.com.co","www.grupoqbco.com.co")</f>
        <v>www.grupoqbco.com.co</v>
      </c>
    </row>
    <row r="932" spans="1:2" x14ac:dyDescent="0.3">
      <c r="A932" s="2" t="s">
        <v>932</v>
      </c>
      <c r="B932" s="4" t="str">
        <f>HYPERLINK("http://www.qedconnect.com","www.qedconnect.com")</f>
        <v>www.qedconnect.com</v>
      </c>
    </row>
    <row r="933" spans="1:2" x14ac:dyDescent="0.3">
      <c r="A933" s="3" t="s">
        <v>933</v>
      </c>
      <c r="B933" s="5" t="str">
        <f>HYPERLINK("http://www.qeiinc.com","www.qeiinc.com")</f>
        <v>www.qeiinc.com</v>
      </c>
    </row>
    <row r="934" spans="1:2" x14ac:dyDescent="0.3">
      <c r="A934" s="2" t="s">
        <v>934</v>
      </c>
      <c r="B934" s="4" t="str">
        <f>HYPERLINK("http://www.qglobalsms.com","www.qglobalsms.com")</f>
        <v>www.qglobalsms.com</v>
      </c>
    </row>
    <row r="935" spans="1:2" x14ac:dyDescent="0.3">
      <c r="A935" s="3" t="s">
        <v>935</v>
      </c>
      <c r="B935" s="5" t="str">
        <f>HYPERLINK("http://quadrant-capital-advisors-inc.business.site","quadrant-capital-advisors-inc.business.site")</f>
        <v>quadrant-capital-advisors-inc.business.site</v>
      </c>
    </row>
    <row r="936" spans="1:2" x14ac:dyDescent="0.3">
      <c r="A936" s="2" t="s">
        <v>936</v>
      </c>
      <c r="B936" s="4" t="str">
        <f>HYPERLINK("http://www.quala.com.co","www.quala.com.co")</f>
        <v>www.quala.com.co</v>
      </c>
    </row>
    <row r="937" spans="1:2" x14ac:dyDescent="0.3">
      <c r="A937" s="3" t="s">
        <v>937</v>
      </c>
      <c r="B937" s="5" t="str">
        <f>HYPERLINK("http://www.qualcommventures.com","www.qualcommventures.com")</f>
        <v>www.qualcommventures.com</v>
      </c>
    </row>
    <row r="938" spans="1:2" x14ac:dyDescent="0.3">
      <c r="A938" s="2" t="s">
        <v>938</v>
      </c>
      <c r="B938" s="4" t="str">
        <f>HYPERLINK("http://www.quantum-media-group.com","www.quantum-media-group.com")</f>
        <v>www.quantum-media-group.com</v>
      </c>
    </row>
    <row r="939" spans="1:2" x14ac:dyDescent="0.3">
      <c r="A939" s="3" t="s">
        <v>939</v>
      </c>
      <c r="B939" s="5" t="str">
        <f>HYPERLINK("http://www.quimpac.com.pe","www.quimpac.com.pe")</f>
        <v>www.quimpac.com.pe</v>
      </c>
    </row>
    <row r="940" spans="1:2" x14ac:dyDescent="0.3">
      <c r="A940" s="2" t="s">
        <v>940</v>
      </c>
      <c r="B940" s="4" t="str">
        <f>HYPERLINK("http://www.quintus.capital","www.quintus.capital")</f>
        <v>www.quintus.capital</v>
      </c>
    </row>
    <row r="941" spans="1:2" x14ac:dyDescent="0.3">
      <c r="A941" s="3" t="s">
        <v>941</v>
      </c>
      <c r="B941" s="5" t="str">
        <f>HYPERLINK("http://www.quotidian.co","www.quotidian.co")</f>
        <v>www.quotidian.co</v>
      </c>
    </row>
    <row r="942" spans="1:2" x14ac:dyDescent="0.3">
      <c r="A942" s="2" t="s">
        <v>942</v>
      </c>
      <c r="B942" s="4" t="str">
        <f>HYPERLINK("http://www.rapiddo.com.br","www.rapiddo.com.br")</f>
        <v>www.rapiddo.com.br</v>
      </c>
    </row>
    <row r="943" spans="1:2" x14ac:dyDescent="0.3">
      <c r="A943" s="3" t="s">
        <v>943</v>
      </c>
      <c r="B943" s="5" t="str">
        <f>HYPERLINK("http://www.rappi.com.mx","www.rappi.com.mx")</f>
        <v>www.rappi.com.mx</v>
      </c>
    </row>
    <row r="944" spans="1:2" x14ac:dyDescent="0.3">
      <c r="A944" s="3" t="s">
        <v>944</v>
      </c>
      <c r="B944" s="5" t="str">
        <f>HYPERLINK("http://www.realogicsolutions.com","www.realogicsolutions.com")</f>
        <v>www.realogicsolutions.com</v>
      </c>
    </row>
    <row r="945" spans="1:2" x14ac:dyDescent="0.3">
      <c r="A945" s="2" t="s">
        <v>945</v>
      </c>
      <c r="B945" s="4" t="str">
        <f>HYPERLINK("http://www.recognize.com","www.recognize.com")</f>
        <v>www.recognize.com</v>
      </c>
    </row>
    <row r="946" spans="1:2" x14ac:dyDescent="0.3">
      <c r="A946" s="3" t="s">
        <v>946</v>
      </c>
      <c r="B946" s="5" t="str">
        <f>HYPERLINK("http://www.atlas.red","www.atlas.red")</f>
        <v>www.atlas.red</v>
      </c>
    </row>
    <row r="947" spans="1:2" x14ac:dyDescent="0.3">
      <c r="A947" s="2" t="s">
        <v>947</v>
      </c>
      <c r="B947" s="4" t="str">
        <f>HYPERLINK("http://www.redcarnica.com","www.redcarnica.com")</f>
        <v>www.redcarnica.com</v>
      </c>
    </row>
    <row r="948" spans="1:2" x14ac:dyDescent="0.3">
      <c r="A948" s="3" t="s">
        <v>948</v>
      </c>
      <c r="B948" s="5" t="str">
        <f>HYPERLINK("http://www.redeaglex.com","www.redeaglex.com")</f>
        <v>www.redeaglex.com</v>
      </c>
    </row>
    <row r="949" spans="1:2" x14ac:dyDescent="0.3">
      <c r="A949" s="2" t="s">
        <v>949</v>
      </c>
      <c r="B949" s="4" t="str">
        <f>HYPERLINK("http://www.redleopardholdings.com","www.redleopardholdings.com")</f>
        <v>www.redleopardholdings.com</v>
      </c>
    </row>
    <row r="950" spans="1:2" x14ac:dyDescent="0.3">
      <c r="A950" s="3" t="s">
        <v>950</v>
      </c>
      <c r="B950" s="5" t="str">
        <f>HYPERLINK("http://www.redeban.com","www.redeban.com")</f>
        <v>www.redeban.com</v>
      </c>
    </row>
    <row r="951" spans="1:2" x14ac:dyDescent="0.3">
      <c r="A951" s="2" t="s">
        <v>951</v>
      </c>
      <c r="B951" s="4" t="str">
        <f>HYPERLINK("http://www.redondos.com.pe","www.redondos.com.pe")</f>
        <v>www.redondos.com.pe</v>
      </c>
    </row>
    <row r="952" spans="1:2" x14ac:dyDescent="0.3">
      <c r="A952" s="3" t="s">
        <v>952</v>
      </c>
      <c r="B952" s="5" t="str">
        <f>HYPERLINK("http://www.refinedenergy.com","www.refinedenergy.com")</f>
        <v>www.refinedenergy.com</v>
      </c>
    </row>
    <row r="953" spans="1:2" x14ac:dyDescent="0.3">
      <c r="A953" s="2" t="s">
        <v>953</v>
      </c>
      <c r="B953" s="4" t="str">
        <f>HYPERLINK("http://www.reflectventures.com","www.reflectventures.com")</f>
        <v>www.reflectventures.com</v>
      </c>
    </row>
    <row r="954" spans="1:2" x14ac:dyDescent="0.3">
      <c r="A954" s="3" t="s">
        <v>954</v>
      </c>
      <c r="B954" s="5" t="str">
        <f>HYPERLINK("http://www.renegadepartners.com","www.renegadepartners.com")</f>
        <v>www.renegadepartners.com</v>
      </c>
    </row>
    <row r="955" spans="1:2" x14ac:dyDescent="0.3">
      <c r="A955" s="2" t="s">
        <v>955</v>
      </c>
      <c r="B955" s="4" t="str">
        <f>HYPERLINK("http://www.renewablegroup.com","www.renewablegroup.com")</f>
        <v>www.renewablegroup.com</v>
      </c>
    </row>
    <row r="956" spans="1:2" x14ac:dyDescent="0.3">
      <c r="A956" s="3" t="s">
        <v>956</v>
      </c>
      <c r="B956" s="5" t="str">
        <f>HYPERLINK("http://www.rentapallet.com","www.rentapallet.com")</f>
        <v>www.rentapallet.com</v>
      </c>
    </row>
    <row r="957" spans="1:2" x14ac:dyDescent="0.3">
      <c r="A957" s="2" t="s">
        <v>957</v>
      </c>
      <c r="B957" s="4" t="str">
        <f>HYPERLINK("http://www.repsol.com","www.repsol.com")</f>
        <v>www.repsol.com</v>
      </c>
    </row>
    <row r="958" spans="1:2" x14ac:dyDescent="0.3">
      <c r="A958" s="2" t="s">
        <v>958</v>
      </c>
      <c r="B958" s="4" t="str">
        <f>HYPERLINK("http://talisman-energy.com","talisman-energy.com")</f>
        <v>talisman-energy.com</v>
      </c>
    </row>
    <row r="959" spans="1:2" x14ac:dyDescent="0.3">
      <c r="A959" s="3" t="s">
        <v>959</v>
      </c>
      <c r="B959" s="5" t="str">
        <f>HYPERLINK("http://www.resourcecapitalfunds.com","www.resourcecapitalfunds.com")</f>
        <v>www.resourcecapitalfunds.com</v>
      </c>
    </row>
    <row r="960" spans="1:2" x14ac:dyDescent="0.3">
      <c r="A960" s="2" t="s">
        <v>960</v>
      </c>
      <c r="B960" s="4" t="str">
        <f>HYPERLINK("http://www.responsability.com","www.responsability.com")</f>
        <v>www.responsability.com</v>
      </c>
    </row>
    <row r="961" spans="1:2" x14ac:dyDescent="0.3">
      <c r="A961" s="3" t="s">
        <v>961</v>
      </c>
      <c r="B961" s="5" t="str">
        <f>HYPERLINK("http://revtechventures.com","revtechventures.com")</f>
        <v>revtechventures.com</v>
      </c>
    </row>
    <row r="962" spans="1:2" x14ac:dyDescent="0.3">
      <c r="A962" s="2" t="s">
        <v>962</v>
      </c>
      <c r="B962" s="4" t="str">
        <f>HYPERLINK("http://www.rhenus.group","www.rhenus.group")</f>
        <v>www.rhenus.group</v>
      </c>
    </row>
    <row r="963" spans="1:2" x14ac:dyDescent="0.3">
      <c r="A963" s="3" t="s">
        <v>963</v>
      </c>
      <c r="B963" s="5" t="str">
        <f>HYPERLINK("http://english.rvo.nl","english.rvo.nl")</f>
        <v>english.rvo.nl</v>
      </c>
    </row>
    <row r="964" spans="1:2" x14ac:dyDescent="0.3">
      <c r="A964" s="2" t="s">
        <v>964</v>
      </c>
      <c r="B964" s="4" t="str">
        <f>HYPERLINK("http://www.riotinto.com","www.riotinto.com")</f>
        <v>www.riotinto.com</v>
      </c>
    </row>
    <row r="965" spans="1:2" x14ac:dyDescent="0.3">
      <c r="A965" s="3" t="s">
        <v>965</v>
      </c>
      <c r="B965" s="5" t="str">
        <f>HYPERLINK("http://riot.org/startup-accelerator","riot.org/startup-accelerator")</f>
        <v>riot.org/startup-accelerator</v>
      </c>
    </row>
    <row r="966" spans="1:2" x14ac:dyDescent="0.3">
      <c r="A966" s="2" t="s">
        <v>966</v>
      </c>
      <c r="B966" s="4" t="str">
        <f>HYPERLINK("http://www.ripio.com","www.ripio.com")</f>
        <v>www.ripio.com</v>
      </c>
    </row>
    <row r="967" spans="1:2" x14ac:dyDescent="0.3">
      <c r="A967" s="3" t="s">
        <v>967</v>
      </c>
      <c r="B967" s="5" t="str">
        <f>HYPERLINK("http://www.rivercrest.global","www.rivercrest.global")</f>
        <v>www.rivercrest.global</v>
      </c>
    </row>
    <row r="968" spans="1:2" x14ac:dyDescent="0.3">
      <c r="A968" s="2" t="s">
        <v>968</v>
      </c>
      <c r="B968" s="4" t="str">
        <f>HYPERLINK("http://www.riversideventures.com","www.riversideventures.com")</f>
        <v>www.riversideventures.com</v>
      </c>
    </row>
    <row r="969" spans="1:2" x14ac:dyDescent="0.3">
      <c r="A969" s="3" t="s">
        <v>969</v>
      </c>
      <c r="B969" s="5" t="str">
        <f>HYPERLINK("http://www.riverstonellc.com","www.riverstonellc.com")</f>
        <v>www.riverstonellc.com</v>
      </c>
    </row>
    <row r="970" spans="1:2" x14ac:dyDescent="0.3">
      <c r="A970" s="2" t="s">
        <v>970</v>
      </c>
      <c r="B970" s="4" t="str">
        <f>HYPERLINK("http://www.rmb.com.au","www.rmb.com.au")</f>
        <v>www.rmb.com.au</v>
      </c>
    </row>
    <row r="971" spans="1:2" x14ac:dyDescent="0.3">
      <c r="A971" s="2" t="s">
        <v>971</v>
      </c>
      <c r="B971" s="4" t="str">
        <f>HYPERLINK("http://www.rocsa.com","www.rocsa.com")</f>
        <v>www.rocsa.com</v>
      </c>
    </row>
    <row r="972" spans="1:2" x14ac:dyDescent="0.3">
      <c r="A972" s="2" t="s">
        <v>972</v>
      </c>
      <c r="B972" s="4" t="str">
        <f>HYPERLINK("http://routemobile.comuk","routemobile.comuk")</f>
        <v>routemobile.comuk</v>
      </c>
    </row>
    <row r="973" spans="1:2" x14ac:dyDescent="0.3">
      <c r="A973" s="3" t="s">
        <v>973</v>
      </c>
      <c r="B973" s="5" t="str">
        <f>HYPERLINK("http://www.ruhrpumpen.com","www.ruhrpumpen.com")</f>
        <v>www.ruhrpumpen.com</v>
      </c>
    </row>
    <row r="974" spans="1:2" x14ac:dyDescent="0.3">
      <c r="A974" s="2" t="s">
        <v>974</v>
      </c>
      <c r="B974" s="4" t="str">
        <f>HYPERLINK("http://rumbo.ventures","rumbo.ventures")</f>
        <v>rumbo.ventures</v>
      </c>
    </row>
    <row r="975" spans="1:2" x14ac:dyDescent="0.3">
      <c r="A975" s="2" t="s">
        <v>975</v>
      </c>
      <c r="B975" s="4" t="str">
        <f>HYPERLINK("http://www.s28capital.com","www.s28capital.com")</f>
        <v>www.s28capital.com</v>
      </c>
    </row>
    <row r="976" spans="1:2" x14ac:dyDescent="0.3">
      <c r="A976" s="3" t="s">
        <v>976</v>
      </c>
      <c r="B976" s="5" t="str">
        <f>HYPERLINK("http://www.s4capital.com","www.s4capital.com")</f>
        <v>www.s4capital.com</v>
      </c>
    </row>
    <row r="977" spans="1:2" x14ac:dyDescent="0.3">
      <c r="A977" s="2" t="s">
        <v>977</v>
      </c>
      <c r="B977" s="4" t="str">
        <f>HYPERLINK("http://www.saas-capital.com","www.saas-capital.com")</f>
        <v>www.saas-capital.com</v>
      </c>
    </row>
    <row r="978" spans="1:2" x14ac:dyDescent="0.3">
      <c r="A978" s="3" t="s">
        <v>978</v>
      </c>
      <c r="B978" s="5" t="str">
        <f>HYPERLINK("http://saasholic.com","saasholic.com")</f>
        <v>saasholic.com</v>
      </c>
    </row>
    <row r="979" spans="1:2" x14ac:dyDescent="0.3">
      <c r="A979" s="2" t="s">
        <v>979</v>
      </c>
      <c r="B979" s="4" t="str">
        <f>HYPERLINK("http://www.sabmiller.com","www.sabmiller.com")</f>
        <v>www.sabmiller.com</v>
      </c>
    </row>
    <row r="980" spans="1:2" x14ac:dyDescent="0.3">
      <c r="A980" s="2" t="s">
        <v>980</v>
      </c>
      <c r="B980" s="4" t="str">
        <f>HYPERLINK("http://www.sailing-capital.com.hk","www.sailing-capital.com.hk")</f>
        <v>www.sailing-capital.com.hk</v>
      </c>
    </row>
    <row r="981" spans="1:2" x14ac:dyDescent="0.3">
      <c r="A981" s="2" t="s">
        <v>981</v>
      </c>
      <c r="B981" s="4" t="str">
        <f>HYPERLINK("http://www.saint-gobain.co.uk","www.saint-gobain.co.uk")</f>
        <v>www.saint-gobain.co.uk</v>
      </c>
    </row>
    <row r="982" spans="1:2" x14ac:dyDescent="0.3">
      <c r="A982" s="3" t="s">
        <v>982</v>
      </c>
      <c r="B982" s="5" t="str">
        <f>HYPERLINK("http://www.samyakthcapital.com","www.samyakthcapital.com")</f>
        <v>www.samyakthcapital.com</v>
      </c>
    </row>
    <row r="983" spans="1:2" x14ac:dyDescent="0.3">
      <c r="A983" s="2" t="s">
        <v>983</v>
      </c>
      <c r="B983" s="4" t="str">
        <f>HYPERLINK("http://www.sanghacapital.co","www.sanghacapital.co")</f>
        <v>www.sanghacapital.co</v>
      </c>
    </row>
    <row r="984" spans="1:2" x14ac:dyDescent="0.3">
      <c r="A984" s="3" t="s">
        <v>984</v>
      </c>
      <c r="B984" s="5" t="str">
        <f>HYPERLINK("http://sanmarino.com.co","sanmarino.com.co")</f>
        <v>sanmarino.com.co</v>
      </c>
    </row>
    <row r="985" spans="1:2" x14ac:dyDescent="0.3">
      <c r="A985" s="2" t="s">
        <v>985</v>
      </c>
      <c r="B985" s="4" t="str">
        <f>HYPERLINK("http://www.sanofi.com","www.sanofi.com")</f>
        <v>www.sanofi.com</v>
      </c>
    </row>
    <row r="986" spans="1:2" x14ac:dyDescent="0.3">
      <c r="A986" s="3" t="s">
        <v>986</v>
      </c>
      <c r="B986" s="5" t="str">
        <f>HYPERLINK("http://www.santana.cl","www.santana.cl")</f>
        <v>www.santana.cl</v>
      </c>
    </row>
    <row r="987" spans="1:2" x14ac:dyDescent="0.3">
      <c r="A987" s="2" t="s">
        <v>987</v>
      </c>
      <c r="B987" s="4" t="str">
        <f>HYPERLINK("http://www.santanderx.com","www.santanderx.com")</f>
        <v>www.santanderx.com</v>
      </c>
    </row>
    <row r="988" spans="1:2" x14ac:dyDescent="0.3">
      <c r="A988" s="3" t="s">
        <v>988</v>
      </c>
      <c r="B988" s="5" t="str">
        <f>HYPERLINK("http://www.sbxi.com","www.sbxi.com")</f>
        <v>www.sbxi.com</v>
      </c>
    </row>
    <row r="989" spans="1:2" x14ac:dyDescent="0.3">
      <c r="A989" s="2" t="s">
        <v>989</v>
      </c>
      <c r="B989" s="4" t="str">
        <f>HYPERLINK("http://www.scandinavia.com.co","www.scandinavia.com.co")</f>
        <v>www.scandinavia.com.co</v>
      </c>
    </row>
    <row r="990" spans="1:2" x14ac:dyDescent="0.3">
      <c r="A990" s="3" t="s">
        <v>990</v>
      </c>
      <c r="B990" s="5" t="str">
        <f>HYPERLINK("http://www.schindler.com","www.schindler.com")</f>
        <v>www.schindler.com</v>
      </c>
    </row>
    <row r="991" spans="1:2" x14ac:dyDescent="0.3">
      <c r="A991" s="2" t="s">
        <v>991</v>
      </c>
      <c r="B991" s="4" t="str">
        <f>HYPERLINK("http://www.schorlingab.se","www.schorlingab.se")</f>
        <v>www.schorlingab.se</v>
      </c>
    </row>
    <row r="992" spans="1:2" x14ac:dyDescent="0.3">
      <c r="A992" s="3" t="s">
        <v>992</v>
      </c>
      <c r="B992" s="5" t="str">
        <f>HYPERLINK("http://www.selinc.com","www.selinc.com")</f>
        <v>www.selinc.com</v>
      </c>
    </row>
    <row r="993" spans="1:2" x14ac:dyDescent="0.3">
      <c r="A993" s="2" t="s">
        <v>993</v>
      </c>
      <c r="B993" s="4" t="str">
        <f>HYPERLINK("http://www.scmadvisors.co.uk","www.scmadvisors.co.uk")</f>
        <v>www.scmadvisors.co.uk</v>
      </c>
    </row>
    <row r="994" spans="1:2" x14ac:dyDescent="0.3">
      <c r="A994" s="2" t="s">
        <v>994</v>
      </c>
      <c r="B994" s="4" t="str">
        <f>HYPERLINK("http://www.seacorholdings.com","www.seacorholdings.com")</f>
        <v>www.seacorholdings.com</v>
      </c>
    </row>
    <row r="995" spans="1:2" x14ac:dyDescent="0.3">
      <c r="A995" s="3" t="s">
        <v>995</v>
      </c>
      <c r="B995" s="5" t="str">
        <f>HYPERLINK("http://www.au.seafolly.com","www.au.seafolly.com")</f>
        <v>www.au.seafolly.com</v>
      </c>
    </row>
    <row r="996" spans="1:2" x14ac:dyDescent="0.3">
      <c r="A996" s="3" t="s">
        <v>996</v>
      </c>
      <c r="B996" s="5" t="str">
        <f>HYPERLINK("http://www.segurosbolivar.com","www.segurosbolivar.com")</f>
        <v>www.segurosbolivar.com</v>
      </c>
    </row>
    <row r="997" spans="1:2" x14ac:dyDescent="0.3">
      <c r="A997" s="2" t="s">
        <v>997</v>
      </c>
      <c r="B997" s="4" t="str">
        <f>HYPERLINK("http://www.semana.com","www.semana.com")</f>
        <v>www.semana.com</v>
      </c>
    </row>
    <row r="998" spans="1:2" x14ac:dyDescent="0.3">
      <c r="A998" s="3" t="s">
        <v>998</v>
      </c>
      <c r="B998" s="5" t="str">
        <f>HYPERLINK("http://www.senior.com.br","www.senior.com.br")</f>
        <v>www.senior.com.br</v>
      </c>
    </row>
    <row r="999" spans="1:2" x14ac:dyDescent="0.3">
      <c r="A999" s="2" t="s">
        <v>999</v>
      </c>
      <c r="B999" s="4" t="str">
        <f>HYPERLINK("http://www.sensysgatso.com","www.sensysgatso.com")</f>
        <v>www.sensysgatso.com</v>
      </c>
    </row>
    <row r="1000" spans="1:2" x14ac:dyDescent="0.3">
      <c r="A1000" s="2" t="s">
        <v>1000</v>
      </c>
      <c r="B1000" s="4" t="str">
        <f>HYPERLINK("http://servinformacion.com","servinformacion.com")</f>
        <v>servinformacion.com</v>
      </c>
    </row>
    <row r="1001" spans="1:2" x14ac:dyDescent="0.3">
      <c r="A1001" s="3" t="s">
        <v>1001</v>
      </c>
      <c r="B1001" s="5" t="str">
        <f>HYPERLINK("http://www.setec.fr","www.setec.fr")</f>
        <v>www.setec.fr</v>
      </c>
    </row>
    <row r="1002" spans="1:2" x14ac:dyDescent="0.3">
      <c r="A1002" s="3" t="s">
        <v>1002</v>
      </c>
      <c r="B1002" s="5" t="str">
        <f>HYPERLINK("http://www.seven2.eu","www.seven2.eu")</f>
        <v>www.seven2.eu</v>
      </c>
    </row>
    <row r="1003" spans="1:2" x14ac:dyDescent="0.3">
      <c r="A1003" s="2" t="s">
        <v>1003</v>
      </c>
      <c r="B1003" s="4" t="str">
        <f>HYPERLINK("http://www.7xvc.com","www.7xvc.com")</f>
        <v>www.7xvc.com</v>
      </c>
    </row>
    <row r="1004" spans="1:2" x14ac:dyDescent="0.3">
      <c r="A1004" s="3" t="s">
        <v>1004</v>
      </c>
      <c r="B1004" s="5" t="str">
        <f>HYPERLINK("http://www.sharecapital.cn","www.sharecapital.cn")</f>
        <v>www.sharecapital.cn</v>
      </c>
    </row>
    <row r="1005" spans="1:2" x14ac:dyDescent="0.3">
      <c r="A1005" s="3" t="s">
        <v>1005</v>
      </c>
      <c r="B1005" s="5" t="str">
        <f>HYPERLINK("http://www.shell.com","www.shell.com")</f>
        <v>www.shell.com</v>
      </c>
    </row>
    <row r="1006" spans="1:2" x14ac:dyDescent="0.3">
      <c r="A1006" s="2" t="s">
        <v>1006</v>
      </c>
      <c r="B1006" s="4" t="str">
        <f>HYPERLINK("http://www.siddhicapital.co","www.siddhicapital.co")</f>
        <v>www.siddhicapital.co</v>
      </c>
    </row>
    <row r="1007" spans="1:2" x14ac:dyDescent="0.3">
      <c r="A1007" s="3" t="s">
        <v>1007</v>
      </c>
      <c r="B1007" s="5" t="str">
        <f>HYPERLINK("http://www.sigmaanalytical.com","www.sigmaanalytical.com")</f>
        <v>www.sigmaanalytical.com</v>
      </c>
    </row>
    <row r="1008" spans="1:2" x14ac:dyDescent="0.3">
      <c r="A1008" s="2" t="s">
        <v>1008</v>
      </c>
      <c r="B1008" s="4" t="str">
        <f>HYPERLINK("http://www.signiaventurepartners.com","www.signiaventurepartners.com")</f>
        <v>www.signiaventurepartners.com</v>
      </c>
    </row>
    <row r="1009" spans="1:2" x14ac:dyDescent="0.3">
      <c r="A1009" s="2" t="s">
        <v>1009</v>
      </c>
      <c r="B1009" s="4" t="str">
        <f>HYPERLINK("http://www.simplex.inc","www.simplex.inc")</f>
        <v>www.simplex.inc</v>
      </c>
    </row>
    <row r="1010" spans="1:2" x14ac:dyDescent="0.3">
      <c r="A1010" s="2" t="s">
        <v>1010</v>
      </c>
      <c r="B1010" s="4" t="str">
        <f>HYPERLINK("http://www.sinochemintl.com","www.sinochemintl.com")</f>
        <v>www.sinochemintl.com</v>
      </c>
    </row>
    <row r="1011" spans="1:2" x14ac:dyDescent="0.3">
      <c r="A1011" s="3" t="s">
        <v>1011</v>
      </c>
      <c r="B1011" s="5" t="str">
        <f>HYPERLINK("http://sinopec.com.cn","sinopec.com.cn")</f>
        <v>sinopec.com.cn</v>
      </c>
    </row>
    <row r="1012" spans="1:2" x14ac:dyDescent="0.3">
      <c r="A1012" s="2" t="s">
        <v>1012</v>
      </c>
      <c r="B1012" s="4" t="str">
        <f>HYPERLINK("http://www.sistecredito.com","www.sistecredito.com")</f>
        <v>www.sistecredito.com</v>
      </c>
    </row>
    <row r="1013" spans="1:2" x14ac:dyDescent="0.3">
      <c r="A1013" s="3" t="s">
        <v>1013</v>
      </c>
      <c r="B1013" s="5" t="str">
        <f>HYPERLINK("http://www.ap6.se","www.ap6.se")</f>
        <v>www.ap6.se</v>
      </c>
    </row>
    <row r="1014" spans="1:2" x14ac:dyDescent="0.3">
      <c r="A1014" s="2" t="s">
        <v>1014</v>
      </c>
      <c r="B1014" s="4" t="str">
        <f>HYPERLINK("http://www.skandiainc.com","www.skandiainc.com")</f>
        <v>www.skandiainc.com</v>
      </c>
    </row>
    <row r="1015" spans="1:2" x14ac:dyDescent="0.3">
      <c r="A1015" s="3" t="s">
        <v>1015</v>
      </c>
      <c r="B1015" s="5" t="str">
        <f>HYPERLINK("http://www.skandia.se","www.skandia.se")</f>
        <v>www.skandia.se</v>
      </c>
    </row>
    <row r="1016" spans="1:2" x14ac:dyDescent="0.3">
      <c r="A1016" s="2" t="s">
        <v>1016</v>
      </c>
      <c r="B1016" s="4" t="str">
        <f>HYPERLINK("http://skandia.co.uk","skandia.co.uk")</f>
        <v>skandia.co.uk</v>
      </c>
    </row>
    <row r="1017" spans="1:2" x14ac:dyDescent="0.3">
      <c r="A1017" s="3" t="s">
        <v>1017</v>
      </c>
      <c r="B1017" s="5" t="str">
        <f>HYPERLINK("http://www.smv.co","www.smv.co")</f>
        <v>www.smv.co</v>
      </c>
    </row>
    <row r="1018" spans="1:2" x14ac:dyDescent="0.3">
      <c r="A1018" s="2" t="s">
        <v>1018</v>
      </c>
      <c r="B1018" s="4" t="str">
        <f>HYPERLINK("http://www.smith-nephew.com","www.smith-nephew.com")</f>
        <v>www.smith-nephew.com</v>
      </c>
    </row>
    <row r="1019" spans="1:2" x14ac:dyDescent="0.3">
      <c r="A1019" s="3" t="s">
        <v>1019</v>
      </c>
      <c r="B1019" s="5" t="str">
        <f>HYPERLINK("http://www.yellowla.com","www.yellowla.com")</f>
        <v>www.yellowla.com</v>
      </c>
    </row>
    <row r="1020" spans="1:2" x14ac:dyDescent="0.3">
      <c r="A1020" s="2" t="s">
        <v>1020</v>
      </c>
      <c r="B1020" s="4" t="str">
        <f>HYPERLINK("http://sodeca.com","sodeca.com")</f>
        <v>sodeca.com</v>
      </c>
    </row>
    <row r="1021" spans="1:2" x14ac:dyDescent="0.3">
      <c r="A1021" s="3" t="s">
        <v>1021</v>
      </c>
      <c r="B1021" s="5" t="str">
        <f>HYPERLINK("http://www.socadif.fr","www.socadif.fr")</f>
        <v>www.socadif.fr</v>
      </c>
    </row>
    <row r="1022" spans="1:2" x14ac:dyDescent="0.3">
      <c r="A1022" s="2" t="s">
        <v>1022</v>
      </c>
      <c r="B1022" s="4" t="str">
        <f>HYPERLINK("http://www.socapglobal.com","www.socapglobal.com")</f>
        <v>www.socapglobal.com</v>
      </c>
    </row>
    <row r="1023" spans="1:2" x14ac:dyDescent="0.3">
      <c r="A1023" s="3" t="s">
        <v>1023</v>
      </c>
      <c r="B1023" s="5" t="str">
        <f>HYPERLINK("http://www.sgn.com","www.sgn.com")</f>
        <v>www.sgn.com</v>
      </c>
    </row>
    <row r="1024" spans="1:2" x14ac:dyDescent="0.3">
      <c r="A1024" s="2" t="s">
        <v>1024</v>
      </c>
      <c r="B1024" s="4" t="str">
        <f>HYPERLINK("http://socialnest.org","socialnest.org")</f>
        <v>socialnest.org</v>
      </c>
    </row>
    <row r="1025" spans="1:2" x14ac:dyDescent="0.3">
      <c r="A1025" s="3" t="s">
        <v>1025</v>
      </c>
      <c r="B1025" s="5" t="str">
        <f>HYPERLINK("http://www.inversionesenenergia.com","www.inversionesenenergia.com")</f>
        <v>www.inversionesenenergia.com</v>
      </c>
    </row>
    <row r="1026" spans="1:2" x14ac:dyDescent="0.3">
      <c r="A1026" s="2" t="s">
        <v>1026</v>
      </c>
      <c r="B1026" s="4" t="str">
        <f>HYPERLINK("http://www.saam.com","www.saam.com")</f>
        <v>www.saam.com</v>
      </c>
    </row>
    <row r="1027" spans="1:2" x14ac:dyDescent="0.3">
      <c r="A1027" s="3" t="s">
        <v>1027</v>
      </c>
      <c r="B1027" s="5" t="str">
        <f>HYPERLINK("http://www.sprbun.com","www.sprbun.com")</f>
        <v>www.sprbun.com</v>
      </c>
    </row>
    <row r="1028" spans="1:2" x14ac:dyDescent="0.3">
      <c r="A1028" s="2" t="s">
        <v>1028</v>
      </c>
      <c r="B1028" s="4" t="str">
        <f>HYPERLINK("http://www.spsm.com.co","www.spsm.com.co")</f>
        <v>www.spsm.com.co</v>
      </c>
    </row>
    <row r="1029" spans="1:2" x14ac:dyDescent="0.3">
      <c r="A1029" s="3" t="s">
        <v>1029</v>
      </c>
      <c r="B1029" s="5" t="str">
        <f>HYPERLINK("http://www.sriw.be","www.sriw.be")</f>
        <v>www.sriw.be</v>
      </c>
    </row>
    <row r="1030" spans="1:2" x14ac:dyDescent="0.3">
      <c r="A1030" s="2" t="s">
        <v>1030</v>
      </c>
      <c r="B1030" s="4" t="str">
        <f>HYPERLINK("http://sociicapital.com","sociicapital.com")</f>
        <v>sociicapital.com</v>
      </c>
    </row>
    <row r="1031" spans="1:2" x14ac:dyDescent="0.3">
      <c r="A1031" s="2" t="s">
        <v>1031</v>
      </c>
      <c r="B1031" s="4" t="str">
        <f>HYPERLINK("http://www.softwareone.com","www.softwareone.com")</f>
        <v>www.softwareone.com</v>
      </c>
    </row>
    <row r="1032" spans="1:2" x14ac:dyDescent="0.3">
      <c r="A1032" s="2" t="s">
        <v>1032</v>
      </c>
      <c r="B1032" s="4" t="str">
        <f>HYPERLINK("http://www.solistica.com","www.solistica.com")</f>
        <v>www.solistica.com</v>
      </c>
    </row>
    <row r="1033" spans="1:2" x14ac:dyDescent="0.3">
      <c r="A1033" s="3" t="s">
        <v>1033</v>
      </c>
      <c r="B1033" s="5" t="str">
        <f>HYPERLINK("http://www.solla.com","www.solla.com")</f>
        <v>www.solla.com</v>
      </c>
    </row>
    <row r="1034" spans="1:2" x14ac:dyDescent="0.3">
      <c r="A1034" s="2" t="s">
        <v>1034</v>
      </c>
      <c r="B1034" s="4" t="str">
        <f>HYPERLINK("http://www.som.cat","www.som.cat")</f>
        <v>www.som.cat</v>
      </c>
    </row>
    <row r="1035" spans="1:2" x14ac:dyDescent="0.3">
      <c r="A1035" s="3" t="s">
        <v>1035</v>
      </c>
      <c r="B1035" s="5" t="str">
        <f>HYPERLINK("http://www.sonda.com","www.sonda.com")</f>
        <v>www.sonda.com</v>
      </c>
    </row>
    <row r="1036" spans="1:2" x14ac:dyDescent="0.3">
      <c r="A1036" s="2" t="s">
        <v>1036</v>
      </c>
      <c r="B1036" s="4" t="str">
        <f>HYPERLINK("http://www.sonepar.com","www.sonepar.com")</f>
        <v>www.sonepar.com</v>
      </c>
    </row>
    <row r="1037" spans="1:2" x14ac:dyDescent="0.3">
      <c r="A1037" s="3" t="s">
        <v>1037</v>
      </c>
      <c r="B1037" s="5" t="str">
        <f>HYPERLINK("http://www.sonypicturestelevision.com","www.sonypicturestelevision.com")</f>
        <v>www.sonypicturestelevision.com</v>
      </c>
    </row>
    <row r="1038" spans="1:2" x14ac:dyDescent="0.3">
      <c r="A1038" s="2" t="s">
        <v>1038</v>
      </c>
      <c r="B1038" s="4" t="str">
        <f>HYPERLINK("http://www.sorsetech.com","www.sorsetech.com")</f>
        <v>www.sorsetech.com</v>
      </c>
    </row>
    <row r="1039" spans="1:2" x14ac:dyDescent="0.3">
      <c r="A1039" s="3" t="s">
        <v>1039</v>
      </c>
      <c r="B1039" s="5" t="str">
        <f>HYPERLINK("http://www.sothis.tech","www.sothis.tech")</f>
        <v>www.sothis.tech</v>
      </c>
    </row>
    <row r="1040" spans="1:2" x14ac:dyDescent="0.3">
      <c r="A1040" s="2" t="s">
        <v>1040</v>
      </c>
      <c r="B1040" s="4" t="str">
        <f>HYPERLINK("http://www.somicap.com","www.somicap.com")</f>
        <v>www.somicap.com</v>
      </c>
    </row>
    <row r="1041" spans="1:2" x14ac:dyDescent="0.3">
      <c r="A1041" s="3" t="s">
        <v>1041</v>
      </c>
      <c r="B1041" s="5" t="str">
        <f>HYPERLINK("http://www.sthventures.com","www.sthventures.com")</f>
        <v>www.sthventures.com</v>
      </c>
    </row>
    <row r="1042" spans="1:2" x14ac:dyDescent="0.3">
      <c r="A1042" s="3" t="s">
        <v>1042</v>
      </c>
      <c r="B1042" s="5" t="str">
        <f>HYPERLINK("http://www.spacebarventures.com","www.spacebarventures.com")</f>
        <v>www.spacebarventures.com</v>
      </c>
    </row>
    <row r="1043" spans="1:2" x14ac:dyDescent="0.3">
      <c r="A1043" s="2" t="s">
        <v>1043</v>
      </c>
      <c r="B1043" s="4" t="str">
        <f>HYPERLINK("http://www.spectron.com.mx","www.spectron.com.mx")</f>
        <v>www.spectron.com.mx</v>
      </c>
    </row>
    <row r="1044" spans="1:2" x14ac:dyDescent="0.3">
      <c r="A1044" s="3" t="s">
        <v>1044</v>
      </c>
      <c r="B1044" s="5" t="str">
        <f>HYPERLINK("http://www.spectrum.com.gt","www.spectrum.com.gt")</f>
        <v>www.spectrum.com.gt</v>
      </c>
    </row>
    <row r="1045" spans="1:2" x14ac:dyDescent="0.3">
      <c r="A1045" s="2" t="s">
        <v>1045</v>
      </c>
      <c r="B1045" s="4" t="str">
        <f>HYPERLINK("http://www.spineway.com","www.spineway.com")</f>
        <v>www.spineway.com</v>
      </c>
    </row>
    <row r="1046" spans="1:2" x14ac:dyDescent="0.3">
      <c r="A1046" s="3" t="s">
        <v>1046</v>
      </c>
      <c r="B1046" s="5" t="str">
        <f>HYPERLINK("http://www.spinnakervp.com","www.spinnakervp.com")</f>
        <v>www.spinnakervp.com</v>
      </c>
    </row>
    <row r="1047" spans="1:2" x14ac:dyDescent="0.3">
      <c r="A1047" s="2" t="s">
        <v>1047</v>
      </c>
      <c r="B1047" s="4" t="str">
        <f>HYPERLINK("http://www.spiraxgroup.com","www.spiraxgroup.com")</f>
        <v>www.spiraxgroup.com</v>
      </c>
    </row>
    <row r="1048" spans="1:2" x14ac:dyDescent="0.3">
      <c r="A1048" s="3" t="s">
        <v>1048</v>
      </c>
      <c r="B1048" s="5" t="str">
        <f>HYPERLINK("http://squareonecap.com","squareonecap.com")</f>
        <v>squareonecap.com</v>
      </c>
    </row>
    <row r="1049" spans="1:2" x14ac:dyDescent="0.3">
      <c r="A1049" s="2" t="s">
        <v>1049</v>
      </c>
      <c r="B1049" s="4" t="str">
        <f>HYPERLINK("http://ssiincubator.com","ssiincubator.com")</f>
        <v>ssiincubator.com</v>
      </c>
    </row>
    <row r="1050" spans="1:2" x14ac:dyDescent="0.3">
      <c r="A1050" s="3" t="s">
        <v>1050</v>
      </c>
      <c r="B1050" s="5" t="str">
        <f>HYPERLINK("http://www.stags.fr","www.stags.fr")</f>
        <v>www.stags.fr</v>
      </c>
    </row>
    <row r="1051" spans="1:2" x14ac:dyDescent="0.3">
      <c r="A1051" s="2" t="s">
        <v>1051</v>
      </c>
      <c r="B1051" s="4" t="str">
        <f>HYPERLINK("http://www.stake.com","www.stake.com")</f>
        <v>www.stake.com</v>
      </c>
    </row>
    <row r="1052" spans="1:2" x14ac:dyDescent="0.3">
      <c r="A1052" s="3" t="s">
        <v>1052</v>
      </c>
      <c r="B1052" s="5" t="str">
        <f>HYPERLINK("http://www.stamperoilandgas.com","www.stamperoilandgas.com")</f>
        <v>www.stamperoilandgas.com</v>
      </c>
    </row>
    <row r="1053" spans="1:2" x14ac:dyDescent="0.3">
      <c r="A1053" s="2" t="s">
        <v>1053</v>
      </c>
      <c r="B1053" s="4" t="str">
        <f>HYPERLINK("http://www.standardandpoors.com","www.standardandpoors.com")</f>
        <v>www.standardandpoors.com</v>
      </c>
    </row>
    <row r="1054" spans="1:2" x14ac:dyDescent="0.3">
      <c r="A1054" s="3" t="s">
        <v>1054</v>
      </c>
      <c r="B1054" s="5" t="str">
        <f>HYPERLINK("http://www.star26vc.com","www.star26vc.com")</f>
        <v>www.star26vc.com</v>
      </c>
    </row>
    <row r="1055" spans="1:2" x14ac:dyDescent="0.3">
      <c r="A1055" s="3" t="s">
        <v>1055</v>
      </c>
      <c r="B1055" s="5" t="str">
        <f>HYPERLINK("http://www.startupbrasil.org.br","www.startupbrasil.org.br")</f>
        <v>www.startupbrasil.org.br</v>
      </c>
    </row>
    <row r="1056" spans="1:2" x14ac:dyDescent="0.3">
      <c r="A1056" s="2" t="s">
        <v>1056</v>
      </c>
      <c r="B1056" s="4" t="str">
        <f>HYPERLINK("http://startup.alcobendas.org","startup.alcobendas.org")</f>
        <v>startup.alcobendas.org</v>
      </c>
    </row>
    <row r="1057" spans="1:2" x14ac:dyDescent="0.3">
      <c r="A1057" s="3" t="s">
        <v>1057</v>
      </c>
      <c r="B1057" s="5" t="str">
        <f>HYPERLINK("http://www.startupgrind.com","www.startupgrind.com")</f>
        <v>www.startupgrind.com</v>
      </c>
    </row>
    <row r="1058" spans="1:2" x14ac:dyDescent="0.3">
      <c r="A1058" s="2" t="s">
        <v>1058</v>
      </c>
      <c r="B1058" s="4" t="str">
        <f>HYPERLINK("http://www.startupistanbul.com","www.startupistanbul.com")</f>
        <v>www.startupistanbul.com</v>
      </c>
    </row>
    <row r="1059" spans="1:2" x14ac:dyDescent="0.3">
      <c r="A1059" s="3" t="s">
        <v>1059</v>
      </c>
      <c r="B1059" s="5" t="str">
        <f>HYPERLINK("http://www.startupmexico.com","www.startupmexico.com")</f>
        <v>www.startupmexico.com</v>
      </c>
    </row>
    <row r="1060" spans="1:2" x14ac:dyDescent="0.3">
      <c r="A1060" s="2" t="s">
        <v>1060</v>
      </c>
      <c r="B1060" s="4" t="str">
        <f>HYPERLINK("http://startupistanbul.substack.com","startupistanbul.substack.com")</f>
        <v>startupistanbul.substack.com</v>
      </c>
    </row>
    <row r="1061" spans="1:2" x14ac:dyDescent="0.3">
      <c r="A1061" s="3" t="s">
        <v>1061</v>
      </c>
      <c r="B1061" s="5" t="str">
        <f>HYPERLINK("http://www.starveups.com","www.starveups.com")</f>
        <v>www.starveups.com</v>
      </c>
    </row>
    <row r="1062" spans="1:2" x14ac:dyDescent="0.3">
      <c r="A1062" s="2" t="s">
        <v>1062</v>
      </c>
      <c r="B1062" s="4" t="str">
        <f>HYPERLINK("http://www.stefanini.com","www.stefanini.com")</f>
        <v>www.stefanini.com</v>
      </c>
    </row>
    <row r="1063" spans="1:2" x14ac:dyDescent="0.3">
      <c r="A1063" s="2" t="s">
        <v>1063</v>
      </c>
      <c r="B1063" s="4" t="str">
        <f>HYPERLINK("http://www.stellar.org","www.stellar.org")</f>
        <v>www.stellar.org</v>
      </c>
    </row>
    <row r="1064" spans="1:2" x14ac:dyDescent="0.3">
      <c r="A1064" s="2" t="s">
        <v>1064</v>
      </c>
      <c r="B1064" s="4" t="str">
        <f>HYPERLINK("http://www.steward.org","www.steward.org")</f>
        <v>www.steward.org</v>
      </c>
    </row>
    <row r="1065" spans="1:2" x14ac:dyDescent="0.3">
      <c r="A1065" s="3" t="s">
        <v>1065</v>
      </c>
      <c r="B1065" s="5" t="str">
        <f>HYPERLINK("http://www.sting.co","www.sting.co")</f>
        <v>www.sting.co</v>
      </c>
    </row>
    <row r="1066" spans="1:2" x14ac:dyDescent="0.3">
      <c r="A1066" s="2" t="s">
        <v>1066</v>
      </c>
      <c r="B1066" s="4" t="str">
        <f>HYPERLINK("http://www.stockwellcapital.com","www.stockwellcapital.com")</f>
        <v>www.stockwellcapital.com</v>
      </c>
    </row>
    <row r="1067" spans="1:2" x14ac:dyDescent="0.3">
      <c r="A1067" s="3" t="s">
        <v>1067</v>
      </c>
      <c r="B1067" s="5" t="str">
        <f>HYPERLINK("http://www.stonepoint.com","www.stonepoint.com")</f>
        <v>www.stonepoint.com</v>
      </c>
    </row>
    <row r="1068" spans="1:2" x14ac:dyDescent="0.3">
      <c r="A1068" s="2" t="s">
        <v>1068</v>
      </c>
      <c r="B1068" s="4" t="str">
        <f>HYPERLINK("http://stonewaterventures.com","stonewaterventures.com")</f>
        <v>stonewaterventures.com</v>
      </c>
    </row>
    <row r="1069" spans="1:2" x14ac:dyDescent="0.3">
      <c r="A1069" s="2" t="s">
        <v>1069</v>
      </c>
      <c r="B1069" s="4" t="str">
        <f>HYPERLINK("http://www.stork.com","www.stork.com")</f>
        <v>www.stork.com</v>
      </c>
    </row>
    <row r="1070" spans="1:2" x14ac:dyDescent="0.3">
      <c r="A1070" s="3" t="s">
        <v>1070</v>
      </c>
      <c r="B1070" s="5" t="str">
        <f>HYPERLINK("http://www.stormcapital.no","www.stormcapital.no")</f>
        <v>www.stormcapital.no</v>
      </c>
    </row>
    <row r="1071" spans="1:2" x14ac:dyDescent="0.3">
      <c r="A1071" s="2" t="s">
        <v>1071</v>
      </c>
      <c r="B1071" s="4" t="str">
        <f>HYPERLINK("http://www.stracon.com","www.stracon.com")</f>
        <v>www.stracon.com</v>
      </c>
    </row>
    <row r="1072" spans="1:2" x14ac:dyDescent="0.3">
      <c r="A1072" s="3" t="s">
        <v>1072</v>
      </c>
      <c r="B1072" s="5" t="str">
        <f>HYPERLINK("http://stracongroup.com","stracongroup.com")</f>
        <v>stracongroup.com</v>
      </c>
    </row>
    <row r="1073" spans="1:2" x14ac:dyDescent="0.3">
      <c r="A1073" s="2" t="s">
        <v>1073</v>
      </c>
      <c r="B1073" s="4" t="str">
        <f>HYPERLINK("http://www.sce.de","www.sce.de")</f>
        <v>www.sce.de</v>
      </c>
    </row>
    <row r="1074" spans="1:2" x14ac:dyDescent="0.3">
      <c r="A1074" s="3" t="s">
        <v>1074</v>
      </c>
      <c r="B1074" s="5" t="str">
        <f>HYPERLINK("http://www.strongvc.com","www.strongvc.com")</f>
        <v>www.strongvc.com</v>
      </c>
    </row>
    <row r="1075" spans="1:2" x14ac:dyDescent="0.3">
      <c r="A1075" s="2" t="s">
        <v>1075</v>
      </c>
      <c r="B1075" s="4" t="str">
        <f>HYPERLINK("http://www.structure.com.co","www.structure.com.co")</f>
        <v>www.structure.com.co</v>
      </c>
    </row>
    <row r="1076" spans="1:2" x14ac:dyDescent="0.3">
      <c r="A1076" s="3" t="s">
        <v>1076</v>
      </c>
      <c r="B1076" s="5" t="str">
        <f>HYPERLINK("http://www.sucden.com","www.sucden.com")</f>
        <v>www.sucden.com</v>
      </c>
    </row>
    <row r="1077" spans="1:2" x14ac:dyDescent="0.3">
      <c r="A1077" s="3" t="s">
        <v>1077</v>
      </c>
      <c r="B1077" s="5" t="str">
        <f>HYPERLINK("http://www.sumerlabs.com","www.sumerlabs.com")</f>
        <v>www.sumerlabs.com</v>
      </c>
    </row>
    <row r="1078" spans="1:2" x14ac:dyDescent="0.3">
      <c r="A1078" s="2" t="s">
        <v>1078</v>
      </c>
      <c r="B1078" s="4" t="str">
        <f>HYPERLINK("http://www.sumicol.com.co","www.sumicol.com.co")</f>
        <v>www.sumicol.com.co</v>
      </c>
    </row>
    <row r="1079" spans="1:2" x14ac:dyDescent="0.3">
      <c r="A1079" s="3" t="s">
        <v>1079</v>
      </c>
      <c r="B1079" s="5" t="str">
        <f>HYPERLINK("http://www.smbcgroup.com","www.smbcgroup.com")</f>
        <v>www.smbcgroup.com</v>
      </c>
    </row>
    <row r="1080" spans="1:2" x14ac:dyDescent="0.3">
      <c r="A1080" s="2" t="s">
        <v>1080</v>
      </c>
      <c r="B1080" s="4" t="str">
        <f>HYPERLINK("http://www.summitpartners.com","www.summitpartners.com")</f>
        <v>www.summitpartners.com</v>
      </c>
    </row>
    <row r="1081" spans="1:2" x14ac:dyDescent="0.3">
      <c r="A1081" s="2" t="s">
        <v>1081</v>
      </c>
      <c r="B1081" s="4" t="str">
        <f>HYPERLINK("http://www.superchargerventures.com","www.superchargerventures.com")</f>
        <v>www.superchargerventures.com</v>
      </c>
    </row>
    <row r="1082" spans="1:2" x14ac:dyDescent="0.3">
      <c r="A1082" s="3" t="s">
        <v>1082</v>
      </c>
      <c r="B1082" s="5" t="str">
        <f>HYPERLINK("http://www.paginasamarillas.com.co","www.paginasamarillas.com.co")</f>
        <v>www.paginasamarillas.com.co</v>
      </c>
    </row>
    <row r="1083" spans="1:2" x14ac:dyDescent="0.3">
      <c r="A1083" s="3" t="s">
        <v>1083</v>
      </c>
      <c r="B1083" s="5" t="str">
        <f>HYPERLINK("http://www.sura-am.com","www.sura-am.com")</f>
        <v>www.sura-am.com</v>
      </c>
    </row>
    <row r="1084" spans="1:2" x14ac:dyDescent="0.3">
      <c r="A1084" s="2" t="s">
        <v>1084</v>
      </c>
      <c r="B1084" s="4" t="str">
        <f>HYPERLINK("http://im.sura-am.com/es","im.sura-am.com/es")</f>
        <v>im.sura-am.com/es</v>
      </c>
    </row>
    <row r="1085" spans="1:2" x14ac:dyDescent="0.3">
      <c r="A1085" s="3" t="s">
        <v>1085</v>
      </c>
      <c r="B1085" s="5" t="str">
        <f>HYPERLINK("http://www.svbcapital.com","www.svbcapital.com")</f>
        <v>www.svbcapital.com</v>
      </c>
    </row>
    <row r="1086" spans="1:2" x14ac:dyDescent="0.3">
      <c r="A1086" s="2" t="s">
        <v>1086</v>
      </c>
      <c r="B1086" s="4" t="str">
        <f>HYPERLINK("http://www.swanhillcapital.com","www.swanhillcapital.com")</f>
        <v>www.swanhillcapital.com</v>
      </c>
    </row>
    <row r="1087" spans="1:2" x14ac:dyDescent="0.3">
      <c r="A1087" s="3" t="s">
        <v>1087</v>
      </c>
      <c r="B1087" s="5" t="str">
        <f>HYPERLINK("http://www.sifem.ch","www.sifem.ch")</f>
        <v>www.sifem.ch</v>
      </c>
    </row>
    <row r="1088" spans="1:2" x14ac:dyDescent="0.3">
      <c r="A1088" s="2" t="s">
        <v>1088</v>
      </c>
      <c r="B1088" s="4" t="str">
        <f>HYPERLINK("http://www.swissre.com","www.swissre.com")</f>
        <v>www.swissre.com</v>
      </c>
    </row>
    <row r="1089" spans="1:2" x14ac:dyDescent="0.3">
      <c r="A1089" s="3" t="s">
        <v>1089</v>
      </c>
      <c r="B1089" s="5" t="str">
        <f>HYPERLINK("http://www.symbioticsgroup.com","www.symbioticsgroup.com")</f>
        <v>www.symbioticsgroup.com</v>
      </c>
    </row>
    <row r="1090" spans="1:2" x14ac:dyDescent="0.3">
      <c r="A1090" s="2" t="s">
        <v>1090</v>
      </c>
      <c r="B1090" s="4" t="str">
        <f>HYPERLINK("http://www.taventures.vc","www.taventures.vc")</f>
        <v>www.taventures.vc</v>
      </c>
    </row>
    <row r="1091" spans="1:2" x14ac:dyDescent="0.3">
      <c r="A1091" s="2" t="s">
        <v>1091</v>
      </c>
      <c r="B1091" s="4" t="str">
        <f>HYPERLINK("http://www.ti-films.com","www.ti-films.com")</f>
        <v>www.ti-films.com</v>
      </c>
    </row>
    <row r="1092" spans="1:2" x14ac:dyDescent="0.3">
      <c r="A1092" s="3" t="s">
        <v>1092</v>
      </c>
      <c r="B1092" s="5" t="str">
        <f>HYPERLINK("http://www.tahseen.ae","www.tahseen.ae")</f>
        <v>www.tahseen.ae</v>
      </c>
    </row>
    <row r="1093" spans="1:2" x14ac:dyDescent="0.3">
      <c r="A1093" s="2" t="s">
        <v>1093</v>
      </c>
      <c r="B1093" s="4" t="str">
        <f>HYPERLINK("http://www.taisu.io","www.taisu.io")</f>
        <v>www.taisu.io</v>
      </c>
    </row>
    <row r="1094" spans="1:2" x14ac:dyDescent="0.3">
      <c r="A1094" s="3" t="s">
        <v>1094</v>
      </c>
      <c r="B1094" s="5" t="str">
        <f>HYPERLINK("http://www.tampabaywave.org","www.tampabaywave.org")</f>
        <v>www.tampabaywave.org</v>
      </c>
    </row>
    <row r="1095" spans="1:2" x14ac:dyDescent="0.3">
      <c r="A1095" s="2" t="s">
        <v>1095</v>
      </c>
      <c r="B1095" s="4" t="str">
        <f>HYPERLINK("http://www.taomining.com","www.taomining.com")</f>
        <v>www.taomining.com</v>
      </c>
    </row>
    <row r="1096" spans="1:2" x14ac:dyDescent="0.3">
      <c r="A1096" s="2" t="s">
        <v>1096</v>
      </c>
      <c r="B1096" s="4" t="str">
        <f>HYPERLINK("http://www.tcapital.com.co","www.tcapital.com.co")</f>
        <v>www.tcapital.com.co</v>
      </c>
    </row>
    <row r="1097" spans="1:2" x14ac:dyDescent="0.3">
      <c r="A1097" s="3" t="s">
        <v>1097</v>
      </c>
      <c r="B1097" s="5" t="str">
        <f>HYPERLINK("http://www.tctranscontinental.com/en-us","www.tctranscontinental.com/en-us")</f>
        <v>www.tctranscontinental.com/en-us</v>
      </c>
    </row>
    <row r="1098" spans="1:2" x14ac:dyDescent="0.3">
      <c r="A1098" s="2" t="s">
        <v>1098</v>
      </c>
      <c r="B1098" s="4" t="str">
        <f>HYPERLINK("http://www.tcapequity.com","www.tcapequity.com")</f>
        <v>www.tcapequity.com</v>
      </c>
    </row>
    <row r="1099" spans="1:2" x14ac:dyDescent="0.3">
      <c r="A1099" s="3" t="s">
        <v>1099</v>
      </c>
      <c r="B1099" s="5" t="str">
        <f>HYPERLINK("http://www.teakcapital.pt","www.teakcapital.pt")</f>
        <v>www.teakcapital.pt</v>
      </c>
    </row>
    <row r="1100" spans="1:2" x14ac:dyDescent="0.3">
      <c r="A1100" s="2" t="s">
        <v>1100</v>
      </c>
      <c r="B1100" s="4" t="str">
        <f>HYPERLINK("http://www.teamabc.vc","www.teamabc.vc")</f>
        <v>www.teamabc.vc</v>
      </c>
    </row>
    <row r="1101" spans="1:2" x14ac:dyDescent="0.3">
      <c r="A1101" s="3" t="s">
        <v>1101</v>
      </c>
      <c r="B1101" s="5" t="str">
        <f>HYPERLINK("http://www.techcrunch.com","www.techcrunch.com")</f>
        <v>www.techcrunch.com</v>
      </c>
    </row>
    <row r="1102" spans="1:2" x14ac:dyDescent="0.3">
      <c r="A1102" s="3" t="s">
        <v>1102</v>
      </c>
      <c r="B1102" s="5" t="str">
        <f>HYPERLINK("http://www.tektonventures.com","www.tektonventures.com")</f>
        <v>www.tektonventures.com</v>
      </c>
    </row>
    <row r="1103" spans="1:2" x14ac:dyDescent="0.3">
      <c r="A1103" s="3" t="s">
        <v>1103</v>
      </c>
      <c r="B1103" s="5" t="str">
        <f>HYPERLINK("http://www.telmex.com","www.telmex.com")</f>
        <v>www.telmex.com</v>
      </c>
    </row>
    <row r="1104" spans="1:2" x14ac:dyDescent="0.3">
      <c r="A1104" s="3" t="s">
        <v>1104</v>
      </c>
      <c r="B1104" s="5" t="str">
        <f>HYPERLINK("http://www.telmexinternacional.com","www.telmexinternacional.com")</f>
        <v>www.telmexinternacional.com</v>
      </c>
    </row>
    <row r="1105" spans="1:2" x14ac:dyDescent="0.3">
      <c r="A1105" s="2" t="s">
        <v>1105</v>
      </c>
      <c r="B1105" s="4" t="str">
        <f>HYPERLINK("http://tenacity.vc","tenacity.vc")</f>
        <v>tenacity.vc</v>
      </c>
    </row>
    <row r="1106" spans="1:2" x14ac:dyDescent="0.3">
      <c r="A1106" s="3" t="s">
        <v>1106</v>
      </c>
      <c r="B1106" s="5" t="str">
        <f>HYPERLINK("http://www.terragroup.com","www.terragroup.com")</f>
        <v>www.terragroup.com</v>
      </c>
    </row>
    <row r="1107" spans="1:2" x14ac:dyDescent="0.3">
      <c r="A1107" s="2" t="s">
        <v>1107</v>
      </c>
      <c r="B1107" s="4" t="str">
        <f>HYPERLINK("http://www.fabricato.com","www.fabricato.com")</f>
        <v>www.fabricato.com</v>
      </c>
    </row>
    <row r="1108" spans="1:2" x14ac:dyDescent="0.3">
      <c r="A1108" s="3" t="s">
        <v>1108</v>
      </c>
      <c r="B1108" s="5" t="str">
        <f>HYPERLINK("http://www.theastorgroup.com","www.theastorgroup.com")</f>
        <v>www.theastorgroup.com</v>
      </c>
    </row>
    <row r="1109" spans="1:2" x14ac:dyDescent="0.3">
      <c r="A1109" s="2" t="s">
        <v>1109</v>
      </c>
      <c r="B1109" s="4" t="str">
        <f>HYPERLINK("http://www.deshaw.com","www.deshaw.com")</f>
        <v>www.deshaw.com</v>
      </c>
    </row>
    <row r="1110" spans="1:2" x14ac:dyDescent="0.3">
      <c r="A1110" s="3" t="s">
        <v>1110</v>
      </c>
      <c r="B1110" s="5" t="str">
        <f>HYPERLINK("http://www.doradogroup.com","www.doradogroup.com")</f>
        <v>www.doradogroup.com</v>
      </c>
    </row>
    <row r="1111" spans="1:2" x14ac:dyDescent="0.3">
      <c r="A1111" s="2" t="s">
        <v>1111</v>
      </c>
      <c r="B1111" s="4" t="str">
        <f>HYPERLINK("http://www.theganeshalab.com","www.theganeshalab.com")</f>
        <v>www.theganeshalab.com</v>
      </c>
    </row>
    <row r="1112" spans="1:2" x14ac:dyDescent="0.3">
      <c r="A1112" s="3" t="s">
        <v>1112</v>
      </c>
      <c r="B1112" s="5" t="str">
        <f>HYPERLINK("http://www.globalgoodfund.org","www.globalgoodfund.org")</f>
        <v>www.globalgoodfund.org</v>
      </c>
    </row>
    <row r="1113" spans="1:2" x14ac:dyDescent="0.3">
      <c r="A1113" s="2" t="s">
        <v>1113</v>
      </c>
      <c r="B1113" s="4" t="str">
        <f>HYPERLINK("http://good.kitchen","good.kitchen")</f>
        <v>good.kitchen</v>
      </c>
    </row>
    <row r="1114" spans="1:2" x14ac:dyDescent="0.3">
      <c r="A1114" s="3" t="s">
        <v>1114</v>
      </c>
      <c r="B1114" s="5" t="str">
        <f>HYPERLINK("http://www.thegraduatesyndicate.com","www.thegraduatesyndicate.com")</f>
        <v>www.thegraduatesyndicate.com</v>
      </c>
    </row>
    <row r="1115" spans="1:2" x14ac:dyDescent="0.3">
      <c r="A1115" s="2" t="s">
        <v>1115</v>
      </c>
      <c r="B1115" s="4" t="str">
        <f>HYPERLINK("http://www.themarathonfund.com","www.themarathonfund.com")</f>
        <v>www.themarathonfund.com</v>
      </c>
    </row>
    <row r="1116" spans="1:2" x14ac:dyDescent="0.3">
      <c r="A1116" s="3" t="s">
        <v>1116</v>
      </c>
      <c r="B1116" s="5" t="str">
        <f>HYPERLINK("http://www.thembafund.com","www.thembafund.com")</f>
        <v>www.thembafund.com</v>
      </c>
    </row>
    <row r="1117" spans="1:2" x14ac:dyDescent="0.3">
      <c r="A1117" s="2" t="s">
        <v>1117</v>
      </c>
      <c r="B1117" s="4" t="str">
        <f>HYPERLINK("http://www.opesgroupllc.com","www.opesgroupllc.com")</f>
        <v>www.opesgroupllc.com</v>
      </c>
    </row>
    <row r="1118" spans="1:2" x14ac:dyDescent="0.3">
      <c r="A1118" s="3" t="s">
        <v>1118</v>
      </c>
      <c r="B1118" s="5" t="str">
        <f>HYPERLINK("http://www.rohatyngroup.com","www.rohatyngroup.com")</f>
        <v>www.rohatyngroup.com</v>
      </c>
    </row>
    <row r="1119" spans="1:2" x14ac:dyDescent="0.3">
      <c r="A1119" s="3" t="s">
        <v>1119</v>
      </c>
      <c r="B1119" s="5" t="str">
        <f>HYPERLINK("http://widgets.weforum.org","widgets.weforum.org")</f>
        <v>widgets.weforum.org</v>
      </c>
    </row>
    <row r="1120" spans="1:2" x14ac:dyDescent="0.3">
      <c r="A1120" s="2" t="s">
        <v>1120</v>
      </c>
      <c r="B1120" s="4" t="str">
        <f>HYPERLINK("http://theyieldlablatam.com","theyieldlablatam.com")</f>
        <v>theyieldlablatam.com</v>
      </c>
    </row>
    <row r="1121" spans="1:2" x14ac:dyDescent="0.3">
      <c r="A1121" s="3" t="s">
        <v>1121</v>
      </c>
      <c r="B1121" s="5" t="str">
        <f>HYPERLINK("http://www.3kvc.com","www.3kvc.com")</f>
        <v>www.3kvc.com</v>
      </c>
    </row>
    <row r="1122" spans="1:2" x14ac:dyDescent="0.3">
      <c r="A1122" s="2" t="s">
        <v>1122</v>
      </c>
      <c r="B1122" s="4" t="str">
        <f>HYPERLINK("http://thirdstreampartners.com","thirdstreampartners.com")</f>
        <v>thirdstreampartners.com</v>
      </c>
    </row>
    <row r="1123" spans="1:2" x14ac:dyDescent="0.3">
      <c r="A1123" s="3" t="s">
        <v>1123</v>
      </c>
      <c r="B1123" s="5" t="str">
        <f>HYPERLINK("http://www.primarycobalt.com","www.primarycobalt.com")</f>
        <v>www.primarycobalt.com</v>
      </c>
    </row>
    <row r="1124" spans="1:2" x14ac:dyDescent="0.3">
      <c r="A1124" s="3" t="s">
        <v>1124</v>
      </c>
      <c r="B1124" s="5" t="str">
        <f>HYPERLINK("http://www.tibagroup.com","www.tibagroup.com")</f>
        <v>www.tibagroup.com</v>
      </c>
    </row>
    <row r="1125" spans="1:2" x14ac:dyDescent="0.3">
      <c r="A1125" s="3" t="s">
        <v>1125</v>
      </c>
      <c r="B1125" s="5" t="str">
        <f>HYPERLINK("http://www.tigo.com.co","www.tigo.com.co")</f>
        <v>www.tigo.com.co</v>
      </c>
    </row>
    <row r="1126" spans="1:2" x14ac:dyDescent="0.3">
      <c r="A1126" s="3" t="s">
        <v>1126</v>
      </c>
      <c r="B1126" s="5" t="str">
        <f>HYPERLINK("http://www.timevc.capital","www.timevc.capital")</f>
        <v>www.timevc.capital</v>
      </c>
    </row>
    <row r="1127" spans="1:2" x14ac:dyDescent="0.3">
      <c r="A1127" s="2" t="s">
        <v>1127</v>
      </c>
      <c r="B1127" s="4" t="str">
        <f>HYPERLINK("http://www.timetoact.capital","www.timetoact.capital")</f>
        <v>www.timetoact.capital</v>
      </c>
    </row>
    <row r="1128" spans="1:2" x14ac:dyDescent="0.3">
      <c r="A1128" s="3" t="s">
        <v>1128</v>
      </c>
      <c r="B1128" s="5" t="str">
        <f>HYPERLINK("http://www.todoscomemos.com","www.todoscomemos.com")</f>
        <v>www.todoscomemos.com</v>
      </c>
    </row>
    <row r="1129" spans="1:2" x14ac:dyDescent="0.3">
      <c r="A1129" s="2" t="s">
        <v>1129</v>
      </c>
      <c r="B1129" s="4" t="str">
        <f>HYPERLINK("http://www.toiletboard.org","www.toiletboard.org")</f>
        <v>www.toiletboard.org</v>
      </c>
    </row>
    <row r="1130" spans="1:2" x14ac:dyDescent="0.3">
      <c r="A1130" s="2" t="s">
        <v>1130</v>
      </c>
      <c r="B1130" s="4" t="str">
        <f>HYPERLINK("http://www.tomorrowcap.com","www.tomorrowcap.com")</f>
        <v>www.tomorrowcap.com</v>
      </c>
    </row>
    <row r="1131" spans="1:2" x14ac:dyDescent="0.3">
      <c r="A1131" s="3" t="s">
        <v>1131</v>
      </c>
      <c r="B1131" s="5" t="str">
        <f>HYPERLINK("http://www.topazevolution.com","www.topazevolution.com")</f>
        <v>www.topazevolution.com</v>
      </c>
    </row>
    <row r="1132" spans="1:2" x14ac:dyDescent="0.3">
      <c r="A1132" s="2" t="s">
        <v>1132</v>
      </c>
      <c r="B1132" s="4" t="str">
        <f>HYPERLINK("http://www.toppansecurity.com","www.toppansecurity.com")</f>
        <v>www.toppansecurity.com</v>
      </c>
    </row>
    <row r="1133" spans="1:2" x14ac:dyDescent="0.3">
      <c r="A1133" s="3" t="s">
        <v>1133</v>
      </c>
      <c r="B1133" s="5" t="str">
        <f>HYPERLINK("http://www.torneos.com","www.torneos.com")</f>
        <v>www.torneos.com</v>
      </c>
    </row>
    <row r="1134" spans="1:2" x14ac:dyDescent="0.3">
      <c r="A1134" s="2" t="s">
        <v>1134</v>
      </c>
      <c r="B1134" s="4" t="str">
        <f>HYPERLINK("http://www.torre.ai","www.torre.ai")</f>
        <v>www.torre.ai</v>
      </c>
    </row>
    <row r="1135" spans="1:2" x14ac:dyDescent="0.3">
      <c r="A1135" s="3" t="s">
        <v>1135</v>
      </c>
      <c r="B1135" s="5" t="str">
        <f>HYPERLINK("http://www.toushkacapital.com","www.toushkacapital.com")</f>
        <v>www.toushkacapital.com</v>
      </c>
    </row>
    <row r="1136" spans="1:2" x14ac:dyDescent="0.3">
      <c r="A1136" s="3" t="s">
        <v>1136</v>
      </c>
      <c r="B1136" s="5" t="str">
        <f>HYPERLINK("http://www.global.toyota","www.global.toyota")</f>
        <v>www.global.toyota</v>
      </c>
    </row>
    <row r="1137" spans="1:2" x14ac:dyDescent="0.3">
      <c r="A1137" s="2" t="s">
        <v>1137</v>
      </c>
      <c r="B1137" s="4" t="str">
        <f>HYPERLINK("http://www.tp.com","www.tp.com")</f>
        <v>www.tp.com</v>
      </c>
    </row>
    <row r="1138" spans="1:2" x14ac:dyDescent="0.3">
      <c r="A1138" s="3" t="s">
        <v>1138</v>
      </c>
      <c r="B1138" s="5" t="str">
        <f>HYPERLINK("http://tpaga.co","tpaga.co")</f>
        <v>tpaga.co</v>
      </c>
    </row>
    <row r="1139" spans="1:2" x14ac:dyDescent="0.3">
      <c r="A1139" s="2" t="s">
        <v>1139</v>
      </c>
      <c r="B1139" s="4" t="str">
        <f>HYPERLINK("http://www.tpc.ventures","www.tpc.ventures")</f>
        <v>www.tpc.ventures</v>
      </c>
    </row>
    <row r="1140" spans="1:2" x14ac:dyDescent="0.3">
      <c r="A1140" s="3" t="s">
        <v>1140</v>
      </c>
      <c r="B1140" s="5" t="str">
        <f>HYPERLINK("http://www.transportesvigia.com","www.transportesvigia.com")</f>
        <v>www.transportesvigia.com</v>
      </c>
    </row>
    <row r="1141" spans="1:2" x14ac:dyDescent="0.3">
      <c r="A1141" s="2" t="s">
        <v>1141</v>
      </c>
      <c r="B1141" s="4" t="str">
        <f>HYPERLINK("http://www.travelstartupsincubator.com","www.travelstartupsincubator.com")</f>
        <v>www.travelstartupsincubator.com</v>
      </c>
    </row>
    <row r="1142" spans="1:2" x14ac:dyDescent="0.3">
      <c r="A1142" s="3" t="s">
        <v>1142</v>
      </c>
      <c r="B1142" s="5" t="str">
        <f>HYPERLINK("http://www.travelers.com","www.travelers.com")</f>
        <v>www.travelers.com</v>
      </c>
    </row>
    <row r="1143" spans="1:2" x14ac:dyDescent="0.3">
      <c r="A1143" s="2" t="s">
        <v>1143</v>
      </c>
      <c r="B1143" s="4" t="str">
        <f>HYPERLINK("http://tweenerfund.com","tweenerfund.com")</f>
        <v>tweenerfund.com</v>
      </c>
    </row>
    <row r="1144" spans="1:2" x14ac:dyDescent="0.3">
      <c r="A1144" s="3" t="s">
        <v>1144</v>
      </c>
      <c r="B1144" s="5" t="str">
        <f>HYPERLINK("http://www.tribunecapital.ca","www.tribunecapital.ca")</f>
        <v>www.tribunecapital.ca</v>
      </c>
    </row>
    <row r="1145" spans="1:2" x14ac:dyDescent="0.3">
      <c r="A1145" s="2" t="s">
        <v>1145</v>
      </c>
      <c r="B1145" s="4" t="str">
        <f>HYPERLINK("http://www.tvgvc.com","www.tvgvc.com")</f>
        <v>www.tvgvc.com</v>
      </c>
    </row>
    <row r="1146" spans="1:2" x14ac:dyDescent="0.3">
      <c r="A1146" s="3" t="s">
        <v>1146</v>
      </c>
      <c r="B1146" s="5" t="str">
        <f>HYPERLINK("http://www.trinitycapital.com","www.trinitycapital.com")</f>
        <v>www.trinitycapital.com</v>
      </c>
    </row>
    <row r="1147" spans="1:2" x14ac:dyDescent="0.3">
      <c r="A1147" s="2" t="s">
        <v>1147</v>
      </c>
      <c r="B1147" s="4" t="str">
        <f>HYPERLINK("http://www.triodos.com","www.triodos.com")</f>
        <v>www.triodos.com</v>
      </c>
    </row>
    <row r="1148" spans="1:2" x14ac:dyDescent="0.3">
      <c r="A1148" s="3" t="s">
        <v>1148</v>
      </c>
      <c r="B1148" s="5" t="str">
        <f>HYPERLINK("http://www.triplejump.eu","www.triplejump.eu")</f>
        <v>www.triplejump.eu</v>
      </c>
    </row>
    <row r="1149" spans="1:2" x14ac:dyDescent="0.3">
      <c r="A1149" s="2" t="s">
        <v>1149</v>
      </c>
      <c r="B1149" s="4" t="str">
        <f>HYPERLINK("http://www.sss-steel.com","www.sss-steel.com")</f>
        <v>www.sss-steel.com</v>
      </c>
    </row>
    <row r="1150" spans="1:2" x14ac:dyDescent="0.3">
      <c r="A1150" s="3" t="s">
        <v>1150</v>
      </c>
      <c r="B1150" s="5" t="str">
        <f>HYPERLINK("http://www.trivita.com","www.trivita.com")</f>
        <v>www.trivita.com</v>
      </c>
    </row>
    <row r="1151" spans="1:2" x14ac:dyDescent="0.3">
      <c r="A1151" s="2" t="s">
        <v>1151</v>
      </c>
      <c r="B1151" s="4" t="str">
        <f>HYPERLINK("http://troopa.la","troopa.la")</f>
        <v>troopa.la</v>
      </c>
    </row>
    <row r="1152" spans="1:2" x14ac:dyDescent="0.3">
      <c r="A1152" s="3" t="s">
        <v>1152</v>
      </c>
      <c r="B1152" s="5" t="str">
        <f>HYPERLINK("http://www.trueway.vc","www.trueway.vc")</f>
        <v>www.trueway.vc</v>
      </c>
    </row>
    <row r="1153" spans="1:2" x14ac:dyDescent="0.3">
      <c r="A1153" s="2" t="s">
        <v>1153</v>
      </c>
      <c r="B1153" s="4" t="str">
        <f>HYPERLINK("http://www.tuataracapital.com","www.tuataracapital.com")</f>
        <v>www.tuataracapital.com</v>
      </c>
    </row>
    <row r="1154" spans="1:2" x14ac:dyDescent="0.3">
      <c r="A1154" s="3" t="s">
        <v>1154</v>
      </c>
      <c r="B1154" s="5" t="str">
        <f>HYPERLINK("http://www.turner.com","www.turner.com")</f>
        <v>www.turner.com</v>
      </c>
    </row>
    <row r="1155" spans="1:2" x14ac:dyDescent="0.3">
      <c r="A1155" s="3" t="s">
        <v>1155</v>
      </c>
      <c r="B1155" s="5" t="str">
        <f>HYPERLINK("http://www.twohandsgroup.com","www.twohandsgroup.com")</f>
        <v>www.twohandsgroup.com</v>
      </c>
    </row>
    <row r="1156" spans="1:2" x14ac:dyDescent="0.3">
      <c r="A1156" s="2" t="s">
        <v>1156</v>
      </c>
      <c r="B1156" s="4" t="str">
        <f>HYPERLINK("http://www.222pictures.com","www.222pictures.com")</f>
        <v>www.222pictures.com</v>
      </c>
    </row>
    <row r="1157" spans="1:2" x14ac:dyDescent="0.3">
      <c r="A1157" s="3" t="s">
        <v>1157</v>
      </c>
      <c r="B1157" s="5" t="str">
        <f>HYPERLINK("http://nsf.gov","nsf.gov")</f>
        <v>nsf.gov</v>
      </c>
    </row>
    <row r="1158" spans="1:2" x14ac:dyDescent="0.3">
      <c r="A1158" s="2" t="s">
        <v>1158</v>
      </c>
      <c r="B1158" s="4" t="str">
        <f>HYPERLINK("http://www.uscotton.com","www.uscotton.com")</f>
        <v>www.uscotton.com</v>
      </c>
    </row>
    <row r="1159" spans="1:2" x14ac:dyDescent="0.3">
      <c r="A1159" s="2" t="s">
        <v>1159</v>
      </c>
      <c r="B1159" s="4" t="str">
        <f>HYPERLINK("http://www.umo.com.co","www.umo.com.co")</f>
        <v>www.umo.com.co</v>
      </c>
    </row>
    <row r="1160" spans="1:2" x14ac:dyDescent="0.3">
      <c r="A1160" s="3" t="s">
        <v>1160</v>
      </c>
      <c r="B1160" s="5" t="str">
        <f>HYPERLINK("http://www.umov.me","www.umov.me")</f>
        <v>www.umov.me</v>
      </c>
    </row>
    <row r="1161" spans="1:2" x14ac:dyDescent="0.3">
      <c r="A1161" s="2" t="s">
        <v>1161</v>
      </c>
      <c r="B1161" s="4" t="str">
        <f>HYPERLINK("http://www.unigrains.fr","www.unigrains.fr")</f>
        <v>www.unigrains.fr</v>
      </c>
    </row>
    <row r="1162" spans="1:2" x14ac:dyDescent="0.3">
      <c r="A1162" s="2" t="s">
        <v>1162</v>
      </c>
      <c r="B1162" s="4" t="str">
        <f>HYPERLINK("http://www.unionfenosa.es","www.unionfenosa.es")</f>
        <v>www.unionfenosa.es</v>
      </c>
    </row>
    <row r="1163" spans="1:2" x14ac:dyDescent="0.3">
      <c r="A1163" s="2" t="s">
        <v>1163</v>
      </c>
      <c r="B1163" s="4" t="str">
        <f>HYPERLINK("http://unal.edu.co","unal.edu.co")</f>
        <v>unal.edu.co</v>
      </c>
    </row>
    <row r="1164" spans="1:2" x14ac:dyDescent="0.3">
      <c r="A1164" s="3" t="s">
        <v>1164</v>
      </c>
      <c r="B1164" s="5" t="str">
        <f>HYPERLINK("http://www.uss.co.uk","www.uss.co.uk")</f>
        <v>www.uss.co.uk</v>
      </c>
    </row>
    <row r="1165" spans="1:2" x14ac:dyDescent="0.3">
      <c r="A1165" s="2" t="s">
        <v>1165</v>
      </c>
      <c r="B1165" s="4" t="str">
        <f>HYPERLINK("http://www.unreasonablecapital.com","www.unreasonablecapital.com")</f>
        <v>www.unreasonablecapital.com</v>
      </c>
    </row>
    <row r="1166" spans="1:2" x14ac:dyDescent="0.3">
      <c r="A1166" s="2" t="s">
        <v>1166</v>
      </c>
      <c r="B1166" s="4" t="str">
        <f>HYPERLINK("http://www.unshackledvc.com","www.unshackledvc.com")</f>
        <v>www.unshackledvc.com</v>
      </c>
    </row>
    <row r="1167" spans="1:2" x14ac:dyDescent="0.3">
      <c r="A1167" s="3" t="s">
        <v>1167</v>
      </c>
      <c r="B1167" s="5" t="str">
        <f>HYPERLINK("http://www.up.coop","www.up.coop")</f>
        <v>www.up.coop</v>
      </c>
    </row>
    <row r="1168" spans="1:2" x14ac:dyDescent="0.3">
      <c r="A1168" s="2" t="s">
        <v>1168</v>
      </c>
      <c r="B1168" s="4" t="str">
        <f>HYPERLINK("http://www.urbaser.co","www.urbaser.co")</f>
        <v>www.urbaser.co</v>
      </c>
    </row>
    <row r="1169" spans="1:2" x14ac:dyDescent="0.3">
      <c r="A1169" s="3" t="s">
        <v>1169</v>
      </c>
      <c r="B1169" s="5" t="str">
        <f>HYPERLINK("http://www.urgo-group.fr","www.urgo-group.fr")</f>
        <v>www.urgo-group.fr</v>
      </c>
    </row>
    <row r="1170" spans="1:2" x14ac:dyDescent="0.3">
      <c r="A1170" s="2" t="s">
        <v>1170</v>
      </c>
      <c r="B1170" s="4" t="str">
        <f>HYPERLINK("http://www.usarealestateholding.com","www.usarealestateholding.com")</f>
        <v>www.usarealestateholding.com</v>
      </c>
    </row>
    <row r="1171" spans="1:2" x14ac:dyDescent="0.3">
      <c r="A1171" s="2" t="s">
        <v>1171</v>
      </c>
      <c r="B1171" s="4" t="str">
        <f>HYPERLINK("http://valhallaprivatecap.com","valhallaprivatecap.com")</f>
        <v>valhallaprivatecap.com</v>
      </c>
    </row>
    <row r="1172" spans="1:2" x14ac:dyDescent="0.3">
      <c r="A1172" s="3" t="s">
        <v>1172</v>
      </c>
      <c r="B1172" s="5" t="str">
        <f>HYPERLINK("http://www.valiantcapital.com","www.valiantcapital.com")</f>
        <v>www.valiantcapital.com</v>
      </c>
    </row>
    <row r="1173" spans="1:2" x14ac:dyDescent="0.3">
      <c r="A1173" s="2" t="s">
        <v>1173</v>
      </c>
      <c r="B1173" s="4" t="str">
        <f>HYPERLINK("http://www.valorizagroup.com","www.valorizagroup.com")</f>
        <v>www.valorizagroup.com</v>
      </c>
    </row>
    <row r="1174" spans="1:2" x14ac:dyDescent="0.3">
      <c r="A1174" s="3" t="s">
        <v>1174</v>
      </c>
      <c r="B1174" s="5" t="str">
        <f>HYPERLINK("http://www.vatia.com.co","www.vatia.com.co")</f>
        <v>www.vatia.com.co</v>
      </c>
    </row>
    <row r="1175" spans="1:2" x14ac:dyDescent="0.3">
      <c r="A1175" s="2" t="s">
        <v>1175</v>
      </c>
      <c r="B1175" s="4" t="str">
        <f>HYPERLINK("http://www.vctravel.com","www.vctravel.com")</f>
        <v>www.vctravel.com</v>
      </c>
    </row>
    <row r="1176" spans="1:2" x14ac:dyDescent="0.3">
      <c r="A1176" s="3" t="s">
        <v>1176</v>
      </c>
      <c r="B1176" s="5" t="str">
        <f>HYPERLINK("http://www.vc4a.com","www.vc4a.com")</f>
        <v>www.vc4a.com</v>
      </c>
    </row>
    <row r="1177" spans="1:2" x14ac:dyDescent="0.3">
      <c r="A1177" s="3" t="s">
        <v>1177</v>
      </c>
      <c r="B1177" s="5" t="str">
        <f>HYPERLINK("http://www.velasoftwaregroup.com","www.velasoftwaregroup.com")</f>
        <v>www.velasoftwaregroup.com</v>
      </c>
    </row>
    <row r="1178" spans="1:2" x14ac:dyDescent="0.3">
      <c r="A1178" s="2" t="s">
        <v>1178</v>
      </c>
      <c r="B1178" s="4" t="str">
        <f>HYPERLINK("http://www.venturacapital.net","www.venturacapital.net")</f>
        <v>www.venturacapital.net</v>
      </c>
    </row>
    <row r="1179" spans="1:2" x14ac:dyDescent="0.3">
      <c r="A1179" s="3" t="s">
        <v>1179</v>
      </c>
      <c r="B1179" s="5" t="str">
        <f>HYPERLINK("http://www.venturance.cl","www.venturance.cl")</f>
        <v>www.venturance.cl</v>
      </c>
    </row>
    <row r="1180" spans="1:2" x14ac:dyDescent="0.3">
      <c r="A1180" s="2" t="s">
        <v>1180</v>
      </c>
      <c r="B1180" s="4" t="str">
        <f>HYPERLINK("http://www.venturecatalysts.in","www.venturecatalysts.in")</f>
        <v>www.venturecatalysts.in</v>
      </c>
    </row>
    <row r="1181" spans="1:2" x14ac:dyDescent="0.3">
      <c r="A1181" s="3" t="s">
        <v>1181</v>
      </c>
      <c r="B1181" s="5" t="str">
        <f>HYPERLINK("http://www.venturefriends.vc","www.venturefriends.vc")</f>
        <v>www.venturefriends.vc</v>
      </c>
    </row>
    <row r="1182" spans="1:2" x14ac:dyDescent="0.3">
      <c r="A1182" s="3" t="s">
        <v>1182</v>
      </c>
      <c r="B1182" s="5" t="str">
        <f>HYPERLINK("http://www.venturesouq.com","www.venturesouq.com")</f>
        <v>www.venturesouq.com</v>
      </c>
    </row>
    <row r="1183" spans="1:2" x14ac:dyDescent="0.3">
      <c r="A1183" s="2" t="s">
        <v>1183</v>
      </c>
      <c r="B1183" s="4" t="str">
        <f>HYPERLINK("http://www.veolia.com","www.veolia.com")</f>
        <v>www.veolia.com</v>
      </c>
    </row>
    <row r="1184" spans="1:2" x14ac:dyDescent="0.3">
      <c r="A1184" s="3" t="s">
        <v>1184</v>
      </c>
      <c r="B1184" s="5" t="str">
        <f>HYPERLINK("http://verano.energy","verano.energy")</f>
        <v>verano.energy</v>
      </c>
    </row>
    <row r="1185" spans="1:2" x14ac:dyDescent="0.3">
      <c r="A1185" s="2" t="s">
        <v>1185</v>
      </c>
      <c r="B1185" s="4" t="str">
        <f>HYPERLINK("http://www.verda.ventures","www.verda.ventures")</f>
        <v>www.verda.ventures</v>
      </c>
    </row>
    <row r="1186" spans="1:2" x14ac:dyDescent="0.3">
      <c r="A1186" s="3" t="s">
        <v>1186</v>
      </c>
      <c r="B1186" s="5" t="str">
        <f>HYPERLINK("http://www.verdemed.com","www.verdemed.com")</f>
        <v>www.verdemed.com</v>
      </c>
    </row>
    <row r="1187" spans="1:2" x14ac:dyDescent="0.3">
      <c r="A1187" s="2" t="s">
        <v>1187</v>
      </c>
      <c r="B1187" s="4" t="str">
        <f>HYPERLINK("http://www.verge.fund","www.verge.fund")</f>
        <v>www.verge.fund</v>
      </c>
    </row>
    <row r="1188" spans="1:2" x14ac:dyDescent="0.3">
      <c r="A1188" s="3" t="s">
        <v>1188</v>
      </c>
      <c r="B1188" s="5" t="str">
        <f>HYPERLINK("http://www.veronorte.com","www.veronorte.com")</f>
        <v>www.veronorte.com</v>
      </c>
    </row>
    <row r="1189" spans="1:2" x14ac:dyDescent="0.3">
      <c r="A1189" s="2" t="s">
        <v>1189</v>
      </c>
      <c r="B1189" s="4" t="str">
        <f>HYPERLINK("http://www.vvp.vc","www.vvp.vc")</f>
        <v>www.vvp.vc</v>
      </c>
    </row>
    <row r="1190" spans="1:2" x14ac:dyDescent="0.3">
      <c r="A1190" s="3" t="s">
        <v>1190</v>
      </c>
      <c r="B1190" s="5" t="str">
        <f>HYPERLINK("http://www.vervecapital.us","www.vervecapital.us")</f>
        <v>www.vervecapital.us</v>
      </c>
    </row>
    <row r="1191" spans="1:2" x14ac:dyDescent="0.3">
      <c r="A1191" s="2" t="s">
        <v>1191</v>
      </c>
      <c r="B1191" s="4" t="str">
        <f>HYPERLINK("http://marcogiberti.com/vesuvio-ventures","marcogiberti.com/vesuvio-ventures")</f>
        <v>marcogiberti.com/vesuvio-ventures</v>
      </c>
    </row>
    <row r="1192" spans="1:2" x14ac:dyDescent="0.3">
      <c r="A1192" s="3" t="s">
        <v>1192</v>
      </c>
      <c r="B1192" s="5" t="str">
        <f>HYPERLINK("http://www.vetragroup.com","www.vetragroup.com")</f>
        <v>www.vetragroup.com</v>
      </c>
    </row>
    <row r="1193" spans="1:2" x14ac:dyDescent="0.3">
      <c r="A1193" s="2" t="s">
        <v>1193</v>
      </c>
      <c r="B1193" s="4" t="str">
        <f>HYPERLINK("http://www.viceven.com","www.viceven.com")</f>
        <v>www.viceven.com</v>
      </c>
    </row>
    <row r="1194" spans="1:2" x14ac:dyDescent="0.3">
      <c r="A1194" s="3" t="s">
        <v>1194</v>
      </c>
      <c r="B1194" s="5" t="str">
        <f>HYPERLINK("http://www.victoryparkcapital.com","www.victoryparkcapital.com")</f>
        <v>www.victoryparkcapital.com</v>
      </c>
    </row>
    <row r="1195" spans="1:2" x14ac:dyDescent="0.3">
      <c r="A1195" s="2" t="s">
        <v>1195</v>
      </c>
      <c r="B1195" s="4" t="str">
        <f>HYPERLINK("http://www.viewcapital.vc","www.viewcapital.vc")</f>
        <v>www.viewcapital.vc</v>
      </c>
    </row>
    <row r="1196" spans="1:2" x14ac:dyDescent="0.3">
      <c r="A1196" s="3" t="s">
        <v>1196</v>
      </c>
      <c r="B1196" s="5" t="str">
        <f>HYPERLINK("http://www.vinci.com","www.vinci.com")</f>
        <v>www.vinci.com</v>
      </c>
    </row>
    <row r="1197" spans="1:2" x14ac:dyDescent="0.3">
      <c r="A1197" s="3" t="s">
        <v>1197</v>
      </c>
      <c r="B1197" s="5" t="str">
        <f>HYPERLINK("http://www.vindgroup.com","www.vindgroup.com")</f>
        <v>www.vindgroup.com</v>
      </c>
    </row>
    <row r="1198" spans="1:2" x14ac:dyDescent="0.3">
      <c r="A1198" s="2" t="s">
        <v>1198</v>
      </c>
      <c r="B1198" s="4" t="str">
        <f>HYPERLINK("http://www.vinestventures.com","www.vinestventures.com")</f>
        <v>www.vinestventures.com</v>
      </c>
    </row>
    <row r="1199" spans="1:2" x14ac:dyDescent="0.3">
      <c r="A1199" s="3" t="s">
        <v>1199</v>
      </c>
      <c r="B1199" s="5" t="str">
        <f>HYPERLINK("http://www.vine.vc","www.vine.vc")</f>
        <v>www.vine.vc</v>
      </c>
    </row>
    <row r="1200" spans="1:2" x14ac:dyDescent="0.3">
      <c r="A1200" s="2" t="s">
        <v>1200</v>
      </c>
      <c r="B1200" s="4" t="str">
        <f>HYPERLINK("http://www.vinzan.com","www.vinzan.com")</f>
        <v>www.vinzan.com</v>
      </c>
    </row>
    <row r="1201" spans="1:2" x14ac:dyDescent="0.3">
      <c r="A1201" s="2" t="s">
        <v>1201</v>
      </c>
      <c r="B1201" s="4" t="str">
        <f>HYPERLINK("http://www.vistex.com","www.vistex.com")</f>
        <v>www.vistex.com</v>
      </c>
    </row>
    <row r="1202" spans="1:2" x14ac:dyDescent="0.3">
      <c r="A1202" s="3" t="s">
        <v>1202</v>
      </c>
      <c r="B1202" s="5" t="str">
        <f>HYPERLINK("http://www.visumcap.com","www.visumcap.com")</f>
        <v>www.visumcap.com</v>
      </c>
    </row>
    <row r="1203" spans="1:2" x14ac:dyDescent="0.3">
      <c r="A1203" s="2" t="s">
        <v>1203</v>
      </c>
      <c r="B1203" s="4" t="str">
        <f>HYPERLINK("http://www.vix.com","www.vix.com")</f>
        <v>www.vix.com</v>
      </c>
    </row>
    <row r="1204" spans="1:2" x14ac:dyDescent="0.3">
      <c r="A1204" s="3" t="s">
        <v>1204</v>
      </c>
      <c r="B1204" s="5" t="str">
        <f>HYPERLINK("http://www.volito.se","www.volito.se")</f>
        <v>www.volito.se</v>
      </c>
    </row>
    <row r="1205" spans="1:2" x14ac:dyDescent="0.3">
      <c r="A1205" s="2" t="s">
        <v>1205</v>
      </c>
      <c r="B1205" s="4" t="str">
        <f>HYPERLINK("http://www.votorantim.com.br","www.votorantim.com.br")</f>
        <v>www.votorantim.com.br</v>
      </c>
    </row>
    <row r="1206" spans="1:2" x14ac:dyDescent="0.3">
      <c r="A1206" s="3" t="s">
        <v>1206</v>
      </c>
      <c r="B1206" s="5" t="str">
        <f>HYPERLINK("http://www.voyagers.io","www.voyagers.io")</f>
        <v>www.voyagers.io</v>
      </c>
    </row>
    <row r="1207" spans="1:2" x14ac:dyDescent="0.3">
      <c r="A1207" s="2" t="s">
        <v>1207</v>
      </c>
      <c r="B1207" s="4" t="str">
        <f>HYPERLINK("http://vxventures.com","vxventures.com")</f>
        <v>vxventures.com</v>
      </c>
    </row>
    <row r="1208" spans="1:2" x14ac:dyDescent="0.3">
      <c r="A1208" s="3" t="s">
        <v>1208</v>
      </c>
      <c r="B1208" s="5" t="str">
        <f>HYPERLINK("http://www.wcapital.com.pe","www.wcapital.com.pe")</f>
        <v>www.wcapital.com.pe</v>
      </c>
    </row>
    <row r="1209" spans="1:2" x14ac:dyDescent="0.3">
      <c r="A1209" s="2" t="s">
        <v>1209</v>
      </c>
      <c r="B1209" s="4" t="str">
        <f>HYPERLINK("http://www.wagmiventures.io","www.wagmiventures.io")</f>
        <v>www.wagmiventures.io</v>
      </c>
    </row>
    <row r="1210" spans="1:2" x14ac:dyDescent="0.3">
      <c r="A1210" s="2" t="s">
        <v>1210</v>
      </c>
      <c r="B1210" s="4" t="str">
        <f>HYPERLINK("http://www.warburgpincus.com","www.warburgpincus.com")</f>
        <v>www.warburgpincus.com</v>
      </c>
    </row>
    <row r="1211" spans="1:2" x14ac:dyDescent="0.3">
      <c r="A1211" s="3" t="s">
        <v>1211</v>
      </c>
      <c r="B1211" s="5" t="str">
        <f>HYPERLINK("http://www.watertech.com","www.watertech.com")</f>
        <v>www.watertech.com</v>
      </c>
    </row>
    <row r="1212" spans="1:2" x14ac:dyDescent="0.3">
      <c r="A1212" s="2" t="s">
        <v>1212</v>
      </c>
      <c r="B1212" s="4" t="str">
        <f>HYPERLINK("http://www.waterlemon.vc","www.waterlemon.vc")</f>
        <v>www.waterlemon.vc</v>
      </c>
    </row>
    <row r="1213" spans="1:2" x14ac:dyDescent="0.3">
      <c r="A1213" s="3" t="s">
        <v>1213</v>
      </c>
      <c r="B1213" s="5" t="str">
        <f>HYPERLINK("http://wayfare.com","wayfare.com")</f>
        <v>wayfare.com</v>
      </c>
    </row>
    <row r="1214" spans="1:2" x14ac:dyDescent="0.3">
      <c r="A1214" s="2" t="s">
        <v>1214</v>
      </c>
      <c r="B1214" s="4" t="str">
        <f>HYPERLINK("http://www.waylandgroup.com","www.waylandgroup.com")</f>
        <v>www.waylandgroup.com</v>
      </c>
    </row>
    <row r="1215" spans="1:2" x14ac:dyDescent="0.3">
      <c r="A1215" s="3" t="s">
        <v>1215</v>
      </c>
      <c r="B1215" s="5" t="str">
        <f>HYPERLINK("http://www.wazoku.com","www.wazoku.com")</f>
        <v>www.wazoku.com</v>
      </c>
    </row>
    <row r="1216" spans="1:2" x14ac:dyDescent="0.3">
      <c r="A1216" s="3" t="s">
        <v>1216</v>
      </c>
      <c r="B1216" s="5" t="str">
        <f>HYPERLINK("http://www.webmd.com","www.webmd.com")</f>
        <v>www.webmd.com</v>
      </c>
    </row>
    <row r="1217" spans="1:2" x14ac:dyDescent="0.3">
      <c r="A1217" s="2" t="s">
        <v>1217</v>
      </c>
      <c r="B1217" s="4" t="str">
        <f>HYPERLINK("http://www.wecenergygroup.com","www.wecenergygroup.com")</f>
        <v>www.wecenergygroup.com</v>
      </c>
    </row>
    <row r="1218" spans="1:2" x14ac:dyDescent="0.3">
      <c r="A1218" s="3" t="s">
        <v>1218</v>
      </c>
      <c r="B1218" s="5" t="str">
        <f>HYPERLINK("http://www.wppg.com","www.wppg.com")</f>
        <v>www.wppg.com</v>
      </c>
    </row>
    <row r="1219" spans="1:2" x14ac:dyDescent="0.3">
      <c r="A1219" s="2" t="s">
        <v>1219</v>
      </c>
      <c r="B1219" s="4" t="str">
        <f>HYPERLINK("http://www.wepowerstl.org","www.wepowerstl.org")</f>
        <v>www.wepowerstl.org</v>
      </c>
    </row>
    <row r="1220" spans="1:2" x14ac:dyDescent="0.3">
      <c r="A1220" s="3" t="s">
        <v>1220</v>
      </c>
      <c r="B1220" s="5" t="str">
        <f>HYPERLINK("http://www.westisleenergy.com","www.westisleenergy.com")</f>
        <v>www.westisleenergy.com</v>
      </c>
    </row>
    <row r="1221" spans="1:2" x14ac:dyDescent="0.3">
      <c r="A1221" s="2" t="s">
        <v>1221</v>
      </c>
      <c r="B1221" s="4" t="str">
        <f>HYPERLINK("http://innovation.wfp.org","innovation.wfp.org")</f>
        <v>innovation.wfp.org</v>
      </c>
    </row>
    <row r="1222" spans="1:2" x14ac:dyDescent="0.3">
      <c r="A1222" s="3" t="s">
        <v>1222</v>
      </c>
      <c r="B1222" s="5" t="str">
        <f>HYPERLINK("http://www.wharton.upenn.edu","www.wharton.upenn.edu")</f>
        <v>www.wharton.upenn.edu</v>
      </c>
    </row>
    <row r="1223" spans="1:2" x14ac:dyDescent="0.3">
      <c r="A1223" s="2" t="s">
        <v>1223</v>
      </c>
      <c r="B1223" s="4" t="str">
        <f>HYPERLINK("http://willventures.com","willventures.com")</f>
        <v>willventures.com</v>
      </c>
    </row>
    <row r="1224" spans="1:2" x14ac:dyDescent="0.3">
      <c r="A1224" s="3" t="s">
        <v>1224</v>
      </c>
      <c r="B1224" s="5" t="str">
        <f>HYPERLINK("http://williamarmitage.com","williamarmitage.com")</f>
        <v>williamarmitage.com</v>
      </c>
    </row>
    <row r="1225" spans="1:2" x14ac:dyDescent="0.3">
      <c r="A1225" s="2" t="s">
        <v>1225</v>
      </c>
      <c r="B1225" s="4" t="str">
        <f>HYPERLINK("http://www.williamhillplc.com","www.williamhillplc.com")</f>
        <v>www.williamhillplc.com</v>
      </c>
    </row>
    <row r="1226" spans="1:2" x14ac:dyDescent="0.3">
      <c r="A1226" s="2" t="s">
        <v>1226</v>
      </c>
      <c r="B1226" s="4" t="str">
        <f>HYPERLINK("http://www.wtwco.com","www.wtwco.com")</f>
        <v>www.wtwco.com</v>
      </c>
    </row>
    <row r="1227" spans="1:2" x14ac:dyDescent="0.3">
      <c r="A1227" s="3" t="s">
        <v>1227</v>
      </c>
      <c r="B1227" s="5" t="str">
        <f>HYPERLINK("http://www.willis.co.uk","www.willis.co.uk")</f>
        <v>www.willis.co.uk</v>
      </c>
    </row>
    <row r="1228" spans="1:2" x14ac:dyDescent="0.3">
      <c r="A1228" s="2" t="s">
        <v>1228</v>
      </c>
      <c r="B1228" s="4" t="str">
        <f>HYPERLINK("http://www.windventures.vc","www.windventures.vc")</f>
        <v>www.windventures.vc</v>
      </c>
    </row>
    <row r="1229" spans="1:2" x14ac:dyDescent="0.3">
      <c r="A1229" s="3" t="s">
        <v>1229</v>
      </c>
      <c r="B1229" s="5" t="str">
        <f>HYPERLINK("http://wise-qatar.org","wise-qatar.org")</f>
        <v>wise-qatar.org</v>
      </c>
    </row>
    <row r="1230" spans="1:2" x14ac:dyDescent="0.3">
      <c r="A1230" s="3" t="s">
        <v>1230</v>
      </c>
      <c r="B1230" s="5" t="str">
        <f>HYPERLINK("http://www.wolverineworldwide.com","www.wolverineworldwide.com")</f>
        <v>www.wolverineworldwide.com</v>
      </c>
    </row>
    <row r="1231" spans="1:2" x14ac:dyDescent="0.3">
      <c r="A1231" s="2" t="s">
        <v>1231</v>
      </c>
      <c r="B1231" s="4" t="str">
        <f>HYPERLINK("http://www.wom.cl","www.wom.cl")</f>
        <v>www.wom.cl</v>
      </c>
    </row>
    <row r="1232" spans="1:2" x14ac:dyDescent="0.3">
      <c r="A1232" s="3" t="s">
        <v>1232</v>
      </c>
      <c r="B1232" s="5" t="str">
        <f>HYPERLINK("http://www.worldvetting.com","www.worldvetting.com")</f>
        <v>www.worldvetting.com</v>
      </c>
    </row>
    <row r="1233" spans="1:2" x14ac:dyDescent="0.3">
      <c r="A1233" s="3" t="s">
        <v>1233</v>
      </c>
      <c r="B1233" s="5" t="str">
        <f>HYPERLINK("http://wow.ac","wow.ac")</f>
        <v>wow.ac</v>
      </c>
    </row>
    <row r="1234" spans="1:2" x14ac:dyDescent="0.3">
      <c r="A1234" s="2" t="s">
        <v>1234</v>
      </c>
      <c r="B1234" s="4" t="str">
        <f>HYPERLINK("http://www.wscandcompany.com","www.wscandcompany.com")</f>
        <v>www.wscandcompany.com</v>
      </c>
    </row>
    <row r="1235" spans="1:2" x14ac:dyDescent="0.3">
      <c r="A1235" s="2" t="s">
        <v>1235</v>
      </c>
      <c r="B1235" s="4" t="str">
        <f>HYPERLINK("http://www.xebrabrands.com","www.xebrabrands.com")</f>
        <v>www.xebrabrands.com</v>
      </c>
    </row>
    <row r="1236" spans="1:2" x14ac:dyDescent="0.3">
      <c r="A1236" s="3" t="s">
        <v>1236</v>
      </c>
      <c r="B1236" s="5" t="str">
        <f>HYPERLINK("http://www.xertica.ai","www.xertica.ai")</f>
        <v>www.xertica.ai</v>
      </c>
    </row>
    <row r="1237" spans="1:2" x14ac:dyDescent="0.3">
      <c r="A1237" s="2" t="s">
        <v>1237</v>
      </c>
      <c r="B1237" s="4" t="str">
        <f>HYPERLINK("http://www.xfactor.ventures","www.xfactor.ventures")</f>
        <v>www.xfactor.ventures</v>
      </c>
    </row>
    <row r="1238" spans="1:2" x14ac:dyDescent="0.3">
      <c r="A1238" s="3" t="s">
        <v>1238</v>
      </c>
      <c r="B1238" s="5" t="str">
        <f>HYPERLINK("http://www.xignux.com","www.xignux.com")</f>
        <v>www.xignux.com</v>
      </c>
    </row>
    <row r="1239" spans="1:2" x14ac:dyDescent="0.3">
      <c r="A1239" s="2" t="s">
        <v>1239</v>
      </c>
      <c r="B1239" s="4" t="str">
        <f>HYPERLINK("http://www.yara.com","www.yara.com")</f>
        <v>www.yara.com</v>
      </c>
    </row>
    <row r="1240" spans="1:2" x14ac:dyDescent="0.3">
      <c r="A1240" s="3" t="s">
        <v>1240</v>
      </c>
      <c r="B1240" s="5" t="str">
        <f>HYPERLINK("http://www.yellowstonecapital.com","www.yellowstonecapital.com")</f>
        <v>www.yellowstonecapital.com</v>
      </c>
    </row>
    <row r="1241" spans="1:2" x14ac:dyDescent="0.3">
      <c r="A1241" s="2" t="s">
        <v>1241</v>
      </c>
      <c r="B1241" s="4" t="str">
        <f>HYPERLINK("http://yellowstonecp.com","yellowstonecp.com")</f>
        <v>yellowstonecp.com</v>
      </c>
    </row>
    <row r="1242" spans="1:2" x14ac:dyDescent="0.3">
      <c r="A1242" s="3" t="s">
        <v>1242</v>
      </c>
      <c r="B1242" s="5" t="str">
        <f>HYPERLINK("http://www.york.ie","www.york.ie")</f>
        <v>www.york.ie</v>
      </c>
    </row>
    <row r="1243" spans="1:2" x14ac:dyDescent="0.3">
      <c r="A1243" s="2" t="s">
        <v>1243</v>
      </c>
      <c r="B1243" s="4" t="str">
        <f>HYPERLINK("http://wwww.cef.im","wwww.cef.im")</f>
        <v>wwww.cef.im</v>
      </c>
    </row>
    <row r="1244" spans="1:2" x14ac:dyDescent="0.3">
      <c r="A1244" s="3" t="s">
        <v>1244</v>
      </c>
      <c r="B1244" s="5" t="str">
        <f>HYPERLINK("http://www.znationlab.com","www.znationlab.com")</f>
        <v>www.znationlab.com</v>
      </c>
    </row>
    <row r="1245" spans="1:2" x14ac:dyDescent="0.3">
      <c r="A1245" s="2" t="s">
        <v>1245</v>
      </c>
      <c r="B1245" s="4" t="str">
        <f>HYPERLINK("http://www.zenithterminals.com","www.zenithterminals.com")</f>
        <v>www.zenithterminals.com</v>
      </c>
    </row>
    <row r="1246" spans="1:2" x14ac:dyDescent="0.3">
      <c r="A1246" s="3" t="s">
        <v>1246</v>
      </c>
      <c r="B1246" s="5" t="str">
        <f>HYPERLINK("http://www.zentro.se","www.zentro.se")</f>
        <v>www.zentro.se</v>
      </c>
    </row>
    <row r="1247" spans="1:2" x14ac:dyDescent="0.3">
      <c r="A1247" s="2" t="s">
        <v>1247</v>
      </c>
      <c r="B1247" s="4" t="str">
        <f>HYPERLINK("http://www.zero-knowledge.xyz","www.zero-knowledge.xyz")</f>
        <v>www.zero-knowledge.xyz</v>
      </c>
    </row>
    <row r="1248" spans="1:2" x14ac:dyDescent="0.3">
      <c r="A1248" s="3" t="s">
        <v>1248</v>
      </c>
      <c r="B1248" s="5" t="str">
        <f>HYPERLINK("http://www.zhongluvc.com","www.zhongluvc.com")</f>
        <v>www.zhongluvc.com</v>
      </c>
    </row>
    <row r="1249" spans="1:2" x14ac:dyDescent="0.3">
      <c r="A1249" s="2" t="s">
        <v>1249</v>
      </c>
      <c r="B1249" s="4" t="str">
        <f>HYPERLINK("http://www.zjky.cn","www.zjky.cn")</f>
        <v>www.zjky.cn</v>
      </c>
    </row>
    <row r="1250" spans="1:2" x14ac:dyDescent="0.3">
      <c r="A1250" s="2" t="s">
        <v>1250</v>
      </c>
      <c r="B1250" s="4" t="str">
        <f>HYPERLINK("http://www.1cminc.com","www.1cminc.com")</f>
        <v>www.1cminc.com</v>
      </c>
    </row>
    <row r="1251" spans="1:2" x14ac:dyDescent="0.3">
      <c r="A1251" s="3" t="s">
        <v>1251</v>
      </c>
      <c r="B1251" s="5" t="str">
        <f>HYPERLINK("http://www.30n.vc","www.30n.vc")</f>
        <v>www.30n.vc</v>
      </c>
    </row>
    <row r="1252" spans="1:2" x14ac:dyDescent="0.3">
      <c r="A1252" s="2" t="s">
        <v>1252</v>
      </c>
      <c r="B1252" s="4" t="str">
        <f>HYPERLINK("http://www.acaciainvest.com","www.acaciainvest.com")</f>
        <v>www.acaciainvest.com</v>
      </c>
    </row>
    <row r="1253" spans="1:2" x14ac:dyDescent="0.3">
      <c r="A1253" s="3" t="s">
        <v>1253</v>
      </c>
      <c r="B1253" s="5" t="str">
        <f>HYPERLINK("http://www.accel.com","www.accel.com")</f>
        <v>www.accel.com</v>
      </c>
    </row>
    <row r="1254" spans="1:2" x14ac:dyDescent="0.3">
      <c r="A1254" s="2" t="s">
        <v>1254</v>
      </c>
      <c r="B1254" s="4" t="str">
        <f>HYPERLINK("http://accelerate2030.net","accelerate2030.net")</f>
        <v>accelerate2030.net</v>
      </c>
    </row>
    <row r="1255" spans="1:2" x14ac:dyDescent="0.3">
      <c r="A1255" s="3" t="s">
        <v>1255</v>
      </c>
      <c r="B1255" s="5" t="str">
        <f>HYPERLINK("http://www.acecap.com","www.acecap.com")</f>
        <v>www.acecap.com</v>
      </c>
    </row>
    <row r="1256" spans="1:2" x14ac:dyDescent="0.3">
      <c r="A1256" s="2" t="s">
        <v>1256</v>
      </c>
      <c r="B1256" s="4" t="str">
        <f>HYPERLINK("http://www.addemcap.com","www.addemcap.com")</f>
        <v>www.addemcap.com</v>
      </c>
    </row>
    <row r="1257" spans="1:2" x14ac:dyDescent="0.3">
      <c r="A1257" s="3" t="s">
        <v>1257</v>
      </c>
      <c r="B1257" s="5" t="str">
        <f>HYPERLINK("http://www.adobecapital.org","www.adobecapital.org")</f>
        <v>www.adobecapital.org</v>
      </c>
    </row>
    <row r="1258" spans="1:2" x14ac:dyDescent="0.3">
      <c r="A1258" s="2" t="s">
        <v>1258</v>
      </c>
      <c r="B1258" s="4" t="str">
        <f>HYPERLINK("http://www.ad.capital","www.ad.capital")</f>
        <v>www.ad.capital</v>
      </c>
    </row>
    <row r="1259" spans="1:2" x14ac:dyDescent="0.3">
      <c r="A1259" s="3" t="s">
        <v>1259</v>
      </c>
      <c r="B1259" s="5" t="str">
        <f>HYPERLINK("http://www.aena.es","www.aena.es")</f>
        <v>www.aena.es</v>
      </c>
    </row>
    <row r="1260" spans="1:2" x14ac:dyDescent="0.3">
      <c r="A1260" s="2" t="s">
        <v>1260</v>
      </c>
      <c r="B1260" s="4" t="str">
        <f>HYPERLINK("http://www.aescol.com","www.aescol.com")</f>
        <v>www.aescol.com</v>
      </c>
    </row>
    <row r="1261" spans="1:2" x14ac:dyDescent="0.3">
      <c r="A1261" s="2" t="s">
        <v>1261</v>
      </c>
      <c r="B1261" s="4" t="str">
        <f>HYPERLINK("http://www.alicorp.com.pe","www.alicorp.com.pe")</f>
        <v>www.alicorp.com.pe</v>
      </c>
    </row>
    <row r="1262" spans="1:2" x14ac:dyDescent="0.3">
      <c r="A1262" s="3" t="s">
        <v>1262</v>
      </c>
      <c r="B1262" s="5" t="str">
        <f>HYPERLINK("http://www.alleycorp.com","www.alleycorp.com")</f>
        <v>www.alleycorp.com</v>
      </c>
    </row>
    <row r="1263" spans="1:2" x14ac:dyDescent="0.3">
      <c r="A1263" s="2" t="s">
        <v>1263</v>
      </c>
      <c r="B1263" s="4" t="str">
        <f>HYPERLINK("http://www.alliance.xyz","www.alliance.xyz")</f>
        <v>www.alliance.xyz</v>
      </c>
    </row>
    <row r="1264" spans="1:2" x14ac:dyDescent="0.3">
      <c r="A1264" s="3" t="s">
        <v>1264</v>
      </c>
      <c r="B1264" s="5" t="str">
        <f>HYPERLINK("http://www.goalphaeon.com","www.goalphaeon.com")</f>
        <v>www.goalphaeon.com</v>
      </c>
    </row>
    <row r="1265" spans="1:2" x14ac:dyDescent="0.3">
      <c r="A1265" s="2" t="s">
        <v>1265</v>
      </c>
      <c r="B1265" s="4" t="str">
        <f>HYPERLINK("http://www.am-resources.ca","www.am-resources.ca")</f>
        <v>www.am-resources.ca</v>
      </c>
    </row>
    <row r="1266" spans="1:2" x14ac:dyDescent="0.3">
      <c r="A1266" s="3" t="s">
        <v>1266</v>
      </c>
      <c r="B1266" s="5" t="str">
        <f>HYPERLINK("http://www.atpsites.com","www.atpsites.com")</f>
        <v>www.atpsites.com</v>
      </c>
    </row>
    <row r="1267" spans="1:2" x14ac:dyDescent="0.3">
      <c r="A1267" s="3" t="s">
        <v>1267</v>
      </c>
      <c r="B1267" s="5" t="str">
        <f>HYPERLINK("http://www.angelhub.io","www.angelhub.io")</f>
        <v>www.angelhub.io</v>
      </c>
    </row>
    <row r="1268" spans="1:2" x14ac:dyDescent="0.3">
      <c r="A1268" s="2" t="s">
        <v>1268</v>
      </c>
      <c r="B1268" s="4" t="str">
        <f>HYPERLINK("http://www.angelhubventures.com","www.angelhubventures.com")</f>
        <v>www.angelhubventures.com</v>
      </c>
    </row>
    <row r="1269" spans="1:2" x14ac:dyDescent="0.3">
      <c r="A1269" s="3" t="s">
        <v>1269</v>
      </c>
      <c r="B1269" s="5" t="str">
        <f>HYPERLINK("http://www.aqua.capital","www.aqua.capital")</f>
        <v>www.aqua.capital</v>
      </c>
    </row>
    <row r="1270" spans="1:2" x14ac:dyDescent="0.3">
      <c r="A1270" s="2" t="s">
        <v>1270</v>
      </c>
      <c r="B1270" s="4" t="str">
        <f>HYPERLINK("http://www.aris-mining.com","www.aris-mining.com")</f>
        <v>www.aris-mining.com</v>
      </c>
    </row>
    <row r="1271" spans="1:2" x14ac:dyDescent="0.3">
      <c r="A1271" s="3" t="s">
        <v>1271</v>
      </c>
      <c r="B1271" s="5" t="str">
        <f>HYPERLINK("http://www.arrowexploration.ca","www.arrowexploration.ca")</f>
        <v>www.arrowexploration.ca</v>
      </c>
    </row>
    <row r="1272" spans="1:2" x14ac:dyDescent="0.3">
      <c r="A1272" s="2" t="s">
        <v>1272</v>
      </c>
      <c r="B1272" s="4" t="str">
        <f>HYPERLINK("http://www.artecolaquimica.com.br","www.artecolaquimica.com.br")</f>
        <v>www.artecolaquimica.com.br</v>
      </c>
    </row>
    <row r="1273" spans="1:2" x14ac:dyDescent="0.3">
      <c r="A1273" s="3" t="s">
        <v>1273</v>
      </c>
      <c r="B1273" s="5" t="str">
        <f>HYPERLINK("http://www.ajg.com","www.ajg.com")</f>
        <v>www.ajg.com</v>
      </c>
    </row>
    <row r="1274" spans="1:2" x14ac:dyDescent="0.3">
      <c r="A1274" s="2" t="s">
        <v>1274</v>
      </c>
      <c r="B1274" s="4" t="str">
        <f>HYPERLINK("http://www.assaabloy.com","www.assaabloy.com")</f>
        <v>www.assaabloy.com</v>
      </c>
    </row>
    <row r="1275" spans="1:2" x14ac:dyDescent="0.3">
      <c r="A1275" s="3" t="s">
        <v>1275</v>
      </c>
      <c r="B1275" s="5" t="str">
        <f>HYPERLINK("http://www.atlantico.vc","www.atlantico.vc")</f>
        <v>www.atlantico.vc</v>
      </c>
    </row>
    <row r="1276" spans="1:2" x14ac:dyDescent="0.3">
      <c r="A1276" s="2" t="s">
        <v>1276</v>
      </c>
      <c r="B1276" s="4" t="str">
        <f>HYPERLINK("http://www.atlascopcogroup.com","www.atlascopcogroup.com")</f>
        <v>www.atlascopcogroup.com</v>
      </c>
    </row>
    <row r="1277" spans="1:2" x14ac:dyDescent="0.3">
      <c r="A1277" s="3" t="s">
        <v>1277</v>
      </c>
      <c r="B1277" s="5" t="str">
        <f>HYPERLINK("http://www.aureaholdings.com","www.aureaholdings.com")</f>
        <v>www.aureaholdings.com</v>
      </c>
    </row>
    <row r="1278" spans="1:2" x14ac:dyDescent="0.3">
      <c r="A1278" s="2" t="s">
        <v>1278</v>
      </c>
      <c r="B1278" s="4" t="str">
        <f>HYPERLINK("http://www.avenirgrowth.com","www.avenirgrowth.com")</f>
        <v>www.avenirgrowth.com</v>
      </c>
    </row>
    <row r="1279" spans="1:2" x14ac:dyDescent="0.3">
      <c r="A1279" s="2" t="s">
        <v>1279</v>
      </c>
      <c r="B1279" s="4" t="str">
        <f>HYPERLINK("http://www.azelis.com","www.azelis.com")</f>
        <v>www.azelis.com</v>
      </c>
    </row>
    <row r="1280" spans="1:2" x14ac:dyDescent="0.3">
      <c r="A1280" s="3" t="s">
        <v>1280</v>
      </c>
      <c r="B1280" s="5" t="str">
        <f>HYPERLINK("http://www.bpmarsh.co.uk","www.bpmarsh.co.uk")</f>
        <v>www.bpmarsh.co.uk</v>
      </c>
    </row>
    <row r="1281" spans="1:2" x14ac:dyDescent="0.3">
      <c r="A1281" s="2" t="s">
        <v>1281</v>
      </c>
      <c r="B1281" s="4" t="str">
        <f>HYPERLINK("http://www.colpatria.com","www.colpatria.com")</f>
        <v>www.colpatria.com</v>
      </c>
    </row>
    <row r="1282" spans="1:2" x14ac:dyDescent="0.3">
      <c r="A1282" s="3" t="s">
        <v>1282</v>
      </c>
      <c r="B1282" s="5" t="str">
        <f>HYPERLINK("http://www.bancodebogota.com","www.bancodebogota.com")</f>
        <v>www.bancodebogota.com</v>
      </c>
    </row>
    <row r="1283" spans="1:2" x14ac:dyDescent="0.3">
      <c r="A1283" s="2" t="s">
        <v>1283</v>
      </c>
      <c r="B1283" s="4" t="str">
        <f>HYPERLINK("http://www.itau.cl","www.itau.cl")</f>
        <v>www.itau.cl</v>
      </c>
    </row>
    <row r="1284" spans="1:2" x14ac:dyDescent="0.3">
      <c r="A1284" s="3" t="s">
        <v>1284</v>
      </c>
      <c r="B1284" s="5" t="str">
        <f>HYPERLINK("http://www.baterogold.com","www.baterogold.com")</f>
        <v>www.baterogold.com</v>
      </c>
    </row>
    <row r="1285" spans="1:2" x14ac:dyDescent="0.3">
      <c r="A1285" s="2" t="s">
        <v>1285</v>
      </c>
      <c r="B1285" s="4" t="str">
        <f>HYPERLINK("http://www.bbq.capital","www.bbq.capital")</f>
        <v>www.bbq.capital</v>
      </c>
    </row>
    <row r="1286" spans="1:2" x14ac:dyDescent="0.3">
      <c r="A1286" s="3" t="s">
        <v>1286</v>
      </c>
      <c r="B1286" s="5" t="str">
        <f>HYPERLINK("http://openspace.bbva.com","openspace.bbva.com")</f>
        <v>openspace.bbva.com</v>
      </c>
    </row>
    <row r="1287" spans="1:2" x14ac:dyDescent="0.3">
      <c r="A1287" s="2" t="s">
        <v>1287</v>
      </c>
      <c r="B1287" s="4" t="str">
        <f>HYPERLINK("http://belavistainvest.com.br","belavistainvest.com.br")</f>
        <v>belavistainvest.com.br</v>
      </c>
    </row>
    <row r="1288" spans="1:2" x14ac:dyDescent="0.3">
      <c r="A1288" s="3" t="s">
        <v>1288</v>
      </c>
      <c r="B1288" s="5" t="str">
        <f>HYPERLINK("http://www.bergelogistics.com","www.bergelogistics.com")</f>
        <v>www.bergelogistics.com</v>
      </c>
    </row>
    <row r="1289" spans="1:2" x14ac:dyDescent="0.3">
      <c r="A1289" s="2" t="s">
        <v>1289</v>
      </c>
      <c r="B1289" s="4" t="str">
        <f>HYPERLINK("http://btv.vc","btv.vc")</f>
        <v>btv.vc</v>
      </c>
    </row>
    <row r="1290" spans="1:2" x14ac:dyDescent="0.3">
      <c r="A1290" s="3" t="s">
        <v>1290</v>
      </c>
      <c r="B1290" s="5" t="str">
        <f>HYPERLINK("http://www.bezantresources.com","www.bezantresources.com")</f>
        <v>www.bezantresources.com</v>
      </c>
    </row>
    <row r="1291" spans="1:2" x14ac:dyDescent="0.3">
      <c r="A1291" s="2" t="s">
        <v>1291</v>
      </c>
      <c r="B1291" s="4" t="str">
        <f>HYPERLINK("http://www.bluelikeanorangecapital.com","www.bluelikeanorangecapital.com")</f>
        <v>www.bluelikeanorangecapital.com</v>
      </c>
    </row>
    <row r="1292" spans="1:2" x14ac:dyDescent="0.3">
      <c r="A1292" s="3" t="s">
        <v>1292</v>
      </c>
      <c r="B1292" s="5" t="str">
        <f>HYPERLINK("http://www.blueberriesmed.com","www.blueberriesmed.com")</f>
        <v>www.blueberriesmed.com</v>
      </c>
    </row>
    <row r="1293" spans="1:2" x14ac:dyDescent="0.3">
      <c r="A1293" s="2" t="s">
        <v>1293</v>
      </c>
      <c r="B1293" s="4" t="str">
        <f>HYPERLINK("http://www.blueboxmx.com","www.blueboxmx.com")</f>
        <v>www.blueboxmx.com</v>
      </c>
    </row>
    <row r="1294" spans="1:2" x14ac:dyDescent="0.3">
      <c r="A1294" s="3" t="s">
        <v>1294</v>
      </c>
      <c r="B1294" s="5" t="str">
        <f>HYPERLINK("http://booster.bookingcares.com","booster.bookingcares.com")</f>
        <v>booster.bookingcares.com</v>
      </c>
    </row>
    <row r="1295" spans="1:2" x14ac:dyDescent="0.3">
      <c r="A1295" s="3" t="s">
        <v>1295</v>
      </c>
      <c r="B1295" s="5" t="str">
        <f>HYPERLINK("http://www.bci.ca","www.bci.ca")</f>
        <v>www.bci.ca</v>
      </c>
    </row>
    <row r="1296" spans="1:2" x14ac:dyDescent="0.3">
      <c r="A1296" s="2" t="s">
        <v>1296</v>
      </c>
      <c r="B1296" s="4" t="str">
        <f>HYPERLINK("http://bn.brookfield.com","bn.brookfield.com")</f>
        <v>bn.brookfield.com</v>
      </c>
    </row>
    <row r="1297" spans="1:2" x14ac:dyDescent="0.3">
      <c r="A1297" s="2" t="s">
        <v>1297</v>
      </c>
      <c r="B1297" s="4" t="str">
        <f>HYPERLINK("http://www.bullpencap.com","www.bullpencap.com")</f>
        <v>www.bullpencap.com</v>
      </c>
    </row>
    <row r="1298" spans="1:2" x14ac:dyDescent="0.3">
      <c r="A1298" s="3" t="s">
        <v>1298</v>
      </c>
      <c r="B1298" s="5" t="str">
        <f>HYPERLINK("http://www.cadenza.vc","www.cadenza.vc")</f>
        <v>www.cadenza.vc</v>
      </c>
    </row>
    <row r="1299" spans="1:2" x14ac:dyDescent="0.3">
      <c r="A1299" s="2" t="s">
        <v>1299</v>
      </c>
      <c r="B1299" s="4" t="str">
        <f>HYPERLINK("http://www.cadillacfairview.com","www.cadillacfairview.com")</f>
        <v>www.cadillacfairview.com</v>
      </c>
    </row>
    <row r="1300" spans="1:2" x14ac:dyDescent="0.3">
      <c r="A1300" s="3" t="s">
        <v>1300</v>
      </c>
      <c r="B1300" s="5" t="str">
        <f>HYPERLINK("http://www.caissedesdepots.fr","www.caissedesdepots.fr")</f>
        <v>www.caissedesdepots.fr</v>
      </c>
    </row>
    <row r="1301" spans="1:2" x14ac:dyDescent="0.3">
      <c r="A1301" s="3" t="s">
        <v>1301</v>
      </c>
      <c r="B1301" s="5" t="str">
        <f>HYPERLINK("http://www.caracoltv.com","www.caracoltv.com")</f>
        <v>www.caracoltv.com</v>
      </c>
    </row>
    <row r="1302" spans="1:2" x14ac:dyDescent="0.3">
      <c r="A1302" s="2" t="s">
        <v>1302</v>
      </c>
      <c r="B1302" s="4" t="str">
        <f>HYPERLINK("http://www.cargill.com","www.cargill.com")</f>
        <v>www.cargill.com</v>
      </c>
    </row>
    <row r="1303" spans="1:2" x14ac:dyDescent="0.3">
      <c r="A1303" s="3" t="s">
        <v>1303</v>
      </c>
      <c r="B1303" s="5" t="str">
        <f>HYPERLINK("http://www.caribbeanresources.ca","www.caribbeanresources.ca")</f>
        <v>www.caribbeanresources.ca</v>
      </c>
    </row>
    <row r="1304" spans="1:2" x14ac:dyDescent="0.3">
      <c r="A1304" s="2" t="s">
        <v>1304</v>
      </c>
      <c r="B1304" s="4" t="str">
        <f>HYPERLINK("http://www.caribeexponencial.com","www.caribeexponencial.com")</f>
        <v>www.caribeexponencial.com</v>
      </c>
    </row>
    <row r="1305" spans="1:2" x14ac:dyDescent="0.3">
      <c r="A1305" s="2" t="s">
        <v>1305</v>
      </c>
      <c r="B1305" s="4" t="str">
        <f>HYPERLINK("http://www.carulla.com.co","www.carulla.com.co")</f>
        <v>www.carulla.com.co</v>
      </c>
    </row>
    <row r="1306" spans="1:2" x14ac:dyDescent="0.3">
      <c r="A1306" s="3" t="s">
        <v>1306</v>
      </c>
      <c r="B1306" s="5" t="str">
        <f>HYPERLINK("http://www.carvajal.com","www.carvajal.com")</f>
        <v>www.carvajal.com</v>
      </c>
    </row>
    <row r="1307" spans="1:2" x14ac:dyDescent="0.3">
      <c r="A1307" s="3" t="s">
        <v>1307</v>
      </c>
      <c r="B1307" s="5" t="str">
        <f>HYPERLINK("http://www.thecatalystfund.com","www.thecatalystfund.com")</f>
        <v>www.thecatalystfund.com</v>
      </c>
    </row>
    <row r="1308" spans="1:2" x14ac:dyDescent="0.3">
      <c r="A1308" s="2" t="s">
        <v>1308</v>
      </c>
      <c r="B1308" s="4" t="str">
        <f>HYPERLINK("http://www.celsagroup.com","www.celsagroup.com")</f>
        <v>www.celsagroup.com</v>
      </c>
    </row>
    <row r="1309" spans="1:2" x14ac:dyDescent="0.3">
      <c r="A1309" s="3" t="s">
        <v>1309</v>
      </c>
      <c r="B1309" s="5" t="str">
        <f>HYPERLINK("http://www.celtic.vc","www.celtic.vc")</f>
        <v>www.celtic.vc</v>
      </c>
    </row>
    <row r="1310" spans="1:2" x14ac:dyDescent="0.3">
      <c r="A1310" s="3" t="s">
        <v>1310</v>
      </c>
      <c r="B1310" s="5" t="str">
        <f>HYPERLINK("http://www.chileventures.vc","www.chileventures.vc")</f>
        <v>www.chileventures.vc</v>
      </c>
    </row>
    <row r="1311" spans="1:2" x14ac:dyDescent="0.3">
      <c r="A1311" s="2" t="s">
        <v>1311</v>
      </c>
      <c r="B1311" s="4" t="str">
        <f>HYPERLINK("http://www.chimerainvestment.com","www.chimerainvestment.com")</f>
        <v>www.chimerainvestment.com</v>
      </c>
    </row>
    <row r="1312" spans="1:2" x14ac:dyDescent="0.3">
      <c r="A1312" s="3" t="s">
        <v>1312</v>
      </c>
      <c r="B1312" s="5" t="str">
        <f>HYPERLINK("http://www.circleventures.com","www.circleventures.com")</f>
        <v>www.circleventures.com</v>
      </c>
    </row>
    <row r="1313" spans="1:2" x14ac:dyDescent="0.3">
      <c r="A1313" s="2" t="s">
        <v>1313</v>
      </c>
      <c r="B1313" s="4" t="str">
        <f>HYPERLINK("http://www.circulatecapital.com","www.circulatecapital.com")</f>
        <v>www.circulatecapital.com</v>
      </c>
    </row>
    <row r="1314" spans="1:2" x14ac:dyDescent="0.3">
      <c r="A1314" s="3" t="s">
        <v>1314</v>
      </c>
      <c r="B1314" s="5" t="str">
        <f>HYPERLINK("http://www.cisnerosinteractive.com","www.cisnerosinteractive.com")</f>
        <v>www.cisnerosinteractive.com</v>
      </c>
    </row>
    <row r="1315" spans="1:2" x14ac:dyDescent="0.3">
      <c r="A1315" s="2" t="s">
        <v>1315</v>
      </c>
      <c r="B1315" s="4" t="str">
        <f>HYPERLINK("http://www.citigroup.com","www.citigroup.com")</f>
        <v>www.citigroup.com</v>
      </c>
    </row>
    <row r="1316" spans="1:2" x14ac:dyDescent="0.3">
      <c r="A1316" s="3" t="s">
        <v>1316</v>
      </c>
      <c r="B1316" s="5" t="str">
        <f>HYPERLINK("http://www.clariant.com","www.clariant.com")</f>
        <v>www.clariant.com</v>
      </c>
    </row>
    <row r="1317" spans="1:2" x14ac:dyDescent="0.3">
      <c r="A1317" s="2" t="s">
        <v>1317</v>
      </c>
      <c r="B1317" s="4" t="str">
        <f>HYPERLINK("http://www.climatefundmanagers.com","www.climatefundmanagers.com")</f>
        <v>www.climatefundmanagers.com</v>
      </c>
    </row>
    <row r="1318" spans="1:2" x14ac:dyDescent="0.3">
      <c r="A1318" s="3" t="s">
        <v>1318</v>
      </c>
      <c r="B1318" s="5" t="str">
        <f>HYPERLINK("http://www.cloudkitchens.com","www.cloudkitchens.com")</f>
        <v>www.cloudkitchens.com</v>
      </c>
    </row>
    <row r="1319" spans="1:2" x14ac:dyDescent="0.3">
      <c r="A1319" s="2" t="s">
        <v>1319</v>
      </c>
      <c r="B1319" s="4" t="str">
        <f>HYPERLINK("http://cmt.digital","cmt.digital")</f>
        <v>cmt.digital</v>
      </c>
    </row>
    <row r="1320" spans="1:2" x14ac:dyDescent="0.3">
      <c r="A1320" s="2" t="s">
        <v>1320</v>
      </c>
      <c r="B1320" s="4" t="str">
        <f>HYPERLINK("http://www.collabcurrency.com","www.collabcurrency.com")</f>
        <v>www.collabcurrency.com</v>
      </c>
    </row>
    <row r="1321" spans="1:2" x14ac:dyDescent="0.3">
      <c r="A1321" s="3" t="s">
        <v>1321</v>
      </c>
      <c r="B1321" s="5" t="str">
        <f>HYPERLINK("http://www.ccu.cl","www.ccu.cl")</f>
        <v>www.ccu.cl</v>
      </c>
    </row>
    <row r="1322" spans="1:2" x14ac:dyDescent="0.3">
      <c r="A1322" s="2" t="s">
        <v>1322</v>
      </c>
      <c r="B1322" s="4" t="str">
        <f>HYPERLINK("http://www.copernion.com","www.copernion.com")</f>
        <v>www.copernion.com</v>
      </c>
    </row>
    <row r="1323" spans="1:2" x14ac:dyDescent="0.3">
      <c r="A1323" s="3" t="s">
        <v>1323</v>
      </c>
      <c r="B1323" s="5" t="str">
        <f>HYPERLINK("http://www.corfo.cl","www.corfo.cl")</f>
        <v>www.corfo.cl</v>
      </c>
    </row>
    <row r="1324" spans="1:2" x14ac:dyDescent="0.3">
      <c r="A1324" s="2" t="s">
        <v>1324</v>
      </c>
      <c r="B1324" s="4" t="str">
        <f>HYPERLINK("http://www.cp.ventures","www.cp.ventures")</f>
        <v>www.cp.ventures</v>
      </c>
    </row>
    <row r="1325" spans="1:2" x14ac:dyDescent="0.3">
      <c r="A1325" s="3" t="s">
        <v>1325</v>
      </c>
      <c r="B1325" s="5" t="str">
        <f>HYPERLINK("http://www.cppinvestments.com","www.cppinvestments.com")</f>
        <v>www.cppinvestments.com</v>
      </c>
    </row>
    <row r="1326" spans="1:2" x14ac:dyDescent="0.3">
      <c r="A1326" s="2" t="s">
        <v>1326</v>
      </c>
      <c r="B1326" s="4" t="str">
        <f>HYPERLINK("http://www.grupocredicorp.com","www.grupocredicorp.com")</f>
        <v>www.grupocredicorp.com</v>
      </c>
    </row>
    <row r="1327" spans="1:2" x14ac:dyDescent="0.3">
      <c r="A1327" s="3" t="s">
        <v>1327</v>
      </c>
      <c r="B1327" s="5" t="str">
        <f>HYPERLINK("http://www.crestone.vc","www.crestone.vc")</f>
        <v>www.crestone.vc</v>
      </c>
    </row>
    <row r="1328" spans="1:2" x14ac:dyDescent="0.3">
      <c r="A1328" s="2" t="s">
        <v>1328</v>
      </c>
      <c r="B1328" s="4" t="str">
        <f>HYPERLINK("http://dadneo.capital","dadneo.capital")</f>
        <v>dadneo.capital</v>
      </c>
    </row>
    <row r="1329" spans="1:2" x14ac:dyDescent="0.3">
      <c r="A1329" s="3" t="s">
        <v>1329</v>
      </c>
      <c r="B1329" s="5" t="str">
        <f>HYPERLINK("http://www.daluscapital.com","www.daluscapital.com")</f>
        <v>www.daluscapital.com</v>
      </c>
    </row>
    <row r="1330" spans="1:2" x14ac:dyDescent="0.3">
      <c r="A1330" s="2" t="s">
        <v>1330</v>
      </c>
      <c r="B1330" s="4" t="str">
        <f>HYPERLINK("http://www.dayone.swiss","www.dayone.swiss")</f>
        <v>www.dayone.swiss</v>
      </c>
    </row>
    <row r="1331" spans="1:2" x14ac:dyDescent="0.3">
      <c r="A1331" s="3" t="s">
        <v>1331</v>
      </c>
      <c r="B1331" s="5" t="str">
        <f>HYPERLINK("http://www.decartventures.com","www.decartventures.com")</f>
        <v>www.decartventures.com</v>
      </c>
    </row>
    <row r="1332" spans="1:2" x14ac:dyDescent="0.3">
      <c r="A1332" s="2" t="s">
        <v>1332</v>
      </c>
      <c r="B1332" s="4" t="str">
        <f>HYPERLINK("http://www.deepacrefunds.com","www.deepacrefunds.com")</f>
        <v>www.deepacrefunds.com</v>
      </c>
    </row>
    <row r="1333" spans="1:2" x14ac:dyDescent="0.3">
      <c r="A1333" s="3" t="s">
        <v>1333</v>
      </c>
      <c r="B1333" s="5" t="str">
        <f>HYPERLINK("http://www.deginvest.de","www.deginvest.de")</f>
        <v>www.deginvest.de</v>
      </c>
    </row>
    <row r="1334" spans="1:2" x14ac:dyDescent="0.3">
      <c r="A1334" s="2" t="s">
        <v>1334</v>
      </c>
      <c r="B1334" s="4" t="str">
        <f>HYPERLINK("http://deltaxventures.com","deltaxventures.com")</f>
        <v>deltaxventures.com</v>
      </c>
    </row>
    <row r="1335" spans="1:2" x14ac:dyDescent="0.3">
      <c r="A1335" s="3" t="s">
        <v>1335</v>
      </c>
      <c r="B1335" s="5" t="str">
        <f>HYPERLINK("http://www.discoverycapital.com","www.discoverycapital.com")</f>
        <v>www.discoverycapital.com</v>
      </c>
    </row>
    <row r="1336" spans="1:2" x14ac:dyDescent="0.3">
      <c r="A1336" s="2" t="s">
        <v>1336</v>
      </c>
      <c r="B1336" s="4" t="str">
        <f>HYPERLINK("http://www.diusframi.es","www.diusframi.es")</f>
        <v>www.diusframi.es</v>
      </c>
    </row>
    <row r="1337" spans="1:2" x14ac:dyDescent="0.3">
      <c r="A1337" s="3" t="s">
        <v>1337</v>
      </c>
      <c r="B1337" s="5" t="str">
        <f>HYPERLINK("http://www.dragoncapital.vc","www.dragoncapital.vc")</f>
        <v>www.dragoncapital.vc</v>
      </c>
    </row>
    <row r="1338" spans="1:2" x14ac:dyDescent="0.3">
      <c r="A1338" s="3" t="s">
        <v>1338</v>
      </c>
      <c r="B1338" s="5" t="str">
        <f>HYPERLINK("http://www.e14.vc","www.e14.vc")</f>
        <v>www.e14.vc</v>
      </c>
    </row>
    <row r="1339" spans="1:2" x14ac:dyDescent="0.3">
      <c r="A1339" s="2" t="s">
        <v>1339</v>
      </c>
      <c r="B1339" s="4" t="str">
        <f>HYPERLINK("http://www.ecoenterprisesfund.com","www.ecoenterprisesfund.com")</f>
        <v>www.ecoenterprisesfund.com</v>
      </c>
    </row>
    <row r="1340" spans="1:2" x14ac:dyDescent="0.3">
      <c r="A1340" s="3" t="s">
        <v>1340</v>
      </c>
      <c r="B1340" s="5" t="str">
        <f>HYPERLINK("http://www.edgeuno.com","www.edgeuno.com")</f>
        <v>www.edgeuno.com</v>
      </c>
    </row>
    <row r="1341" spans="1:2" x14ac:dyDescent="0.3">
      <c r="A1341" s="2" t="s">
        <v>1341</v>
      </c>
      <c r="B1341" s="4" t="str">
        <f>HYPERLINK("http://www.empresascopec.cl","www.empresascopec.cl")</f>
        <v>www.empresascopec.cl</v>
      </c>
    </row>
    <row r="1342" spans="1:2" x14ac:dyDescent="0.3">
      <c r="A1342" s="3" t="s">
        <v>1342</v>
      </c>
      <c r="B1342" s="5" t="str">
        <f>HYPERLINK("http://www.emptysetgroup.com","www.emptysetgroup.com")</f>
        <v>www.emptysetgroup.com</v>
      </c>
    </row>
    <row r="1343" spans="1:2" x14ac:dyDescent="0.3">
      <c r="A1343" s="2" t="s">
        <v>1343</v>
      </c>
      <c r="B1343" s="4" t="str">
        <f>HYPERLINK("http://erik-peterson.net","erik-peterson.net")</f>
        <v>erik-peterson.net</v>
      </c>
    </row>
    <row r="1344" spans="1:2" x14ac:dyDescent="0.3">
      <c r="A1344" s="2" t="s">
        <v>1344</v>
      </c>
      <c r="B1344" s="4" t="str">
        <f>HYPERLINK("http://www.esasventures.com","www.esasventures.com")</f>
        <v>www.esasventures.com</v>
      </c>
    </row>
    <row r="1345" spans="1:2" x14ac:dyDescent="0.3">
      <c r="A1345" s="3" t="s">
        <v>1345</v>
      </c>
      <c r="B1345" s="5" t="str">
        <f>HYPERLINK("http://www.essilor.com","www.essilor.com")</f>
        <v>www.essilor.com</v>
      </c>
    </row>
    <row r="1346" spans="1:2" x14ac:dyDescent="0.3">
      <c r="A1346" s="2" t="s">
        <v>1346</v>
      </c>
      <c r="B1346" s="4" t="str">
        <f>HYPERLINK("http://www.eurofins.com","www.eurofins.com")</f>
        <v>www.eurofins.com</v>
      </c>
    </row>
    <row r="1347" spans="1:2" x14ac:dyDescent="0.3">
      <c r="A1347" s="3" t="s">
        <v>1347</v>
      </c>
      <c r="B1347" s="5" t="str">
        <f>HYPERLINK("http://www.evertecinc.com","www.evertecinc.com")</f>
        <v>www.evertecinc.com</v>
      </c>
    </row>
    <row r="1348" spans="1:2" x14ac:dyDescent="0.3">
      <c r="A1348" s="2" t="s">
        <v>1348</v>
      </c>
      <c r="B1348" s="4" t="str">
        <f>HYPERLINK("http://www.evolverecapital.com","www.evolverecapital.com")</f>
        <v>www.evolverecapital.com</v>
      </c>
    </row>
    <row r="1349" spans="1:2" x14ac:dyDescent="0.3">
      <c r="A1349" s="2" t="s">
        <v>1349</v>
      </c>
      <c r="B1349" s="4" t="str">
        <f>HYPERLINK("http://www.farout.vc","www.farout.vc")</f>
        <v>www.farout.vc</v>
      </c>
    </row>
    <row r="1350" spans="1:2" x14ac:dyDescent="0.3">
      <c r="A1350" s="3" t="s">
        <v>1350</v>
      </c>
      <c r="B1350" s="5" t="str">
        <f>HYPERLINK("http://www.fintech.io","www.fintech.io")</f>
        <v>www.fintech.io</v>
      </c>
    </row>
    <row r="1351" spans="1:2" x14ac:dyDescent="0.3">
      <c r="A1351" s="2" t="s">
        <v>1351</v>
      </c>
      <c r="B1351" s="4" t="str">
        <f>HYPERLINK("http://www.fisameris.cl","www.fisameris.cl")</f>
        <v>www.fisameris.cl</v>
      </c>
    </row>
    <row r="1352" spans="1:2" x14ac:dyDescent="0.3">
      <c r="A1352" s="3" t="s">
        <v>1352</v>
      </c>
      <c r="B1352" s="5" t="str">
        <f>HYPERLINK("http://www.flink.co","www.flink.co")</f>
        <v>www.flink.co</v>
      </c>
    </row>
    <row r="1353" spans="1:2" x14ac:dyDescent="0.3">
      <c r="A1353" s="3" t="s">
        <v>1353</v>
      </c>
      <c r="B1353" s="5" t="str">
        <f>HYPERLINK("http://www.fmo.nl","www.fmo.nl")</f>
        <v>www.fmo.nl</v>
      </c>
    </row>
    <row r="1354" spans="1:2" x14ac:dyDescent="0.3">
      <c r="A1354" s="3" t="s">
        <v>1354</v>
      </c>
      <c r="B1354" s="5" t="str">
        <f>HYPERLINK("http://www.forus.cl","www.forus.cl")</f>
        <v>www.forus.cl</v>
      </c>
    </row>
    <row r="1355" spans="1:2" x14ac:dyDescent="0.3">
      <c r="A1355" s="3" t="s">
        <v>1355</v>
      </c>
      <c r="B1355" s="5" t="str">
        <f>HYPERLINK("http://www.fundersclub.com","www.fundersclub.com")</f>
        <v>www.fundersclub.com</v>
      </c>
    </row>
    <row r="1356" spans="1:2" x14ac:dyDescent="0.3">
      <c r="A1356" s="2" t="s">
        <v>1356</v>
      </c>
      <c r="B1356" s="4" t="str">
        <f>HYPERLINK("http://www.furagems.com","www.furagems.com")</f>
        <v>www.furagems.com</v>
      </c>
    </row>
    <row r="1357" spans="1:2" x14ac:dyDescent="0.3">
      <c r="A1357" s="3" t="s">
        <v>1357</v>
      </c>
      <c r="B1357" s="5" t="str">
        <f>HYPERLINK("http://www.g2momentum.capital","www.g2momentum.capital")</f>
        <v>www.g2momentum.capital</v>
      </c>
    </row>
    <row r="1358" spans="1:2" x14ac:dyDescent="0.3">
      <c r="A1358" s="2" t="s">
        <v>1358</v>
      </c>
      <c r="B1358" s="4" t="str">
        <f>HYPERLINK("http://www.gdagroup.it","www.gdagroup.it")</f>
        <v>www.gdagroup.it</v>
      </c>
    </row>
    <row r="1359" spans="1:2" x14ac:dyDescent="0.3">
      <c r="A1359" s="3" t="s">
        <v>1359</v>
      </c>
      <c r="B1359" s="5" t="str">
        <f>HYPERLINK("http://www.gemfields.com","www.gemfields.com")</f>
        <v>www.gemfields.com</v>
      </c>
    </row>
    <row r="1360" spans="1:2" x14ac:dyDescent="0.3">
      <c r="A1360" s="3" t="s">
        <v>1360</v>
      </c>
      <c r="B1360" s="5" t="str">
        <f>HYPERLINK("http://www.ggcapital.vc","www.ggcapital.vc")</f>
        <v>www.ggcapital.vc</v>
      </c>
    </row>
    <row r="1361" spans="1:2" x14ac:dyDescent="0.3">
      <c r="A1361" s="2" t="s">
        <v>1361</v>
      </c>
      <c r="B1361" s="4" t="str">
        <f>HYPERLINK("http://www.gigroupholding.com","www.gigroupholding.com")</f>
        <v>www.gigroupholding.com</v>
      </c>
    </row>
    <row r="1362" spans="1:2" x14ac:dyDescent="0.3">
      <c r="A1362" s="3" t="s">
        <v>1362</v>
      </c>
      <c r="B1362" s="5" t="str">
        <f>HYPERLINK("http://www.global-infra.com","www.global-infra.com")</f>
        <v>www.global-infra.com</v>
      </c>
    </row>
    <row r="1363" spans="1:2" x14ac:dyDescent="0.3">
      <c r="A1363" s="3" t="s">
        <v>1363</v>
      </c>
      <c r="B1363" s="5" t="str">
        <f>HYPERLINK("http://www.globant.com","www.globant.com")</f>
        <v>www.globant.com</v>
      </c>
    </row>
    <row r="1364" spans="1:2" x14ac:dyDescent="0.3">
      <c r="A1364" s="2" t="s">
        <v>1364</v>
      </c>
      <c r="B1364" s="4" t="str">
        <f>HYPERLINK("http://www.gowanco.com","www.gowanco.com")</f>
        <v>www.gowanco.com</v>
      </c>
    </row>
    <row r="1365" spans="1:2" x14ac:dyDescent="0.3">
      <c r="A1365" s="3" t="s">
        <v>1365</v>
      </c>
      <c r="B1365" s="5" t="str">
        <f>HYPERLINK("http://www.gramercy.com","www.gramercy.com")</f>
        <v>www.gramercy.com</v>
      </c>
    </row>
    <row r="1366" spans="1:2" x14ac:dyDescent="0.3">
      <c r="A1366" s="2" t="s">
        <v>1366</v>
      </c>
      <c r="B1366" s="4" t="str">
        <f>HYPERLINK("http://www.grantierra.com","www.grantierra.com")</f>
        <v>www.grantierra.com</v>
      </c>
    </row>
    <row r="1367" spans="1:2" x14ac:dyDescent="0.3">
      <c r="A1367" s="3" t="s">
        <v>1367</v>
      </c>
      <c r="B1367" s="5" t="str">
        <f>HYPERLINK("http://www.graphventures.com","www.graphventures.com")</f>
        <v>www.graphventures.com</v>
      </c>
    </row>
    <row r="1368" spans="1:2" x14ac:dyDescent="0.3">
      <c r="A1368" s="2" t="s">
        <v>1368</v>
      </c>
      <c r="B1368" s="4" t="str">
        <f>HYPERLINK("http://www.graymatterscap.com","www.graymatterscap.com")</f>
        <v>www.graymatterscap.com</v>
      </c>
    </row>
    <row r="1369" spans="1:2" x14ac:dyDescent="0.3">
      <c r="A1369" s="3" t="s">
        <v>1369</v>
      </c>
      <c r="B1369" s="5" t="str">
        <f>HYPERLINK("http://www.graycliffpartners.com","www.graycliffpartners.com")</f>
        <v>www.graycliffpartners.com</v>
      </c>
    </row>
    <row r="1370" spans="1:2" x14ac:dyDescent="0.3">
      <c r="A1370" s="2" t="s">
        <v>1370</v>
      </c>
      <c r="B1370" s="4" t="str">
        <f>HYPERLINK("http://www.auteco.com.co","www.auteco.com.co")</f>
        <v>www.auteco.com.co</v>
      </c>
    </row>
    <row r="1371" spans="1:2" x14ac:dyDescent="0.3">
      <c r="A1371" s="3" t="s">
        <v>1371</v>
      </c>
      <c r="B1371" s="5" t="str">
        <f>HYPERLINK("http://www.grupobimbo.com","www.grupobimbo.com")</f>
        <v>www.grupobimbo.com</v>
      </c>
    </row>
    <row r="1372" spans="1:2" x14ac:dyDescent="0.3">
      <c r="A1372" s="3" t="s">
        <v>1372</v>
      </c>
      <c r="B1372" s="5" t="str">
        <f>HYPERLINK("http://www.habitat.org","www.habitat.org")</f>
        <v>www.habitat.org</v>
      </c>
    </row>
    <row r="1373" spans="1:2" x14ac:dyDescent="0.3">
      <c r="A1373" s="3" t="s">
        <v>1373</v>
      </c>
      <c r="B1373" s="5" t="str">
        <f>HYPERLINK("http://www.hardyaka.com","www.hardyaka.com")</f>
        <v>www.hardyaka.com</v>
      </c>
    </row>
    <row r="1374" spans="1:2" x14ac:dyDescent="0.3">
      <c r="A1374" s="2" t="s">
        <v>1374</v>
      </c>
      <c r="B1374" s="4" t="str">
        <f>HYPERLINK("http://www.innovationlabs.harvard.edu","www.innovationlabs.harvard.edu")</f>
        <v>www.innovationlabs.harvard.edu</v>
      </c>
    </row>
    <row r="1375" spans="1:2" x14ac:dyDescent="0.3">
      <c r="A1375" s="3" t="s">
        <v>1375</v>
      </c>
      <c r="B1375" s="5" t="str">
        <f>HYPERLINK("http://www.headandheart.capital","www.headandheart.capital")</f>
        <v>www.headandheart.capital</v>
      </c>
    </row>
    <row r="1376" spans="1:2" x14ac:dyDescent="0.3">
      <c r="A1376" s="2" t="s">
        <v>1376</v>
      </c>
      <c r="B1376" s="4" t="str">
        <f>HYPERLINK("http://www.idcventures.com","www.idcventures.com")</f>
        <v>www.idcventures.com</v>
      </c>
    </row>
    <row r="1377" spans="1:2" x14ac:dyDescent="0.3">
      <c r="A1377" s="3" t="s">
        <v>1377</v>
      </c>
      <c r="B1377" s="5" t="str">
        <f>HYPERLINK("http://www.ideocolab.com","www.ideocolab.com")</f>
        <v>www.ideocolab.com</v>
      </c>
    </row>
    <row r="1378" spans="1:2" x14ac:dyDescent="0.3">
      <c r="A1378" s="2" t="s">
        <v>1378</v>
      </c>
      <c r="B1378" s="4" t="str">
        <f>HYPERLINK("http://www.ifc.com","www.ifc.com")</f>
        <v>www.ifc.com</v>
      </c>
    </row>
    <row r="1379" spans="1:2" x14ac:dyDescent="0.3">
      <c r="A1379" s="3" t="s">
        <v>1379</v>
      </c>
      <c r="B1379" s="5" t="str">
        <f>HYPERLINK("http://www.imo.vc","www.imo.vc")</f>
        <v>www.imo.vc</v>
      </c>
    </row>
    <row r="1380" spans="1:2" x14ac:dyDescent="0.3">
      <c r="A1380" s="2" t="s">
        <v>1380</v>
      </c>
      <c r="B1380" s="4" t="str">
        <f>HYPERLINK("http://indigocap.com","indigocap.com")</f>
        <v>indigocap.com</v>
      </c>
    </row>
    <row r="1381" spans="1:2" x14ac:dyDescent="0.3">
      <c r="A1381" s="3" t="s">
        <v>1381</v>
      </c>
      <c r="B1381" s="5" t="str">
        <f>HYPERLINK("http://www.infinitycapitalco.com","www.infinitycapitalco.com")</f>
        <v>www.infinitycapitalco.com</v>
      </c>
    </row>
    <row r="1382" spans="1:2" x14ac:dyDescent="0.3">
      <c r="A1382" s="2" t="s">
        <v>1382</v>
      </c>
      <c r="B1382" s="4" t="str">
        <f>HYPERLINK("http://www.innopact.vc","www.innopact.vc")</f>
        <v>www.innopact.vc</v>
      </c>
    </row>
    <row r="1383" spans="1:2" x14ac:dyDescent="0.3">
      <c r="A1383" s="3" t="s">
        <v>1383</v>
      </c>
      <c r="B1383" s="5" t="str">
        <f>HYPERLINK("http://www.insurtechteam.com","www.insurtechteam.com")</f>
        <v>www.insurtechteam.com</v>
      </c>
    </row>
    <row r="1384" spans="1:2" x14ac:dyDescent="0.3">
      <c r="A1384" s="2" t="s">
        <v>1384</v>
      </c>
      <c r="B1384" s="4" t="str">
        <f>HYPERLINK("http://www.isa.co","www.isa.co")</f>
        <v>www.isa.co</v>
      </c>
    </row>
    <row r="1385" spans="1:2" x14ac:dyDescent="0.3">
      <c r="A1385" s="3" t="s">
        <v>1385</v>
      </c>
      <c r="B1385" s="5" t="str">
        <f>HYPERLINK("http://www.icgam.com","www.icgam.com")</f>
        <v>www.icgam.com</v>
      </c>
    </row>
    <row r="1386" spans="1:2" x14ac:dyDescent="0.3">
      <c r="A1386" s="2" t="s">
        <v>1386</v>
      </c>
      <c r="B1386" s="4" t="str">
        <f>HYPERLINK("http://www.invariantes.com","www.invariantes.com")</f>
        <v>www.invariantes.com</v>
      </c>
    </row>
    <row r="1387" spans="1:2" x14ac:dyDescent="0.3">
      <c r="A1387" s="3" t="s">
        <v>1387</v>
      </c>
      <c r="B1387" s="5" t="str">
        <f>HYPERLINK("http://www.isagro.com","www.isagro.com")</f>
        <v>www.isagro.com</v>
      </c>
    </row>
    <row r="1388" spans="1:2" x14ac:dyDescent="0.3">
      <c r="A1388" s="2" t="s">
        <v>1388</v>
      </c>
      <c r="B1388" s="4" t="str">
        <f>HYPERLINK("http://www.isuzu.co.jp","www.isuzu.co.jp")</f>
        <v>www.isuzu.co.jp</v>
      </c>
    </row>
    <row r="1389" spans="1:2" x14ac:dyDescent="0.3">
      <c r="A1389" s="3" t="s">
        <v>1389</v>
      </c>
      <c r="B1389" s="5" t="str">
        <f>HYPERLINK("http://www.italcol.com","www.italcol.com")</f>
        <v>www.italcol.com</v>
      </c>
    </row>
    <row r="1390" spans="1:2" x14ac:dyDescent="0.3">
      <c r="A1390" s="3" t="s">
        <v>1390</v>
      </c>
      <c r="B1390" s="5" t="str">
        <f>HYPERLINK("http://www.jamfund.com","www.jamfund.com")</f>
        <v>www.jamfund.com</v>
      </c>
    </row>
    <row r="1391" spans="1:2" x14ac:dyDescent="0.3">
      <c r="A1391" s="2" t="s">
        <v>1391</v>
      </c>
      <c r="B1391" s="4" t="str">
        <f>HYPERLINK("http://www.jchxmc.com","www.jchxmc.com")</f>
        <v>www.jchxmc.com</v>
      </c>
    </row>
    <row r="1392" spans="1:2" x14ac:dyDescent="0.3">
      <c r="A1392" s="2" t="s">
        <v>1392</v>
      </c>
      <c r="B1392" s="4" t="str">
        <f>HYPERLINK("http://www.jobandtalent.com","www.jobandtalent.com")</f>
        <v>www.jobandtalent.com</v>
      </c>
    </row>
    <row r="1393" spans="1:2" x14ac:dyDescent="0.3">
      <c r="A1393" s="3" t="s">
        <v>1393</v>
      </c>
      <c r="B1393" s="5" t="str">
        <f>HYPERLINK("http://www.johnhancock.com","www.johnhancock.com")</f>
        <v>www.johnhancock.com</v>
      </c>
    </row>
    <row r="1394" spans="1:2" x14ac:dyDescent="0.3">
      <c r="A1394" s="3" t="s">
        <v>1394</v>
      </c>
      <c r="B1394" s="5" t="str">
        <f>HYPERLINK("http://www.jpmorganchase.com","www.jpmorganchase.com")</f>
        <v>www.jpmorganchase.com</v>
      </c>
    </row>
    <row r="1395" spans="1:2" x14ac:dyDescent="0.3">
      <c r="A1395" s="3" t="s">
        <v>1395</v>
      </c>
      <c r="B1395" s="5" t="str">
        <f>HYPERLINK("http://justinmateen.com","justinmateen.com")</f>
        <v>justinmateen.com</v>
      </c>
    </row>
    <row r="1396" spans="1:2" x14ac:dyDescent="0.3">
      <c r="A1396" s="2" t="s">
        <v>1396</v>
      </c>
      <c r="B1396" s="4" t="str">
        <f>HYPERLINK("http://www.kairoshq.com","www.kairoshq.com")</f>
        <v>www.kairoshq.com</v>
      </c>
    </row>
    <row r="1397" spans="1:2" x14ac:dyDescent="0.3">
      <c r="A1397" s="2" t="s">
        <v>1397</v>
      </c>
      <c r="B1397" s="4" t="str">
        <f>HYPERLINK("http://www.kimberly-clark.com","www.kimberly-clark.com")</f>
        <v>www.kimberly-clark.com</v>
      </c>
    </row>
    <row r="1398" spans="1:2" x14ac:dyDescent="0.3">
      <c r="A1398" s="3" t="s">
        <v>1398</v>
      </c>
      <c r="B1398" s="5" t="str">
        <f>HYPERLINK("http://www.kirkbi.com","www.kirkbi.com")</f>
        <v>www.kirkbi.com</v>
      </c>
    </row>
    <row r="1399" spans="1:2" x14ac:dyDescent="0.3">
      <c r="A1399" s="2" t="s">
        <v>1399</v>
      </c>
      <c r="B1399" s="4" t="str">
        <f>HYPERLINK("http://www.knauf.com","www.knauf.com")</f>
        <v>www.knauf.com</v>
      </c>
    </row>
    <row r="1400" spans="1:2" x14ac:dyDescent="0.3">
      <c r="A1400" s="3" t="s">
        <v>1400</v>
      </c>
      <c r="B1400" s="5" t="str">
        <f>HYPERLINK("http://www.lcatterton.com","www.lcatterton.com")</f>
        <v>www.lcatterton.com</v>
      </c>
    </row>
    <row r="1401" spans="1:2" x14ac:dyDescent="0.3">
      <c r="A1401" s="2" t="s">
        <v>1401</v>
      </c>
      <c r="B1401" s="4" t="str">
        <f>HYPERLINK("http://www.loreal.com","www.loreal.com")</f>
        <v>www.loreal.com</v>
      </c>
    </row>
    <row r="1402" spans="1:2" x14ac:dyDescent="0.3">
      <c r="A1402" s="3" t="s">
        <v>1402</v>
      </c>
      <c r="B1402" s="5" t="str">
        <f>HYPERLINK("http://labcap.mx","labcap.mx")</f>
        <v>labcap.mx</v>
      </c>
    </row>
    <row r="1403" spans="1:2" x14ac:dyDescent="0.3">
      <c r="A1403" s="2" t="s">
        <v>1403</v>
      </c>
      <c r="B1403" s="4" t="str">
        <f>HYPERLINK("http://www.laraexploration.com","www.laraexploration.com")</f>
        <v>www.laraexploration.com</v>
      </c>
    </row>
    <row r="1404" spans="1:2" x14ac:dyDescent="0.3">
      <c r="A1404" s="3" t="s">
        <v>1404</v>
      </c>
      <c r="B1404" s="5" t="str">
        <f>HYPERLINK("http://www.latinamericanpartners.com","www.latinamericanpartners.com")</f>
        <v>www.latinamericanpartners.com</v>
      </c>
    </row>
    <row r="1405" spans="1:2" x14ac:dyDescent="0.3">
      <c r="A1405" s="2" t="s">
        <v>1405</v>
      </c>
      <c r="B1405" s="4" t="str">
        <f>HYPERLINK("http://www.lclresources.au","www.lclresources.au")</f>
        <v>www.lclresources.au</v>
      </c>
    </row>
    <row r="1406" spans="1:2" x14ac:dyDescent="0.3">
      <c r="A1406" s="3" t="s">
        <v>1406</v>
      </c>
      <c r="B1406" s="5" t="str">
        <f>HYPERLINK("http://www.legacy-group.co","www.legacy-group.co")</f>
        <v>www.legacy-group.co</v>
      </c>
    </row>
    <row r="1407" spans="1:2" x14ac:dyDescent="0.3">
      <c r="A1407" s="2" t="s">
        <v>1407</v>
      </c>
      <c r="B1407" s="4" t="str">
        <f>HYPERLINK("http://www.leo.capital","www.leo.capital")</f>
        <v>www.leo.capital</v>
      </c>
    </row>
    <row r="1408" spans="1:2" x14ac:dyDescent="0.3">
      <c r="A1408" s="2" t="s">
        <v>1408</v>
      </c>
      <c r="B1408" s="4" t="str">
        <f>HYPERLINK("http://www.leonisa.com","www.leonisa.com")</f>
        <v>www.leonisa.com</v>
      </c>
    </row>
    <row r="1409" spans="1:2" x14ac:dyDescent="0.3">
      <c r="A1409" s="3" t="s">
        <v>1409</v>
      </c>
      <c r="B1409" s="5" t="str">
        <f>HYPERLINK("http://www.lifeistooshort.capital","www.lifeistooshort.capital")</f>
        <v>www.lifeistooshort.capital</v>
      </c>
    </row>
    <row r="1410" spans="1:2" x14ac:dyDescent="0.3">
      <c r="A1410" s="2" t="s">
        <v>1410</v>
      </c>
      <c r="B1410" s="4" t="str">
        <f>HYPERLINK("http://www.liquid2.vc","www.liquid2.vc")</f>
        <v>www.liquid2.vc</v>
      </c>
    </row>
    <row r="1411" spans="1:2" x14ac:dyDescent="0.3">
      <c r="A1411" s="3" t="s">
        <v>1411</v>
      </c>
      <c r="B1411" s="5" t="str">
        <f>HYPERLINK("http://lucenscapital.com","lucenscapital.com")</f>
        <v>lucenscapital.com</v>
      </c>
    </row>
    <row r="1412" spans="1:2" x14ac:dyDescent="0.3">
      <c r="A1412" s="2" t="s">
        <v>1412</v>
      </c>
      <c r="B1412" s="4" t="str">
        <f>HYPERLINK("http://magicalstartups.com","magicalstartups.com")</f>
        <v>magicalstartups.com</v>
      </c>
    </row>
    <row r="1413" spans="1:2" x14ac:dyDescent="0.3">
      <c r="A1413" s="2" t="s">
        <v>1413</v>
      </c>
      <c r="B1413" s="4" t="str">
        <f>HYPERLINK("http://www.mapei.com","www.mapei.com")</f>
        <v>www.mapei.com</v>
      </c>
    </row>
    <row r="1414" spans="1:2" x14ac:dyDescent="0.3">
      <c r="A1414" s="2" t="s">
        <v>1414</v>
      </c>
      <c r="B1414" s="4" t="str">
        <f>HYPERLINK("http://www.mastercard.us","www.mastercard.us")</f>
        <v>www.mastercard.us</v>
      </c>
    </row>
    <row r="1415" spans="1:2" x14ac:dyDescent="0.3">
      <c r="A1415" s="2" t="s">
        <v>1415</v>
      </c>
      <c r="B1415" s="4" t="str">
        <f>HYPERLINK("http://www.maxresource.com","www.maxresource.com")</f>
        <v>www.maxresource.com</v>
      </c>
    </row>
    <row r="1416" spans="1:2" x14ac:dyDescent="0.3">
      <c r="A1416" s="3" t="s">
        <v>1416</v>
      </c>
      <c r="B1416" s="5" t="str">
        <f>HYPERLINK("http://www.mm.group","www.mm.group")</f>
        <v>www.mm.group</v>
      </c>
    </row>
    <row r="1417" spans="1:2" x14ac:dyDescent="0.3">
      <c r="A1417" s="2" t="s">
        <v>1417</v>
      </c>
      <c r="B1417" s="4" t="str">
        <f>HYPERLINK("http://www.mc-capital.com","www.mc-capital.com")</f>
        <v>www.mc-capital.com</v>
      </c>
    </row>
    <row r="1418" spans="1:2" x14ac:dyDescent="0.3">
      <c r="A1418" s="3" t="s">
        <v>1418</v>
      </c>
      <c r="B1418" s="5" t="str">
        <f>HYPERLINK("http://www.mediatech.ventures","www.mediatech.ventures")</f>
        <v>www.mediatech.ventures</v>
      </c>
    </row>
    <row r="1419" spans="1:2" x14ac:dyDescent="0.3">
      <c r="A1419" s="3" t="s">
        <v>1419</v>
      </c>
      <c r="B1419" s="5" t="str">
        <f>HYPERLINK("http://www.meesho.com","www.meesho.com")</f>
        <v>www.meesho.com</v>
      </c>
    </row>
    <row r="1420" spans="1:2" x14ac:dyDescent="0.3">
      <c r="A1420" s="2" t="s">
        <v>1420</v>
      </c>
      <c r="B1420" s="4" t="str">
        <f>HYPERLINK("http://www.melekcapital.com","www.melekcapital.com")</f>
        <v>www.melekcapital.com</v>
      </c>
    </row>
    <row r="1421" spans="1:2" x14ac:dyDescent="0.3">
      <c r="A1421" s="2" t="s">
        <v>1421</v>
      </c>
      <c r="B1421" s="4" t="str">
        <f>HYPERLINK("http://www.mesoamerica.com","www.mesoamerica.com")</f>
        <v>www.mesoamerica.com</v>
      </c>
    </row>
    <row r="1422" spans="1:2" x14ac:dyDescent="0.3">
      <c r="A1422" s="3" t="s">
        <v>1422</v>
      </c>
      <c r="B1422" s="5" t="str">
        <f>HYPERLINK("http://www.mgvcapital.com","www.mgvcapital.com")</f>
        <v>www.mgvcapital.com</v>
      </c>
    </row>
    <row r="1423" spans="1:2" x14ac:dyDescent="0.3">
      <c r="A1423" s="2" t="s">
        <v>1423</v>
      </c>
      <c r="B1423" s="4" t="str">
        <f>HYPERLINK("http://www.miamiangels.vc","www.miamiangels.vc")</f>
        <v>www.miamiangels.vc</v>
      </c>
    </row>
    <row r="1424" spans="1:2" x14ac:dyDescent="0.3">
      <c r="A1424" s="2" t="s">
        <v>1424</v>
      </c>
      <c r="B1424" s="4" t="str">
        <f>HYPERLINK("http://www.millicom.com","www.millicom.com")</f>
        <v>www.millicom.com</v>
      </c>
    </row>
    <row r="1425" spans="1:2" x14ac:dyDescent="0.3">
      <c r="A1425" s="3" t="s">
        <v>1425</v>
      </c>
      <c r="B1425" s="5" t="str">
        <f>HYPERLINK("http://solve.mit.edu","solve.mit.edu")</f>
        <v>solve.mit.edu</v>
      </c>
    </row>
    <row r="1426" spans="1:2" x14ac:dyDescent="0.3">
      <c r="A1426" s="2" t="s">
        <v>1426</v>
      </c>
      <c r="B1426" s="4" t="str">
        <f>HYPERLINK("http://www.designx.mit.edu","www.designx.mit.edu")</f>
        <v>www.designx.mit.edu</v>
      </c>
    </row>
    <row r="1427" spans="1:2" x14ac:dyDescent="0.3">
      <c r="A1427" s="2" t="s">
        <v>1427</v>
      </c>
      <c r="B1427" s="4" t="str">
        <f>HYPERLINK("http://www.movile.com.br","www.movile.com.br")</f>
        <v>www.movile.com.br</v>
      </c>
    </row>
    <row r="1428" spans="1:2" x14ac:dyDescent="0.3">
      <c r="A1428" s="3" t="s">
        <v>1428</v>
      </c>
      <c r="B1428" s="5" t="str">
        <f>HYPERLINK("http://www.mym.ca","www.mym.ca")</f>
        <v>www.mym.ca</v>
      </c>
    </row>
    <row r="1429" spans="1:2" x14ac:dyDescent="0.3">
      <c r="A1429" s="2" t="s">
        <v>1429</v>
      </c>
      <c r="B1429" s="4" t="str">
        <f>HYPERLINK("http://www.naturaeco.com","www.naturaeco.com")</f>
        <v>www.naturaeco.com</v>
      </c>
    </row>
    <row r="1430" spans="1:2" x14ac:dyDescent="0.3">
      <c r="A1430" s="3" t="s">
        <v>1430</v>
      </c>
      <c r="B1430" s="5" t="str">
        <f>HYPERLINK("http://www.nazca.es","www.nazca.es")</f>
        <v>www.nazca.es</v>
      </c>
    </row>
    <row r="1431" spans="1:2" x14ac:dyDescent="0.3">
      <c r="A1431" s="2" t="s">
        <v>1431</v>
      </c>
      <c r="B1431" s="4" t="str">
        <f>HYPERLINK("http://www.net-ventures.co","www.net-ventures.co")</f>
        <v>www.net-ventures.co</v>
      </c>
    </row>
    <row r="1432" spans="1:2" x14ac:dyDescent="0.3">
      <c r="A1432" s="3" t="s">
        <v>1432</v>
      </c>
      <c r="B1432" s="5" t="str">
        <f>HYPERLINK("http://www.nb.com","www.nb.com")</f>
        <v>www.nb.com</v>
      </c>
    </row>
    <row r="1433" spans="1:2" x14ac:dyDescent="0.3">
      <c r="A1433" s="2" t="s">
        <v>1433</v>
      </c>
      <c r="B1433" s="4" t="str">
        <f>HYPERLINK("http://www.newmont.com","www.newmont.com")</f>
        <v>www.newmont.com</v>
      </c>
    </row>
    <row r="1434" spans="1:2" x14ac:dyDescent="0.3">
      <c r="A1434" s="2" t="s">
        <v>1434</v>
      </c>
      <c r="B1434" s="4" t="str">
        <f>HYPERLINK("http://nonlinearcap.com","nonlinearcap.com")</f>
        <v>nonlinearcap.com</v>
      </c>
    </row>
    <row r="1435" spans="1:2" x14ac:dyDescent="0.3">
      <c r="A1435" s="3" t="s">
        <v>1435</v>
      </c>
      <c r="B1435" s="5" t="str">
        <f>HYPERLINK("http://www.nordiccapital.com","www.nordiccapital.com")</f>
        <v>www.nordiccapital.com</v>
      </c>
    </row>
    <row r="1436" spans="1:2" x14ac:dyDescent="0.3">
      <c r="A1436" s="2" t="s">
        <v>1436</v>
      </c>
      <c r="B1436" s="4" t="str">
        <f>HYPERLINK("http://www.northlandpower.com","www.northlandpower.com")</f>
        <v>www.northlandpower.com</v>
      </c>
    </row>
    <row r="1437" spans="1:2" x14ac:dyDescent="0.3">
      <c r="A1437" s="3" t="s">
        <v>1437</v>
      </c>
      <c r="B1437" s="5" t="str">
        <f>HYPERLINK("http://notablecap.com","notablecap.com")</f>
        <v>notablecap.com</v>
      </c>
    </row>
    <row r="1438" spans="1:2" x14ac:dyDescent="0.3">
      <c r="A1438" s="2" t="s">
        <v>1438</v>
      </c>
      <c r="B1438" s="4" t="str">
        <f>HYPERLINK("http://novator.lu","novator.lu")</f>
        <v>novator.lu</v>
      </c>
    </row>
    <row r="1439" spans="1:2" x14ac:dyDescent="0.3">
      <c r="A1439" s="3" t="s">
        <v>1439</v>
      </c>
      <c r="B1439" s="5" t="str">
        <f>HYPERLINK("http://www.nucleusemv.com","www.nucleusemv.com")</f>
        <v>www.nucleusemv.com</v>
      </c>
    </row>
    <row r="1440" spans="1:2" x14ac:dyDescent="0.3">
      <c r="A1440" s="2" t="s">
        <v>1440</v>
      </c>
      <c r="B1440" s="4" t="str">
        <f>HYPERLINK("http://www.joinodf.com","www.joinodf.com")</f>
        <v>www.joinodf.com</v>
      </c>
    </row>
    <row r="1441" spans="1:2" x14ac:dyDescent="0.3">
      <c r="A1441" s="3" t="s">
        <v>1441</v>
      </c>
      <c r="B1441" s="5" t="str">
        <f>HYPERLINK("http://www.oldmutualinvest.com","www.oldmutualinvest.com")</f>
        <v>www.oldmutualinvest.com</v>
      </c>
    </row>
    <row r="1442" spans="1:2" x14ac:dyDescent="0.3">
      <c r="A1442" s="2" t="s">
        <v>1442</v>
      </c>
      <c r="B1442" s="4" t="str">
        <f>HYPERLINK("http://www.orbia.com","www.orbia.com")</f>
        <v>www.orbia.com</v>
      </c>
    </row>
    <row r="1443" spans="1:2" x14ac:dyDescent="0.3">
      <c r="A1443" s="3" t="s">
        <v>1443</v>
      </c>
      <c r="B1443" s="5" t="str">
        <f>HYPERLINK("http://www.terpel.com","www.terpel.com")</f>
        <v>www.terpel.com</v>
      </c>
    </row>
    <row r="1444" spans="1:2" x14ac:dyDescent="0.3">
      <c r="A1444" s="2" t="s">
        <v>1444</v>
      </c>
      <c r="B1444" s="4" t="str">
        <f>HYPERLINK("http://www.orosur.ca","www.orosur.ca")</f>
        <v>www.orosur.ca</v>
      </c>
    </row>
    <row r="1445" spans="1:2" x14ac:dyDescent="0.3">
      <c r="A1445" s="3" t="s">
        <v>1445</v>
      </c>
      <c r="B1445" s="5" t="str">
        <f>HYPERLINK("http://www.outboundventures.com","www.outboundventures.com")</f>
        <v>www.outboundventures.com</v>
      </c>
    </row>
    <row r="1446" spans="1:2" x14ac:dyDescent="0.3">
      <c r="A1446" s="3" t="s">
        <v>1446</v>
      </c>
      <c r="B1446" s="5" t="str">
        <f>HYPERLINK("http://www.partnervc.com","www.partnervc.com")</f>
        <v>www.partnervc.com</v>
      </c>
    </row>
    <row r="1447" spans="1:2" x14ac:dyDescent="0.3">
      <c r="A1447" s="2" t="s">
        <v>1447</v>
      </c>
      <c r="B1447" s="4" t="str">
        <f>HYPERLINK("http://www.partnersgroup.com","www.partnersgroup.com")</f>
        <v>www.partnersgroup.com</v>
      </c>
    </row>
    <row r="1448" spans="1:2" x14ac:dyDescent="0.3">
      <c r="A1448" s="3" t="s">
        <v>1448</v>
      </c>
      <c r="B1448" s="5" t="str">
        <f>HYPERLINK("http://www.patagoniafinancial.com","www.patagoniafinancial.com")</f>
        <v>www.patagoniafinancial.com</v>
      </c>
    </row>
    <row r="1449" spans="1:2" x14ac:dyDescent="0.3">
      <c r="A1449" s="2" t="s">
        <v>1449</v>
      </c>
      <c r="B1449" s="4" t="str">
        <f>HYPERLINK("http://corporate.payu.com","corporate.payu.com")</f>
        <v>corporate.payu.com</v>
      </c>
    </row>
    <row r="1450" spans="1:2" x14ac:dyDescent="0.3">
      <c r="A1450" s="3" t="s">
        <v>1450</v>
      </c>
      <c r="B1450" s="5" t="str">
        <f>HYPERLINK("http://www.petroamericaoilcorp.com","www.petroamericaoilcorp.com")</f>
        <v>www.petroamericaoilcorp.com</v>
      </c>
    </row>
    <row r="1451" spans="1:2" x14ac:dyDescent="0.3">
      <c r="A1451" s="2" t="s">
        <v>1451</v>
      </c>
      <c r="B1451" s="4" t="str">
        <f>HYPERLINK("http://www.pharmacielo.com","www.pharmacielo.com")</f>
        <v>www.pharmacielo.com</v>
      </c>
    </row>
    <row r="1452" spans="1:2" x14ac:dyDescent="0.3">
      <c r="A1452" s="3" t="s">
        <v>1452</v>
      </c>
      <c r="B1452" s="5" t="str">
        <f>HYPERLINK("http://www.picuscap.com","www.picuscap.com")</f>
        <v>www.picuscap.com</v>
      </c>
    </row>
    <row r="1453" spans="1:2" x14ac:dyDescent="0.3">
      <c r="A1453" s="3" t="s">
        <v>1453</v>
      </c>
      <c r="B1453" s="5" t="str">
        <f>HYPERLINK("http://www.platzi.com","www.platzi.com")</f>
        <v>www.platzi.com</v>
      </c>
    </row>
    <row r="1454" spans="1:2" x14ac:dyDescent="0.3">
      <c r="A1454" s="2" t="s">
        <v>1454</v>
      </c>
      <c r="B1454" s="4" t="str">
        <f>HYPERLINK("http://www.polymathcp.com","www.polymathcp.com")</f>
        <v>www.polymathcp.com</v>
      </c>
    </row>
    <row r="1455" spans="1:2" x14ac:dyDescent="0.3">
      <c r="A1455" s="3" t="s">
        <v>1455</v>
      </c>
      <c r="B1455" s="5" t="str">
        <f>HYPERLINK("http://www.pomonaimpact.com","www.pomonaimpact.com")</f>
        <v>www.pomonaimpact.com</v>
      </c>
    </row>
    <row r="1456" spans="1:2" x14ac:dyDescent="0.3">
      <c r="A1456" s="2" t="s">
        <v>1456</v>
      </c>
      <c r="B1456" s="4" t="str">
        <f>HYPERLINK("http://www.porvenir.com.co","www.porvenir.com.co")</f>
        <v>www.porvenir.com.co</v>
      </c>
    </row>
    <row r="1457" spans="1:2" x14ac:dyDescent="0.3">
      <c r="A1457" s="3" t="s">
        <v>1457</v>
      </c>
      <c r="B1457" s="5" t="str">
        <f>HYPERLINK("http://www.preflex.com.co","www.preflex.com.co")</f>
        <v>www.preflex.com.co</v>
      </c>
    </row>
    <row r="1458" spans="1:2" x14ac:dyDescent="0.3">
      <c r="A1458" s="2" t="s">
        <v>1458</v>
      </c>
      <c r="B1458" s="4" t="str">
        <f>HYPERLINK("http://www.primeline.ie","www.primeline.ie")</f>
        <v>www.primeline.ie</v>
      </c>
    </row>
    <row r="1459" spans="1:2" x14ac:dyDescent="0.3">
      <c r="A1459" s="3" t="s">
        <v>1459</v>
      </c>
      <c r="B1459" s="5" t="str">
        <f>HYPERLINK("http://www.prodigiocapital.com","www.prodigiocapital.com")</f>
        <v>www.prodigiocapital.com</v>
      </c>
    </row>
    <row r="1460" spans="1:2" x14ac:dyDescent="0.3">
      <c r="A1460" s="2" t="s">
        <v>1460</v>
      </c>
      <c r="B1460" s="4" t="str">
        <f>HYPERLINK("http://www.proezaventures.com","www.proezaventures.com")</f>
        <v>www.proezaventures.com</v>
      </c>
    </row>
    <row r="1461" spans="1:2" x14ac:dyDescent="0.3">
      <c r="A1461" s="3" t="s">
        <v>1461</v>
      </c>
      <c r="B1461" s="5" t="str">
        <f>HYPERLINK("http://www.pasa.mx","www.pasa.mx")</f>
        <v>www.pasa.mx</v>
      </c>
    </row>
    <row r="1462" spans="1:2" x14ac:dyDescent="0.3">
      <c r="A1462" s="2" t="s">
        <v>1462</v>
      </c>
      <c r="B1462" s="4" t="str">
        <f>HYPERLINK("http://www.proparco.fr","www.proparco.fr")</f>
        <v>www.proparco.fr</v>
      </c>
    </row>
    <row r="1463" spans="1:2" x14ac:dyDescent="0.3">
      <c r="A1463" s="3" t="s">
        <v>1463</v>
      </c>
      <c r="B1463" s="5" t="str">
        <f>HYPERLINK("http://www.propel.vc","www.propel.vc")</f>
        <v>www.propel.vc</v>
      </c>
    </row>
    <row r="1464" spans="1:2" x14ac:dyDescent="0.3">
      <c r="A1464" s="2" t="s">
        <v>1464</v>
      </c>
      <c r="B1464" s="4" t="str">
        <f>HYPERLINK("http://www.prosus.com","www.prosus.com")</f>
        <v>www.prosus.com</v>
      </c>
    </row>
    <row r="1465" spans="1:2" x14ac:dyDescent="0.3">
      <c r="A1465" s="2" t="s">
        <v>1465</v>
      </c>
      <c r="B1465" s="4" t="str">
        <f>HYPERLINK("http://www.proximityangels.com","www.proximityangels.com")</f>
        <v>www.proximityangels.com</v>
      </c>
    </row>
    <row r="1466" spans="1:2" x14ac:dyDescent="0.3">
      <c r="A1466" s="3" t="s">
        <v>1466</v>
      </c>
      <c r="B1466" s="5" t="str">
        <f>HYPERLINK("http://www.investpsp.com","www.investpsp.com")</f>
        <v>www.investpsp.com</v>
      </c>
    </row>
    <row r="1467" spans="1:2" x14ac:dyDescent="0.3">
      <c r="A1467" s="2" t="s">
        <v>1467</v>
      </c>
      <c r="B1467" s="4" t="str">
        <f>HYPERLINK("http://www.puig.com","www.puig.com")</f>
        <v>www.puig.com</v>
      </c>
    </row>
    <row r="1468" spans="1:2" x14ac:dyDescent="0.3">
      <c r="A1468" s="3" t="s">
        <v>1468</v>
      </c>
      <c r="B1468" s="5" t="str">
        <f>HYPERLINK("http://www.putney-capital.com","www.putney-capital.com")</f>
        <v>www.putney-capital.com</v>
      </c>
    </row>
    <row r="1469" spans="1:2" x14ac:dyDescent="0.3">
      <c r="A1469" s="2" t="s">
        <v>1469</v>
      </c>
      <c r="B1469" s="4" t="str">
        <f>HYPERLINK("http://www.pymwymic.com","www.pymwymic.com")</f>
        <v>www.pymwymic.com</v>
      </c>
    </row>
    <row r="1470" spans="1:2" x14ac:dyDescent="0.3">
      <c r="A1470" s="3" t="s">
        <v>1470</v>
      </c>
      <c r="B1470" s="5" t="str">
        <f>HYPERLINK("http://www.racap.com","www.racap.com")</f>
        <v>www.racap.com</v>
      </c>
    </row>
    <row r="1471" spans="1:2" x14ac:dyDescent="0.3">
      <c r="A1471" s="2" t="s">
        <v>1471</v>
      </c>
      <c r="B1471" s="4" t="str">
        <f>HYPERLINK("http://capital.rakuten.com","capital.rakuten.com")</f>
        <v>capital.rakuten.com</v>
      </c>
    </row>
    <row r="1472" spans="1:2" x14ac:dyDescent="0.3">
      <c r="A1472" s="3" t="s">
        <v>1472</v>
      </c>
      <c r="B1472" s="5" t="str">
        <f>HYPERLINK("http://www.rallycap.vc","www.rallycap.vc")</f>
        <v>www.rallycap.vc</v>
      </c>
    </row>
    <row r="1473" spans="1:2" x14ac:dyDescent="0.3">
      <c r="A1473" s="2" t="s">
        <v>1473</v>
      </c>
      <c r="B1473" s="4" t="str">
        <f>HYPERLINK("http://www.nar-reach.com","www.nar-reach.com")</f>
        <v>www.nar-reach.com</v>
      </c>
    </row>
    <row r="1474" spans="1:2" x14ac:dyDescent="0.3">
      <c r="A1474" s="3" t="s">
        <v>1474</v>
      </c>
      <c r="B1474" s="5" t="str">
        <f>HYPERLINK("http://www.rebelfund.vc","www.rebelfund.vc")</f>
        <v>www.rebelfund.vc</v>
      </c>
    </row>
    <row r="1475" spans="1:2" x14ac:dyDescent="0.3">
      <c r="A1475" s="2" t="s">
        <v>1475</v>
      </c>
      <c r="B1475" s="4" t="str">
        <f>HYPERLINK("http://www.rrrplc.com","www.rrrplc.com")</f>
        <v>www.rrrplc.com</v>
      </c>
    </row>
    <row r="1476" spans="1:2" x14ac:dyDescent="0.3">
      <c r="A1476" s="3" t="s">
        <v>1476</v>
      </c>
      <c r="B1476" s="5" t="str">
        <f>HYPERLINK("http://www.regional.mx","www.regional.mx")</f>
        <v>www.regional.mx</v>
      </c>
    </row>
    <row r="1477" spans="1:2" x14ac:dyDescent="0.3">
      <c r="A1477" s="2" t="s">
        <v>1477</v>
      </c>
      <c r="B1477" s="4" t="str">
        <f>HYPERLINK("http://www.relayinvestments.com","www.relayinvestments.com")</f>
        <v>www.relayinvestments.com</v>
      </c>
    </row>
    <row r="1478" spans="1:2" x14ac:dyDescent="0.3">
      <c r="A1478" s="3" t="s">
        <v>1478</v>
      </c>
      <c r="B1478" s="5" t="str">
        <f>HYPERLINK("http://www.reshape.co","www.reshape.co")</f>
        <v>www.reshape.co</v>
      </c>
    </row>
    <row r="1479" spans="1:2" x14ac:dyDescent="0.3">
      <c r="A1479" s="2" t="s">
        <v>1479</v>
      </c>
      <c r="B1479" s="4" t="str">
        <f>HYPERLINK("http://www.rhombuz.vc","www.rhombuz.vc")</f>
        <v>www.rhombuz.vc</v>
      </c>
    </row>
    <row r="1480" spans="1:2" x14ac:dyDescent="0.3">
      <c r="A1480" s="2" t="s">
        <v>1480</v>
      </c>
      <c r="B1480" s="4" t="str">
        <f>HYPERLINK("http://www.rightsidecapital.com","www.rightsidecapital.com")</f>
        <v>www.rightsidecapital.com</v>
      </c>
    </row>
    <row r="1481" spans="1:2" x14ac:dyDescent="0.3">
      <c r="A1481" s="3" t="s">
        <v>1481</v>
      </c>
      <c r="B1481" s="5" t="str">
        <f>HYPERLINK("http://www.risecapital.com","www.risecapital.com")</f>
        <v>www.risecapital.com</v>
      </c>
    </row>
    <row r="1482" spans="1:2" x14ac:dyDescent="0.3">
      <c r="A1482" s="2" t="s">
        <v>1482</v>
      </c>
      <c r="B1482" s="4" t="str">
        <f>HYPERLINK("http://www.riverwoodcapital.com","www.riverwoodcapital.com")</f>
        <v>www.riverwoodcapital.com</v>
      </c>
    </row>
    <row r="1483" spans="1:2" x14ac:dyDescent="0.3">
      <c r="A1483" s="3" t="s">
        <v>1483</v>
      </c>
      <c r="B1483" s="5" t="str">
        <f>HYPERLINK("http://www.rizkventures.com","www.rizkventures.com")</f>
        <v>www.rizkventures.com</v>
      </c>
    </row>
    <row r="1484" spans="1:2" x14ac:dyDescent="0.3">
      <c r="A1484" s="2" t="s">
        <v>1484</v>
      </c>
      <c r="B1484" s="4" t="str">
        <f>HYPERLINK("http://www.redkitefund.com","www.redkitefund.com")</f>
        <v>www.redkitefund.com</v>
      </c>
    </row>
    <row r="1485" spans="1:2" x14ac:dyDescent="0.3">
      <c r="A1485" s="3" t="s">
        <v>1485</v>
      </c>
      <c r="B1485" s="5" t="str">
        <f>HYPERLINK("http://www.robleventures.com","www.robleventures.com")</f>
        <v>www.robleventures.com</v>
      </c>
    </row>
    <row r="1486" spans="1:2" x14ac:dyDescent="0.3">
      <c r="A1486" s="2" t="s">
        <v>1486</v>
      </c>
      <c r="B1486" s="4" t="str">
        <f>HYPERLINK("http://www.sappi.com","www.sappi.com")</f>
        <v>www.sappi.com</v>
      </c>
    </row>
    <row r="1487" spans="1:2" x14ac:dyDescent="0.3">
      <c r="A1487" s="3" t="s">
        <v>1487</v>
      </c>
      <c r="B1487" s="5" t="str">
        <f>HYPERLINK("http://www.sclea.com","www.sclea.com")</f>
        <v>www.sclea.com</v>
      </c>
    </row>
    <row r="1488" spans="1:2" x14ac:dyDescent="0.3">
      <c r="A1488" s="2" t="s">
        <v>1488</v>
      </c>
      <c r="B1488" s="4" t="str">
        <f>HYPERLINK("http://www.scotiabank.com","www.scotiabank.com")</f>
        <v>www.scotiabank.com</v>
      </c>
    </row>
    <row r="1489" spans="1:2" x14ac:dyDescent="0.3">
      <c r="A1489" s="3" t="s">
        <v>1489</v>
      </c>
      <c r="B1489" s="5" t="str">
        <f>HYPERLINK("http://www.seaya.vc","www.seaya.vc")</f>
        <v>www.seaya.vc</v>
      </c>
    </row>
    <row r="1490" spans="1:2" x14ac:dyDescent="0.3">
      <c r="A1490" s="2" t="s">
        <v>1490</v>
      </c>
      <c r="B1490" s="4" t="str">
        <f>HYPERLINK("http://scv.vc","scv.vc")</f>
        <v>scv.vc</v>
      </c>
    </row>
    <row r="1491" spans="1:2" x14ac:dyDescent="0.3">
      <c r="A1491" s="3" t="s">
        <v>1491</v>
      </c>
      <c r="B1491" s="5" t="str">
        <f>HYPERLINK("http://semilleropartners.com","semilleropartners.com")</f>
        <v>semilleropartners.com</v>
      </c>
    </row>
    <row r="1492" spans="1:2" x14ac:dyDescent="0.3">
      <c r="A1492" s="2" t="s">
        <v>1492</v>
      </c>
      <c r="B1492" s="4" t="str">
        <f>HYPERLINK("http://www.silverlake.com","www.silverlake.com")</f>
        <v>www.silverlake.com</v>
      </c>
    </row>
    <row r="1493" spans="1:2" x14ac:dyDescent="0.3">
      <c r="A1493" s="3" t="s">
        <v>1493</v>
      </c>
      <c r="B1493" s="5" t="str">
        <f>HYPERLINK("http://visionfund.com","visionfund.com")</f>
        <v>visionfund.com</v>
      </c>
    </row>
    <row r="1494" spans="1:2" x14ac:dyDescent="0.3">
      <c r="A1494" s="2" t="s">
        <v>1494</v>
      </c>
      <c r="B1494" s="4" t="str">
        <f>HYPERLINK("http://www.latinamericafund.com","www.latinamericafund.com")</f>
        <v>www.latinamericafund.com</v>
      </c>
    </row>
    <row r="1495" spans="1:2" x14ac:dyDescent="0.3">
      <c r="A1495" s="3" t="s">
        <v>1495</v>
      </c>
      <c r="B1495" s="5" t="str">
        <f>HYPERLINK("http://www.soroseconomicdevelopmentfund.org","www.soroseconomicdevelopmentfund.org")</f>
        <v>www.soroseconomicdevelopmentfund.org</v>
      </c>
    </row>
    <row r="1496" spans="1:2" x14ac:dyDescent="0.3">
      <c r="A1496" s="2" t="s">
        <v>1496</v>
      </c>
      <c r="B1496" s="4" t="str">
        <f>HYPERLINK("http://www.southlightcapital.com","www.southlightcapital.com")</f>
        <v>www.southlightcapital.com</v>
      </c>
    </row>
    <row r="1497" spans="1:2" x14ac:dyDescent="0.3">
      <c r="A1497" s="2" t="s">
        <v>1497</v>
      </c>
      <c r="B1497" s="4" t="str">
        <f>HYPERLINK("http://sprintvc.com","sprintvc.com")</f>
        <v>sprintvc.com</v>
      </c>
    </row>
    <row r="1498" spans="1:2" x14ac:dyDescent="0.3">
      <c r="A1498" s="3" t="s">
        <v>1498</v>
      </c>
      <c r="B1498" s="5" t="str">
        <f>HYPERLINK("http://www.stellamaris.mx","www.stellamaris.mx")</f>
        <v>www.stellamaris.mx</v>
      </c>
    </row>
    <row r="1499" spans="1:2" x14ac:dyDescent="0.3">
      <c r="A1499" s="2" t="s">
        <v>1499</v>
      </c>
      <c r="B1499" s="4" t="str">
        <f>HYPERLINK("http://www.strabag.com","www.strabag.com")</f>
        <v>www.strabag.com</v>
      </c>
    </row>
    <row r="1500" spans="1:2" x14ac:dyDescent="0.3">
      <c r="A1500" s="3" t="s">
        <v>1500</v>
      </c>
      <c r="B1500" s="5" t="str">
        <f>HYPERLINK("http://sujaytyle.com","sujaytyle.com")</f>
        <v>sujaytyle.com</v>
      </c>
    </row>
    <row r="1501" spans="1:2" x14ac:dyDescent="0.3">
      <c r="A1501" s="2" t="s">
        <v>1501</v>
      </c>
      <c r="B1501" s="4" t="str">
        <f>HYPERLINK("http://www.sunvalleyinv.com","www.sunvalleyinv.com")</f>
        <v>www.sunvalleyinv.com</v>
      </c>
    </row>
    <row r="1502" spans="1:2" x14ac:dyDescent="0.3">
      <c r="A1502" s="3" t="s">
        <v>1502</v>
      </c>
      <c r="B1502" s="5" t="str">
        <f>HYPERLINK("http://www.supernode.vc","www.supernode.vc")</f>
        <v>www.supernode.vc</v>
      </c>
    </row>
    <row r="1503" spans="1:2" x14ac:dyDescent="0.3">
      <c r="A1503" s="2" t="s">
        <v>1503</v>
      </c>
      <c r="B1503" s="4" t="str">
        <f>HYPERLINK("http://www.suppla.com","www.suppla.com")</f>
        <v>www.suppla.com</v>
      </c>
    </row>
    <row r="1504" spans="1:2" x14ac:dyDescent="0.3">
      <c r="A1504" s="3" t="s">
        <v>1504</v>
      </c>
      <c r="B1504" s="5" t="str">
        <f>HYPERLINK("http://www.sura.co","www.sura.co")</f>
        <v>www.sura.co</v>
      </c>
    </row>
    <row r="1505" spans="1:2" x14ac:dyDescent="0.3">
      <c r="A1505" s="2" t="s">
        <v>1505</v>
      </c>
      <c r="B1505" s="4" t="str">
        <f>HYPERLINK("http://www.susaventures.com","www.susaventures.com")</f>
        <v>www.susaventures.com</v>
      </c>
    </row>
    <row r="1506" spans="1:2" x14ac:dyDescent="0.3">
      <c r="A1506" s="3" t="s">
        <v>1506</v>
      </c>
      <c r="B1506" s="5" t="str">
        <f>HYPERLINK("http://www.synergymarinegroup.com","www.synergymarinegroup.com")</f>
        <v>www.synergymarinegroup.com</v>
      </c>
    </row>
    <row r="1507" spans="1:2" x14ac:dyDescent="0.3">
      <c r="A1507" s="2" t="s">
        <v>1507</v>
      </c>
      <c r="B1507" s="4" t="str">
        <f>HYPERLINK("http://www.t2mcapital.com","www.t2mcapital.com")</f>
        <v>www.t2mcapital.com</v>
      </c>
    </row>
    <row r="1508" spans="1:2" x14ac:dyDescent="0.3">
      <c r="A1508" s="2" t="s">
        <v>1508</v>
      </c>
      <c r="B1508" s="4" t="str">
        <f>HYPERLINK("http://www.talma.com.pe","www.talma.com.pe")</f>
        <v>www.talma.com.pe</v>
      </c>
    </row>
    <row r="1509" spans="1:2" x14ac:dyDescent="0.3">
      <c r="A1509" s="3" t="s">
        <v>1509</v>
      </c>
      <c r="B1509" s="5" t="str">
        <f>HYPERLINK("http://www.openfuture.org","www.openfuture.org")</f>
        <v>www.openfuture.org</v>
      </c>
    </row>
    <row r="1510" spans="1:2" x14ac:dyDescent="0.3">
      <c r="A1510" s="2" t="s">
        <v>1510</v>
      </c>
      <c r="B1510" s="4" t="str">
        <f>HYPERLINK("http://www.ten13.vc","www.ten13.vc")</f>
        <v>www.ten13.vc</v>
      </c>
    </row>
    <row r="1511" spans="1:2" x14ac:dyDescent="0.3">
      <c r="A1511" s="3" t="s">
        <v>1511</v>
      </c>
      <c r="B1511" s="5" t="str">
        <f>HYPERLINK("http://tenacity.fund","tenacity.fund")</f>
        <v>tenacity.fund</v>
      </c>
    </row>
    <row r="1512" spans="1:2" x14ac:dyDescent="0.3">
      <c r="A1512" s="3" t="s">
        <v>1512</v>
      </c>
      <c r="B1512" s="5" t="str">
        <f>HYPERLINK("http://www.t16e.com","www.t16e.com")</f>
        <v>www.t16e.com</v>
      </c>
    </row>
    <row r="1513" spans="1:2" x14ac:dyDescent="0.3">
      <c r="A1513" s="3" t="s">
        <v>1513</v>
      </c>
      <c r="B1513" s="5" t="str">
        <f>HYPERLINK("http://www.thoughtforfood.org","www.thoughtforfood.org")</f>
        <v>www.thoughtforfood.org</v>
      </c>
    </row>
    <row r="1514" spans="1:2" x14ac:dyDescent="0.3">
      <c r="A1514" s="2" t="s">
        <v>1514</v>
      </c>
      <c r="B1514" s="4" t="str">
        <f>HYPERLINK("http://www.tikehaucapital.com","www.tikehaucapital.com")</f>
        <v>www.tikehaucapital.com</v>
      </c>
    </row>
    <row r="1515" spans="1:2" x14ac:dyDescent="0.3">
      <c r="A1515" s="3" t="s">
        <v>1515</v>
      </c>
      <c r="B1515" s="5" t="str">
        <f>HYPERLINK("http://www.tmtinvestments.com","www.tmtinvestments.com")</f>
        <v>www.tmtinvestments.com</v>
      </c>
    </row>
    <row r="1516" spans="1:2" x14ac:dyDescent="0.3">
      <c r="A1516" s="2" t="s">
        <v>1516</v>
      </c>
      <c r="B1516" s="4" t="str">
        <f>HYPERLINK("http://www.toroventures.mx","www.toroventures.mx")</f>
        <v>www.toroventures.mx</v>
      </c>
    </row>
    <row r="1517" spans="1:2" x14ac:dyDescent="0.3">
      <c r="A1517" s="3" t="s">
        <v>1517</v>
      </c>
      <c r="B1517" s="5" t="str">
        <f>HYPERLINK("http://www.tpg.com","www.tpg.com")</f>
        <v>www.tpg.com</v>
      </c>
    </row>
    <row r="1518" spans="1:2" x14ac:dyDescent="0.3">
      <c r="A1518" s="2" t="s">
        <v>1518</v>
      </c>
      <c r="B1518" s="4" t="str">
        <f>HYPERLINK("http://transi.st","transi.st")</f>
        <v>transi.st</v>
      </c>
    </row>
    <row r="1519" spans="1:2" x14ac:dyDescent="0.3">
      <c r="A1519" s="3" t="s">
        <v>1519</v>
      </c>
      <c r="B1519" s="5" t="str">
        <f>HYPERLINK("http://www.intlcannabiscorp.com","www.intlcannabiscorp.com")</f>
        <v>www.intlcannabiscorp.com</v>
      </c>
    </row>
    <row r="1520" spans="1:2" x14ac:dyDescent="0.3">
      <c r="A1520" s="2" t="s">
        <v>1520</v>
      </c>
      <c r="B1520" s="4" t="str">
        <f>HYPERLINK("http://www.transunion.com","www.transunion.com")</f>
        <v>www.transunion.com</v>
      </c>
    </row>
    <row r="1521" spans="1:2" x14ac:dyDescent="0.3">
      <c r="A1521" s="3" t="s">
        <v>1521</v>
      </c>
      <c r="B1521" s="5" t="str">
        <f>HYPERLINK("http://www.trkgroup.no","www.trkgroup.no")</f>
        <v>www.trkgroup.no</v>
      </c>
    </row>
    <row r="1522" spans="1:2" x14ac:dyDescent="0.3">
      <c r="A1522" s="2" t="s">
        <v>1522</v>
      </c>
      <c r="B1522" s="4" t="str">
        <f>HYPERLINK("http://www.usaid.gov","www.usaid.gov")</f>
        <v>www.usaid.gov</v>
      </c>
    </row>
    <row r="1523" spans="1:2" x14ac:dyDescent="0.3">
      <c r="A1523" s="3" t="s">
        <v>1523</v>
      </c>
      <c r="B1523" s="5" t="str">
        <f>HYPERLINK("http://www.unilever.com","www.unilever.com")</f>
        <v>www.unilever.com</v>
      </c>
    </row>
    <row r="1524" spans="1:2" x14ac:dyDescent="0.3">
      <c r="A1524" s="2" t="s">
        <v>1524</v>
      </c>
      <c r="B1524" s="4" t="str">
        <f>HYPERLINK("http://www.usv.com","www.usv.com")</f>
        <v>www.usv.com</v>
      </c>
    </row>
    <row r="1525" spans="1:2" x14ac:dyDescent="0.3">
      <c r="A1525" s="2" t="s">
        <v>1525</v>
      </c>
      <c r="B1525" s="4" t="str">
        <f>HYPERLINK("http://utecventures.com","utecventures.com")</f>
        <v>utecventures.com</v>
      </c>
    </row>
    <row r="1526" spans="1:2" x14ac:dyDescent="0.3">
      <c r="A1526" s="3" t="s">
        <v>1526</v>
      </c>
      <c r="B1526" s="5" t="str">
        <f>HYPERLINK("http://www.vale.com","www.vale.com")</f>
        <v>www.vale.com</v>
      </c>
    </row>
    <row r="1527" spans="1:2" x14ac:dyDescent="0.3">
      <c r="A1527" s="2" t="s">
        <v>1527</v>
      </c>
      <c r="B1527" s="4" t="str">
        <f>HYPERLINK("http://www.vastvc.com","www.vastvc.com")</f>
        <v>www.vastvc.com</v>
      </c>
    </row>
    <row r="1528" spans="1:2" x14ac:dyDescent="0.3">
      <c r="A1528" s="3" t="s">
        <v>1528</v>
      </c>
      <c r="B1528" s="5" t="str">
        <f>HYPERLINK("http://www.ventek.vc","www.ventek.vc")</f>
        <v>www.ventek.vc</v>
      </c>
    </row>
    <row r="1529" spans="1:2" x14ac:dyDescent="0.3">
      <c r="A1529" s="2" t="s">
        <v>1529</v>
      </c>
      <c r="B1529" s="4" t="str">
        <f>HYPERLINK("http://www.ventureoutny.com","www.ventureoutny.com")</f>
        <v>www.ventureoutny.com</v>
      </c>
    </row>
    <row r="1530" spans="1:2" x14ac:dyDescent="0.3">
      <c r="A1530" s="3" t="s">
        <v>1530</v>
      </c>
      <c r="B1530" s="5" t="str">
        <f>HYPERLINK("http://www.visa.co.in","www.visa.co.in")</f>
        <v>www.visa.co.in</v>
      </c>
    </row>
    <row r="1531" spans="1:2" x14ac:dyDescent="0.3">
      <c r="A1531" s="2" t="s">
        <v>1531</v>
      </c>
      <c r="B1531" s="4" t="str">
        <f>HYPERLINK("http://www.volt.capital","www.volt.capital")</f>
        <v>www.volt.capital</v>
      </c>
    </row>
    <row r="1532" spans="1:2" x14ac:dyDescent="0.3">
      <c r="A1532" s="3" t="s">
        <v>1532</v>
      </c>
      <c r="B1532" s="5" t="str">
        <f>HYPERLINK("http://www.vulcano.vc","www.vulcano.vc")</f>
        <v>www.vulcano.vc</v>
      </c>
    </row>
    <row r="1533" spans="1:2" x14ac:dyDescent="0.3">
      <c r="A1533" s="2" t="s">
        <v>1533</v>
      </c>
      <c r="B1533" s="4" t="str">
        <f>HYPERLINK("http://www.weg.net","www.weg.net")</f>
        <v>www.weg.net</v>
      </c>
    </row>
    <row r="1534" spans="1:2" x14ac:dyDescent="0.3">
      <c r="A1534" s="3" t="s">
        <v>1534</v>
      </c>
      <c r="B1534" s="5" t="str">
        <f>HYPERLINK("http://www.westerntech.com","www.westerntech.com")</f>
        <v>www.westerntech.com</v>
      </c>
    </row>
    <row r="1535" spans="1:2" x14ac:dyDescent="0.3">
      <c r="A1535" s="2" t="s">
        <v>1535</v>
      </c>
      <c r="B1535" s="4" t="str">
        <f>HYPERLINK("http://www.womensworldbanking.org","www.womensworldbanking.org")</f>
        <v>www.womensworldbanking.org</v>
      </c>
    </row>
    <row r="1536" spans="1:2" x14ac:dyDescent="0.3">
      <c r="A1536" s="2" t="s">
        <v>1536</v>
      </c>
      <c r="B1536" s="4" t="str">
        <f>HYPERLINK("http://www.yetizen.com","www.yetizen.com")</f>
        <v>www.yetizen.com</v>
      </c>
    </row>
    <row r="1537" spans="1:2" x14ac:dyDescent="0.3">
      <c r="A1537" s="3" t="s">
        <v>1537</v>
      </c>
      <c r="B1537" s="5" t="str">
        <f>HYPERLINK("http://www.theyieldlab.com","www.theyieldlab.com")</f>
        <v>www.theyieldlab.com</v>
      </c>
    </row>
    <row r="1538" spans="1:2" x14ac:dyDescent="0.3">
      <c r="A1538" s="3" t="s">
        <v>1538</v>
      </c>
      <c r="B1538" s="5" t="str">
        <f>HYPERLINK("http://www.ziggcap.com","www.ziggcap.com")</f>
        <v>www.ziggcap.com</v>
      </c>
    </row>
    <row r="1539" spans="1:2" x14ac:dyDescent="0.3">
      <c r="A1539" s="2" t="s">
        <v>1539</v>
      </c>
      <c r="B1539" s="4" t="str">
        <f>HYPERLINK("http://www.zillionize.com","www.zillionize.com")</f>
        <v>www.zillionize.com</v>
      </c>
    </row>
    <row r="1540" spans="1:2" x14ac:dyDescent="0.3">
      <c r="A1540" s="3" t="s">
        <v>1540</v>
      </c>
      <c r="B1540" s="5" t="str">
        <f>HYPERLINK("http://www.17sigma.com","www.17sigma.com")</f>
        <v>www.17sigma.com</v>
      </c>
    </row>
    <row r="1541" spans="1:2" x14ac:dyDescent="0.3">
      <c r="A1541" s="2" t="s">
        <v>1541</v>
      </c>
      <c r="B1541" s="4" t="str">
        <f>HYPERLINK("http://agora2030.org","agora2030.org")</f>
        <v>agora2030.org</v>
      </c>
    </row>
    <row r="1542" spans="1:2" x14ac:dyDescent="0.3">
      <c r="A1542" s="3" t="s">
        <v>1542</v>
      </c>
      <c r="B1542" s="5" t="str">
        <f>HYPERLINK("http://www.agregapartners.com","www.agregapartners.com")</f>
        <v>www.agregapartners.com</v>
      </c>
    </row>
    <row r="1543" spans="1:2" x14ac:dyDescent="0.3">
      <c r="A1543" s="2" t="s">
        <v>1543</v>
      </c>
      <c r="B1543" s="4" t="str">
        <f>HYPERLINK("http://aito.vc","aito.vc")</f>
        <v>aito.vc</v>
      </c>
    </row>
    <row r="1544" spans="1:2" x14ac:dyDescent="0.3">
      <c r="A1544" s="2" t="s">
        <v>1544</v>
      </c>
      <c r="B1544" s="4" t="str">
        <f>HYPERLINK("http://www.alaya-capital.com","www.alaya-capital.com")</f>
        <v>www.alaya-capital.com</v>
      </c>
    </row>
    <row r="1545" spans="1:2" x14ac:dyDescent="0.3">
      <c r="A1545" s="2" t="s">
        <v>1545</v>
      </c>
      <c r="B1545" s="4" t="str">
        <f>HYPERLINK("http://alereadvisors.com","alereadvisors.com")</f>
        <v>alereadvisors.com</v>
      </c>
    </row>
    <row r="1546" spans="1:2" x14ac:dyDescent="0.3">
      <c r="A1546" s="3" t="s">
        <v>1546</v>
      </c>
      <c r="B1546" s="5" t="str">
        <f>HYPERLINK("http://www.alphamundigroup.com","www.alphamundigroup.com")</f>
        <v>www.alphamundigroup.com</v>
      </c>
    </row>
    <row r="1547" spans="1:2" x14ac:dyDescent="0.3">
      <c r="A1547" s="2" t="s">
        <v>1547</v>
      </c>
      <c r="B1547" s="4" t="str">
        <f>HYPERLINK("http://www.altabix.cz","www.altabix.cz")</f>
        <v>www.altabix.cz</v>
      </c>
    </row>
    <row r="1548" spans="1:2" x14ac:dyDescent="0.3">
      <c r="A1548" s="3" t="s">
        <v>1548</v>
      </c>
      <c r="B1548" s="5" t="str">
        <f>HYPERLINK("http://alter.vc","alter.vc")</f>
        <v>alter.vc</v>
      </c>
    </row>
    <row r="1549" spans="1:2" x14ac:dyDescent="0.3">
      <c r="A1549" s="2" t="s">
        <v>1549</v>
      </c>
      <c r="B1549" s="4" t="str">
        <f>HYPERLINK("http://www.av.vc","www.av.vc")</f>
        <v>www.av.vc</v>
      </c>
    </row>
    <row r="1550" spans="1:2" x14ac:dyDescent="0.3">
      <c r="A1550" s="3" t="s">
        <v>1550</v>
      </c>
      <c r="B1550" s="5" t="str">
        <f>HYPERLINK("http://www.alzacp.com","www.alzacp.com")</f>
        <v>www.alzacp.com</v>
      </c>
    </row>
    <row r="1551" spans="1:2" x14ac:dyDescent="0.3">
      <c r="A1551" s="2" t="s">
        <v>1551</v>
      </c>
      <c r="B1551" s="4" t="str">
        <f>HYPERLINK("http://www.amasia.vc","www.amasia.vc")</f>
        <v>www.amasia.vc</v>
      </c>
    </row>
    <row r="1552" spans="1:2" x14ac:dyDescent="0.3">
      <c r="A1552" s="2" t="s">
        <v>1552</v>
      </c>
      <c r="B1552" s="4" t="str">
        <f>HYPERLINK("http://www.anglogoldashanti.com","www.anglogoldashanti.com")</f>
        <v>www.anglogoldashanti.com</v>
      </c>
    </row>
    <row r="1553" spans="1:2" x14ac:dyDescent="0.3">
      <c r="A1553" s="3" t="s">
        <v>1553</v>
      </c>
      <c r="B1553" s="5" t="str">
        <f>HYPERLINK("http://www.antioquiagoldinc.com","www.antioquiagoldinc.com")</f>
        <v>www.antioquiagoldinc.com</v>
      </c>
    </row>
    <row r="1554" spans="1:2" x14ac:dyDescent="0.3">
      <c r="A1554" s="2" t="s">
        <v>1554</v>
      </c>
      <c r="B1554" s="4" t="str">
        <f>HYPERLINK("http://www.ardian.com","www.ardian.com")</f>
        <v>www.ardian.com</v>
      </c>
    </row>
    <row r="1555" spans="1:2" x14ac:dyDescent="0.3">
      <c r="A1555" s="3" t="s">
        <v>1555</v>
      </c>
      <c r="B1555" s="5" t="str">
        <f>HYPERLINK("http://www.atariavc.com","www.atariavc.com")</f>
        <v>www.atariavc.com</v>
      </c>
    </row>
    <row r="1556" spans="1:2" x14ac:dyDescent="0.3">
      <c r="A1556" s="2" t="s">
        <v>1556</v>
      </c>
      <c r="B1556" s="4" t="str">
        <f>HYPERLINK("http://www.auna.org","www.auna.org")</f>
        <v>www.auna.org</v>
      </c>
    </row>
    <row r="1557" spans="1:2" x14ac:dyDescent="0.3">
      <c r="A1557" s="3" t="s">
        <v>1557</v>
      </c>
      <c r="B1557" s="5" t="str">
        <f>HYPERLINK("http://www.autecomobility.com","www.autecomobility.com")</f>
        <v>www.autecomobility.com</v>
      </c>
    </row>
    <row r="1558" spans="1:2" x14ac:dyDescent="0.3">
      <c r="A1558" s="2" t="s">
        <v>1558</v>
      </c>
      <c r="B1558" s="4" t="str">
        <f>HYPERLINK("http://www.avianca.com","www.avianca.com")</f>
        <v>www.avianca.com</v>
      </c>
    </row>
    <row r="1559" spans="1:2" x14ac:dyDescent="0.3">
      <c r="A1559" s="3" t="s">
        <v>1559</v>
      </c>
      <c r="B1559" s="5" t="str">
        <f>HYPERLINK("http://www.avicanna.com","www.avicanna.com")</f>
        <v>www.avicanna.com</v>
      </c>
    </row>
    <row r="1560" spans="1:2" x14ac:dyDescent="0.3">
      <c r="A1560" s="2" t="s">
        <v>1560</v>
      </c>
      <c r="B1560" s="4" t="str">
        <f>HYPERLINK("http://www.avpventures.com","www.avpventures.com")</f>
        <v>www.avpventures.com</v>
      </c>
    </row>
    <row r="1561" spans="1:2" x14ac:dyDescent="0.3">
      <c r="A1561" s="3" t="s">
        <v>1561</v>
      </c>
      <c r="B1561" s="5" t="str">
        <f>HYPERLINK("http://www.b2gold.com","www.b2gold.com")</f>
        <v>www.b2gold.com</v>
      </c>
    </row>
    <row r="1562" spans="1:2" x14ac:dyDescent="0.3">
      <c r="A1562" s="2" t="s">
        <v>1562</v>
      </c>
      <c r="B1562" s="4" t="str">
        <f>HYPERLINK("http://www.bamboocp.com","www.bamboocp.com")</f>
        <v>www.bamboocp.com</v>
      </c>
    </row>
    <row r="1563" spans="1:2" x14ac:dyDescent="0.3">
      <c r="A1563" s="3" t="s">
        <v>1563</v>
      </c>
      <c r="B1563" s="5" t="str">
        <f>HYPERLINK("http://www.bancodeoccidente.com.co","www.bancodeoccidente.com.co")</f>
        <v>www.bancodeoccidente.com.co</v>
      </c>
    </row>
    <row r="1564" spans="1:2" x14ac:dyDescent="0.3">
      <c r="A1564" s="2" t="s">
        <v>1564</v>
      </c>
      <c r="B1564" s="4" t="str">
        <f>HYPERLINK("http://www.blackstone.com","www.blackstone.com")</f>
        <v>www.blackstone.com</v>
      </c>
    </row>
    <row r="1565" spans="1:2" x14ac:dyDescent="0.3">
      <c r="A1565" s="3" t="s">
        <v>1565</v>
      </c>
      <c r="B1565" s="5" t="str">
        <f>HYPERLINK("http://www.caffeinatedcapital.com","www.caffeinatedcapital.com")</f>
        <v>www.caffeinatedcapital.com</v>
      </c>
    </row>
    <row r="1566" spans="1:2" x14ac:dyDescent="0.3">
      <c r="A1566" s="2" t="s">
        <v>1566</v>
      </c>
      <c r="B1566" s="4" t="str">
        <f>HYPERLINK("http://www.cencosud.com","www.cencosud.com")</f>
        <v>www.cencosud.com</v>
      </c>
    </row>
    <row r="1567" spans="1:2" x14ac:dyDescent="0.3">
      <c r="A1567" s="3" t="s">
        <v>1567</v>
      </c>
      <c r="B1567" s="5" t="str">
        <f>HYPERLINK("http://www.citius.vc","www.citius.vc")</f>
        <v>www.citius.vc</v>
      </c>
    </row>
    <row r="1568" spans="1:2" x14ac:dyDescent="0.3">
      <c r="A1568" s="3" t="s">
        <v>1568</v>
      </c>
      <c r="B1568" s="5" t="str">
        <f>HYPERLINK("http://www.ventures.com.co","www.ventures.com.co")</f>
        <v>www.ventures.com.co</v>
      </c>
    </row>
    <row r="1569" spans="1:2" x14ac:dyDescent="0.3">
      <c r="A1569" s="2" t="s">
        <v>1569</v>
      </c>
      <c r="B1569" s="4" t="str">
        <f>HYPERLINK("http://www.credicorpcapital.com","www.credicorpcapital.com")</f>
        <v>www.credicorpcapital.com</v>
      </c>
    </row>
    <row r="1570" spans="1:2" x14ac:dyDescent="0.3">
      <c r="A1570" s="2" t="s">
        <v>1570</v>
      </c>
      <c r="B1570" s="4" t="str">
        <f>HYPERLINK("http://www.datventures.com","www.datventures.com")</f>
        <v>www.datventures.com</v>
      </c>
    </row>
    <row r="1571" spans="1:2" x14ac:dyDescent="0.3">
      <c r="A1571" s="3" t="s">
        <v>1571</v>
      </c>
      <c r="B1571" s="5" t="str">
        <f>HYPERLINK("http://www.denariusmetals.com","www.denariusmetals.com")</f>
        <v>www.denariusmetals.com</v>
      </c>
    </row>
    <row r="1572" spans="1:2" x14ac:dyDescent="0.3">
      <c r="A1572" s="2" t="s">
        <v>1572</v>
      </c>
      <c r="B1572" s="4" t="str">
        <f>HYPERLINK("http://www.digital360.it","www.digital360.it")</f>
        <v>www.digital360.it</v>
      </c>
    </row>
    <row r="1573" spans="1:2" x14ac:dyDescent="0.3">
      <c r="A1573" s="3" t="s">
        <v>1573</v>
      </c>
      <c r="B1573" s="5" t="str">
        <f>HYPERLINK("http://www.dilacapital.com","www.dilacapital.com")</f>
        <v>www.dilacapital.com</v>
      </c>
    </row>
    <row r="1574" spans="1:2" x14ac:dyDescent="0.3">
      <c r="A1574" s="2" t="s">
        <v>1574</v>
      </c>
      <c r="B1574" s="4" t="str">
        <f>HYPERLINK("http://www.draperventure.com","www.draperventure.com")</f>
        <v>www.draperventure.com</v>
      </c>
    </row>
    <row r="1575" spans="1:2" x14ac:dyDescent="0.3">
      <c r="A1575" s="3" t="s">
        <v>1575</v>
      </c>
      <c r="B1575" s="5" t="str">
        <f>HYPERLINK("http://www.elysiacapital.com","www.elysiacapital.com")</f>
        <v>www.elysiacapital.com</v>
      </c>
    </row>
    <row r="1576" spans="1:2" x14ac:dyDescent="0.3">
      <c r="A1576" s="3" t="s">
        <v>1576</v>
      </c>
      <c r="B1576" s="5" t="str">
        <f>HYPERLINK("http://www.equityinternational.com","www.equityinternational.com")</f>
        <v>www.equityinternational.com</v>
      </c>
    </row>
    <row r="1577" spans="1:2" x14ac:dyDescent="0.3">
      <c r="A1577" s="2" t="s">
        <v>1577</v>
      </c>
      <c r="B1577" s="4" t="str">
        <f>HYPERLINK("http://www.essity.com","www.essity.com")</f>
        <v>www.essity.com</v>
      </c>
    </row>
    <row r="1578" spans="1:2" x14ac:dyDescent="0.3">
      <c r="A1578" s="3" t="s">
        <v>1578</v>
      </c>
      <c r="B1578" s="5" t="str">
        <f>HYPERLINK("http://everywhere.vc","everywhere.vc")</f>
        <v>everywhere.vc</v>
      </c>
    </row>
    <row r="1579" spans="1:2" x14ac:dyDescent="0.3">
      <c r="A1579" s="2" t="s">
        <v>1579</v>
      </c>
      <c r="B1579" s="4" t="str">
        <f>HYPERLINK("http://www.finnovista.com","www.finnovista.com")</f>
        <v>www.finnovista.com</v>
      </c>
    </row>
    <row r="1580" spans="1:2" x14ac:dyDescent="0.3">
      <c r="A1580" s="3" t="s">
        <v>1580</v>
      </c>
      <c r="B1580" s="5" t="str">
        <f>HYPERLINK("http://www.firstservepartners.com","www.firstservepartners.com")</f>
        <v>www.firstservepartners.com</v>
      </c>
    </row>
    <row r="1581" spans="1:2" x14ac:dyDescent="0.3">
      <c r="A1581" s="2" t="s">
        <v>1581</v>
      </c>
      <c r="B1581" s="4" t="str">
        <f>HYPERLINK("http://www.flybridge.com","www.flybridge.com")</f>
        <v>www.flybridge.com</v>
      </c>
    </row>
    <row r="1582" spans="1:2" x14ac:dyDescent="0.3">
      <c r="A1582" s="3" t="s">
        <v>1582</v>
      </c>
      <c r="B1582" s="5" t="str">
        <f>HYPERLINK("http://www.fondationbotnar.org","www.fondationbotnar.org")</f>
        <v>www.fondationbotnar.org</v>
      </c>
    </row>
    <row r="1583" spans="1:2" x14ac:dyDescent="0.3">
      <c r="A1583" s="2" t="s">
        <v>1583</v>
      </c>
      <c r="B1583" s="4" t="str">
        <f>HYPERLINK("http://www.fuelventurecapital.com","www.fuelventurecapital.com")</f>
        <v>www.fuelventurecapital.com</v>
      </c>
    </row>
    <row r="1584" spans="1:2" x14ac:dyDescent="0.3">
      <c r="A1584" s="3" t="s">
        <v>1584</v>
      </c>
      <c r="B1584" s="5" t="str">
        <f>HYPERLINK("http://www.geo-park.com","www.geo-park.com")</f>
        <v>www.geo-park.com</v>
      </c>
    </row>
    <row r="1585" spans="1:2" x14ac:dyDescent="0.3">
      <c r="A1585" s="2" t="s">
        <v>1585</v>
      </c>
      <c r="B1585" s="4" t="str">
        <f>HYPERLINK("http://www.glencore.com","www.glencore.com")</f>
        <v>www.glencore.com</v>
      </c>
    </row>
    <row r="1586" spans="1:2" x14ac:dyDescent="0.3">
      <c r="A1586" s="3" t="s">
        <v>1586</v>
      </c>
      <c r="B1586" s="5" t="str">
        <f>HYPERLINK("http://www.globantventures.com","www.globantventures.com")</f>
        <v>www.globantventures.com</v>
      </c>
    </row>
    <row r="1587" spans="1:2" x14ac:dyDescent="0.3">
      <c r="A1587" s="2" t="s">
        <v>1587</v>
      </c>
      <c r="B1587" s="4" t="str">
        <f>HYPERLINK("http://www.am.gs.com/en-us/advisors","www.am.gs.com/en-us/advisors")</f>
        <v>www.am.gs.com/en-us/advisors</v>
      </c>
    </row>
    <row r="1588" spans="1:2" x14ac:dyDescent="0.3">
      <c r="A1588" s="3" t="s">
        <v>1588</v>
      </c>
      <c r="B1588" s="5" t="str">
        <f>HYPERLINK("http://www.groundup-investing.com","www.groundup-investing.com")</f>
        <v>www.groundup-investing.com</v>
      </c>
    </row>
    <row r="1589" spans="1:2" x14ac:dyDescent="0.3">
      <c r="A1589" s="2" t="s">
        <v>1589</v>
      </c>
      <c r="B1589" s="4" t="str">
        <f>HYPERLINK("http://www.asur.com.mx","www.asur.com.mx")</f>
        <v>www.asur.com.mx</v>
      </c>
    </row>
    <row r="1590" spans="1:2" x14ac:dyDescent="0.3">
      <c r="A1590" s="3" t="s">
        <v>1590</v>
      </c>
      <c r="B1590" s="5" t="str">
        <f>HYPERLINK("http://www.grupoaval.com","www.grupoaval.com")</f>
        <v>www.grupoaval.com</v>
      </c>
    </row>
    <row r="1591" spans="1:2" x14ac:dyDescent="0.3">
      <c r="A1591" s="2" t="s">
        <v>1591</v>
      </c>
      <c r="B1591" s="4" t="str">
        <f>HYPERLINK("http://www.grupobolivar.com.co","www.grupobolivar.com.co")</f>
        <v>www.grupobolivar.com.co</v>
      </c>
    </row>
    <row r="1592" spans="1:2" x14ac:dyDescent="0.3">
      <c r="A1592" s="3" t="s">
        <v>1592</v>
      </c>
      <c r="B1592" s="5" t="str">
        <f>HYPERLINK("http://www.grupodigitex.com","www.grupodigitex.com")</f>
        <v>www.grupodigitex.com</v>
      </c>
    </row>
    <row r="1593" spans="1:2" x14ac:dyDescent="0.3">
      <c r="A1593" s="2" t="s">
        <v>1593</v>
      </c>
      <c r="B1593" s="4" t="str">
        <f>HYPERLINK("http://www.grupoecos.com","www.grupoecos.com")</f>
        <v>www.grupoecos.com</v>
      </c>
    </row>
    <row r="1594" spans="1:2" x14ac:dyDescent="0.3">
      <c r="A1594" s="3" t="s">
        <v>1594</v>
      </c>
      <c r="B1594" s="5" t="str">
        <f>HYPERLINK("http://www.grupoenergiadebogota.com","www.grupoenergiadebogota.com")</f>
        <v>www.grupoenergiadebogota.com</v>
      </c>
    </row>
    <row r="1595" spans="1:2" x14ac:dyDescent="0.3">
      <c r="A1595" s="2" t="s">
        <v>1595</v>
      </c>
      <c r="B1595" s="4" t="str">
        <f>HYPERLINK("http://www.grupomundial.com","www.grupomundial.com")</f>
        <v>www.grupomundial.com</v>
      </c>
    </row>
    <row r="1596" spans="1:2" x14ac:dyDescent="0.3">
      <c r="A1596" s="3" t="s">
        <v>1596</v>
      </c>
      <c r="B1596" s="5" t="str">
        <f>HYPERLINK("http://www.hig.com","www.hig.com")</f>
        <v>www.hig.com</v>
      </c>
    </row>
    <row r="1597" spans="1:2" x14ac:dyDescent="0.3">
      <c r="A1597" s="2" t="s">
        <v>1597</v>
      </c>
      <c r="B1597" s="4" t="str">
        <f>HYPERLINK("http://www.hbmpartners.com","www.hbmpartners.com")</f>
        <v>www.hbmpartners.com</v>
      </c>
    </row>
    <row r="1598" spans="1:2" x14ac:dyDescent="0.3">
      <c r="A1598" s="3" t="s">
        <v>1598</v>
      </c>
      <c r="B1598" s="5" t="str">
        <f>HYPERLINK("http://www.hofcapital.com","www.hofcapital.com")</f>
        <v>www.hofcapital.com</v>
      </c>
    </row>
    <row r="1599" spans="1:2" x14ac:dyDescent="0.3">
      <c r="A1599" s="2" t="s">
        <v>1599</v>
      </c>
      <c r="B1599" s="4" t="str">
        <f>HYPERLINK("http://www.houstonamerican.com","www.houstonamerican.com")</f>
        <v>www.houstonamerican.com</v>
      </c>
    </row>
    <row r="1600" spans="1:2" x14ac:dyDescent="0.3">
      <c r="A1600" s="2" t="s">
        <v>1600</v>
      </c>
      <c r="B1600" s="4" t="str">
        <f>HYPERLINK("http://www.fellowship.impacthub.net","www.fellowship.impacthub.net")</f>
        <v>www.fellowship.impacthub.net</v>
      </c>
    </row>
    <row r="1601" spans="1:2" x14ac:dyDescent="0.3">
      <c r="A1601" s="3" t="s">
        <v>1601</v>
      </c>
      <c r="B1601" s="5" t="str">
        <f>HYPERLINK("http://www.impacta.vc","www.impacta.vc")</f>
        <v>www.impacta.vc</v>
      </c>
    </row>
    <row r="1602" spans="1:2" x14ac:dyDescent="0.3">
      <c r="A1602" s="2" t="s">
        <v>1602</v>
      </c>
      <c r="B1602" s="4" t="str">
        <f>HYPERLINK("http://ingrammicro.com","ingrammicro.com")</f>
        <v>ingrammicro.com</v>
      </c>
    </row>
    <row r="1603" spans="1:2" x14ac:dyDescent="0.3">
      <c r="A1603" s="3" t="s">
        <v>1603</v>
      </c>
      <c r="B1603" s="5" t="str">
        <f>HYPERLINK("http://www.inspiredcapital.com","www.inspiredcapital.com")</f>
        <v>www.inspiredcapital.com</v>
      </c>
    </row>
    <row r="1604" spans="1:2" x14ac:dyDescent="0.3">
      <c r="A1604" s="2" t="s">
        <v>1604</v>
      </c>
      <c r="B1604" s="4" t="str">
        <f>HYPERLINK("http://www.iadb.org","www.iadb.org")</f>
        <v>www.iadb.org</v>
      </c>
    </row>
    <row r="1605" spans="1:2" x14ac:dyDescent="0.3">
      <c r="A1605" s="3" t="s">
        <v>1605</v>
      </c>
      <c r="B1605" s="5" t="str">
        <f>HYPERLINK("http://www.interplay.vc","www.interplay.vc")</f>
        <v>www.interplay.vc</v>
      </c>
    </row>
    <row r="1606" spans="1:2" x14ac:dyDescent="0.3">
      <c r="A1606" s="2" t="s">
        <v>1606</v>
      </c>
      <c r="B1606" s="4" t="str">
        <f>HYPERLINK("http://www.inveravante.com","www.inveravante.com")</f>
        <v>www.inveravante.com</v>
      </c>
    </row>
    <row r="1607" spans="1:2" x14ac:dyDescent="0.3">
      <c r="A1607" s="3" t="s">
        <v>1607</v>
      </c>
      <c r="B1607" s="5" t="str">
        <f>HYPERLINK("http://www.inverlink.com","www.inverlink.com")</f>
        <v>www.inverlink.com</v>
      </c>
    </row>
    <row r="1608" spans="1:2" x14ac:dyDescent="0.3">
      <c r="A1608" s="2" t="s">
        <v>1608</v>
      </c>
      <c r="B1608" s="4" t="str">
        <f>HYPERLINK("http://invictumcapital.com","invictumcapital.com")</f>
        <v>invictumcapital.com</v>
      </c>
    </row>
    <row r="1609" spans="1:2" x14ac:dyDescent="0.3">
      <c r="A1609" s="3" t="s">
        <v>1609</v>
      </c>
      <c r="B1609" s="5" t="str">
        <f>HYPERLINK("http://www.irelandiaaviation.ie","www.irelandiaaviation.ie")</f>
        <v>www.irelandiaaviation.ie</v>
      </c>
    </row>
    <row r="1610" spans="1:2" x14ac:dyDescent="0.3">
      <c r="A1610" s="2" t="s">
        <v>1610</v>
      </c>
      <c r="B1610" s="4" t="str">
        <f>HYPERLINK("http://www.isimarkets.com","www.isimarkets.com")</f>
        <v>www.isimarkets.com</v>
      </c>
    </row>
    <row r="1611" spans="1:2" x14ac:dyDescent="0.3">
      <c r="A1611" s="3" t="s">
        <v>1611</v>
      </c>
      <c r="B1611" s="5" t="str">
        <f>HYPERLINK("http://jventures.com","jventures.com")</f>
        <v>jventures.com</v>
      </c>
    </row>
    <row r="1612" spans="1:2" x14ac:dyDescent="0.3">
      <c r="A1612" s="2" t="s">
        <v>1612</v>
      </c>
      <c r="B1612" s="4" t="str">
        <f>HYPERLINK("http://www.laing.com","www.laing.com")</f>
        <v>www.laing.com</v>
      </c>
    </row>
    <row r="1613" spans="1:2" x14ac:dyDescent="0.3">
      <c r="A1613" s="3" t="s">
        <v>1613</v>
      </c>
      <c r="B1613" s="5" t="str">
        <f>HYPERLINK("http://www.keiretsuforum.com","www.keiretsuforum.com")</f>
        <v>www.keiretsuforum.com</v>
      </c>
    </row>
    <row r="1614" spans="1:2" x14ac:dyDescent="0.3">
      <c r="A1614" s="2" t="s">
        <v>1614</v>
      </c>
      <c r="B1614" s="4" t="str">
        <f>HYPERLINK("http://krealo.pe","krealo.pe")</f>
        <v>krealo.pe</v>
      </c>
    </row>
    <row r="1615" spans="1:2" x14ac:dyDescent="0.3">
      <c r="A1615" s="3" t="s">
        <v>1615</v>
      </c>
      <c r="B1615" s="5" t="str">
        <f>HYPERLINK("http://www.lightrock.com","www.lightrock.com")</f>
        <v>www.lightrock.com</v>
      </c>
    </row>
    <row r="1616" spans="1:2" x14ac:dyDescent="0.3">
      <c r="A1616" s="3" t="s">
        <v>1616</v>
      </c>
      <c r="B1616" s="5" t="str">
        <f>HYPERLINK("http://www.llyc.global","www.llyc.global")</f>
        <v>www.llyc.global</v>
      </c>
    </row>
    <row r="1617" spans="1:2" x14ac:dyDescent="0.3">
      <c r="A1617" s="2" t="s">
        <v>1617</v>
      </c>
      <c r="B1617" s="4" t="str">
        <f>HYPERLINK("http://www.localpack.com.co","www.localpack.com.co")</f>
        <v>www.localpack.com.co</v>
      </c>
    </row>
    <row r="1618" spans="1:2" x14ac:dyDescent="0.3">
      <c r="A1618" s="3" t="s">
        <v>1618</v>
      </c>
      <c r="B1618" s="5" t="str">
        <f>HYPERLINK("http://www.loftyinc.vc","www.loftyinc.vc")</f>
        <v>www.loftyinc.vc</v>
      </c>
    </row>
    <row r="1619" spans="1:2" x14ac:dyDescent="0.3">
      <c r="A1619" s="2" t="s">
        <v>1619</v>
      </c>
      <c r="B1619" s="4" t="str">
        <f>HYPERLINK("http://www.maya.capital","www.maya.capital")</f>
        <v>www.maya.capital</v>
      </c>
    </row>
    <row r="1620" spans="1:2" x14ac:dyDescent="0.3">
      <c r="A1620" s="2" t="s">
        <v>1620</v>
      </c>
      <c r="B1620" s="4" t="str">
        <f>HYPERLINK("http://www.mintic.gov.co","www.mintic.gov.co")</f>
        <v>www.mintic.gov.co</v>
      </c>
    </row>
    <row r="1621" spans="1:2" x14ac:dyDescent="0.3">
      <c r="A1621" s="3" t="s">
        <v>1621</v>
      </c>
      <c r="B1621" s="5" t="str">
        <f>HYPERLINK("http://www.newcolombiaresources.com","www.newcolombiaresources.com")</f>
        <v>www.newcolombiaresources.com</v>
      </c>
    </row>
    <row r="1622" spans="1:2" x14ac:dyDescent="0.3">
      <c r="A1622" s="2" t="s">
        <v>1622</v>
      </c>
      <c r="B1622" s="4" t="str">
        <f>HYPERLINK("http://www.nexans.com","www.nexans.com")</f>
        <v>www.nexans.com</v>
      </c>
    </row>
    <row r="1623" spans="1:2" x14ac:dyDescent="0.3">
      <c r="A1623" s="3" t="s">
        <v>1623</v>
      </c>
      <c r="B1623" s="5" t="str">
        <f>HYPERLINK("http://www.onecap.ca","www.onecap.ca")</f>
        <v>www.onecap.ca</v>
      </c>
    </row>
    <row r="1624" spans="1:2" x14ac:dyDescent="0.3">
      <c r="A1624" s="2" t="s">
        <v>1624</v>
      </c>
      <c r="B1624" s="4" t="str">
        <f>HYPERLINK("http://www.olimpica.com","www.olimpica.com")</f>
        <v>www.olimpica.com</v>
      </c>
    </row>
    <row r="1625" spans="1:2" x14ac:dyDescent="0.3">
      <c r="A1625" s="3" t="s">
        <v>1625</v>
      </c>
      <c r="B1625" s="5" t="str">
        <f>HYPERLINK("http://www.onevc.vc","www.onevc.vc")</f>
        <v>www.onevc.vc</v>
      </c>
    </row>
    <row r="1626" spans="1:2" x14ac:dyDescent="0.3">
      <c r="A1626" s="2" t="s">
        <v>1626</v>
      </c>
      <c r="B1626" s="4" t="str">
        <f>HYPERLINK("http://www.owlvc.com","www.owlvc.com")</f>
        <v>www.owlvc.com</v>
      </c>
    </row>
    <row r="1627" spans="1:2" x14ac:dyDescent="0.3">
      <c r="A1627" s="3" t="s">
        <v>1627</v>
      </c>
      <c r="B1627" s="5" t="str">
        <f>HYPERLINK("http://www.parauco.com","www.parauco.com")</f>
        <v>www.parauco.com</v>
      </c>
    </row>
    <row r="1628" spans="1:2" x14ac:dyDescent="0.3">
      <c r="A1628" s="2" t="s">
        <v>1628</v>
      </c>
      <c r="B1628" s="4" t="str">
        <f>HYPERLINK("http://www.portlandpe.com","www.portlandpe.com")</f>
        <v>www.portlandpe.com</v>
      </c>
    </row>
    <row r="1629" spans="1:2" x14ac:dyDescent="0.3">
      <c r="A1629" s="3" t="s">
        <v>1629</v>
      </c>
      <c r="B1629" s="5" t="str">
        <f>HYPERLINK("http://www.postobon.com","www.postobon.com")</f>
        <v>www.postobon.com</v>
      </c>
    </row>
    <row r="1630" spans="1:2" x14ac:dyDescent="0.3">
      <c r="A1630" s="2" t="s">
        <v>1630</v>
      </c>
      <c r="B1630" s="4" t="str">
        <f>HYPERLINK("http://www.progresion.com.co","www.progresion.com.co")</f>
        <v>www.progresion.com.co</v>
      </c>
    </row>
    <row r="1631" spans="1:2" x14ac:dyDescent="0.3">
      <c r="A1631" s="3" t="s">
        <v>1631</v>
      </c>
      <c r="B1631" s="5" t="str">
        <f>HYPERLINK("http://www.psm.org.ph","www.psm.org.ph")</f>
        <v>www.psm.org.ph</v>
      </c>
    </row>
    <row r="1632" spans="1:2" x14ac:dyDescent="0.3">
      <c r="A1632" s="2" t="s">
        <v>1632</v>
      </c>
      <c r="B1632" s="4" t="str">
        <f>HYPERLINK("http://www.raicap.com","www.raicap.com")</f>
        <v>www.raicap.com</v>
      </c>
    </row>
    <row r="1633" spans="1:2" x14ac:dyDescent="0.3">
      <c r="A1633" s="3" t="s">
        <v>1633</v>
      </c>
      <c r="B1633" s="5" t="str">
        <f>HYPERLINK("http://www.sanimax.com","www.sanimax.com")</f>
        <v>www.sanimax.com</v>
      </c>
    </row>
    <row r="1634" spans="1:2" x14ac:dyDescent="0.3">
      <c r="A1634" s="2" t="s">
        <v>1634</v>
      </c>
      <c r="B1634" s="4" t="str">
        <f>HYPERLINK("http://www.scotiabankcolpatria.com","www.scotiabankcolpatria.com")</f>
        <v>www.scotiabankcolpatria.com</v>
      </c>
    </row>
    <row r="1635" spans="1:2" x14ac:dyDescent="0.3">
      <c r="A1635" s="3" t="s">
        <v>1635</v>
      </c>
      <c r="B1635" s="5" t="str">
        <f>HYPERLINK("http://www.securitas.com","www.securitas.com")</f>
        <v>www.securitas.com</v>
      </c>
    </row>
    <row r="1636" spans="1:2" x14ac:dyDescent="0.3">
      <c r="A1636" s="2" t="s">
        <v>1636</v>
      </c>
      <c r="B1636" s="4" t="str">
        <f>HYPERLINK("http://www.group.softbank","www.group.softbank")</f>
        <v>www.group.softbank</v>
      </c>
    </row>
    <row r="1637" spans="1:2" x14ac:dyDescent="0.3">
      <c r="A1637" s="3" t="s">
        <v>1637</v>
      </c>
      <c r="B1637" s="5" t="str">
        <f>HYPERLINK("http://www.seseffective.com","www.seseffective.com")</f>
        <v>www.seseffective.com</v>
      </c>
    </row>
    <row r="1638" spans="1:2" x14ac:dyDescent="0.3">
      <c r="A1638" s="2" t="s">
        <v>1638</v>
      </c>
      <c r="B1638" s="4" t="str">
        <f>HYPERLINK("http://www.startuphealth.com","www.startuphealth.com")</f>
        <v>www.startuphealth.com</v>
      </c>
    </row>
    <row r="1639" spans="1:2" x14ac:dyDescent="0.3">
      <c r="A1639" s="3" t="s">
        <v>1639</v>
      </c>
      <c r="B1639" s="5" t="str">
        <f>HYPERLINK("http://www.streamlined.vc","www.streamlined.vc")</f>
        <v>www.streamlined.vc</v>
      </c>
    </row>
    <row r="1640" spans="1:2" x14ac:dyDescent="0.3">
      <c r="A1640" s="2" t="s">
        <v>1640</v>
      </c>
      <c r="B1640" s="4" t="str">
        <f>HYPERLINK("http://www.sunchemical.com","www.sunchemical.com")</f>
        <v>www.sunchemical.com</v>
      </c>
    </row>
    <row r="1641" spans="1:2" x14ac:dyDescent="0.3">
      <c r="A1641" s="3" t="s">
        <v>1641</v>
      </c>
      <c r="B1641" s="5" t="str">
        <f>HYPERLINK("http://technoart.org","technoart.org")</f>
        <v>technoart.org</v>
      </c>
    </row>
    <row r="1642" spans="1:2" x14ac:dyDescent="0.3">
      <c r="A1642" s="2" t="s">
        <v>1642</v>
      </c>
      <c r="B1642" s="4" t="str">
        <f>HYPERLINK("http://www.telefonica.com","www.telefonica.com")</f>
        <v>www.telefonica.com</v>
      </c>
    </row>
    <row r="1643" spans="1:2" x14ac:dyDescent="0.3">
      <c r="A1643" s="3" t="s">
        <v>1643</v>
      </c>
      <c r="B1643" s="5" t="str">
        <f>HYPERLINK("http://theboardperu.com","theboardperu.com")</f>
        <v>theboardperu.com</v>
      </c>
    </row>
    <row r="1644" spans="1:2" x14ac:dyDescent="0.3">
      <c r="A1644" s="2" t="s">
        <v>1644</v>
      </c>
      <c r="B1644" s="4" t="str">
        <f>HYPERLINK("http://www.theforestcompany.se","www.theforestcompany.se")</f>
        <v>www.theforestcompany.se</v>
      </c>
    </row>
    <row r="1645" spans="1:2" x14ac:dyDescent="0.3">
      <c r="A1645" s="2" t="s">
        <v>1645</v>
      </c>
      <c r="B1645" s="4" t="str">
        <f>HYPERLINK("http://www.tqconfiable.com","www.tqconfiable.com")</f>
        <v>www.tqconfiable.com</v>
      </c>
    </row>
    <row r="1646" spans="1:2" x14ac:dyDescent="0.3">
      <c r="A1646" s="3" t="s">
        <v>1646</v>
      </c>
      <c r="B1646" s="5" t="str">
        <f>HYPERLINK("http://www.triplepointcapital.com","www.triplepointcapital.com")</f>
        <v>www.triplepointcapital.com</v>
      </c>
    </row>
    <row r="1647" spans="1:2" x14ac:dyDescent="0.3">
      <c r="A1647" s="2" t="s">
        <v>1647</v>
      </c>
      <c r="B1647" s="4" t="str">
        <f>HYPERLINK("http://www.une.com.co","www.une.com.co")</f>
        <v>www.une.com.co</v>
      </c>
    </row>
    <row r="1648" spans="1:2" x14ac:dyDescent="0.3">
      <c r="A1648" s="3" t="s">
        <v>1648</v>
      </c>
      <c r="B1648" s="5" t="str">
        <f>HYPERLINK("http://www.uniban.com","www.uniban.com")</f>
        <v>www.uniban.com</v>
      </c>
    </row>
    <row r="1649" spans="1:2" x14ac:dyDescent="0.3">
      <c r="A1649" s="2" t="s">
        <v>1649</v>
      </c>
      <c r="B1649" s="4" t="str">
        <f>HYPERLINK("http://www.valuary.com","www.valuary.com")</f>
        <v>www.valuary.com</v>
      </c>
    </row>
    <row r="1650" spans="1:2" x14ac:dyDescent="0.3">
      <c r="A1650" s="3" t="s">
        <v>1650</v>
      </c>
      <c r="B1650" s="5" t="str">
        <f>HYPERLINK("http://www.victoriacp.com","www.victoriacp.com")</f>
        <v>www.victoriacp.com</v>
      </c>
    </row>
    <row r="1651" spans="1:2" x14ac:dyDescent="0.3">
      <c r="A1651" s="2" t="s">
        <v>1651</v>
      </c>
      <c r="B1651" s="4" t="str">
        <f>HYPERLINK("http://www.vidagas.co","www.vidagas.co")</f>
        <v>www.vidagas.co</v>
      </c>
    </row>
    <row r="1652" spans="1:2" x14ac:dyDescent="0.3">
      <c r="A1652" s="3" t="s">
        <v>1652</v>
      </c>
      <c r="B1652" s="5" t="str">
        <f>HYPERLINK("http://www.villageglobal.vc","www.villageglobal.vc")</f>
        <v>www.villageglobal.vc</v>
      </c>
    </row>
    <row r="1653" spans="1:2" x14ac:dyDescent="0.3">
      <c r="A1653" s="2" t="s">
        <v>1653</v>
      </c>
      <c r="B1653" s="4" t="str">
        <f>HYPERLINK("http://www.vineventures.com","www.vineventures.com")</f>
        <v>www.vineventures.com</v>
      </c>
    </row>
    <row r="1654" spans="1:2" x14ac:dyDescent="0.3">
      <c r="A1654" s="3" t="s">
        <v>1654</v>
      </c>
      <c r="B1654" s="5" t="str">
        <f>HYPERLINK("http://www.xochiventures.com","www.xochiventures.com")</f>
        <v>www.xochiventures.com</v>
      </c>
    </row>
    <row r="1655" spans="1:2" x14ac:dyDescent="0.3">
      <c r="A1655" s="2" t="s">
        <v>1655</v>
      </c>
      <c r="B1655" s="4" t="str">
        <f>HYPERLINK("http://www.accel-kkr.com","www.accel-kkr.com")</f>
        <v>www.accel-kkr.com</v>
      </c>
    </row>
    <row r="1656" spans="1:2" x14ac:dyDescent="0.3">
      <c r="A1656" s="3" t="s">
        <v>1656</v>
      </c>
      <c r="B1656" s="5" t="str">
        <f>HYPERLINK("http://www.angelhub.mx","www.angelhub.mx")</f>
        <v>www.angelhub.mx</v>
      </c>
    </row>
    <row r="1657" spans="1:2" x14ac:dyDescent="0.3">
      <c r="A1657" s="2" t="s">
        <v>1657</v>
      </c>
      <c r="B1657" s="4" t="str">
        <f>HYPERLINK("http://www.ab-inbev.com","www.ab-inbev.com")</f>
        <v>www.ab-inbev.com</v>
      </c>
    </row>
    <row r="1658" spans="1:2" x14ac:dyDescent="0.3">
      <c r="A1658" s="3" t="s">
        <v>1658</v>
      </c>
      <c r="B1658" s="5" t="str">
        <f>HYPERLINK("http://www.australispartners.com","www.australispartners.com")</f>
        <v>www.australispartners.com</v>
      </c>
    </row>
    <row r="1659" spans="1:2" x14ac:dyDescent="0.3">
      <c r="A1659" s="2" t="s">
        <v>1659</v>
      </c>
      <c r="B1659" s="4" t="str">
        <f>HYPERLINK("http://aws-startup-lofts.com","aws-startup-lofts.com")</f>
        <v>aws-startup-lofts.com</v>
      </c>
    </row>
    <row r="1660" spans="1:2" x14ac:dyDescent="0.3">
      <c r="A1660" s="3" t="s">
        <v>1660</v>
      </c>
      <c r="B1660" s="5" t="str">
        <f>HYPERLINK("http://www.biomax.co","www.biomax.co")</f>
        <v>www.biomax.co</v>
      </c>
    </row>
    <row r="1661" spans="1:2" x14ac:dyDescent="0.3">
      <c r="A1661" s="2" t="s">
        <v>1661</v>
      </c>
      <c r="B1661" s="4" t="str">
        <f>HYPERLINK("http://www.block.xyz","www.block.xyz")</f>
        <v>www.block.xyz</v>
      </c>
    </row>
    <row r="1662" spans="1:2" x14ac:dyDescent="0.3">
      <c r="A1662" s="3" t="s">
        <v>1662</v>
      </c>
      <c r="B1662" s="5" t="str">
        <f>HYPERLINK("http://www.btgpactual.com","www.btgpactual.com")</f>
        <v>www.btgpactual.com</v>
      </c>
    </row>
    <row r="1663" spans="1:2" x14ac:dyDescent="0.3">
      <c r="A1663" s="2" t="s">
        <v>1663</v>
      </c>
      <c r="B1663" s="4" t="str">
        <f>HYPERLINK("http://www.buenavistaequity.com","www.buenavistaequity.com")</f>
        <v>www.buenavistaequity.com</v>
      </c>
    </row>
    <row r="1664" spans="1:2" x14ac:dyDescent="0.3">
      <c r="A1664" s="3" t="s">
        <v>1664</v>
      </c>
      <c r="B1664" s="5" t="str">
        <f>HYPERLINK("http://www.cdpq.com","www.cdpq.com")</f>
        <v>www.cdpq.com</v>
      </c>
    </row>
    <row r="1665" spans="1:2" x14ac:dyDescent="0.3">
      <c r="A1665" s="2" t="s">
        <v>1665</v>
      </c>
      <c r="B1665" s="4" t="str">
        <f>HYPERLINK("http://www.caraov.com","www.caraov.com")</f>
        <v>www.caraov.com</v>
      </c>
    </row>
    <row r="1666" spans="1:2" x14ac:dyDescent="0.3">
      <c r="A1666" s="3" t="s">
        <v>1666</v>
      </c>
      <c r="B1666" s="5" t="str">
        <f>HYPERLINK("http://www.cemex.com","www.cemex.com")</f>
        <v>www.cemex.com</v>
      </c>
    </row>
    <row r="1667" spans="1:2" x14ac:dyDescent="0.3">
      <c r="A1667" s="2" t="s">
        <v>1667</v>
      </c>
      <c r="B1667" s="4" t="str">
        <f>HYPERLINK("http://www.codensa.com.co","www.codensa.com.co")</f>
        <v>www.codensa.com.co</v>
      </c>
    </row>
    <row r="1668" spans="1:2" x14ac:dyDescent="0.3">
      <c r="A1668" s="3" t="s">
        <v>1668</v>
      </c>
      <c r="B1668" s="5" t="str">
        <f>HYPERLINK("http://www.colaborativox.com","www.colaborativox.com")</f>
        <v>www.colaborativox.com</v>
      </c>
    </row>
    <row r="1669" spans="1:2" x14ac:dyDescent="0.3">
      <c r="A1669" s="2" t="s">
        <v>1669</v>
      </c>
      <c r="B1669" s="4" t="str">
        <f>HYPERLINK("http://www.colectivojaguara.com","www.colectivojaguara.com")</f>
        <v>www.colectivojaguara.com</v>
      </c>
    </row>
    <row r="1670" spans="1:2" x14ac:dyDescent="0.3">
      <c r="A1670" s="3" t="s">
        <v>1670</v>
      </c>
      <c r="B1670" s="5" t="str">
        <f>HYPERLINK("http://www.connyandco.com","www.connyandco.com")</f>
        <v>www.connyandco.com</v>
      </c>
    </row>
    <row r="1671" spans="1:2" x14ac:dyDescent="0.3">
      <c r="A1671" s="2" t="s">
        <v>1671</v>
      </c>
      <c r="B1671" s="4" t="str">
        <f>HYPERLINK("http://www.caf.com","www.caf.com")</f>
        <v>www.caf.com</v>
      </c>
    </row>
    <row r="1672" spans="1:2" x14ac:dyDescent="0.3">
      <c r="A1672" s="3" t="s">
        <v>1672</v>
      </c>
      <c r="B1672" s="5" t="str">
        <f>HYPERLINK("http://www.corfi.com","www.corfi.com")</f>
        <v>www.corfi.com</v>
      </c>
    </row>
    <row r="1673" spans="1:2" x14ac:dyDescent="0.3">
      <c r="A1673" s="2" t="s">
        <v>1673</v>
      </c>
      <c r="B1673" s="4" t="str">
        <f>HYPERLINK("http://www.denhamcapital.com","www.denhamcapital.com")</f>
        <v>www.denhamcapital.com</v>
      </c>
    </row>
    <row r="1674" spans="1:2" x14ac:dyDescent="0.3">
      <c r="A1674" s="3" t="s">
        <v>1674</v>
      </c>
      <c r="B1674" s="5" t="str">
        <f>HYPERLINK("http://www.etb.com","www.etb.com")</f>
        <v>www.etb.com</v>
      </c>
    </row>
    <row r="1675" spans="1:2" x14ac:dyDescent="0.3">
      <c r="A1675" s="2" t="s">
        <v>1675</v>
      </c>
      <c r="B1675" s="4" t="str">
        <f>HYPERLINK("http://www.eqtgroup.com","www.eqtgroup.com")</f>
        <v>www.eqtgroup.com</v>
      </c>
    </row>
    <row r="1676" spans="1:2" x14ac:dyDescent="0.3">
      <c r="A1676" s="3" t="s">
        <v>1676</v>
      </c>
      <c r="B1676" s="5" t="str">
        <f>HYPERLINK("http://www.floriventures.com","www.floriventures.com")</f>
        <v>www.floriventures.com</v>
      </c>
    </row>
    <row r="1677" spans="1:2" x14ac:dyDescent="0.3">
      <c r="A1677" s="2" t="s">
        <v>1677</v>
      </c>
      <c r="B1677" s="4" t="str">
        <f>HYPERLINK("http://www.gic.com.sg","www.gic.com.sg")</f>
        <v>www.gic.com.sg</v>
      </c>
    </row>
    <row r="1678" spans="1:2" x14ac:dyDescent="0.3">
      <c r="A1678" s="3" t="s">
        <v>1678</v>
      </c>
      <c r="B1678" s="5" t="str">
        <f>HYPERLINK("http://www.grancolombiagold.com.co","www.grancolombiagold.com.co")</f>
        <v>www.grancolombiagold.com.co</v>
      </c>
    </row>
    <row r="1679" spans="1:2" x14ac:dyDescent="0.3">
      <c r="A1679" s="2" t="s">
        <v>1679</v>
      </c>
      <c r="B1679" s="4" t="str">
        <f>HYPERLINK("http://grupo-imagine.com","grupo-imagine.com")</f>
        <v>grupo-imagine.com</v>
      </c>
    </row>
    <row r="1680" spans="1:2" x14ac:dyDescent="0.3">
      <c r="A1680" s="3" t="s">
        <v>1680</v>
      </c>
      <c r="B1680" s="5" t="str">
        <f>HYPERLINK("http://www.homebrew.co","www.homebrew.co")</f>
        <v>www.homebrew.co</v>
      </c>
    </row>
    <row r="1681" spans="1:2" x14ac:dyDescent="0.3">
      <c r="A1681" s="2" t="s">
        <v>1681</v>
      </c>
      <c r="B1681" s="4" t="str">
        <f>HYPERLINK("http://www.idbinvest.org","www.idbinvest.org")</f>
        <v>www.idbinvest.org</v>
      </c>
    </row>
    <row r="1682" spans="1:2" x14ac:dyDescent="0.3">
      <c r="A1682" s="3" t="s">
        <v>1682</v>
      </c>
      <c r="B1682" s="5" t="str">
        <f>HYPERLINK("http://www.ifminvestors.com","www.ifminvestors.com")</f>
        <v>www.ifminvestors.com</v>
      </c>
    </row>
    <row r="1683" spans="1:2" x14ac:dyDescent="0.3">
      <c r="A1683" s="3" t="s">
        <v>1683</v>
      </c>
      <c r="B1683" s="5" t="str">
        <f>HYPERLINK("http://www.imagineventures.tech","www.imagineventures.tech")</f>
        <v>www.imagineventures.tech</v>
      </c>
    </row>
    <row r="1684" spans="1:2" x14ac:dyDescent="0.3">
      <c r="A1684" s="2" t="s">
        <v>1684</v>
      </c>
      <c r="B1684" s="4" t="str">
        <f>HYPERLINK("http://www.imcdgroup.com","www.imcdgroup.com")</f>
        <v>www.imcdgroup.com</v>
      </c>
    </row>
    <row r="1685" spans="1:2" x14ac:dyDescent="0.3">
      <c r="A1685" s="3" t="s">
        <v>1685</v>
      </c>
      <c r="B1685" s="5" t="str">
        <f>HYPERLINK("http://www.impactassets.org","www.impactassets.org")</f>
        <v>www.impactassets.org</v>
      </c>
    </row>
    <row r="1686" spans="1:2" x14ac:dyDescent="0.3">
      <c r="A1686" s="3" t="s">
        <v>1686</v>
      </c>
      <c r="B1686" s="5" t="str">
        <f>HYPERLINK("http://www.kaleiventures.com","www.kaleiventures.com")</f>
        <v>www.kaleiventures.com</v>
      </c>
    </row>
    <row r="1687" spans="1:2" x14ac:dyDescent="0.3">
      <c r="A1687" s="2" t="s">
        <v>1687</v>
      </c>
      <c r="B1687" s="4" t="str">
        <f>HYPERLINK("http://www.kalonia.com","www.kalonia.com")</f>
        <v>www.kalonia.com</v>
      </c>
    </row>
    <row r="1688" spans="1:2" x14ac:dyDescent="0.3">
      <c r="A1688" s="3" t="s">
        <v>1688</v>
      </c>
      <c r="B1688" s="5" t="str">
        <f>HYPERLINK("http://www.kuipervc.com","www.kuipervc.com")</f>
        <v>www.kuipervc.com</v>
      </c>
    </row>
    <row r="1689" spans="1:2" x14ac:dyDescent="0.3">
      <c r="A1689" s="2" t="s">
        <v>1689</v>
      </c>
      <c r="B1689" s="4" t="str">
        <f>HYPERLINK("http://www.loyal.vc","www.loyal.vc")</f>
        <v>www.loyal.vc</v>
      </c>
    </row>
    <row r="1690" spans="1:2" x14ac:dyDescent="0.3">
      <c r="A1690" s="3" t="s">
        <v>1690</v>
      </c>
      <c r="B1690" s="5" t="str">
        <f>HYPERLINK("http://www.mirafunds.com","www.mirafunds.com")</f>
        <v>www.mirafunds.com</v>
      </c>
    </row>
    <row r="1691" spans="1:2" x14ac:dyDescent="0.3">
      <c r="A1691" s="2" t="s">
        <v>1691</v>
      </c>
      <c r="B1691" s="4" t="str">
        <f>HYPERLINK("http://www.magic.fund","www.magic.fund")</f>
        <v>www.magic.fund</v>
      </c>
    </row>
    <row r="1692" spans="1:2" x14ac:dyDescent="0.3">
      <c r="A1692" s="3" t="s">
        <v>1692</v>
      </c>
      <c r="B1692" s="5" t="str">
        <f>HYPERLINK("http://www.medcana.net","www.medcana.net")</f>
        <v>www.medcana.net</v>
      </c>
    </row>
    <row r="1693" spans="1:2" x14ac:dyDescent="0.3">
      <c r="A1693" s="2" t="s">
        <v>1693</v>
      </c>
      <c r="B1693" s="4" t="str">
        <f>HYPERLINK("http://www2.gerdau.com","www2.gerdau.com")</f>
        <v>www2.gerdau.com</v>
      </c>
    </row>
    <row r="1694" spans="1:2" x14ac:dyDescent="0.3">
      <c r="A1694" s="3" t="s">
        <v>1694</v>
      </c>
      <c r="B1694" s="5" t="str">
        <f>HYPERLINK("http://capital.mgminnovagroup.com","capital.mgminnovagroup.com")</f>
        <v>capital.mgminnovagroup.com</v>
      </c>
    </row>
    <row r="1695" spans="1:2" x14ac:dyDescent="0.3">
      <c r="A1695" s="2" t="s">
        <v>1695</v>
      </c>
      <c r="B1695" s="4" t="str">
        <f>HYPERLINK("http://www.morroventures.com","www.morroventures.com")</f>
        <v>www.morroventures.com</v>
      </c>
    </row>
    <row r="1696" spans="1:2" x14ac:dyDescent="0.3">
      <c r="A1696" s="3" t="s">
        <v>1696</v>
      </c>
      <c r="B1696" s="5" t="str">
        <f>HYPERLINK("http://www.nesst.org","www.nesst.org")</f>
        <v>www.nesst.org</v>
      </c>
    </row>
    <row r="1697" spans="1:2" x14ac:dyDescent="0.3">
      <c r="A1697" s="2" t="s">
        <v>1697</v>
      </c>
      <c r="B1697" s="4" t="str">
        <f>HYPERLINK("http://www.nexuscapital.com.co","www.nexuscapital.com.co")</f>
        <v>www.nexuscapital.com.co</v>
      </c>
    </row>
    <row r="1698" spans="1:2" x14ac:dyDescent="0.3">
      <c r="A1698" s="3" t="s">
        <v>1698</v>
      </c>
      <c r="B1698" s="5" t="str">
        <f>HYPERLINK("http://www.oikocredit.coop","www.oikocredit.coop")</f>
        <v>www.oikocredit.coop</v>
      </c>
    </row>
    <row r="1699" spans="1:2" x14ac:dyDescent="0.3">
      <c r="A1699" s="2" t="s">
        <v>1699</v>
      </c>
      <c r="B1699" s="4" t="str">
        <f>HYPERLINK("http://www.omidyar.com","www.omidyar.com")</f>
        <v>www.omidyar.com</v>
      </c>
    </row>
    <row r="1700" spans="1:2" x14ac:dyDescent="0.3">
      <c r="A1700" s="3" t="s">
        <v>1700</v>
      </c>
      <c r="B1700" s="5" t="str">
        <f>HYPERLINK("http://www.parexresources.com","www.parexresources.com")</f>
        <v>www.parexresources.com</v>
      </c>
    </row>
    <row r="1701" spans="1:2" x14ac:dyDescent="0.3">
      <c r="A1701" s="3" t="s">
        <v>1701</v>
      </c>
      <c r="B1701" s="5" t="str">
        <f>HYPERLINK("http://www.plugandplaytechcenter.com","www.plugandplaytechcenter.com")</f>
        <v>www.plugandplaytechcenter.com</v>
      </c>
    </row>
    <row r="1702" spans="1:2" x14ac:dyDescent="0.3">
      <c r="A1702" s="2" t="s">
        <v>1702</v>
      </c>
      <c r="B1702" s="4" t="str">
        <f>HYPERLINK("http://www.pygma.co","www.pygma.co")</f>
        <v>www.pygma.co</v>
      </c>
    </row>
    <row r="1703" spans="1:2" x14ac:dyDescent="0.3">
      <c r="A1703" s="3" t="s">
        <v>1703</v>
      </c>
      <c r="B1703" s="5" t="str">
        <f>HYPERLINK("http://www.qapu.ventures","www.qapu.ventures")</f>
        <v>www.qapu.ventures</v>
      </c>
    </row>
    <row r="1704" spans="1:2" x14ac:dyDescent="0.3">
      <c r="A1704" s="2" t="s">
        <v>1704</v>
      </c>
      <c r="B1704" s="4" t="str">
        <f>HYPERLINK("http://www.quimbayagold.com","www.quimbayagold.com")</f>
        <v>www.quimbayagold.com</v>
      </c>
    </row>
    <row r="1705" spans="1:2" x14ac:dyDescent="0.3">
      <c r="A1705" s="3" t="s">
        <v>1705</v>
      </c>
      <c r="B1705" s="5" t="str">
        <f>HYPERLINK("http://www.realmcapitalventures.com","www.realmcapitalventures.com")</f>
        <v>www.realmcapitalventures.com</v>
      </c>
    </row>
    <row r="1706" spans="1:2" x14ac:dyDescent="0.3">
      <c r="A1706" s="2" t="s">
        <v>1706</v>
      </c>
      <c r="B1706" s="4" t="str">
        <f>HYPERLINK("http://www.redwood.ventures","www.redwood.ventures")</f>
        <v>www.redwood.ventures</v>
      </c>
    </row>
    <row r="1707" spans="1:2" x14ac:dyDescent="0.3">
      <c r="A1707" s="3" t="s">
        <v>1707</v>
      </c>
      <c r="B1707" s="5" t="str">
        <f>HYPERLINK("http://www.royalroadminerals.com","www.royalroadminerals.com")</f>
        <v>www.royalroadminerals.com</v>
      </c>
    </row>
    <row r="1708" spans="1:2" x14ac:dyDescent="0.3">
      <c r="A1708" s="2" t="s">
        <v>1708</v>
      </c>
      <c r="B1708" s="4" t="str">
        <f>HYPERLINK("http://www.rugbyresourcesltd.com","www.rugbyresourcesltd.com")</f>
        <v>www.rugbyresourcesltd.com</v>
      </c>
    </row>
    <row r="1709" spans="1:2" x14ac:dyDescent="0.3">
      <c r="A1709" s="3" t="s">
        <v>1709</v>
      </c>
      <c r="B1709" s="5" t="str">
        <f>HYPERLINK("http://www.seed.uno","www.seed.uno")</f>
        <v>www.seed.uno</v>
      </c>
    </row>
    <row r="1710" spans="1:2" x14ac:dyDescent="0.3">
      <c r="A1710" s="2" t="s">
        <v>1710</v>
      </c>
      <c r="B1710" s="4" t="str">
        <f>HYPERLINK("http://www.sgs.com","www.sgs.com")</f>
        <v>www.sgs.com</v>
      </c>
    </row>
    <row r="1711" spans="1:2" x14ac:dyDescent="0.3">
      <c r="A1711" s="3" t="s">
        <v>1711</v>
      </c>
      <c r="B1711" s="5" t="str">
        <f>HYPERLINK("http://www.smurfitkappa.com","www.smurfitkappa.com")</f>
        <v>www.smurfitkappa.com</v>
      </c>
    </row>
    <row r="1712" spans="1:2" x14ac:dyDescent="0.3">
      <c r="A1712" s="2" t="s">
        <v>1712</v>
      </c>
      <c r="B1712" s="4" t="str">
        <f>HYPERLINK("http://www.sosv.com","www.sosv.com")</f>
        <v>www.sosv.com</v>
      </c>
    </row>
    <row r="1713" spans="1:2" x14ac:dyDescent="0.3">
      <c r="A1713" s="3" t="s">
        <v>1713</v>
      </c>
      <c r="B1713" s="5" t="str">
        <f>HYPERLINK("http://www.tantauco.vc","www.tantauco.vc")</f>
        <v>www.tantauco.vc</v>
      </c>
    </row>
    <row r="1714" spans="1:2" x14ac:dyDescent="0.3">
      <c r="A1714" s="2" t="s">
        <v>1714</v>
      </c>
      <c r="B1714" s="4" t="str">
        <f>HYPERLINK("http://www.terraflos.com","www.terraflos.com")</f>
        <v>www.terraflos.com</v>
      </c>
    </row>
    <row r="1715" spans="1:2" x14ac:dyDescent="0.3">
      <c r="A1715" s="3" t="s">
        <v>1715</v>
      </c>
      <c r="B1715" s="5" t="str">
        <f>HYPERLINK("http://www.valorem.com.co","www.valorem.com.co")</f>
        <v>www.valorem.com.co</v>
      </c>
    </row>
    <row r="1716" spans="1:2" x14ac:dyDescent="0.3">
      <c r="A1716" s="2" t="s">
        <v>1716</v>
      </c>
      <c r="B1716" s="4" t="str">
        <f>HYPERLINK("http://www.winnipegcapital.com","www.winnipegcapital.com")</f>
        <v>www.winnipegcapital.com</v>
      </c>
    </row>
    <row r="1717" spans="1:2" x14ac:dyDescent="0.3">
      <c r="A1717" s="3" t="s">
        <v>1717</v>
      </c>
      <c r="B1717" s="5" t="str">
        <f>HYPERLINK("http://winnipegventures.com","winnipegventures.com")</f>
        <v>winnipegventures.com</v>
      </c>
    </row>
    <row r="1718" spans="1:2" x14ac:dyDescent="0.3">
      <c r="A1718" s="2" t="s">
        <v>1718</v>
      </c>
      <c r="B1718" s="4" t="str">
        <f>HYPERLINK("http://www.wsp.com","www.wsp.com")</f>
        <v>www.wsp.com</v>
      </c>
    </row>
    <row r="1719" spans="1:2" x14ac:dyDescent="0.3">
      <c r="A1719" s="3" t="s">
        <v>1719</v>
      </c>
      <c r="B1719" s="5" t="str">
        <f>HYPERLINK("http://www.0bs.mx","www.0bs.mx")</f>
        <v>www.0bs.mx</v>
      </c>
    </row>
    <row r="1720" spans="1:2" x14ac:dyDescent="0.3">
      <c r="A1720" s="2" t="s">
        <v>1720</v>
      </c>
      <c r="B1720" s="4" t="str">
        <f>HYPERLINK("http://100accelerator.com","100accelerator.com")</f>
        <v>100accelerator.com</v>
      </c>
    </row>
    <row r="1721" spans="1:2" x14ac:dyDescent="0.3">
      <c r="A1721" s="3" t="s">
        <v>1721</v>
      </c>
      <c r="B1721" s="5" t="str">
        <f>HYPERLINK("http://www.acrewcapital.com","www.acrewcapital.com")</f>
        <v>www.acrewcapital.com</v>
      </c>
    </row>
    <row r="1722" spans="1:2" x14ac:dyDescent="0.3">
      <c r="A1722" s="2" t="s">
        <v>1722</v>
      </c>
      <c r="B1722" s="4" t="str">
        <f>HYPERLINK("http://www.activaalternativeassets.com","www.activaalternativeassets.com")</f>
        <v>www.activaalternativeassets.com</v>
      </c>
    </row>
    <row r="1723" spans="1:2" x14ac:dyDescent="0.3">
      <c r="A1723" s="3" t="s">
        <v>1723</v>
      </c>
      <c r="B1723" s="5" t="str">
        <f>HYPERLINK("http://www.asiri.com.co","www.asiri.com.co")</f>
        <v>www.asiri.com.co</v>
      </c>
    </row>
    <row r="1724" spans="1:2" x14ac:dyDescent="0.3">
      <c r="A1724" s="2" t="s">
        <v>1724</v>
      </c>
      <c r="B1724" s="4" t="str">
        <f>HYPERLINK("http://www.bossainvest.com","www.bossainvest.com")</f>
        <v>www.bossainvest.com</v>
      </c>
    </row>
    <row r="1725" spans="1:2" x14ac:dyDescent="0.3">
      <c r="A1725" s="3" t="s">
        <v>1725</v>
      </c>
      <c r="B1725" s="5" t="str">
        <f>HYPERLINK("http://www.cacao-capital.com","www.cacao-capital.com")</f>
        <v>www.cacao-capital.com</v>
      </c>
    </row>
    <row r="1726" spans="1:2" x14ac:dyDescent="0.3">
      <c r="A1726" s="2" t="s">
        <v>1726</v>
      </c>
      <c r="B1726" s="4" t="str">
        <f>HYPERLINK("http://www.colombiafoodtech.com","www.colombiafoodtech.com")</f>
        <v>www.colombiafoodtech.com</v>
      </c>
    </row>
    <row r="1727" spans="1:2" x14ac:dyDescent="0.3">
      <c r="A1727" s="3" t="s">
        <v>1727</v>
      </c>
      <c r="B1727" s="5" t="str">
        <f>HYPERLINK("http://www.conduitcap.com","www.conduitcap.com")</f>
        <v>www.conduitcap.com</v>
      </c>
    </row>
    <row r="1728" spans="1:2" x14ac:dyDescent="0.3">
      <c r="A1728" s="2" t="s">
        <v>1728</v>
      </c>
      <c r="B1728" s="4" t="str">
        <f>HYPERLINK("http://www.cordobaminerals.com","www.cordobaminerals.com")</f>
        <v>www.cordobaminerals.com</v>
      </c>
    </row>
    <row r="1729" spans="1:2" x14ac:dyDescent="0.3">
      <c r="A1729" s="3" t="s">
        <v>1729</v>
      </c>
      <c r="B1729" s="5" t="str">
        <f>HYPERLINK("http://www.eatableadventures.com","www.eatableadventures.com")</f>
        <v>www.eatableadventures.com</v>
      </c>
    </row>
    <row r="1730" spans="1:2" x14ac:dyDescent="0.3">
      <c r="A1730" s="2" t="s">
        <v>1730</v>
      </c>
      <c r="B1730" s="4" t="str">
        <f>HYPERLINK("http://www.enfoca.com","www.enfoca.com")</f>
        <v>www.enfoca.com</v>
      </c>
    </row>
    <row r="1731" spans="1:2" x14ac:dyDescent="0.3">
      <c r="A1731" s="2" t="s">
        <v>1731</v>
      </c>
      <c r="B1731" s="4" t="str">
        <f>HYPERLINK("http://www.foundationcapital.com","www.foundationcapital.com")</f>
        <v>www.foundationcapital.com</v>
      </c>
    </row>
    <row r="1732" spans="1:2" x14ac:dyDescent="0.3">
      <c r="A1732" s="3" t="s">
        <v>1732</v>
      </c>
      <c r="B1732" s="5" t="str">
        <f>HYPERLINK("http://www.ge32.com","www.ge32.com")</f>
        <v>www.ge32.com</v>
      </c>
    </row>
    <row r="1733" spans="1:2" x14ac:dyDescent="0.3">
      <c r="A1733" s="2" t="s">
        <v>1733</v>
      </c>
      <c r="B1733" s="4" t="str">
        <f>HYPERLINK("http://www.grupoargos.com","www.grupoargos.com")</f>
        <v>www.grupoargos.com</v>
      </c>
    </row>
    <row r="1734" spans="1:2" x14ac:dyDescent="0.3">
      <c r="A1734" s="3" t="s">
        <v>1734</v>
      </c>
      <c r="B1734" s="5" t="str">
        <f>HYPERLINK("http://gruponutresa.com","gruponutresa.com")</f>
        <v>gruponutresa.com</v>
      </c>
    </row>
    <row r="1735" spans="1:2" x14ac:dyDescent="0.3">
      <c r="A1735" s="3" t="s">
        <v>1735</v>
      </c>
      <c r="B1735" s="5" t="str">
        <f>HYPERLINK("http://www.isquaredcapital.com","www.isquaredcapital.com")</f>
        <v>www.isquaredcapital.com</v>
      </c>
    </row>
    <row r="1736" spans="1:2" x14ac:dyDescent="0.3">
      <c r="A1736" s="2" t="s">
        <v>1736</v>
      </c>
      <c r="B1736" s="4" t="str">
        <f>HYPERLINK("http://www.iluminar.ventures","www.iluminar.ventures")</f>
        <v>www.iluminar.ventures</v>
      </c>
    </row>
    <row r="1737" spans="1:2" x14ac:dyDescent="0.3">
      <c r="A1737" s="3" t="s">
        <v>1737</v>
      </c>
      <c r="B1737" s="5" t="str">
        <f>HYPERLINK("http://www.incofin.com","www.incofin.com")</f>
        <v>www.incofin.com</v>
      </c>
    </row>
    <row r="1738" spans="1:2" x14ac:dyDescent="0.3">
      <c r="A1738" s="2" t="s">
        <v>1738</v>
      </c>
      <c r="B1738" s="4" t="str">
        <f>HYPERLINK("http://www.innovacapitalpartners.com","www.innovacapitalpartners.com")</f>
        <v>www.innovacapitalpartners.com</v>
      </c>
    </row>
    <row r="1739" spans="1:2" x14ac:dyDescent="0.3">
      <c r="A1739" s="3" t="s">
        <v>1739</v>
      </c>
      <c r="B1739" s="5" t="str">
        <f>HYPERLINK("http://www.kkr.com","www.kkr.com")</f>
        <v>www.kkr.com</v>
      </c>
    </row>
    <row r="1740" spans="1:2" x14ac:dyDescent="0.3">
      <c r="A1740" s="2" t="s">
        <v>1740</v>
      </c>
      <c r="B1740" s="4" t="str">
        <f>HYPERLINK("http://www.koyamaki.io","www.koyamaki.io")</f>
        <v>www.koyamaki.io</v>
      </c>
    </row>
    <row r="1741" spans="1:2" x14ac:dyDescent="0.3">
      <c r="A1741" s="3" t="s">
        <v>1741</v>
      </c>
      <c r="B1741" s="5" t="str">
        <f>HYPERLINK("http://www.lavoroagro.com","www.lavoroagro.com")</f>
        <v>www.lavoroagro.com</v>
      </c>
    </row>
    <row r="1742" spans="1:2" x14ac:dyDescent="0.3">
      <c r="A1742" s="2" t="s">
        <v>1742</v>
      </c>
      <c r="B1742" s="4" t="str">
        <f>HYPERLINK("http://www.linzorcapital.com","www.linzorcapital.com")</f>
        <v>www.linzorcapital.com</v>
      </c>
    </row>
    <row r="1743" spans="1:2" x14ac:dyDescent="0.3">
      <c r="A1743" s="3" t="s">
        <v>1743</v>
      </c>
      <c r="B1743" s="5" t="str">
        <f>HYPERLINK("http://www.mercycorps.org","www.mercycorps.org")</f>
        <v>www.mercycorps.org</v>
      </c>
    </row>
    <row r="1744" spans="1:2" x14ac:dyDescent="0.3">
      <c r="A1744" s="2" t="s">
        <v>1744</v>
      </c>
      <c r="B1744" s="4" t="str">
        <f>HYPERLINK("http://www.mrpink.vc","www.mrpink.vc")</f>
        <v>www.mrpink.vc</v>
      </c>
    </row>
    <row r="1745" spans="1:2" x14ac:dyDescent="0.3">
      <c r="A1745" s="3" t="s">
        <v>1745</v>
      </c>
      <c r="B1745" s="5" t="str">
        <f>HYPERLINK("http://nvcapital.vc","nvcapital.vc")</f>
        <v>nvcapital.vc</v>
      </c>
    </row>
    <row r="1746" spans="1:2" x14ac:dyDescent="0.3">
      <c r="A1746" s="2" t="s">
        <v>1746</v>
      </c>
      <c r="B1746" s="4" t="str">
        <f>HYPERLINK("http://www.nido.ventures","www.nido.ventures")</f>
        <v>www.nido.ventures</v>
      </c>
    </row>
    <row r="1747" spans="1:2" x14ac:dyDescent="0.3">
      <c r="A1747" s="3" t="s">
        <v>1747</v>
      </c>
      <c r="B1747" s="5" t="str">
        <f>HYPERLINK("http://www.norte.ventures","www.norte.ventures")</f>
        <v>www.norte.ventures</v>
      </c>
    </row>
    <row r="1748" spans="1:2" x14ac:dyDescent="0.3">
      <c r="A1748" s="2" t="s">
        <v>1748</v>
      </c>
      <c r="B1748" s="4" t="str">
        <f>HYPERLINK("http://www.odinsa.com","www.odinsa.com")</f>
        <v>www.odinsa.com</v>
      </c>
    </row>
    <row r="1749" spans="1:2" x14ac:dyDescent="0.3">
      <c r="A1749" s="3" t="s">
        <v>1749</v>
      </c>
      <c r="B1749" s="5" t="str">
        <f>HYPERLINK("http://www.prosegur.es","www.prosegur.es")</f>
        <v>www.prosegur.es</v>
      </c>
    </row>
    <row r="1750" spans="1:2" x14ac:dyDescent="0.3">
      <c r="A1750" s="2" t="s">
        <v>1750</v>
      </c>
      <c r="B1750" s="4" t="str">
        <f>HYPERLINK("http://www.quakecapital.com","www.quakecapital.com")</f>
        <v>www.quakecapital.com</v>
      </c>
    </row>
    <row r="1751" spans="1:2" x14ac:dyDescent="0.3">
      <c r="A1751" s="3" t="s">
        <v>1751</v>
      </c>
      <c r="B1751" s="5" t="str">
        <f>HYPERLINK("http://www.quona.com","www.quona.com")</f>
        <v>www.quona.com</v>
      </c>
    </row>
    <row r="1752" spans="1:2" x14ac:dyDescent="0.3">
      <c r="A1752" s="2" t="s">
        <v>1752</v>
      </c>
      <c r="B1752" s="4" t="str">
        <f>HYPERLINK("http://www.redwoodkapital.com","www.redwoodkapital.com")</f>
        <v>www.redwoodkapital.com</v>
      </c>
    </row>
    <row r="1753" spans="1:2" x14ac:dyDescent="0.3">
      <c r="A1753" s="3" t="s">
        <v>1753</v>
      </c>
      <c r="B1753" s="5" t="str">
        <f>HYPERLINK("http://startpath.mastercard.com/spglobal/home.html","startpath.mastercard.com/spglobal/home.html")</f>
        <v>startpath.mastercard.com/spglobal/home.html</v>
      </c>
    </row>
    <row r="1754" spans="1:2" x14ac:dyDescent="0.3">
      <c r="A1754" s="2" t="s">
        <v>1754</v>
      </c>
      <c r="B1754" s="4" t="str">
        <f>HYPERLINK("http://www.tecnoglass.com","www.tecnoglass.com")</f>
        <v>www.tecnoglass.com</v>
      </c>
    </row>
    <row r="1755" spans="1:2" x14ac:dyDescent="0.3">
      <c r="A1755" s="3" t="s">
        <v>1755</v>
      </c>
      <c r="B1755" s="5" t="str">
        <f>HYPERLINK("http://www.abraaj.com","www.abraaj.com")</f>
        <v>www.abraaj.com</v>
      </c>
    </row>
    <row r="1756" spans="1:2" x14ac:dyDescent="0.3">
      <c r="A1756" s="2" t="s">
        <v>1756</v>
      </c>
      <c r="B1756" s="4" t="str">
        <f>HYPERLINK("http://www.goldmansachs.com","www.goldmansachs.com")</f>
        <v>www.goldmansachs.com</v>
      </c>
    </row>
    <row r="1757" spans="1:2" x14ac:dyDescent="0.3">
      <c r="A1757" s="3" t="s">
        <v>1757</v>
      </c>
      <c r="B1757" s="5" t="str">
        <f>HYPERLINK("http://www.unpopular.vc","www.unpopular.vc")</f>
        <v>www.unpopular.vc</v>
      </c>
    </row>
    <row r="1758" spans="1:2" x14ac:dyDescent="0.3">
      <c r="A1758" s="2" t="s">
        <v>1758</v>
      </c>
      <c r="B1758" s="4" t="str">
        <f>HYPERLINK("http://www.vuventurepartners.com","www.vuventurepartners.com")</f>
        <v>www.vuventurepartners.com</v>
      </c>
    </row>
    <row r="1759" spans="1:2" x14ac:dyDescent="0.3">
      <c r="A1759" s="3" t="s">
        <v>1759</v>
      </c>
      <c r="B1759" s="5" t="str">
        <f>HYPERLINK("http://www.torrenegralabs.com","www.torrenegralabs.com")</f>
        <v>www.torrenegralabs.com</v>
      </c>
    </row>
    <row r="1760" spans="1:2" x14ac:dyDescent="0.3">
      <c r="A1760" s="2" t="s">
        <v>1760</v>
      </c>
      <c r="B1760" s="4" t="str">
        <f>HYPERLINK("http://www.10xcapital.com","www.10xcapital.com")</f>
        <v>www.10xcapital.com</v>
      </c>
    </row>
    <row r="1761" spans="1:2" x14ac:dyDescent="0.3">
      <c r="A1761" s="3" t="s">
        <v>1761</v>
      </c>
      <c r="B1761" s="5" t="str">
        <f>HYPERLINK("http://b2founders.com/b2-founders","b2founders.com/b2-founders")</f>
        <v>b2founders.com/b2-founders</v>
      </c>
    </row>
    <row r="1762" spans="1:2" x14ac:dyDescent="0.3">
      <c r="A1762" s="2" t="s">
        <v>1762</v>
      </c>
      <c r="B1762" s="4" t="str">
        <f>HYPERLINK("http://www.davivienda.com","www.davivienda.com")</f>
        <v>www.davivienda.com</v>
      </c>
    </row>
    <row r="1763" spans="1:2" x14ac:dyDescent="0.3">
      <c r="A1763" s="2" t="s">
        <v>1763</v>
      </c>
      <c r="B1763" s="4" t="str">
        <f>HYPERLINK("http://www.bridgelat.com","www.bridgelat.com")</f>
        <v>www.bridgelat.com</v>
      </c>
    </row>
    <row r="1764" spans="1:2" x14ac:dyDescent="0.3">
      <c r="A1764" s="3" t="s">
        <v>1764</v>
      </c>
      <c r="B1764" s="5" t="str">
        <f>HYPERLINK("http://www.canacolenergy.com","www.canacolenergy.com")</f>
        <v>www.canacolenergy.com</v>
      </c>
    </row>
    <row r="1765" spans="1:2" x14ac:dyDescent="0.3">
      <c r="A1765" s="2" t="s">
        <v>1765</v>
      </c>
      <c r="B1765" s="4" t="str">
        <f>HYPERLINK("http://www.comfama.com","www.comfama.com")</f>
        <v>www.comfama.com</v>
      </c>
    </row>
    <row r="1766" spans="1:2" x14ac:dyDescent="0.3">
      <c r="A1766" s="3" t="s">
        <v>1766</v>
      </c>
      <c r="B1766" s="5" t="str">
        <f>HYPERLINK("http://www.inversor.org.co","www.inversor.org.co")</f>
        <v>www.inversor.org.co</v>
      </c>
    </row>
    <row r="1767" spans="1:2" x14ac:dyDescent="0.3">
      <c r="A1767" s="3" t="s">
        <v>1767</v>
      </c>
      <c r="B1767" s="5" t="str">
        <f>HYPERLINK("http://www.darbyoverseas.com","www.darbyoverseas.com")</f>
        <v>www.darbyoverseas.com</v>
      </c>
    </row>
    <row r="1768" spans="1:2" x14ac:dyDescent="0.3">
      <c r="A1768" s="2" t="s">
        <v>1768</v>
      </c>
      <c r="B1768" s="4" t="str">
        <f>HYPERLINK("http://www.fr.elis.com","www.fr.elis.com")</f>
        <v>www.fr.elis.com</v>
      </c>
    </row>
    <row r="1769" spans="1:2" x14ac:dyDescent="0.3">
      <c r="A1769" s="3" t="s">
        <v>1769</v>
      </c>
      <c r="B1769" s="5" t="str">
        <f>HYPERLINK("http://www.firstcheckventures.com","www.firstcheckventures.com")</f>
        <v>www.firstcheckventures.com</v>
      </c>
    </row>
    <row r="1770" spans="1:2" x14ac:dyDescent="0.3">
      <c r="A1770" s="2" t="s">
        <v>1770</v>
      </c>
      <c r="B1770" s="4" t="str">
        <f>HYPERLINK("http://www.floragrowth.com","www.floragrowth.com")</f>
        <v>www.floragrowth.com</v>
      </c>
    </row>
    <row r="1771" spans="1:2" x14ac:dyDescent="0.3">
      <c r="A1771" s="3" t="s">
        <v>1771</v>
      </c>
      <c r="B1771" s="5" t="str">
        <f>HYPERLINK("http://innogencapital.com","innogencapital.com")</f>
        <v>innogencapital.com</v>
      </c>
    </row>
    <row r="1772" spans="1:2" x14ac:dyDescent="0.3">
      <c r="A1772" s="2" t="s">
        <v>1772</v>
      </c>
      <c r="B1772" s="4" t="str">
        <f>HYPERLINK("http://www.kayyakventures.com","www.kayyakventures.com")</f>
        <v>www.kayyakventures.com</v>
      </c>
    </row>
    <row r="1773" spans="1:2" x14ac:dyDescent="0.3">
      <c r="A1773" s="3" t="s">
        <v>1773</v>
      </c>
      <c r="B1773" s="5" t="str">
        <f>HYPERLINK("http://www.kubevc.com","www.kubevc.com")</f>
        <v>www.kubevc.com</v>
      </c>
    </row>
    <row r="1774" spans="1:2" x14ac:dyDescent="0.3">
      <c r="A1774" s="2" t="s">
        <v>1774</v>
      </c>
      <c r="B1774" s="4" t="str">
        <f>HYPERLINK("http://www.monserrateventures.com","www.monserrateventures.com")</f>
        <v>www.monserrateventures.com</v>
      </c>
    </row>
    <row r="1775" spans="1:2" x14ac:dyDescent="0.3">
      <c r="A1775" s="3" t="s">
        <v>1775</v>
      </c>
      <c r="B1775" s="5" t="str">
        <f>HYPERLINK("http://orbitstartups.com","orbitstartups.com")</f>
        <v>orbitstartups.com</v>
      </c>
    </row>
    <row r="1776" spans="1:2" x14ac:dyDescent="0.3">
      <c r="A1776" s="2" t="s">
        <v>1776</v>
      </c>
      <c r="B1776" s="4" t="str">
        <f>HYPERLINK("http://www.pear.vc","www.pear.vc")</f>
        <v>www.pear.vc</v>
      </c>
    </row>
    <row r="1777" spans="1:2" x14ac:dyDescent="0.3">
      <c r="A1777" s="3" t="s">
        <v>1777</v>
      </c>
      <c r="B1777" s="5" t="str">
        <f>HYPERLINK("http://www.smartgvi.com","www.smartgvi.com")</f>
        <v>www.smartgvi.com</v>
      </c>
    </row>
    <row r="1778" spans="1:2" x14ac:dyDescent="0.3">
      <c r="A1778" s="2" t="s">
        <v>1778</v>
      </c>
      <c r="B1778" s="4" t="str">
        <f>HYPERLINK("http://www.socialab.com","www.socialab.com")</f>
        <v>www.socialab.com</v>
      </c>
    </row>
    <row r="1779" spans="1:2" x14ac:dyDescent="0.3">
      <c r="A1779" s="3" t="s">
        <v>1779</v>
      </c>
      <c r="B1779" s="5" t="str">
        <f>HYPERLINK("http://www.southerncrossgroup.com","www.southerncrossgroup.com")</f>
        <v>www.southerncrossgroup.com</v>
      </c>
    </row>
    <row r="1780" spans="1:2" x14ac:dyDescent="0.3">
      <c r="A1780" s="2" t="s">
        <v>1780</v>
      </c>
      <c r="B1780" s="4" t="str">
        <f>HYPERLINK("http://www.adventinternational.com","www.adventinternational.com")</f>
        <v>www.adventinternational.com</v>
      </c>
    </row>
    <row r="1781" spans="1:2" x14ac:dyDescent="0.3">
      <c r="A1781" s="3" t="s">
        <v>1781</v>
      </c>
      <c r="B1781" s="5" t="str">
        <f>HYPERLINK("http://www.amerisurresources.com","www.amerisurresources.com")</f>
        <v>www.amerisurresources.com</v>
      </c>
    </row>
    <row r="1782" spans="1:2" x14ac:dyDescent="0.3">
      <c r="A1782" s="2" t="s">
        <v>1782</v>
      </c>
      <c r="B1782" s="4" t="str">
        <f>HYPERLINK("http://www.bventure.capital","www.bventure.capital")</f>
        <v>www.bventure.capital</v>
      </c>
    </row>
    <row r="1783" spans="1:2" x14ac:dyDescent="0.3">
      <c r="A1783" s="3" t="s">
        <v>1783</v>
      </c>
      <c r="B1783" s="5" t="str">
        <f>HYPERLINK("http://www.broom.ventures","www.broom.ventures")</f>
        <v>www.broom.ventures</v>
      </c>
    </row>
    <row r="1784" spans="1:2" x14ac:dyDescent="0.3">
      <c r="A1784" s="2" t="s">
        <v>1784</v>
      </c>
      <c r="B1784" s="4" t="str">
        <f>HYPERLINK("http://www.celsia.com","www.celsia.com")</f>
        <v>www.celsia.com</v>
      </c>
    </row>
    <row r="1785" spans="1:2" x14ac:dyDescent="0.3">
      <c r="A1785" s="3" t="s">
        <v>1785</v>
      </c>
      <c r="B1785" s="5" t="str">
        <f>HYPERLINK("http://www.cometa.vc","www.cometa.vc")</f>
        <v>www.cometa.vc</v>
      </c>
    </row>
    <row r="1786" spans="1:2" x14ac:dyDescent="0.3">
      <c r="A1786" s="2" t="s">
        <v>1786</v>
      </c>
      <c r="B1786" s="4" t="str">
        <f>HYPERLINK("http://www.epm.com.co","www.epm.com.co")</f>
        <v>www.epm.com.co</v>
      </c>
    </row>
    <row r="1787" spans="1:2" x14ac:dyDescent="0.3">
      <c r="A1787" s="3" t="s">
        <v>1787</v>
      </c>
      <c r="B1787" s="5" t="str">
        <f>HYPERLINK("http://www.fcp-innovacion.com","www.fcp-innovacion.com")</f>
        <v>www.fcp-innovacion.com</v>
      </c>
    </row>
    <row r="1788" spans="1:2" x14ac:dyDescent="0.3">
      <c r="A1788" s="2" t="s">
        <v>1788</v>
      </c>
      <c r="B1788" s="4" t="str">
        <f>HYPERLINK("http://www.femsaventures.com","www.femsaventures.com")</f>
        <v>www.femsaventures.com</v>
      </c>
    </row>
    <row r="1789" spans="1:2" x14ac:dyDescent="0.3">
      <c r="A1789" s="3" t="s">
        <v>1789</v>
      </c>
      <c r="B1789" s="5" t="str">
        <f>HYPERLINK("http://www.goodwatercap.com","www.goodwatercap.com")</f>
        <v>www.goodwatercap.com</v>
      </c>
    </row>
    <row r="1790" spans="1:2" x14ac:dyDescent="0.3">
      <c r="A1790" s="2" t="s">
        <v>1790</v>
      </c>
      <c r="B1790" s="4" t="str">
        <f>HYPERLINK("http://www.grupoexito.com.co","www.grupoexito.com.co")</f>
        <v>www.grupoexito.com.co</v>
      </c>
    </row>
    <row r="1791" spans="1:2" x14ac:dyDescent="0.3">
      <c r="A1791" s="3" t="s">
        <v>1791</v>
      </c>
      <c r="B1791" s="5" t="str">
        <f>HYPERLINK("http://www.hbmhealthcare.com","www.hbmhealthcare.com")</f>
        <v>www.hbmhealthcare.com</v>
      </c>
    </row>
    <row r="1792" spans="1:2" x14ac:dyDescent="0.3">
      <c r="A1792" s="2" t="s">
        <v>1792</v>
      </c>
      <c r="B1792" s="4" t="str">
        <f>HYPERLINK("http://www.ignia.vc","www.ignia.vc")</f>
        <v>www.ignia.vc</v>
      </c>
    </row>
    <row r="1793" spans="1:2" x14ac:dyDescent="0.3">
      <c r="A1793" s="3" t="s">
        <v>1793</v>
      </c>
      <c r="B1793" s="5" t="str">
        <f>HYPERLINK("http://www.incaventures.com","www.incaventures.com")</f>
        <v>www.incaventures.com</v>
      </c>
    </row>
    <row r="1794" spans="1:2" x14ac:dyDescent="0.3">
      <c r="A1794" s="2" t="s">
        <v>1794</v>
      </c>
      <c r="B1794" s="4" t="str">
        <f>HYPERLINK("http://www.innpulsacolombia.com","www.innpulsacolombia.com")</f>
        <v>www.innpulsacolombia.com</v>
      </c>
    </row>
    <row r="1795" spans="1:2" x14ac:dyDescent="0.3">
      <c r="A1795" s="3" t="s">
        <v>1795</v>
      </c>
      <c r="B1795" s="5" t="str">
        <f>HYPERLINK("http://www.nazca.vc","www.nazca.vc")</f>
        <v>www.nazca.vc</v>
      </c>
    </row>
    <row r="1796" spans="1:2" x14ac:dyDescent="0.3">
      <c r="A1796" s="2" t="s">
        <v>1796</v>
      </c>
      <c r="B1796" s="4" t="str">
        <f>HYPERLINK("http://www.outcropsilver.com","www.outcropsilver.com")</f>
        <v>www.outcropsilver.com</v>
      </c>
    </row>
    <row r="1797" spans="1:2" x14ac:dyDescent="0.3">
      <c r="A1797" s="3" t="s">
        <v>1797</v>
      </c>
      <c r="B1797" s="5" t="str">
        <f>HYPERLINK("http://www.qedinvestors.com","www.qedinvestors.com")</f>
        <v>www.qedinvestors.com</v>
      </c>
    </row>
    <row r="1798" spans="1:2" x14ac:dyDescent="0.3">
      <c r="A1798" s="2" t="s">
        <v>1798</v>
      </c>
      <c r="B1798" s="4" t="str">
        <f>HYPERLINK("http://www.quironsalud.com","www.quironsalud.com")</f>
        <v>www.quironsalud.com</v>
      </c>
    </row>
    <row r="1799" spans="1:2" x14ac:dyDescent="0.3">
      <c r="A1799" s="3" t="s">
        <v>1799</v>
      </c>
      <c r="B1799" s="5" t="str">
        <f>HYPERLINK("http://www.salkantay.vc","www.salkantay.vc")</f>
        <v>www.salkantay.vc</v>
      </c>
    </row>
    <row r="1800" spans="1:2" x14ac:dyDescent="0.3">
      <c r="A1800" s="2" t="s">
        <v>1800</v>
      </c>
      <c r="B1800" s="4" t="str">
        <f>HYPERLINK("http://www.seaf.com","www.seaf.com")</f>
        <v>www.seaf.com</v>
      </c>
    </row>
    <row r="1801" spans="1:2" x14ac:dyDescent="0.3">
      <c r="A1801" s="3" t="s">
        <v>1801</v>
      </c>
      <c r="B1801" s="5" t="str">
        <f>HYPERLINK("http://www.somagoldcorp.com","www.somagoldcorp.com")</f>
        <v>www.somagoldcorp.com</v>
      </c>
    </row>
    <row r="1802" spans="1:2" x14ac:dyDescent="0.3">
      <c r="A1802" s="2" t="s">
        <v>1802</v>
      </c>
      <c r="B1802" s="4" t="str">
        <f>HYPERLINK("http://www.startupbootcamp.org","www.startupbootcamp.org")</f>
        <v>www.startupbootcamp.org</v>
      </c>
    </row>
    <row r="1803" spans="1:2" x14ac:dyDescent="0.3">
      <c r="A1803" s="3" t="s">
        <v>1803</v>
      </c>
      <c r="B1803" s="5" t="str">
        <f>HYPERLINK("http://www.tekacapital.com","www.tekacapital.com")</f>
        <v>www.tekacapital.com</v>
      </c>
    </row>
    <row r="1804" spans="1:2" x14ac:dyDescent="0.3">
      <c r="A1804" s="2" t="s">
        <v>1804</v>
      </c>
      <c r="B1804" s="4" t="str">
        <f>HYPERLINK("http://www.theventure.city","www.theventure.city")</f>
        <v>www.theventure.city</v>
      </c>
    </row>
    <row r="1805" spans="1:2" x14ac:dyDescent="0.3">
      <c r="A1805" s="3" t="s">
        <v>1805</v>
      </c>
      <c r="B1805" s="5" t="str">
        <f>HYPERLINK("http://www.yunussb.com","www.yunussb.com")</f>
        <v>www.yunussb.com</v>
      </c>
    </row>
    <row r="1806" spans="1:2" x14ac:dyDescent="0.3">
      <c r="A1806" s="2" t="s">
        <v>1806</v>
      </c>
      <c r="B1806" s="4" t="str">
        <f>HYPERLINK("http://www.avalancha.ventures","www.avalancha.ventures")</f>
        <v>www.avalancha.ventures</v>
      </c>
    </row>
    <row r="1807" spans="1:2" x14ac:dyDescent="0.3">
      <c r="A1807" s="3" t="s">
        <v>1807</v>
      </c>
      <c r="B1807" s="5" t="str">
        <f>HYPERLINK("http://www.bep.brookfield.com","www.bep.brookfield.com")</f>
        <v>www.bep.brookfield.com</v>
      </c>
    </row>
    <row r="1808" spans="1:2" x14ac:dyDescent="0.3">
      <c r="A1808" s="2" t="s">
        <v>1808</v>
      </c>
      <c r="B1808" s="4" t="str">
        <f>HYPERLINK("http://www.canary.com.br","www.canary.com.br")</f>
        <v>www.canary.com.br</v>
      </c>
    </row>
    <row r="1809" spans="1:2" x14ac:dyDescent="0.3">
      <c r="A1809" s="3" t="s">
        <v>1809</v>
      </c>
      <c r="B1809" s="5" t="str">
        <f>HYPERLINK("http://www.clocktowerventures.com","www.clocktowerventures.com")</f>
        <v>www.clocktowerventures.com</v>
      </c>
    </row>
    <row r="1810" spans="1:2" x14ac:dyDescent="0.3">
      <c r="A1810" s="2" t="s">
        <v>1810</v>
      </c>
      <c r="B1810" s="4" t="str">
        <f>HYPERLINK("http://www.kandeofund.com","www.kandeofund.com")</f>
        <v>www.kandeofund.com</v>
      </c>
    </row>
    <row r="1811" spans="1:2" x14ac:dyDescent="0.3">
      <c r="A1811" s="3" t="s">
        <v>1811</v>
      </c>
      <c r="B1811" s="5" t="str">
        <f>HYPERLINK("http://www.matterscale.com","www.matterscale.com")</f>
        <v>www.matterscale.com</v>
      </c>
    </row>
    <row r="1812" spans="1:2" x14ac:dyDescent="0.3">
      <c r="A1812" s="2" t="s">
        <v>1812</v>
      </c>
      <c r="B1812" s="4" t="str">
        <f>HYPERLINK("http://www.palmdrive.vc","www.palmdrive.vc")</f>
        <v>www.palmdrive.vc</v>
      </c>
    </row>
    <row r="1813" spans="1:2" x14ac:dyDescent="0.3">
      <c r="A1813" s="3" t="s">
        <v>1813</v>
      </c>
      <c r="B1813" s="5" t="str">
        <f>HYPERLINK("http://www.pareto20.com","www.pareto20.com")</f>
        <v>www.pareto20.com</v>
      </c>
    </row>
    <row r="1814" spans="1:2" x14ac:dyDescent="0.3">
      <c r="A1814" s="2" t="s">
        <v>1814</v>
      </c>
      <c r="B1814" s="4" t="str">
        <f>HYPERLINK("http://platan.us","platan.us")</f>
        <v>platan.us</v>
      </c>
    </row>
    <row r="1815" spans="1:2" x14ac:dyDescent="0.3">
      <c r="A1815" s="3" t="s">
        <v>1815</v>
      </c>
      <c r="B1815" s="5" t="str">
        <f>HYPERLINK("http://www.rutanmedellin.org","www.rutanmedellin.org")</f>
        <v>www.rutanmedellin.org</v>
      </c>
    </row>
    <row r="1816" spans="1:2" x14ac:dyDescent="0.3">
      <c r="A1816" s="2" t="s">
        <v>1816</v>
      </c>
      <c r="B1816" s="4" t="str">
        <f>HYPERLINK("http://www.carlyle.com","www.carlyle.com")</f>
        <v>www.carlyle.com</v>
      </c>
    </row>
    <row r="1817" spans="1:2" x14ac:dyDescent="0.3">
      <c r="A1817" s="3" t="s">
        <v>1817</v>
      </c>
      <c r="B1817" s="5" t="str">
        <f>HYPERLINK("http://www.99startups.com","www.99startups.com")</f>
        <v>www.99startups.com</v>
      </c>
    </row>
    <row r="1818" spans="1:2" x14ac:dyDescent="0.3">
      <c r="A1818" s="2" t="s">
        <v>1818</v>
      </c>
      <c r="B1818" s="4" t="str">
        <f>HYPERLINK("http://www.alpha4ventures.com","www.alpha4ventures.com")</f>
        <v>www.alpha4ventures.com</v>
      </c>
    </row>
    <row r="1819" spans="1:2" x14ac:dyDescent="0.3">
      <c r="A1819" s="3" t="s">
        <v>1819</v>
      </c>
      <c r="B1819" s="5" t="str">
        <f>HYPERLINK("http://arrebolcap.com","arrebolcap.com")</f>
        <v>arrebolcap.com</v>
      </c>
    </row>
    <row r="1820" spans="1:2" x14ac:dyDescent="0.3">
      <c r="A1820" s="2" t="s">
        <v>1820</v>
      </c>
      <c r="B1820" s="4" t="str">
        <f>HYPERLINK("http://www.gaingels.com","www.gaingels.com")</f>
        <v>www.gaingels.com</v>
      </c>
    </row>
    <row r="1821" spans="1:2" x14ac:dyDescent="0.3">
      <c r="A1821" s="3" t="s">
        <v>1821</v>
      </c>
      <c r="B1821" s="5" t="str">
        <f>HYPERLINK("http://www.generalatlantic.com","www.generalatlantic.com")</f>
        <v>www.generalatlantic.com</v>
      </c>
    </row>
    <row r="1822" spans="1:2" x14ac:dyDescent="0.3">
      <c r="A1822" s="2" t="s">
        <v>1822</v>
      </c>
      <c r="B1822" s="4" t="str">
        <f>HYPERLINK("http://gitp.com.co","gitp.com.co")</f>
        <v>gitp.com.co</v>
      </c>
    </row>
    <row r="1823" spans="1:2" x14ac:dyDescent="0.3">
      <c r="A1823" s="3" t="s">
        <v>1823</v>
      </c>
      <c r="B1823" s="5" t="str">
        <f>HYPERLINK("http://www.globalfounderscapital.com","www.globalfounderscapital.com")</f>
        <v>www.globalfounderscapital.com</v>
      </c>
    </row>
    <row r="1824" spans="1:2" x14ac:dyDescent="0.3">
      <c r="A1824" s="2" t="s">
        <v>1824</v>
      </c>
      <c r="B1824" s="4" t="str">
        <f>HYPERLINK("http://www.grupo-pegasus.com","www.grupo-pegasus.com")</f>
        <v>www.grupo-pegasus.com</v>
      </c>
    </row>
    <row r="1825" spans="1:2" x14ac:dyDescent="0.3">
      <c r="A1825" s="3" t="s">
        <v>1825</v>
      </c>
      <c r="B1825" s="5" t="str">
        <f>HYPERLINK("http://bidlab.org/en","bidlab.org/en")</f>
        <v>bidlab.org/en</v>
      </c>
    </row>
    <row r="1826" spans="1:2" x14ac:dyDescent="0.3">
      <c r="A1826" s="2" t="s">
        <v>1826</v>
      </c>
      <c r="B1826" s="4" t="str">
        <f>HYPERLINK("http://invx.co","invx.co")</f>
        <v>invx.co</v>
      </c>
    </row>
    <row r="1827" spans="1:2" x14ac:dyDescent="0.3">
      <c r="A1827" s="3" t="s">
        <v>1827</v>
      </c>
      <c r="B1827" s="5" t="str">
        <f>HYPERLINK("http://www.latinleap.vc","www.latinleap.vc")</f>
        <v>www.latinleap.vc</v>
      </c>
    </row>
    <row r="1828" spans="1:2" x14ac:dyDescent="0.3">
      <c r="A1828" s="3" t="s">
        <v>1828</v>
      </c>
      <c r="B1828" s="5" t="str">
        <f>HYPERLINK("http://www.mountain.partners","www.mountain.partners")</f>
        <v>www.mountain.partners</v>
      </c>
    </row>
    <row r="1829" spans="1:2" x14ac:dyDescent="0.3">
      <c r="A1829" s="2" t="s">
        <v>1829</v>
      </c>
      <c r="B1829" s="4" t="str">
        <f>HYPERLINK("http://www.newtopia.vc","www.newtopia.vc")</f>
        <v>www.newtopia.vc</v>
      </c>
    </row>
    <row r="1830" spans="1:2" x14ac:dyDescent="0.3">
      <c r="A1830" s="3" t="s">
        <v>1830</v>
      </c>
      <c r="B1830" s="5" t="str">
        <f>HYPERLINK("http://www.seedstars-international.vc","www.seedstars-international.vc")</f>
        <v>www.seedstars-international.vc</v>
      </c>
    </row>
    <row r="1831" spans="1:2" x14ac:dyDescent="0.3">
      <c r="A1831" s="3" t="s">
        <v>1831</v>
      </c>
      <c r="B1831" s="5" t="str">
        <f>HYPERLINK("http://www.solidventures.vc","www.solidventures.vc")</f>
        <v>www.solidventures.vc</v>
      </c>
    </row>
    <row r="1832" spans="1:2" x14ac:dyDescent="0.3">
      <c r="A1832" s="2" t="s">
        <v>1832</v>
      </c>
      <c r="B1832" s="4" t="str">
        <f>HYPERLINK("http://www.ventura.net.co","www.ventura.net.co")</f>
        <v>www.ventura.net.co</v>
      </c>
    </row>
    <row r="1833" spans="1:2" x14ac:dyDescent="0.3">
      <c r="A1833" s="3" t="s">
        <v>1833</v>
      </c>
      <c r="B1833" s="5" t="str">
        <f>HYPERLINK("http://www.8vc.com","www.8vc.com")</f>
        <v>www.8vc.com</v>
      </c>
    </row>
    <row r="1834" spans="1:2" x14ac:dyDescent="0.3">
      <c r="A1834" s="2" t="s">
        <v>1834</v>
      </c>
      <c r="B1834" s="4" t="str">
        <f>HYPERLINK("http://www.accelhub.co","www.accelhub.co")</f>
        <v>www.accelhub.co</v>
      </c>
    </row>
    <row r="1835" spans="1:2" x14ac:dyDescent="0.3">
      <c r="A1835" s="3" t="s">
        <v>1835</v>
      </c>
      <c r="B1835" s="5" t="str">
        <f>HYPERLINK("http://www.grupocolpatria.com","www.grupocolpatria.com")</f>
        <v>www.grupocolpatria.com</v>
      </c>
    </row>
    <row r="1836" spans="1:2" x14ac:dyDescent="0.3">
      <c r="A1836" s="2" t="s">
        <v>1836</v>
      </c>
      <c r="B1836" s="4" t="str">
        <f>HYPERLINK("http://www.nfx.com","www.nfx.com")</f>
        <v>www.nfx.com</v>
      </c>
    </row>
    <row r="1837" spans="1:2" x14ac:dyDescent="0.3">
      <c r="A1837" s="3" t="s">
        <v>1837</v>
      </c>
      <c r="B1837" s="5" t="str">
        <f>HYPERLINK("http://www.nxtp.vc","www.nxtp.vc")</f>
        <v>www.nxtp.vc</v>
      </c>
    </row>
    <row r="1838" spans="1:2" x14ac:dyDescent="0.3">
      <c r="A1838" s="2" t="s">
        <v>1838</v>
      </c>
      <c r="B1838" s="4" t="str">
        <f>HYPERLINK("http://www.tigerglobal.com","www.tigerglobal.com")</f>
        <v>www.tigerglobal.com</v>
      </c>
    </row>
    <row r="1839" spans="1:2" x14ac:dyDescent="0.3">
      <c r="A1839" s="3" t="s">
        <v>1839</v>
      </c>
      <c r="B1839" s="5" t="str">
        <f>HYPERLINK("http://www.accion.org","www.accion.org")</f>
        <v>www.accion.org</v>
      </c>
    </row>
    <row r="1840" spans="1:2" x14ac:dyDescent="0.3">
      <c r="A1840" s="2" t="s">
        <v>1840</v>
      </c>
      <c r="B1840" s="4" t="str">
        <f>HYPERLINK("http://www.acumen.org","www.acumen.org")</f>
        <v>www.acumen.org</v>
      </c>
    </row>
    <row r="1841" spans="1:2" x14ac:dyDescent="0.3">
      <c r="A1841" s="3" t="s">
        <v>1841</v>
      </c>
      <c r="B1841" s="5" t="str">
        <f>HYPERLINK("http://www.a16z.com","www.a16z.com")</f>
        <v>www.a16z.com</v>
      </c>
    </row>
    <row r="1842" spans="1:2" x14ac:dyDescent="0.3">
      <c r="A1842" s="2" t="s">
        <v>1842</v>
      </c>
      <c r="B1842" s="4" t="str">
        <f>HYPERLINK("http://www.gruposura.com","www.gruposura.com")</f>
        <v>www.gruposura.com</v>
      </c>
    </row>
    <row r="1843" spans="1:2" x14ac:dyDescent="0.3">
      <c r="A1843" s="3" t="s">
        <v>1843</v>
      </c>
      <c r="B1843" s="5" t="str">
        <f>HYPERLINK("http://htwenty.vc","htwenty.vc")</f>
        <v>htwenty.vc</v>
      </c>
    </row>
    <row r="1844" spans="1:2" x14ac:dyDescent="0.3">
      <c r="A1844" s="2" t="s">
        <v>1844</v>
      </c>
      <c r="B1844" s="4" t="str">
        <f>HYPERLINK("http://www.marathonvc.com","www.marathonvc.com")</f>
        <v>www.marathonvc.com</v>
      </c>
    </row>
    <row r="1845" spans="1:2" x14ac:dyDescent="0.3">
      <c r="A1845" s="3" t="s">
        <v>1845</v>
      </c>
      <c r="B1845" s="5" t="str">
        <f>HYPERLINK("http://www.masschallenge.org","www.masschallenge.org")</f>
        <v>www.masschallenge.org</v>
      </c>
    </row>
    <row r="1846" spans="1:2" x14ac:dyDescent="0.3">
      <c r="A1846" s="2" t="s">
        <v>1846</v>
      </c>
      <c r="B1846" s="4" t="str">
        <f>HYPERLINK("http://www.socialatomgroup.com","www.socialatomgroup.com")</f>
        <v>www.socialatomgroup.com</v>
      </c>
    </row>
    <row r="1847" spans="1:2" x14ac:dyDescent="0.3">
      <c r="A1847" s="3" t="s">
        <v>1847</v>
      </c>
      <c r="B1847" s="5" t="str">
        <f>HYPERLINK("http://www.tvalley.co","www.tvalley.co")</f>
        <v>www.tvalley.co</v>
      </c>
    </row>
    <row r="1848" spans="1:2" x14ac:dyDescent="0.3">
      <c r="A1848" s="2" t="s">
        <v>1848</v>
      </c>
      <c r="B1848" s="4" t="str">
        <f>HYPERLINK("http://www.aconinvestments.com","www.aconinvestments.com")</f>
        <v>www.aconinvestments.com</v>
      </c>
    </row>
    <row r="1849" spans="1:2" x14ac:dyDescent="0.3">
      <c r="A1849" s="3" t="s">
        <v>1849</v>
      </c>
      <c r="B1849" s="5" t="str">
        <f>HYPERLINK("http://alive-ventures.com","alive-ventures.com")</f>
        <v>alive-ventures.com</v>
      </c>
    </row>
    <row r="1850" spans="1:2" x14ac:dyDescent="0.3">
      <c r="A1850" s="2" t="s">
        <v>1850</v>
      </c>
      <c r="B1850" s="4" t="str">
        <f>HYPERLINK("http://bictia.com","bictia.com")</f>
        <v>bictia.com</v>
      </c>
    </row>
    <row r="1851" spans="1:2" x14ac:dyDescent="0.3">
      <c r="A1851" s="3" t="s">
        <v>1851</v>
      </c>
      <c r="B1851" s="5" t="str">
        <f>HYPERLINK("http://www.patria.com","www.patria.com")</f>
        <v>www.patria.com</v>
      </c>
    </row>
    <row r="1852" spans="1:2" x14ac:dyDescent="0.3">
      <c r="A1852" s="2" t="s">
        <v>1852</v>
      </c>
      <c r="B1852" s="4" t="str">
        <f>HYPERLINK("http://www.promotora.com.co","www.promotora.com.co")</f>
        <v>www.promotora.com.co</v>
      </c>
    </row>
    <row r="1853" spans="1:2" x14ac:dyDescent="0.3">
      <c r="A1853" s="3" t="s">
        <v>1853</v>
      </c>
      <c r="B1853" s="5" t="str">
        <f>HYPERLINK("http://www.simmacapital.com","www.simmacapital.com")</f>
        <v>www.simmacapital.com</v>
      </c>
    </row>
    <row r="1854" spans="1:2" x14ac:dyDescent="0.3">
      <c r="A1854" s="2" t="s">
        <v>1854</v>
      </c>
      <c r="B1854" s="4" t="str">
        <f>HYPERLINK("http://www.tribeca.com.co","www.tribeca.com.co")</f>
        <v>www.tribeca.com.co</v>
      </c>
    </row>
    <row r="1855" spans="1:2" x14ac:dyDescent="0.3">
      <c r="A1855" s="3" t="s">
        <v>1855</v>
      </c>
      <c r="B1855" s="5" t="str">
        <f>HYPERLINK("http://www.wollefvc.com","www.wollefvc.com")</f>
        <v>www.wollefvc.com</v>
      </c>
    </row>
    <row r="1856" spans="1:2" x14ac:dyDescent="0.3">
      <c r="A1856" s="2" t="s">
        <v>1856</v>
      </c>
      <c r="B1856" s="4" t="str">
        <f>HYPERLINK("http://www.angelventures.vc","www.angelventures.vc")</f>
        <v>www.angelventures.vc</v>
      </c>
    </row>
    <row r="1857" spans="1:2" x14ac:dyDescent="0.3">
      <c r="A1857" s="3" t="s">
        <v>1857</v>
      </c>
      <c r="B1857" s="5" t="str">
        <f>HYPERLINK("http://www.axonpartnersgroup.com","www.axonpartnersgroup.com")</f>
        <v>www.axonpartnersgroup.com</v>
      </c>
    </row>
    <row r="1858" spans="1:2" x14ac:dyDescent="0.3">
      <c r="A1858" s="2" t="s">
        <v>1858</v>
      </c>
      <c r="B1858" s="4" t="str">
        <f>HYPERLINK("http://www.ewa.capital","www.ewa.capital")</f>
        <v>www.ewa.capital</v>
      </c>
    </row>
    <row r="1859" spans="1:2" x14ac:dyDescent="0.3">
      <c r="A1859" s="3" t="s">
        <v>1859</v>
      </c>
      <c r="B1859" s="5" t="str">
        <f>HYPERLINK("http://fi.co","fi.co")</f>
        <v>fi.co</v>
      </c>
    </row>
    <row r="1860" spans="1:2" x14ac:dyDescent="0.3">
      <c r="A1860" s="2" t="s">
        <v>1860</v>
      </c>
      <c r="B1860" s="4" t="str">
        <f>HYPERLINK("http://www.fronteraenergy.ca","www.fronteraenergy.ca")</f>
        <v>www.fronteraenergy.ca</v>
      </c>
    </row>
    <row r="1861" spans="1:2" x14ac:dyDescent="0.3">
      <c r="A1861" s="3" t="s">
        <v>1861</v>
      </c>
      <c r="B1861" s="5" t="str">
        <f>HYPERLINK("http://irrazonables.org","irrazonables.org")</f>
        <v>irrazonables.org</v>
      </c>
    </row>
    <row r="1862" spans="1:2" x14ac:dyDescent="0.3">
      <c r="A1862" s="2" t="s">
        <v>1862</v>
      </c>
      <c r="B1862" s="4" t="str">
        <f>HYPERLINK("http://www.monashees.com","www.monashees.com")</f>
        <v>www.monashees.com</v>
      </c>
    </row>
    <row r="1863" spans="1:2" x14ac:dyDescent="0.3">
      <c r="A1863" s="3" t="s">
        <v>1863</v>
      </c>
      <c r="B1863" s="5" t="str">
        <f>HYPERLINK("http://www.scaleuplabs.vc","www.scaleuplabs.vc")</f>
        <v>www.scaleuplabs.vc</v>
      </c>
    </row>
    <row r="1864" spans="1:2" x14ac:dyDescent="0.3">
      <c r="A1864" s="2" t="s">
        <v>1864</v>
      </c>
      <c r="B1864" s="4" t="str">
        <f>HYPERLINK("http://www.altrainv.com","www.altrainv.com")</f>
        <v>www.altrainv.com</v>
      </c>
    </row>
    <row r="1865" spans="1:2" x14ac:dyDescent="0.3">
      <c r="A1865" s="3" t="s">
        <v>1865</v>
      </c>
      <c r="B1865" s="5" t="str">
        <f>HYPERLINK("http://www.polymathv.com","www.polymathv.com")</f>
        <v>www.polymathv.com</v>
      </c>
    </row>
    <row r="1866" spans="1:2" x14ac:dyDescent="0.3">
      <c r="A1866" s="2" t="s">
        <v>1866</v>
      </c>
      <c r="B1866" s="4" t="str">
        <f>HYPERLINK("http://arkfund.co","arkfund.co")</f>
        <v>arkfund.co</v>
      </c>
    </row>
    <row r="1867" spans="1:2" x14ac:dyDescent="0.3">
      <c r="A1867" s="3" t="s">
        <v>1867</v>
      </c>
      <c r="B1867" s="5" t="str">
        <f>HYPERLINK("http://www.hubbog.com","www.hubbog.com")</f>
        <v>www.hubbog.com</v>
      </c>
    </row>
    <row r="1868" spans="1:2" x14ac:dyDescent="0.3">
      <c r="A1868" s="2" t="s">
        <v>1868</v>
      </c>
      <c r="B1868" s="4" t="str">
        <f>HYPERLINK("http://www.latitud.com","www.latitud.com")</f>
        <v>www.latitud.com</v>
      </c>
    </row>
    <row r="1869" spans="1:2" x14ac:dyDescent="0.3">
      <c r="A1869" s="3" t="s">
        <v>1869</v>
      </c>
      <c r="B1869" s="5" t="str">
        <f>HYPERLINK("http://www.opera.ventures","www.opera.ventures")</f>
        <v>www.opera.ventures</v>
      </c>
    </row>
    <row r="1870" spans="1:2" x14ac:dyDescent="0.3">
      <c r="A1870" s="2" t="s">
        <v>1870</v>
      </c>
      <c r="B1870" s="4" t="str">
        <f>HYPERLINK("http://www.parallel18.com","www.parallel18.com")</f>
        <v>www.parallel18.com</v>
      </c>
    </row>
    <row r="1871" spans="1:2" x14ac:dyDescent="0.3">
      <c r="A1871" s="3" t="s">
        <v>1871</v>
      </c>
      <c r="B1871" s="5" t="str">
        <f>HYPERLINK("http://somacap.com","somacap.com")</f>
        <v>somacap.com</v>
      </c>
    </row>
    <row r="1872" spans="1:2" x14ac:dyDescent="0.3">
      <c r="A1872" s="2" t="s">
        <v>1872</v>
      </c>
      <c r="B1872" s="4" t="str">
        <f>HYPERLINK("http://www.ecopetrol.com.co","www.ecopetrol.com.co")</f>
        <v>www.ecopetrol.com.co</v>
      </c>
    </row>
    <row r="1873" spans="1:2" x14ac:dyDescent="0.3">
      <c r="A1873" s="3" t="s">
        <v>1873</v>
      </c>
      <c r="B1873" s="5" t="str">
        <f>HYPERLINK("http://impacta.emprendimientosostenible.com.co","impacta.emprendimientosostenible.com.co")</f>
        <v>impacta.emprendimientosostenible.com.co</v>
      </c>
    </row>
    <row r="1874" spans="1:2" x14ac:dyDescent="0.3">
      <c r="A1874" s="2" t="s">
        <v>1874</v>
      </c>
      <c r="B1874" s="4" t="str">
        <f>HYPERLINK("http://www.kaszek.com","www.kaszek.com")</f>
        <v>www.kaszek.com</v>
      </c>
    </row>
    <row r="1875" spans="1:2" x14ac:dyDescent="0.3">
      <c r="A1875" s="3" t="s">
        <v>1875</v>
      </c>
      <c r="B1875" s="5" t="str">
        <f>HYPERLINK("http://www.mas-equity.com","www.mas-equity.com")</f>
        <v>www.mas-equity.com</v>
      </c>
    </row>
    <row r="1876" spans="1:2" x14ac:dyDescent="0.3">
      <c r="A1876" s="2" t="s">
        <v>1876</v>
      </c>
      <c r="B1876" s="4" t="str">
        <f>HYPERLINK("http://www.amador.holdings","www.amador.holdings")</f>
        <v>www.amador.holdings</v>
      </c>
    </row>
    <row r="1877" spans="1:2" x14ac:dyDescent="0.3">
      <c r="A1877" s="3" t="s">
        <v>1877</v>
      </c>
      <c r="B1877" s="5" t="str">
        <f>HYPERLINK("http://www.ashmoregroup.com","www.ashmoregroup.com")</f>
        <v>www.ashmoregroup.com</v>
      </c>
    </row>
    <row r="1878" spans="1:2" x14ac:dyDescent="0.3">
      <c r="A1878" s="2" t="s">
        <v>1878</v>
      </c>
      <c r="B1878" s="4" t="str">
        <f>HYPERLINK("http://www.efsventures.co","www.efsventures.co")</f>
        <v>www.efsventures.co</v>
      </c>
    </row>
    <row r="1879" spans="1:2" x14ac:dyDescent="0.3">
      <c r="A1879" s="2" t="s">
        <v>1879</v>
      </c>
      <c r="B1879" s="4" t="str">
        <f>HYPERLINK("http://www.bancolombia.com","www.bancolombia.com")</f>
        <v>www.bancolombia.com</v>
      </c>
    </row>
    <row r="1880" spans="1:2" x14ac:dyDescent="0.3">
      <c r="A1880" s="3" t="s">
        <v>1880</v>
      </c>
      <c r="B1880" s="5" t="str">
        <f>HYPERLINK("http://www.inqlab.co","www.inqlab.co")</f>
        <v>www.inqlab.co</v>
      </c>
    </row>
    <row r="1881" spans="1:2" x14ac:dyDescent="0.3">
      <c r="A1881" s="2" t="s">
        <v>1881</v>
      </c>
      <c r="B1881" s="4" t="str">
        <f>HYPERLINK("http://www.magmapartners.com","www.magmapartners.com")</f>
        <v>www.magmapartners.com</v>
      </c>
    </row>
    <row r="1882" spans="1:2" x14ac:dyDescent="0.3">
      <c r="A1882" s="3" t="s">
        <v>1882</v>
      </c>
      <c r="B1882" s="5" t="str">
        <f>HYPERLINK("http://tech.manacommon.com","tech.manacommon.com")</f>
        <v>tech.manacommon.com</v>
      </c>
    </row>
    <row r="1883" spans="1:2" x14ac:dyDescent="0.3">
      <c r="A1883" s="2" t="s">
        <v>1883</v>
      </c>
      <c r="B1883" s="4" t="str">
        <f>HYPERLINK("http://www.k50ventures.com","www.k50ventures.com")</f>
        <v>www.k50ventures.com</v>
      </c>
    </row>
    <row r="1884" spans="1:2" x14ac:dyDescent="0.3">
      <c r="A1884" s="3" t="s">
        <v>1884</v>
      </c>
      <c r="B1884" s="5" t="str">
        <f>HYPERLINK("http://www.fjlabs.com","www.fjlabs.com")</f>
        <v>www.fjlabs.com</v>
      </c>
    </row>
    <row r="1885" spans="1:2" x14ac:dyDescent="0.3">
      <c r="A1885" s="2" t="s">
        <v>1885</v>
      </c>
      <c r="B1885" s="4" t="str">
        <f>HYPERLINK("http://www.vertical-p.com","www.vertical-p.com")</f>
        <v>www.vertical-p.com</v>
      </c>
    </row>
    <row r="1886" spans="1:2" x14ac:dyDescent="0.3">
      <c r="A1886" s="3" t="s">
        <v>1886</v>
      </c>
      <c r="B1886" s="5" t="str">
        <f>HYPERLINK("http://startup.google.com","startup.google.com")</f>
        <v>startup.google.com</v>
      </c>
    </row>
    <row r="1887" spans="1:2" x14ac:dyDescent="0.3">
      <c r="A1887" s="2" t="s">
        <v>1887</v>
      </c>
      <c r="B1887" s="4" t="str">
        <f>HYPERLINK("http://500.co","500.co")</f>
        <v>500.co</v>
      </c>
    </row>
    <row r="1888" spans="1:2" x14ac:dyDescent="0.3">
      <c r="A1888" s="3" t="s">
        <v>1888</v>
      </c>
      <c r="B1888" s="5" t="str">
        <f>HYPERLINK("http://www.velumventures.com","www.velumventures.com")</f>
        <v>www.velumventures.com</v>
      </c>
    </row>
    <row r="1889" spans="1:2" x14ac:dyDescent="0.3">
      <c r="A1889" s="2" t="s">
        <v>1889</v>
      </c>
      <c r="B1889" s="4" t="str">
        <f>HYPERLINK("http://www.techstars.com","www.techstars.com")</f>
        <v>www.techstars.com</v>
      </c>
    </row>
    <row r="1890" spans="1:2" x14ac:dyDescent="0.3">
      <c r="A1890" s="3" t="s">
        <v>1890</v>
      </c>
      <c r="B1890" s="5" t="str">
        <f>HYPERLINK("http://www.startupchile.org","www.startupchile.org")</f>
        <v>www.startupchile.org</v>
      </c>
    </row>
    <row r="1891" spans="1:2" x14ac:dyDescent="0.3">
      <c r="A1891" s="2" t="s">
        <v>1891</v>
      </c>
      <c r="B1891" s="4" t="str">
        <f>HYPERLINK("http://www.ifc.org","www.ifc.org")</f>
        <v>www.ifc.org</v>
      </c>
    </row>
    <row r="1892" spans="1:2" x14ac:dyDescent="0.3">
      <c r="A1892" s="3" t="s">
        <v>1892</v>
      </c>
      <c r="B1892" s="5" t="str">
        <f>HYPERLINK("http://www.irievc.com","www.irievc.com")</f>
        <v>www.irievc.com</v>
      </c>
    </row>
    <row r="1893" spans="1:2" x14ac:dyDescent="0.3">
      <c r="A1893" s="2" t="s">
        <v>1893</v>
      </c>
      <c r="B1893" s="4" t="str">
        <f>HYPERLINK("http://spectrainvest.com","spectrainvest.com")</f>
        <v>spectrainvest.com</v>
      </c>
    </row>
    <row r="1894" spans="1:2" x14ac:dyDescent="0.3">
      <c r="A1894" s="3" t="s">
        <v>1894</v>
      </c>
      <c r="B1894" s="5" t="str">
        <f>HYPERLINK("http://www.vilcap.com","www.vilcap.com")</f>
        <v>www.vilcap.com</v>
      </c>
    </row>
    <row r="1895" spans="1:2" x14ac:dyDescent="0.3">
      <c r="A1895" s="2" t="s">
        <v>1895</v>
      </c>
      <c r="B1895" s="4" t="str">
        <f>HYPERLINK("http://latam.500.co","latam.500.co")</f>
        <v>latam.500.co</v>
      </c>
    </row>
    <row r="1896" spans="1:2" x14ac:dyDescent="0.3">
      <c r="A1896" s="3" t="s">
        <v>1896</v>
      </c>
      <c r="B1896" s="5" t="str">
        <f>HYPERLINK("http://www.ycombinator.com","www.ycombinator.com")</f>
        <v>www.ycombinator.com</v>
      </c>
    </row>
    <row r="1897" spans="1:2" x14ac:dyDescent="0.3">
      <c r="A1897" s="2" t="s">
        <v>1897</v>
      </c>
      <c r="B1897" s="4" t="str">
        <f>HYPERLINK("http://www.rockstart.com","www.rockstart.com")</f>
        <v>www.rockstart.com</v>
      </c>
    </row>
    <row r="1898" spans="1:2" x14ac:dyDescent="0.3">
      <c r="A1898" s="3" t="s">
        <v>1898</v>
      </c>
      <c r="B1898" s="5" t="str">
        <f>HYPERLINK("http://www.cube.ventures","www.cube.ventures")</f>
        <v>www.cube.ventures</v>
      </c>
    </row>
    <row r="1899" spans="1:2" x14ac:dyDescent="0.3">
      <c r="A1899" s="2" t="s">
        <v>1899</v>
      </c>
      <c r="B1899" s="4" t="str">
        <f>HYPERLINK("http://www.wayra.com","www.wayra.com")</f>
        <v>www.wayra.com</v>
      </c>
    </row>
  </sheetData>
  <autoFilter ref="A1:B189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María Paula Díaz Nuñez</cp:lastModifiedBy>
  <dcterms:created xsi:type="dcterms:W3CDTF">2025-08-01T03:28:14Z</dcterms:created>
  <dcterms:modified xsi:type="dcterms:W3CDTF">2025-08-01T04:08:02Z</dcterms:modified>
</cp:coreProperties>
</file>