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tionalhealthcare-my.sharepoint.com/personal/dchipe_vumigroup_com/Documents/Escritorio/Github info/"/>
    </mc:Choice>
  </mc:AlternateContent>
  <xr:revisionPtr revIDLastSave="5" documentId="11_72F3A681DF390E9F022B9DBAA1373A853D4BAC94" xr6:coauthVersionLast="47" xr6:coauthVersionMax="47" xr10:uidLastSave="{D56ACDE2-BC97-4B0E-8761-18BA646B12F3}"/>
  <workbookProtection workbookAlgorithmName="SHA-512" workbookHashValue="ECuhicZ++Pwp/xK+fXTove4I+r9f06AAemVPpMsecNG9LAVYTMSFewO/ObldWEZR2MKX42yumhm38lRsrJsXzQ==" workbookSaltValue="UbbAbFeWYUQPxFB//CS3lA==" workbookSpinCount="100000" lockStructure="1"/>
  <bookViews>
    <workbookView xWindow="-108" yWindow="-108" windowWidth="23256" windowHeight="12576" firstSheet="1" activeTab="1" xr2:uid="{00000000-000D-0000-FFFF-FFFF00000000}"/>
  </bookViews>
  <sheets>
    <sheet name="Fuel Oil" sheetId="1" state="hidden" r:id="rId1"/>
    <sheet name="Fuel Oil 2016-2021" sheetId="3" r:id="rId2"/>
    <sheet name="Diesel Oil" sheetId="2" r:id="rId3"/>
    <sheet name="LA LIB" sheetId="4" state="hidden" r:id="rId4"/>
    <sheet name="Gasolines" sheetId="6" r:id="rId5"/>
  </sheets>
  <externalReferences>
    <externalReference r:id="rId6"/>
  </externalReferences>
  <definedNames>
    <definedName name="_Fill" localSheetId="2" hidden="1">[1]PERONAL!#REF!</definedName>
    <definedName name="_Fill" localSheetId="1" hidden="1">[1]PERONAL!#REF!</definedName>
    <definedName name="_Fill" localSheetId="4" hidden="1">[1]PERONAL!#REF!</definedName>
    <definedName name="_Fill" localSheetId="3" hidden="1">[1]PERONAL!#REF!</definedName>
    <definedName name="_Fill" hidden="1">[1]PERONAL!#REF!</definedName>
    <definedName name="_Key1" localSheetId="2" hidden="1">[1]PERONAL!#REF!</definedName>
    <definedName name="_Key1" localSheetId="1" hidden="1">[1]PERONAL!#REF!</definedName>
    <definedName name="_Key1" localSheetId="4" hidden="1">[1]PERONAL!#REF!</definedName>
    <definedName name="_Key1" localSheetId="3" hidden="1">[1]PERONAL!#REF!</definedName>
    <definedName name="_Key1" hidden="1">[1]PERONAL!#REF!</definedName>
    <definedName name="_Order1" hidden="1">255</definedName>
    <definedName name="_Sort" localSheetId="2" hidden="1">[1]PERONAL!#REF!</definedName>
    <definedName name="_Sort" localSheetId="1" hidden="1">[1]PERONAL!#REF!</definedName>
    <definedName name="_Sort" localSheetId="4" hidden="1">[1]PERONAL!#REF!</definedName>
    <definedName name="_Sort" localSheetId="3" hidden="1">[1]PERONAL!#REF!</definedName>
    <definedName name="_Sort" hidden="1">[1]PERONAL!#REF!</definedName>
    <definedName name="Diciembre" localSheetId="2" hidden="1">[1]PERONAL!#REF!</definedName>
    <definedName name="Diciembre" localSheetId="1" hidden="1">[1]PERONAL!#REF!</definedName>
    <definedName name="Diciembre" localSheetId="4" hidden="1">[1]PERONAL!#REF!</definedName>
    <definedName name="Diciembre" localSheetId="3" hidden="1">[1]PERONAL!#REF!</definedName>
    <definedName name="Diciembre" hidden="1">[1]PERONAL!#REF!</definedName>
    <definedName name="Noviembre" localSheetId="2" hidden="1">[1]PERONAL!#REF!</definedName>
    <definedName name="Noviembre" localSheetId="1" hidden="1">[1]PERONAL!#REF!</definedName>
    <definedName name="Noviembre" localSheetId="4" hidden="1">[1]PERONAL!#REF!</definedName>
    <definedName name="Noviembre" localSheetId="3" hidden="1">[1]PERONAL!#REF!</definedName>
    <definedName name="Noviembre" hidden="1">[1]PERONAL!#REF!</definedName>
    <definedName name="_xlnm.Print_Area" localSheetId="2">'Diesel Oil'!$A$1:$L$40</definedName>
    <definedName name="_xlnm.Print_Area" localSheetId="0">'Fuel Oil'!$A$1:$L$34</definedName>
    <definedName name="_xlnm.Print_Area" localSheetId="1">'Fuel Oil 2016-2021'!$A$1:$N$34</definedName>
    <definedName name="_xlnm.Print_Area" localSheetId="4">Gasolines!$A$1:$L$30</definedName>
    <definedName name="_xlnm.Print_Area" localSheetId="3">'LA LIB'!$A$1:$N$30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6" l="1"/>
  <c r="O23" i="6" l="1"/>
  <c r="O22" i="6"/>
  <c r="O24" i="6" s="1"/>
  <c r="O16" i="6"/>
  <c r="O15" i="6"/>
  <c r="O14" i="6"/>
  <c r="O34" i="6"/>
  <c r="O7" i="6"/>
  <c r="O7" i="2"/>
  <c r="G17" i="6"/>
  <c r="C24" i="6"/>
  <c r="K17" i="6"/>
  <c r="I17" i="6"/>
  <c r="E17" i="6"/>
  <c r="C17" i="6"/>
  <c r="L15" i="6"/>
  <c r="J15" i="6"/>
  <c r="H15" i="6"/>
  <c r="G24" i="6"/>
  <c r="I24" i="6"/>
  <c r="E24" i="6"/>
  <c r="F15" i="6"/>
  <c r="O23" i="2"/>
  <c r="O19" i="2"/>
  <c r="O20" i="2"/>
  <c r="O14" i="2"/>
  <c r="O13" i="2"/>
  <c r="O8" i="2"/>
  <c r="D22" i="6" l="1"/>
  <c r="C8" i="6"/>
  <c r="C34" i="6" s="1"/>
  <c r="F22" i="6"/>
  <c r="E8" i="6"/>
  <c r="E34" i="6" s="1"/>
  <c r="J22" i="6"/>
  <c r="I8" i="6"/>
  <c r="I34" i="6" s="1"/>
  <c r="H22" i="6"/>
  <c r="G8" i="6"/>
  <c r="G34" i="6" s="1"/>
  <c r="O17" i="6"/>
  <c r="J16" i="6"/>
  <c r="D15" i="6"/>
  <c r="L16" i="6"/>
  <c r="K7" i="6"/>
  <c r="H16" i="6"/>
  <c r="J23" i="6"/>
  <c r="H23" i="6"/>
  <c r="F23" i="6"/>
  <c r="D23" i="6"/>
  <c r="M17" i="6"/>
  <c r="O9" i="6"/>
  <c r="M24" i="6"/>
  <c r="J14" i="6"/>
  <c r="J17" i="6" s="1"/>
  <c r="L14" i="6"/>
  <c r="L17" i="6" s="1"/>
  <c r="H14" i="6"/>
  <c r="H17" i="6" s="1"/>
  <c r="F14" i="6"/>
  <c r="F17" i="6" s="1"/>
  <c r="F16" i="6"/>
  <c r="D14" i="6"/>
  <c r="D17" i="6" s="1"/>
  <c r="D16" i="6"/>
  <c r="K24" i="6"/>
  <c r="K8" i="6" s="1"/>
  <c r="K34" i="6" s="1"/>
  <c r="P23" i="6"/>
  <c r="O33" i="6"/>
  <c r="P16" i="6"/>
  <c r="E31" i="3"/>
  <c r="C31" i="3"/>
  <c r="K37" i="2"/>
  <c r="K33" i="2"/>
  <c r="K32" i="2"/>
  <c r="N23" i="6" l="1"/>
  <c r="M8" i="6"/>
  <c r="K33" i="6"/>
  <c r="K35" i="6" s="1"/>
  <c r="L33" i="6" s="1"/>
  <c r="K9" i="6"/>
  <c r="L7" i="6" s="1"/>
  <c r="I7" i="6"/>
  <c r="N16" i="6"/>
  <c r="M7" i="6"/>
  <c r="L8" i="6"/>
  <c r="L9" i="6" s="1"/>
  <c r="G7" i="6"/>
  <c r="E7" i="6"/>
  <c r="N14" i="6"/>
  <c r="C7" i="6"/>
  <c r="P7" i="6"/>
  <c r="P9" i="6" s="1"/>
  <c r="P8" i="6"/>
  <c r="N22" i="6"/>
  <c r="N24" i="6" s="1"/>
  <c r="P22" i="6"/>
  <c r="P24" i="6" s="1"/>
  <c r="L22" i="6"/>
  <c r="L23" i="6"/>
  <c r="P15" i="6"/>
  <c r="N15" i="6"/>
  <c r="N17" i="6" s="1"/>
  <c r="P14" i="6"/>
  <c r="P17" i="6" s="1"/>
  <c r="F24" i="6"/>
  <c r="O35" i="6"/>
  <c r="P33" i="6" s="1"/>
  <c r="H24" i="6"/>
  <c r="D24" i="6"/>
  <c r="J24" i="6"/>
  <c r="O37" i="2"/>
  <c r="O35" i="2"/>
  <c r="O34" i="2"/>
  <c r="O33" i="2"/>
  <c r="O32" i="2"/>
  <c r="M37" i="2"/>
  <c r="M33" i="2"/>
  <c r="M32" i="2"/>
  <c r="C35" i="2"/>
  <c r="C34" i="2" s="1"/>
  <c r="C38" i="2" s="1"/>
  <c r="E3" i="2"/>
  <c r="O36" i="2" s="1"/>
  <c r="M7" i="3"/>
  <c r="E2" i="3"/>
  <c r="E3" i="3"/>
  <c r="K14" i="3" s="1"/>
  <c r="K22" i="3" l="1"/>
  <c r="G33" i="6"/>
  <c r="G9" i="6"/>
  <c r="I33" i="6"/>
  <c r="I9" i="6"/>
  <c r="O28" i="3"/>
  <c r="O27" i="3"/>
  <c r="O20" i="3"/>
  <c r="O30" i="3"/>
  <c r="O22" i="3"/>
  <c r="O22" i="2" s="1"/>
  <c r="O21" i="2" s="1"/>
  <c r="O14" i="3"/>
  <c r="M27" i="3"/>
  <c r="M30" i="3"/>
  <c r="O7" i="3"/>
  <c r="M28" i="3"/>
  <c r="E36" i="2"/>
  <c r="G34" i="2"/>
  <c r="E35" i="2"/>
  <c r="G33" i="2"/>
  <c r="E33" i="2"/>
  <c r="G32" i="2"/>
  <c r="G37" i="2"/>
  <c r="E32" i="2"/>
  <c r="E34" i="2"/>
  <c r="E37" i="2"/>
  <c r="G35" i="2"/>
  <c r="G36" i="2"/>
  <c r="I34" i="2"/>
  <c r="K35" i="2"/>
  <c r="I33" i="2"/>
  <c r="I32" i="2"/>
  <c r="I37" i="2"/>
  <c r="K36" i="2"/>
  <c r="I36" i="2"/>
  <c r="I35" i="2"/>
  <c r="K7" i="3"/>
  <c r="M35" i="2"/>
  <c r="P37" i="2"/>
  <c r="K20" i="3"/>
  <c r="M9" i="6"/>
  <c r="N7" i="6" s="1"/>
  <c r="M33" i="6"/>
  <c r="E33" i="6"/>
  <c r="E9" i="6"/>
  <c r="M34" i="6"/>
  <c r="N8" i="6"/>
  <c r="N9" i="6" s="1"/>
  <c r="O38" i="2"/>
  <c r="P35" i="2" s="1"/>
  <c r="L34" i="6"/>
  <c r="L35" i="6" s="1"/>
  <c r="I28" i="3"/>
  <c r="G27" i="3"/>
  <c r="I27" i="3"/>
  <c r="G28" i="3"/>
  <c r="K30" i="3"/>
  <c r="K27" i="3"/>
  <c r="K28" i="3"/>
  <c r="M36" i="2"/>
  <c r="C33" i="6"/>
  <c r="C9" i="6"/>
  <c r="D8" i="6" s="1"/>
  <c r="D7" i="6"/>
  <c r="D9" i="6" s="1"/>
  <c r="P33" i="2"/>
  <c r="L24" i="6"/>
  <c r="P34" i="6"/>
  <c r="P35" i="6" s="1"/>
  <c r="O43" i="2"/>
  <c r="M8" i="2"/>
  <c r="O52" i="2"/>
  <c r="O51" i="2"/>
  <c r="O44" i="2"/>
  <c r="O15" i="2"/>
  <c r="P14" i="2" s="1"/>
  <c r="O9" i="2"/>
  <c r="P8" i="2" s="1"/>
  <c r="J37" i="2" l="1"/>
  <c r="H7" i="6"/>
  <c r="H8" i="6"/>
  <c r="H9" i="6" s="1"/>
  <c r="J32" i="2"/>
  <c r="I38" i="2"/>
  <c r="J33" i="2"/>
  <c r="G35" i="6"/>
  <c r="H33" i="6"/>
  <c r="I35" i="6"/>
  <c r="E38" i="2"/>
  <c r="C35" i="6"/>
  <c r="D34" i="6" s="1"/>
  <c r="G31" i="3"/>
  <c r="F7" i="6"/>
  <c r="F8" i="6"/>
  <c r="F9" i="6" s="1"/>
  <c r="M34" i="2"/>
  <c r="K34" i="2"/>
  <c r="G38" i="2"/>
  <c r="I31" i="3"/>
  <c r="E35" i="6"/>
  <c r="J34" i="2"/>
  <c r="M35" i="6"/>
  <c r="J35" i="2"/>
  <c r="J36" i="2"/>
  <c r="P34" i="2"/>
  <c r="P36" i="2"/>
  <c r="P32" i="2"/>
  <c r="J7" i="6"/>
  <c r="J8" i="6"/>
  <c r="O45" i="2"/>
  <c r="P44" i="2" s="1"/>
  <c r="O53" i="2"/>
  <c r="O56" i="2" s="1"/>
  <c r="P13" i="2"/>
  <c r="P7" i="2"/>
  <c r="P9" i="2"/>
  <c r="I52" i="2"/>
  <c r="G52" i="2"/>
  <c r="E52" i="2"/>
  <c r="C52" i="2"/>
  <c r="M51" i="2"/>
  <c r="I51" i="2"/>
  <c r="G51" i="2"/>
  <c r="E51" i="2"/>
  <c r="C51" i="2"/>
  <c r="C44" i="2"/>
  <c r="I43" i="2"/>
  <c r="I45" i="2" s="1"/>
  <c r="G43" i="2"/>
  <c r="G45" i="2" s="1"/>
  <c r="E43" i="2"/>
  <c r="E45" i="2" s="1"/>
  <c r="C43" i="2"/>
  <c r="M23" i="2"/>
  <c r="M20" i="2"/>
  <c r="M19" i="2"/>
  <c r="M14" i="2"/>
  <c r="M13" i="2"/>
  <c r="K14" i="2"/>
  <c r="K52" i="2" s="1"/>
  <c r="I9" i="2"/>
  <c r="G9" i="2"/>
  <c r="E9" i="2"/>
  <c r="M15" i="2"/>
  <c r="I15" i="2"/>
  <c r="G15" i="2"/>
  <c r="E15" i="2"/>
  <c r="C15" i="2"/>
  <c r="K13" i="2"/>
  <c r="K44" i="2" s="1"/>
  <c r="F33" i="2" l="1"/>
  <c r="F35" i="2"/>
  <c r="F37" i="2"/>
  <c r="F32" i="2"/>
  <c r="M38" i="2"/>
  <c r="I36" i="6"/>
  <c r="J34" i="6"/>
  <c r="K36" i="6"/>
  <c r="J33" i="6"/>
  <c r="E36" i="6"/>
  <c r="F34" i="6"/>
  <c r="N33" i="6"/>
  <c r="O36" i="6"/>
  <c r="M36" i="6"/>
  <c r="J9" i="6"/>
  <c r="G36" i="6"/>
  <c r="H34" i="6"/>
  <c r="H35" i="6" s="1"/>
  <c r="N34" i="6"/>
  <c r="N35" i="6" s="1"/>
  <c r="H33" i="2"/>
  <c r="H32" i="2"/>
  <c r="H34" i="2"/>
  <c r="H36" i="2"/>
  <c r="H35" i="2"/>
  <c r="H37" i="2"/>
  <c r="F36" i="2"/>
  <c r="P52" i="2"/>
  <c r="P53" i="2" s="1"/>
  <c r="P51" i="2"/>
  <c r="F33" i="6"/>
  <c r="K38" i="2"/>
  <c r="D33" i="6"/>
  <c r="D35" i="6" s="1"/>
  <c r="F34" i="2"/>
  <c r="P43" i="2"/>
  <c r="P45" i="2" s="1"/>
  <c r="K15" i="2"/>
  <c r="N14" i="2"/>
  <c r="N13" i="2"/>
  <c r="M52" i="2"/>
  <c r="M53" i="2" s="1"/>
  <c r="P15" i="2"/>
  <c r="M7" i="2"/>
  <c r="M9" i="4"/>
  <c r="J24" i="4"/>
  <c r="J23" i="4"/>
  <c r="H24" i="4"/>
  <c r="H23" i="4"/>
  <c r="H22" i="4"/>
  <c r="F25" i="4"/>
  <c r="F23" i="4"/>
  <c r="F22" i="4"/>
  <c r="D22" i="4"/>
  <c r="E26" i="4"/>
  <c r="E32" i="4" s="1"/>
  <c r="G26" i="4"/>
  <c r="G32" i="4" s="1"/>
  <c r="I26" i="4"/>
  <c r="I32" i="4" s="1"/>
  <c r="C26" i="4"/>
  <c r="C32" i="4" s="1"/>
  <c r="C34" i="4" s="1"/>
  <c r="D32" i="4" s="1"/>
  <c r="I16" i="4"/>
  <c r="J15" i="4" s="1"/>
  <c r="G16" i="4"/>
  <c r="G33" i="4"/>
  <c r="E16" i="4"/>
  <c r="E33" i="4" s="1"/>
  <c r="C16" i="4"/>
  <c r="D15" i="4" s="1"/>
  <c r="C33" i="4"/>
  <c r="H15" i="4"/>
  <c r="H16" i="4" s="1"/>
  <c r="H14" i="4"/>
  <c r="D14" i="4"/>
  <c r="D16" i="4" s="1"/>
  <c r="I10" i="4"/>
  <c r="J9" i="4"/>
  <c r="G10" i="4"/>
  <c r="H7" i="4" s="1"/>
  <c r="E10" i="4"/>
  <c r="F9" i="4"/>
  <c r="C10" i="4"/>
  <c r="D8" i="4" s="1"/>
  <c r="D9" i="4"/>
  <c r="K8" i="4"/>
  <c r="D7" i="4"/>
  <c r="D10" i="4" s="1"/>
  <c r="C4" i="4"/>
  <c r="K15" i="4"/>
  <c r="C3" i="4"/>
  <c r="M44" i="2"/>
  <c r="N15" i="2"/>
  <c r="C53" i="2"/>
  <c r="D51" i="2" s="1"/>
  <c r="I53" i="2"/>
  <c r="J51" i="2" s="1"/>
  <c r="G53" i="2"/>
  <c r="H51" i="2" s="1"/>
  <c r="E53" i="2"/>
  <c r="G54" i="2" s="1"/>
  <c r="J43" i="2"/>
  <c r="C45" i="2"/>
  <c r="E46" i="2" s="1"/>
  <c r="D43" i="2"/>
  <c r="K23" i="2"/>
  <c r="K20" i="2"/>
  <c r="K19" i="2"/>
  <c r="K8" i="2"/>
  <c r="K51" i="2" s="1"/>
  <c r="K53" i="2" s="1"/>
  <c r="K54" i="2" s="1"/>
  <c r="K7" i="2"/>
  <c r="G46" i="2"/>
  <c r="J44" i="2"/>
  <c r="I23" i="3"/>
  <c r="G23" i="3"/>
  <c r="E23" i="3"/>
  <c r="C23" i="3"/>
  <c r="D20" i="3" s="1"/>
  <c r="H20" i="3"/>
  <c r="I16" i="3"/>
  <c r="I37" i="3" s="1"/>
  <c r="G16" i="3"/>
  <c r="H15" i="3" s="1"/>
  <c r="E16" i="3"/>
  <c r="F14" i="3" s="1"/>
  <c r="C16" i="3"/>
  <c r="I10" i="3"/>
  <c r="J8" i="3"/>
  <c r="G10" i="3"/>
  <c r="H9" i="3" s="1"/>
  <c r="E10" i="3"/>
  <c r="F9" i="3"/>
  <c r="C10" i="3"/>
  <c r="D9" i="3" s="1"/>
  <c r="E4" i="3"/>
  <c r="K22" i="1"/>
  <c r="K23" i="1" s="1"/>
  <c r="C4" i="1"/>
  <c r="C3" i="1"/>
  <c r="K16" i="1"/>
  <c r="E21" i="2"/>
  <c r="J15" i="3"/>
  <c r="D15" i="3"/>
  <c r="C37" i="3"/>
  <c r="J22" i="3"/>
  <c r="K22" i="2"/>
  <c r="K21" i="2" s="1"/>
  <c r="G37" i="3"/>
  <c r="F8" i="3"/>
  <c r="F7" i="3"/>
  <c r="F10" i="3" s="1"/>
  <c r="H14" i="3"/>
  <c r="F15" i="3"/>
  <c r="H21" i="3"/>
  <c r="J21" i="3"/>
  <c r="D14" i="3"/>
  <c r="D16" i="3" s="1"/>
  <c r="G22" i="2"/>
  <c r="G21" i="2" s="1"/>
  <c r="E22" i="2"/>
  <c r="E24" i="2" s="1"/>
  <c r="C22" i="2"/>
  <c r="C21" i="2" s="1"/>
  <c r="C9" i="2"/>
  <c r="D15" i="2"/>
  <c r="G28" i="1"/>
  <c r="E28" i="1"/>
  <c r="F28" i="1" s="1"/>
  <c r="E29" i="1"/>
  <c r="F27" i="1" s="1"/>
  <c r="F29" i="1" s="1"/>
  <c r="C28" i="1"/>
  <c r="C29" i="1"/>
  <c r="D27" i="1"/>
  <c r="G16" i="1"/>
  <c r="H14" i="1"/>
  <c r="H16" i="1"/>
  <c r="E16" i="1"/>
  <c r="F15" i="1" s="1"/>
  <c r="C16" i="1"/>
  <c r="D14" i="1"/>
  <c r="D16" i="1"/>
  <c r="F15" i="2"/>
  <c r="H15" i="2"/>
  <c r="G29" i="1"/>
  <c r="H28" i="1" s="1"/>
  <c r="H27" i="1"/>
  <c r="D15" i="1"/>
  <c r="H15" i="1"/>
  <c r="J15" i="2"/>
  <c r="D9" i="2"/>
  <c r="J9" i="2"/>
  <c r="F9" i="2"/>
  <c r="H9" i="2"/>
  <c r="L15" i="2"/>
  <c r="L9" i="2"/>
  <c r="C23" i="1"/>
  <c r="D21" i="1" s="1"/>
  <c r="D23" i="1" s="1"/>
  <c r="C10" i="1"/>
  <c r="D7" i="1" s="1"/>
  <c r="D10" i="1" s="1"/>
  <c r="D8" i="1"/>
  <c r="I22" i="2"/>
  <c r="I16" i="1"/>
  <c r="I29" i="1"/>
  <c r="J28" i="1"/>
  <c r="K29" i="1"/>
  <c r="L28" i="1" s="1"/>
  <c r="E23" i="1"/>
  <c r="F20" i="1" s="1"/>
  <c r="L14" i="1"/>
  <c r="L16" i="1" s="1"/>
  <c r="E10" i="1"/>
  <c r="F9" i="1" s="1"/>
  <c r="J27" i="1"/>
  <c r="J29" i="1"/>
  <c r="G23" i="1"/>
  <c r="H20" i="1" s="1"/>
  <c r="I23" i="1"/>
  <c r="J21" i="1" s="1"/>
  <c r="L15" i="1"/>
  <c r="J15" i="1"/>
  <c r="G10" i="1"/>
  <c r="H8" i="1" s="1"/>
  <c r="K10" i="1"/>
  <c r="L7" i="1"/>
  <c r="J14" i="1"/>
  <c r="J16" i="1"/>
  <c r="L9" i="1"/>
  <c r="I10" i="1"/>
  <c r="D20" i="1"/>
  <c r="F21" i="1"/>
  <c r="G34" i="4"/>
  <c r="H33" i="4" s="1"/>
  <c r="F7" i="4"/>
  <c r="F8" i="4"/>
  <c r="F14" i="4"/>
  <c r="F16" i="4" s="1"/>
  <c r="F15" i="4"/>
  <c r="J7" i="4"/>
  <c r="J10" i="4" s="1"/>
  <c r="J8" i="4"/>
  <c r="K14" i="4"/>
  <c r="K16" i="4" s="1"/>
  <c r="J7" i="1"/>
  <c r="J10" i="1" s="1"/>
  <c r="J9" i="1"/>
  <c r="J8" i="1"/>
  <c r="D44" i="2"/>
  <c r="L8" i="1"/>
  <c r="L10" i="1" s="1"/>
  <c r="D22" i="1"/>
  <c r="D28" i="1"/>
  <c r="D29" i="1"/>
  <c r="D7" i="3"/>
  <c r="F44" i="2"/>
  <c r="F43" i="2"/>
  <c r="H52" i="2"/>
  <c r="D9" i="1"/>
  <c r="J9" i="3"/>
  <c r="J14" i="3"/>
  <c r="J16" i="3"/>
  <c r="I56" i="2"/>
  <c r="J7" i="3"/>
  <c r="J10" i="3" s="1"/>
  <c r="H32" i="4"/>
  <c r="F10" i="4"/>
  <c r="E34" i="4" l="1"/>
  <c r="F33" i="4"/>
  <c r="L15" i="4"/>
  <c r="K33" i="4"/>
  <c r="F23" i="1"/>
  <c r="L21" i="1"/>
  <c r="L20" i="1"/>
  <c r="L22" i="1"/>
  <c r="H29" i="1"/>
  <c r="J20" i="1"/>
  <c r="H7" i="3"/>
  <c r="E36" i="3"/>
  <c r="F29" i="3"/>
  <c r="F30" i="3"/>
  <c r="F27" i="3"/>
  <c r="O15" i="4"/>
  <c r="O9" i="4"/>
  <c r="O8" i="4"/>
  <c r="D24" i="4"/>
  <c r="D26" i="4" s="1"/>
  <c r="J25" i="4"/>
  <c r="M15" i="4"/>
  <c r="F35" i="6"/>
  <c r="N32" i="2"/>
  <c r="N33" i="2"/>
  <c r="N37" i="2"/>
  <c r="N35" i="2"/>
  <c r="N36" i="2"/>
  <c r="H8" i="4"/>
  <c r="H10" i="4" s="1"/>
  <c r="D23" i="4"/>
  <c r="M14" i="4"/>
  <c r="L51" i="2"/>
  <c r="F8" i="1"/>
  <c r="J14" i="4"/>
  <c r="J16" i="4" s="1"/>
  <c r="H9" i="1"/>
  <c r="F7" i="1"/>
  <c r="L27" i="1"/>
  <c r="L29" i="1" s="1"/>
  <c r="D8" i="3"/>
  <c r="O15" i="3"/>
  <c r="O9" i="3"/>
  <c r="O8" i="3"/>
  <c r="K15" i="3"/>
  <c r="K16" i="3" s="1"/>
  <c r="K37" i="3" s="1"/>
  <c r="K9" i="3"/>
  <c r="K8" i="3"/>
  <c r="G36" i="3"/>
  <c r="H30" i="3"/>
  <c r="H29" i="3"/>
  <c r="H28" i="3"/>
  <c r="H27" i="3"/>
  <c r="H9" i="4"/>
  <c r="D25" i="4"/>
  <c r="M22" i="4"/>
  <c r="N34" i="2"/>
  <c r="L37" i="2"/>
  <c r="L32" i="2"/>
  <c r="L33" i="2"/>
  <c r="L36" i="2"/>
  <c r="L35" i="2"/>
  <c r="L34" i="2"/>
  <c r="H21" i="1"/>
  <c r="H23" i="1" s="1"/>
  <c r="H22" i="1"/>
  <c r="F22" i="1"/>
  <c r="D21" i="3"/>
  <c r="F16" i="3"/>
  <c r="I36" i="3"/>
  <c r="J36" i="3" s="1"/>
  <c r="J30" i="3"/>
  <c r="J29" i="3"/>
  <c r="J27" i="3"/>
  <c r="J31" i="3" s="1"/>
  <c r="K9" i="4"/>
  <c r="M24" i="4"/>
  <c r="K7" i="4"/>
  <c r="H7" i="1"/>
  <c r="H10" i="1" s="1"/>
  <c r="J22" i="1"/>
  <c r="J20" i="3"/>
  <c r="J23" i="3" s="1"/>
  <c r="H25" i="4"/>
  <c r="H26" i="4" s="1"/>
  <c r="K25" i="4"/>
  <c r="O22" i="4"/>
  <c r="O14" i="4"/>
  <c r="O23" i="4"/>
  <c r="O24" i="4"/>
  <c r="O7" i="4"/>
  <c r="C36" i="3"/>
  <c r="C38" i="3" s="1"/>
  <c r="D37" i="3" s="1"/>
  <c r="D29" i="3"/>
  <c r="D30" i="3"/>
  <c r="D27" i="3"/>
  <c r="L14" i="4"/>
  <c r="L16" i="4" s="1"/>
  <c r="K23" i="4"/>
  <c r="I38" i="3"/>
  <c r="M7" i="4"/>
  <c r="N7" i="4" s="1"/>
  <c r="J35" i="6"/>
  <c r="H8" i="3"/>
  <c r="H10" i="3" s="1"/>
  <c r="K22" i="4"/>
  <c r="I33" i="4"/>
  <c r="I34" i="4" s="1"/>
  <c r="F14" i="1"/>
  <c r="F16" i="1" s="1"/>
  <c r="F21" i="3"/>
  <c r="E37" i="3"/>
  <c r="F20" i="3"/>
  <c r="G56" i="2"/>
  <c r="I57" i="2" s="1"/>
  <c r="K24" i="4"/>
  <c r="F24" i="4"/>
  <c r="F26" i="4" s="1"/>
  <c r="J22" i="4"/>
  <c r="M8" i="4"/>
  <c r="M23" i="4" s="1"/>
  <c r="F38" i="2"/>
  <c r="H53" i="2"/>
  <c r="M9" i="2"/>
  <c r="N8" i="2" s="1"/>
  <c r="M43" i="2"/>
  <c r="M45" i="2" s="1"/>
  <c r="M56" i="2" s="1"/>
  <c r="L52" i="2"/>
  <c r="L53" i="2" s="1"/>
  <c r="K9" i="2"/>
  <c r="K43" i="2"/>
  <c r="F52" i="2"/>
  <c r="N52" i="2"/>
  <c r="O54" i="2"/>
  <c r="L15" i="3"/>
  <c r="L14" i="3"/>
  <c r="L16" i="3" s="1"/>
  <c r="H16" i="3"/>
  <c r="D10" i="3"/>
  <c r="M22" i="3"/>
  <c r="M22" i="2" s="1"/>
  <c r="M21" i="2" s="1"/>
  <c r="M24" i="2" s="1"/>
  <c r="M14" i="3"/>
  <c r="M20" i="3"/>
  <c r="F22" i="3"/>
  <c r="F23" i="3" s="1"/>
  <c r="D22" i="3"/>
  <c r="M8" i="3"/>
  <c r="M15" i="3"/>
  <c r="M9" i="3"/>
  <c r="H22" i="3"/>
  <c r="H23" i="3" s="1"/>
  <c r="D36" i="3"/>
  <c r="D38" i="3" s="1"/>
  <c r="J37" i="3"/>
  <c r="I35" i="4"/>
  <c r="D33" i="4"/>
  <c r="D34" i="4" s="1"/>
  <c r="D52" i="2"/>
  <c r="D53" i="2" s="1"/>
  <c r="C56" i="2"/>
  <c r="F51" i="2"/>
  <c r="F53" i="2" s="1"/>
  <c r="E56" i="2"/>
  <c r="E57" i="2" s="1"/>
  <c r="I54" i="2"/>
  <c r="J52" i="2"/>
  <c r="J53" i="2" s="1"/>
  <c r="E54" i="2"/>
  <c r="J45" i="2"/>
  <c r="F45" i="2"/>
  <c r="D45" i="2"/>
  <c r="I46" i="2"/>
  <c r="H44" i="2"/>
  <c r="H43" i="2"/>
  <c r="N51" i="2"/>
  <c r="N53" i="2" s="1"/>
  <c r="M54" i="2"/>
  <c r="H34" i="4"/>
  <c r="G35" i="4"/>
  <c r="J32" i="4"/>
  <c r="M10" i="4"/>
  <c r="N8" i="4" s="1"/>
  <c r="F23" i="2"/>
  <c r="F20" i="2"/>
  <c r="F19" i="2"/>
  <c r="F21" i="2"/>
  <c r="C24" i="2"/>
  <c r="K24" i="2"/>
  <c r="G24" i="2"/>
  <c r="F22" i="2"/>
  <c r="I21" i="2"/>
  <c r="L9" i="3" l="1"/>
  <c r="N9" i="4"/>
  <c r="N10" i="4" s="1"/>
  <c r="G38" i="3"/>
  <c r="K29" i="3"/>
  <c r="K21" i="3"/>
  <c r="K23" i="3" s="1"/>
  <c r="K10" i="3"/>
  <c r="F10" i="1"/>
  <c r="J23" i="1"/>
  <c r="N43" i="2"/>
  <c r="E38" i="3"/>
  <c r="E39" i="3" s="1"/>
  <c r="O10" i="4"/>
  <c r="P7" i="4" s="1"/>
  <c r="G57" i="2"/>
  <c r="M29" i="3"/>
  <c r="M21" i="3"/>
  <c r="P9" i="4"/>
  <c r="D23" i="3"/>
  <c r="H31" i="3"/>
  <c r="O29" i="3"/>
  <c r="O31" i="3" s="1"/>
  <c r="O21" i="3"/>
  <c r="P15" i="4"/>
  <c r="F31" i="3"/>
  <c r="O16" i="4"/>
  <c r="O33" i="4" s="1"/>
  <c r="O25" i="4"/>
  <c r="J33" i="4"/>
  <c r="J34" i="4" s="1"/>
  <c r="K26" i="4"/>
  <c r="K32" i="4" s="1"/>
  <c r="D31" i="3"/>
  <c r="O26" i="4"/>
  <c r="O32" i="4" s="1"/>
  <c r="M16" i="4"/>
  <c r="M25" i="4"/>
  <c r="L23" i="1"/>
  <c r="J26" i="4"/>
  <c r="K10" i="4"/>
  <c r="L8" i="4" s="1"/>
  <c r="L24" i="4"/>
  <c r="E35" i="4"/>
  <c r="F32" i="4"/>
  <c r="F34" i="4" s="1"/>
  <c r="L21" i="2"/>
  <c r="L38" i="2"/>
  <c r="H38" i="2"/>
  <c r="D21" i="2"/>
  <c r="D37" i="2"/>
  <c r="D32" i="2"/>
  <c r="D33" i="2"/>
  <c r="D35" i="2"/>
  <c r="D34" i="2"/>
  <c r="N7" i="2"/>
  <c r="N9" i="2" s="1"/>
  <c r="O46" i="2"/>
  <c r="N44" i="2"/>
  <c r="N45" i="2" s="1"/>
  <c r="K45" i="2"/>
  <c r="L43" i="2" s="1"/>
  <c r="L21" i="3"/>
  <c r="L20" i="3"/>
  <c r="L22" i="3"/>
  <c r="O57" i="2"/>
  <c r="M23" i="3"/>
  <c r="M10" i="3"/>
  <c r="N7" i="3" s="1"/>
  <c r="O10" i="3"/>
  <c r="O16" i="3"/>
  <c r="O37" i="3" s="1"/>
  <c r="O23" i="3"/>
  <c r="M16" i="3"/>
  <c r="L22" i="2"/>
  <c r="J38" i="3"/>
  <c r="H45" i="2"/>
  <c r="H19" i="2"/>
  <c r="H23" i="2"/>
  <c r="H20" i="2"/>
  <c r="N23" i="2"/>
  <c r="N19" i="2"/>
  <c r="N20" i="2"/>
  <c r="N22" i="2"/>
  <c r="I24" i="2"/>
  <c r="L19" i="2"/>
  <c r="L23" i="2"/>
  <c r="L20" i="2"/>
  <c r="D23" i="2"/>
  <c r="D22" i="2"/>
  <c r="D20" i="2"/>
  <c r="D19" i="2"/>
  <c r="F24" i="2"/>
  <c r="H22" i="2"/>
  <c r="H21" i="2"/>
  <c r="N21" i="2"/>
  <c r="L9" i="4" l="1"/>
  <c r="N14" i="4"/>
  <c r="M33" i="4"/>
  <c r="N15" i="4"/>
  <c r="N16" i="4" s="1"/>
  <c r="P25" i="4"/>
  <c r="L23" i="4"/>
  <c r="L29" i="3"/>
  <c r="K31" i="3"/>
  <c r="N27" i="3"/>
  <c r="N28" i="3"/>
  <c r="N30" i="3"/>
  <c r="L25" i="4"/>
  <c r="P22" i="4"/>
  <c r="H37" i="3"/>
  <c r="I39" i="3"/>
  <c r="G39" i="3"/>
  <c r="H36" i="3"/>
  <c r="O34" i="4"/>
  <c r="P32" i="4"/>
  <c r="L7" i="4"/>
  <c r="L10" i="4" s="1"/>
  <c r="K34" i="4"/>
  <c r="L32" i="4"/>
  <c r="P8" i="4"/>
  <c r="P10" i="4" s="1"/>
  <c r="L22" i="4"/>
  <c r="N29" i="3"/>
  <c r="M31" i="3"/>
  <c r="F36" i="3"/>
  <c r="L7" i="3"/>
  <c r="L8" i="3"/>
  <c r="F37" i="3"/>
  <c r="P24" i="4"/>
  <c r="L23" i="3"/>
  <c r="M26" i="4"/>
  <c r="N25" i="4"/>
  <c r="P14" i="4"/>
  <c r="P16" i="4" s="1"/>
  <c r="P23" i="4"/>
  <c r="K36" i="3"/>
  <c r="K38" i="3" s="1"/>
  <c r="K39" i="3" s="1"/>
  <c r="L27" i="3"/>
  <c r="L31" i="3" s="1"/>
  <c r="L28" i="3"/>
  <c r="L30" i="3"/>
  <c r="P28" i="3"/>
  <c r="P30" i="3"/>
  <c r="P27" i="3"/>
  <c r="P29" i="3"/>
  <c r="D38" i="2"/>
  <c r="N38" i="2"/>
  <c r="J21" i="2"/>
  <c r="K46" i="2"/>
  <c r="L44" i="2"/>
  <c r="L45" i="2" s="1"/>
  <c r="K56" i="2"/>
  <c r="M46" i="2"/>
  <c r="P8" i="3"/>
  <c r="P9" i="3"/>
  <c r="N9" i="3"/>
  <c r="N8" i="3"/>
  <c r="P7" i="3"/>
  <c r="L37" i="3"/>
  <c r="N14" i="3"/>
  <c r="N15" i="3"/>
  <c r="M37" i="3"/>
  <c r="P21" i="3"/>
  <c r="P22" i="3"/>
  <c r="O36" i="3"/>
  <c r="O38" i="3" s="1"/>
  <c r="P37" i="3" s="1"/>
  <c r="P20" i="3"/>
  <c r="O24" i="2"/>
  <c r="N20" i="3"/>
  <c r="N22" i="3"/>
  <c r="M36" i="3"/>
  <c r="N21" i="3"/>
  <c r="P14" i="3"/>
  <c r="P15" i="3"/>
  <c r="L24" i="2"/>
  <c r="J20" i="2"/>
  <c r="J19" i="2"/>
  <c r="J23" i="2"/>
  <c r="J22" i="2"/>
  <c r="D24" i="2"/>
  <c r="N24" i="2"/>
  <c r="H24" i="2"/>
  <c r="L33" i="4" l="1"/>
  <c r="L34" i="4" s="1"/>
  <c r="K35" i="4"/>
  <c r="P26" i="4"/>
  <c r="L10" i="3"/>
  <c r="F38" i="3"/>
  <c r="O35" i="4"/>
  <c r="P33" i="4"/>
  <c r="P34" i="4" s="1"/>
  <c r="L36" i="3"/>
  <c r="M32" i="4"/>
  <c r="M34" i="4" s="1"/>
  <c r="N24" i="4"/>
  <c r="N22" i="4"/>
  <c r="N23" i="4"/>
  <c r="H38" i="3"/>
  <c r="N31" i="3"/>
  <c r="L26" i="4"/>
  <c r="P31" i="3"/>
  <c r="P10" i="3"/>
  <c r="J38" i="2"/>
  <c r="K57" i="2"/>
  <c r="M57" i="2"/>
  <c r="J24" i="2"/>
  <c r="L38" i="3"/>
  <c r="N16" i="3"/>
  <c r="P36" i="3"/>
  <c r="P38" i="3" s="1"/>
  <c r="N23" i="3"/>
  <c r="M38" i="3"/>
  <c r="N37" i="3" s="1"/>
  <c r="P23" i="2"/>
  <c r="P19" i="2"/>
  <c r="P20" i="2"/>
  <c r="P22" i="2"/>
  <c r="P16" i="3"/>
  <c r="P21" i="2"/>
  <c r="P23" i="3"/>
  <c r="N10" i="3"/>
  <c r="N32" i="4" l="1"/>
  <c r="N33" i="4"/>
  <c r="N34" i="4" s="1"/>
  <c r="M35" i="4"/>
  <c r="N26" i="4"/>
  <c r="P38" i="2"/>
  <c r="M39" i="3"/>
  <c r="O39" i="3"/>
  <c r="P24" i="2"/>
  <c r="N36" i="3"/>
  <c r="N38" i="3" s="1"/>
</calcChain>
</file>

<file path=xl/sharedStrings.xml><?xml version="1.0" encoding="utf-8"?>
<sst xmlns="http://schemas.openxmlformats.org/spreadsheetml/2006/main" count="185" uniqueCount="94">
  <si>
    <t>Factor conv. FO4 bbl/TM</t>
  </si>
  <si>
    <t>Factor conv. FO6 bbl/TM</t>
  </si>
  <si>
    <t>2019*</t>
  </si>
  <si>
    <t>Fuel Oil # 4</t>
  </si>
  <si>
    <t>Fuel Oil # 6 nacional</t>
  </si>
  <si>
    <t>Fuel Oil # 6 exportación</t>
  </si>
  <si>
    <t>Nacional - Industrial</t>
  </si>
  <si>
    <t xml:space="preserve">Eléctrico </t>
  </si>
  <si>
    <t>FO 4</t>
  </si>
  <si>
    <r>
      <rPr>
        <b/>
        <sz val="8"/>
        <color indexed="8"/>
        <rFont val="Calibri"/>
        <family val="2"/>
      </rPr>
      <t xml:space="preserve">Fuente: Boletín estadístico </t>
    </r>
    <r>
      <rPr>
        <sz val="8"/>
        <color indexed="8"/>
        <rFont val="Calibri"/>
        <family val="2"/>
      </rPr>
      <t>EP Petroecuador</t>
    </r>
  </si>
  <si>
    <t>https://www.eppetroecuador.ec/wp-content/uploads/downloads/2019/06/INFORME-ESTADISTICO-MAYO-2019.pdf</t>
  </si>
  <si>
    <t>* Cifras hasta mayo 2019</t>
  </si>
  <si>
    <t>Fuel Oil: Estadísticas de Producción, Exportación y Demanda</t>
  </si>
  <si>
    <t>Exportación de Fuel Oil (TM)</t>
  </si>
  <si>
    <t>Fuel Oil 4</t>
  </si>
  <si>
    <t>Fuel Oil 6</t>
  </si>
  <si>
    <t>Total Producción</t>
  </si>
  <si>
    <t>Total  Exportación</t>
  </si>
  <si>
    <t>Total consumo</t>
  </si>
  <si>
    <t>Eléctrico (FO4)</t>
  </si>
  <si>
    <t>Abast. Potencial (Exp. FO4)</t>
  </si>
  <si>
    <t>Total SNI</t>
  </si>
  <si>
    <r>
      <t xml:space="preserve">Eléctrico (FO6) </t>
    </r>
    <r>
      <rPr>
        <vertAlign val="superscript"/>
        <sz val="11"/>
        <color indexed="8"/>
        <rFont val="Calibri"/>
        <family val="2"/>
      </rPr>
      <t>1</t>
    </r>
  </si>
  <si>
    <t>Nota 1:  El reporte estadístico provisto por EPP no reporta el consumo de FO6 por parte del sector termogenerador, por lo que se presenta</t>
  </si>
  <si>
    <t>un balance en base a las demás cifras de consumo que son confirmadas en los reportes de EPP.</t>
  </si>
  <si>
    <t>Producción de FO 4 y FO 6 - Refinerías Esmeraldas, La Libertad &amp; Sushufindi (TM)</t>
  </si>
  <si>
    <t>Abastecimiento/Consumo interno (TM)</t>
  </si>
  <si>
    <t>Abastecimiento Sector Naviero Internacional - SNI (TM)</t>
  </si>
  <si>
    <t>Producción de Diesel 2 y Diesel Premium - Refinerías Esmeraldas, La Libertad &amp; Sushufindi (TM)</t>
  </si>
  <si>
    <t>Diesel 2</t>
  </si>
  <si>
    <t>Diesel Premium</t>
  </si>
  <si>
    <t>Transporte</t>
  </si>
  <si>
    <t>Abastecimiento/Consumo Interno (TM)</t>
  </si>
  <si>
    <t>Marino (Nacional)</t>
  </si>
  <si>
    <t>Diesel: Estadísticas de Producción, Importación y Demanda</t>
  </si>
  <si>
    <t>Importación de Diesel 2 y Diesel Premium (TM)</t>
  </si>
  <si>
    <t>Total  Importación</t>
  </si>
  <si>
    <t>Nota 1:  El reporte estadístico provisto por EPP no segrega el consumo de Diesel/MGO de los sectores marino nacional e internacional</t>
  </si>
  <si>
    <t xml:space="preserve">Se estima el abastecimiento de Diesel/MGO al SNI  como el  3% del abastecimiento de FO4 al SNI en el mismo período. </t>
  </si>
  <si>
    <r>
      <t>Marino (SNI)</t>
    </r>
    <r>
      <rPr>
        <vertAlign val="superscript"/>
        <sz val="11"/>
        <color indexed="8"/>
        <rFont val="Calibri"/>
        <family val="2"/>
      </rPr>
      <t>1</t>
    </r>
  </si>
  <si>
    <t>A.Andrade</t>
  </si>
  <si>
    <t>Eléctrico</t>
  </si>
  <si>
    <t>Marino</t>
  </si>
  <si>
    <t>Agnamar S.A.</t>
  </si>
  <si>
    <t>Producción de FO 4 y FO 6 - Refinerías EPP (TM)</t>
  </si>
  <si>
    <t>Fuel Oil (Consumo nacional)</t>
  </si>
  <si>
    <t>Fuel Oil (Exportación)</t>
  </si>
  <si>
    <t>Total Consumo/Exportación</t>
  </si>
  <si>
    <t>Variación anual</t>
  </si>
  <si>
    <t>Diesel 2 (Producción Nacional)</t>
  </si>
  <si>
    <t>Diesel 2 (Importación)</t>
  </si>
  <si>
    <t>Total TM/año</t>
  </si>
  <si>
    <t>Producción/Importación de Diesel 2 - Volumen en TM</t>
  </si>
  <si>
    <t>Producción/Importación de Diesel Premium - Volumen en TM</t>
  </si>
  <si>
    <t>Diesel Premium (Producción Nacional)</t>
  </si>
  <si>
    <t>Diesel Premium (Importación)</t>
  </si>
  <si>
    <t>TOTAL DEMANDA DE DIESEL</t>
  </si>
  <si>
    <t>Exportación de FO4</t>
  </si>
  <si>
    <t>REFINERÍA DE LA LIBERTAD</t>
  </si>
  <si>
    <t>PRODUCCIÓN Y DESPACHOS DE FUEL OIL</t>
  </si>
  <si>
    <t>2021*</t>
  </si>
  <si>
    <t>* Cifras 2021: reales a Abril, proyectadas a Diciembre</t>
  </si>
  <si>
    <t>API 16</t>
  </si>
  <si>
    <t>API 12</t>
  </si>
  <si>
    <t>Factor conv. FO4 bbl/TM*</t>
  </si>
  <si>
    <t>*hasta el 2019</t>
  </si>
  <si>
    <t>Abastecimiento/Consumo interno FO 4 (TM)</t>
  </si>
  <si>
    <t xml:space="preserve">Factor conv. Diesel </t>
  </si>
  <si>
    <t>Automotriz</t>
  </si>
  <si>
    <t>Electrico</t>
  </si>
  <si>
    <t>Industrial</t>
  </si>
  <si>
    <t>Naviero</t>
  </si>
  <si>
    <t>Pesquero</t>
  </si>
  <si>
    <t>Petrolero</t>
  </si>
  <si>
    <t>Abastecimiento/Consumo Interno(TM) D2</t>
  </si>
  <si>
    <t>ok</t>
  </si>
  <si>
    <t>Eléctrico - Subsidiado</t>
  </si>
  <si>
    <t>* Cifras 2021: reales a Mayo, proyectadas a Diciembre</t>
  </si>
  <si>
    <t>La importación y la producción nacional de de Nafta Alto Octano y Nafta bajo Octano que se mezclan para producir las diferentes gasolinas, Super, Extra y Eco</t>
  </si>
  <si>
    <t>Combustibles Limpios-Gasolinas: Analisis de Oferta - Producción e Importación</t>
  </si>
  <si>
    <t>Oferta nacional: Gasolinas (barriles)</t>
  </si>
  <si>
    <t>Producción nacional - G. base y etanol</t>
  </si>
  <si>
    <t>Importación - Naftas</t>
  </si>
  <si>
    <t>Total</t>
  </si>
  <si>
    <t>Oferta nacional: Tipos de gasolina (barriles)</t>
  </si>
  <si>
    <t>Super</t>
  </si>
  <si>
    <t>Extra</t>
  </si>
  <si>
    <t>EcoPais</t>
  </si>
  <si>
    <t>Importacion NAFTAS (barriles)</t>
  </si>
  <si>
    <t>NAFTA 93</t>
  </si>
  <si>
    <t>Gasolinas (Producción Nacional)</t>
  </si>
  <si>
    <t>Importacion - Naftas</t>
  </si>
  <si>
    <t>Producción/Importación (barriles)</t>
  </si>
  <si>
    <t>NAFTA 85-80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</si>
</sst>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-* #,##0.00\ _$_-;\-* #,##0.00\ _$_-;_-* &quot;-&quot;??\ _$_-;_-@_-"/>
    <numFmt numFmtId="167" formatCode="_ * #,##0.00_ ;_ * \-#,##0.00_ ;_ * &quot;-&quot;??_ ;_ @_ "/>
    <numFmt numFmtId="168" formatCode="_ [$€-2]\ * #,##0.00_ ;_ [$€-2]\ * \-#,##0.00_ ;_ [$€-2]\ * &quot;-&quot;??_ "/>
    <numFmt numFmtId="169" formatCode="_(* #,##0_);_(* \(#,##0\);_(* &quot;-&quot;??_);_(@_)"/>
    <numFmt numFmtId="170" formatCode="_-* #,##0.00\ _€_-;\-* #,##0.00\ _€_-;_-* &quot;-&quot;??\ _€_-;_-@_-"/>
    <numFmt numFmtId="171" formatCode="_ * #,##0_ ;_ * \-#,##0_ ;_ * &quot;-&quot;??_ ;_ @_ "/>
    <numFmt numFmtId="172" formatCode="_ &quot;$&quot;\ * #,##0.00_ ;_ &quot;$&quot;\ * \-#,##0.00_ ;_ &quot;$&quot;\ * &quot;-&quot;??_ ;_ @_ "/>
    <numFmt numFmtId="173" formatCode="0.0000"/>
    <numFmt numFmtId="174" formatCode="0.0%"/>
  </numFmts>
  <fonts count="32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Geneva"/>
      <family val="2"/>
      <charset val="1"/>
    </font>
    <font>
      <sz val="8"/>
      <name val="Times New Roman"/>
      <family val="1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4"/>
      <name val="Aparajita"/>
      <family val="2"/>
      <charset val="1"/>
    </font>
    <font>
      <b/>
      <sz val="16"/>
      <color theme="4"/>
      <name val="Aparajita"/>
      <family val="2"/>
      <charset val="1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color theme="10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167" fontId="1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3" fillId="0" borderId="0" applyAlignment="0">
      <alignment vertical="top" wrapText="1"/>
      <protection locked="0"/>
    </xf>
    <xf numFmtId="0" fontId="7" fillId="0" borderId="0"/>
    <xf numFmtId="0" fontId="7" fillId="0" borderId="0"/>
    <xf numFmtId="0" fontId="14" fillId="0" borderId="0">
      <alignment vertical="top"/>
    </xf>
    <xf numFmtId="0" fontId="18" fillId="0" borderId="0"/>
    <xf numFmtId="0" fontId="7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5" fillId="20" borderId="5" applyNumberFormat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4" fillId="0" borderId="0" applyFont="0" applyFill="0" applyBorder="0" applyAlignment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9" fontId="18" fillId="21" borderId="6" xfId="110" applyFon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1" borderId="6" xfId="0" applyNumberFormat="1" applyFill="1" applyBorder="1"/>
    <xf numFmtId="2" fontId="0" fillId="21" borderId="6" xfId="0" applyNumberFormat="1" applyFill="1" applyBorder="1"/>
    <xf numFmtId="0" fontId="21" fillId="21" borderId="0" xfId="0" applyFont="1" applyFill="1" applyAlignment="1">
      <alignment horizontal="left"/>
    </xf>
    <xf numFmtId="0" fontId="0" fillId="21" borderId="0" xfId="0" applyFill="1"/>
    <xf numFmtId="0" fontId="22" fillId="21" borderId="0" xfId="0" applyFont="1" applyFill="1" applyAlignment="1">
      <alignment horizontal="left"/>
    </xf>
    <xf numFmtId="0" fontId="20" fillId="21" borderId="0" xfId="0" applyFont="1" applyFill="1"/>
    <xf numFmtId="0" fontId="0" fillId="22" borderId="0" xfId="0" applyFill="1"/>
    <xf numFmtId="2" fontId="0" fillId="21" borderId="8" xfId="0" applyNumberFormat="1" applyFill="1" applyBorder="1"/>
    <xf numFmtId="3" fontId="0" fillId="21" borderId="8" xfId="0" applyNumberFormat="1" applyFill="1" applyBorder="1"/>
    <xf numFmtId="3" fontId="0" fillId="21" borderId="7" xfId="0" applyNumberFormat="1" applyFill="1" applyBorder="1"/>
    <xf numFmtId="2" fontId="23" fillId="23" borderId="9" xfId="0" applyNumberFormat="1" applyFont="1" applyFill="1" applyBorder="1"/>
    <xf numFmtId="3" fontId="23" fillId="23" borderId="9" xfId="0" applyNumberFormat="1" applyFont="1" applyFill="1" applyBorder="1"/>
    <xf numFmtId="2" fontId="23" fillId="21" borderId="0" xfId="0" applyNumberFormat="1" applyFont="1" applyFill="1"/>
    <xf numFmtId="3" fontId="23" fillId="21" borderId="0" xfId="0" applyNumberFormat="1" applyFont="1" applyFill="1"/>
    <xf numFmtId="9" fontId="18" fillId="21" borderId="0" xfId="110" applyFont="1" applyFill="1" applyAlignment="1">
      <alignment horizontal="center"/>
    </xf>
    <xf numFmtId="3" fontId="0" fillId="21" borderId="0" xfId="0" applyNumberFormat="1" applyFill="1"/>
    <xf numFmtId="0" fontId="0" fillId="21" borderId="7" xfId="0" applyFill="1" applyBorder="1"/>
    <xf numFmtId="0" fontId="24" fillId="21" borderId="0" xfId="0" applyFont="1" applyFill="1"/>
    <xf numFmtId="0" fontId="25" fillId="21" borderId="0" xfId="0" applyFont="1" applyFill="1"/>
    <xf numFmtId="0" fontId="26" fillId="21" borderId="0" xfId="34" applyFont="1" applyFill="1" applyAlignment="1" applyProtection="1"/>
    <xf numFmtId="2" fontId="23" fillId="0" borderId="0" xfId="0" applyNumberFormat="1" applyFont="1"/>
    <xf numFmtId="3" fontId="23" fillId="0" borderId="0" xfId="0" applyNumberFormat="1" applyFont="1"/>
    <xf numFmtId="15" fontId="27" fillId="21" borderId="0" xfId="0" applyNumberFormat="1" applyFont="1" applyFill="1" applyAlignment="1">
      <alignment horizontal="left"/>
    </xf>
    <xf numFmtId="0" fontId="27" fillId="21" borderId="0" xfId="0" applyFont="1" applyFill="1" applyAlignment="1">
      <alignment horizontal="left"/>
    </xf>
    <xf numFmtId="9" fontId="18" fillId="21" borderId="8" xfId="110" applyFont="1" applyFill="1" applyBorder="1"/>
    <xf numFmtId="9" fontId="23" fillId="23" borderId="9" xfId="110" applyFont="1" applyFill="1" applyBorder="1"/>
    <xf numFmtId="0" fontId="27" fillId="21" borderId="0" xfId="0" applyFont="1" applyFill="1"/>
    <xf numFmtId="3" fontId="23" fillId="0" borderId="0" xfId="0" applyNumberFormat="1" applyFont="1" applyAlignment="1">
      <alignment horizontal="left"/>
    </xf>
    <xf numFmtId="0" fontId="21" fillId="21" borderId="0" xfId="0" applyFont="1" applyFill="1"/>
    <xf numFmtId="2" fontId="0" fillId="21" borderId="0" xfId="0" applyNumberFormat="1" applyFill="1"/>
    <xf numFmtId="0" fontId="28" fillId="21" borderId="0" xfId="0" applyFont="1" applyFill="1"/>
    <xf numFmtId="173" fontId="0" fillId="21" borderId="0" xfId="0" applyNumberFormat="1" applyFill="1"/>
    <xf numFmtId="3" fontId="0" fillId="24" borderId="0" xfId="0" applyNumberFormat="1" applyFill="1"/>
    <xf numFmtId="3" fontId="0" fillId="24" borderId="8" xfId="0" applyNumberFormat="1" applyFill="1" applyBorder="1"/>
    <xf numFmtId="3" fontId="0" fillId="0" borderId="8" xfId="0" applyNumberFormat="1" applyBorder="1"/>
    <xf numFmtId="3" fontId="0" fillId="0" borderId="0" xfId="0" applyNumberFormat="1"/>
    <xf numFmtId="0" fontId="19" fillId="21" borderId="0" xfId="34" applyFill="1" applyAlignment="1" applyProtection="1"/>
    <xf numFmtId="0" fontId="29" fillId="21" borderId="0" xfId="0" applyFont="1" applyFill="1"/>
    <xf numFmtId="174" fontId="29" fillId="21" borderId="0" xfId="110" applyNumberFormat="1" applyFont="1" applyFill="1"/>
    <xf numFmtId="0" fontId="26" fillId="0" borderId="0" xfId="34" applyFont="1" applyFill="1" applyBorder="1" applyAlignment="1" applyProtection="1"/>
    <xf numFmtId="0" fontId="24" fillId="0" borderId="0" xfId="0" applyFont="1"/>
    <xf numFmtId="0" fontId="27" fillId="0" borderId="0" xfId="0" applyFont="1" applyAlignment="1">
      <alignment horizontal="left"/>
    </xf>
    <xf numFmtId="0" fontId="20" fillId="0" borderId="0" xfId="0" applyFont="1"/>
    <xf numFmtId="2" fontId="0" fillId="0" borderId="0" xfId="0" applyNumberFormat="1"/>
    <xf numFmtId="9" fontId="18" fillId="0" borderId="0" xfId="110" applyFont="1" applyFill="1" applyBorder="1"/>
    <xf numFmtId="9" fontId="23" fillId="0" borderId="0" xfId="110" applyFont="1" applyFill="1" applyBorder="1"/>
    <xf numFmtId="9" fontId="18" fillId="0" borderId="0" xfId="110" applyFont="1" applyFill="1" applyBorder="1" applyAlignment="1">
      <alignment horizontal="center"/>
    </xf>
    <xf numFmtId="0" fontId="25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9" fontId="0" fillId="0" borderId="0" xfId="0" applyNumberFormat="1"/>
    <xf numFmtId="15" fontId="27" fillId="0" borderId="0" xfId="0" applyNumberFormat="1" applyFont="1" applyAlignment="1">
      <alignment horizontal="left"/>
    </xf>
    <xf numFmtId="15" fontId="27" fillId="0" borderId="0" xfId="0" applyNumberFormat="1" applyFont="1"/>
    <xf numFmtId="174" fontId="18" fillId="0" borderId="0" xfId="110" applyNumberFormat="1" applyFont="1" applyFill="1" applyBorder="1"/>
    <xf numFmtId="2" fontId="0" fillId="25" borderId="0" xfId="0" applyNumberFormat="1" applyFill="1"/>
    <xf numFmtId="3" fontId="0" fillId="25" borderId="0" xfId="0" applyNumberFormat="1" applyFill="1"/>
    <xf numFmtId="9" fontId="18" fillId="25" borderId="0" xfId="110" applyFont="1" applyFill="1" applyBorder="1"/>
    <xf numFmtId="9" fontId="18" fillId="21" borderId="0" xfId="110" applyFont="1" applyFill="1" applyBorder="1"/>
    <xf numFmtId="2" fontId="30" fillId="21" borderId="0" xfId="0" applyNumberFormat="1" applyFont="1" applyFill="1"/>
    <xf numFmtId="0" fontId="20" fillId="21" borderId="0" xfId="0" applyFont="1" applyFill="1" applyAlignment="1">
      <alignment horizontal="center"/>
    </xf>
    <xf numFmtId="0" fontId="20" fillId="21" borderId="0" xfId="0" applyFont="1" applyFill="1" applyAlignment="1">
      <alignment horizontal="center" wrapText="1"/>
    </xf>
    <xf numFmtId="171" fontId="18" fillId="21" borderId="0" xfId="27" applyNumberFormat="1" applyFont="1" applyFill="1" applyBorder="1"/>
    <xf numFmtId="171" fontId="18" fillId="0" borderId="0" xfId="27" applyNumberFormat="1" applyFont="1" applyFill="1" applyBorder="1"/>
    <xf numFmtId="171" fontId="20" fillId="0" borderId="0" xfId="27" applyNumberFormat="1" applyFont="1" applyFill="1" applyBorder="1"/>
    <xf numFmtId="9" fontId="20" fillId="0" borderId="0" xfId="110" applyFont="1" applyFill="1" applyBorder="1"/>
    <xf numFmtId="167" fontId="0" fillId="21" borderId="0" xfId="0" applyNumberFormat="1" applyFill="1"/>
    <xf numFmtId="2" fontId="0" fillId="21" borderId="7" xfId="0" applyNumberFormat="1" applyFill="1" applyBorder="1"/>
    <xf numFmtId="9" fontId="18" fillId="21" borderId="7" xfId="110" applyFont="1" applyFill="1" applyBorder="1"/>
    <xf numFmtId="0" fontId="0" fillId="21" borderId="6" xfId="0" applyFill="1" applyBorder="1"/>
    <xf numFmtId="9" fontId="18" fillId="21" borderId="10" xfId="110" applyFont="1" applyFill="1" applyBorder="1"/>
    <xf numFmtId="0" fontId="0" fillId="21" borderId="0" xfId="0" applyFill="1" applyAlignment="1">
      <alignment horizontal="left"/>
    </xf>
    <xf numFmtId="9" fontId="0" fillId="0" borderId="0" xfId="110" applyFont="1" applyFill="1" applyBorder="1"/>
    <xf numFmtId="2" fontId="23" fillId="23" borderId="11" xfId="0" applyNumberFormat="1" applyFont="1" applyFill="1" applyBorder="1"/>
    <xf numFmtId="2" fontId="23" fillId="23" borderId="12" xfId="0" applyNumberFormat="1" applyFont="1" applyFill="1" applyBorder="1"/>
    <xf numFmtId="3" fontId="0" fillId="0" borderId="13" xfId="0" applyNumberFormat="1" applyBorder="1"/>
    <xf numFmtId="3" fontId="23" fillId="23" borderId="12" xfId="0" applyNumberFormat="1" applyFont="1" applyFill="1" applyBorder="1"/>
    <xf numFmtId="9" fontId="23" fillId="23" borderId="12" xfId="110" applyFont="1" applyFill="1" applyBorder="1"/>
    <xf numFmtId="3" fontId="23" fillId="23" borderId="11" xfId="0" applyNumberFormat="1" applyFont="1" applyFill="1" applyBorder="1"/>
    <xf numFmtId="9" fontId="23" fillId="23" borderId="11" xfId="110" applyFont="1" applyFill="1" applyBorder="1"/>
    <xf numFmtId="0" fontId="31" fillId="21" borderId="0" xfId="0" applyFont="1" applyFill="1" applyAlignment="1">
      <alignment horizontal="left"/>
    </xf>
    <xf numFmtId="0" fontId="31" fillId="0" borderId="0" xfId="0" applyFont="1"/>
    <xf numFmtId="0" fontId="0" fillId="21" borderId="14" xfId="0" applyFill="1" applyBorder="1"/>
    <xf numFmtId="173" fontId="0" fillId="21" borderId="14" xfId="0" applyNumberFormat="1" applyFill="1" applyBorder="1"/>
    <xf numFmtId="0" fontId="25" fillId="21" borderId="14" xfId="0" applyFont="1" applyFill="1" applyBorder="1" applyAlignment="1">
      <alignment wrapText="1"/>
    </xf>
    <xf numFmtId="3" fontId="29" fillId="21" borderId="7" xfId="0" applyNumberFormat="1" applyFont="1" applyFill="1" applyBorder="1"/>
    <xf numFmtId="3" fontId="29" fillId="21" borderId="8" xfId="0" applyNumberFormat="1" applyFont="1" applyFill="1" applyBorder="1"/>
    <xf numFmtId="3" fontId="29" fillId="21" borderId="0" xfId="0" applyNumberFormat="1" applyFont="1" applyFill="1"/>
    <xf numFmtId="0" fontId="23" fillId="22" borderId="0" xfId="0" applyFont="1" applyFill="1" applyAlignment="1">
      <alignment horizontal="center"/>
    </xf>
    <xf numFmtId="15" fontId="27" fillId="21" borderId="0" xfId="0" applyNumberFormat="1" applyFont="1" applyFill="1" applyAlignment="1">
      <alignment horizontal="left"/>
    </xf>
  </cellXfs>
  <cellStyles count="12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omma" xfId="27" builtinId="3"/>
    <cellStyle name="Euro" xfId="28" xr:uid="{00000000-0005-0000-0000-00001A000000}"/>
    <cellStyle name="Explanatory Text" xfId="29" xr:uid="{00000000-0005-0000-0000-00001B000000}"/>
    <cellStyle name="Heading 1" xfId="30" xr:uid="{00000000-0005-0000-0000-00001C000000}"/>
    <cellStyle name="Heading 2" xfId="31" xr:uid="{00000000-0005-0000-0000-00001D000000}"/>
    <cellStyle name="Heading 3" xfId="32" xr:uid="{00000000-0005-0000-0000-00001E000000}"/>
    <cellStyle name="Hipervínculo 2" xfId="33" xr:uid="{00000000-0005-0000-0000-000020000000}"/>
    <cellStyle name="Hyperlink" xfId="34" builtinId="8"/>
    <cellStyle name="Millares 10" xfId="35" xr:uid="{00000000-0005-0000-0000-000022000000}"/>
    <cellStyle name="Millares 10 2" xfId="36" xr:uid="{00000000-0005-0000-0000-000023000000}"/>
    <cellStyle name="Millares 11" xfId="37" xr:uid="{00000000-0005-0000-0000-000024000000}"/>
    <cellStyle name="Millares 11 2" xfId="38" xr:uid="{00000000-0005-0000-0000-000025000000}"/>
    <cellStyle name="Millares 12" xfId="39" xr:uid="{00000000-0005-0000-0000-000026000000}"/>
    <cellStyle name="Millares 13" xfId="40" xr:uid="{00000000-0005-0000-0000-000027000000}"/>
    <cellStyle name="Millares 14" xfId="41" xr:uid="{00000000-0005-0000-0000-000028000000}"/>
    <cellStyle name="Millares 15" xfId="42" xr:uid="{00000000-0005-0000-0000-000029000000}"/>
    <cellStyle name="Millares 16" xfId="43" xr:uid="{00000000-0005-0000-0000-00002A000000}"/>
    <cellStyle name="Millares 17" xfId="44" xr:uid="{00000000-0005-0000-0000-00002B000000}"/>
    <cellStyle name="Millares 18" xfId="45" xr:uid="{00000000-0005-0000-0000-00002C000000}"/>
    <cellStyle name="Millares 2" xfId="46" xr:uid="{00000000-0005-0000-0000-00002D000000}"/>
    <cellStyle name="Millares 2 2" xfId="47" xr:uid="{00000000-0005-0000-0000-00002E000000}"/>
    <cellStyle name="Millares 2 3" xfId="48" xr:uid="{00000000-0005-0000-0000-00002F000000}"/>
    <cellStyle name="Millares 2_3. Anexos de Presupuesto 2011 (Gastos e ingresos) NM" xfId="49" xr:uid="{00000000-0005-0000-0000-000030000000}"/>
    <cellStyle name="Millares 3" xfId="50" xr:uid="{00000000-0005-0000-0000-000031000000}"/>
    <cellStyle name="Millares 3 2" xfId="51" xr:uid="{00000000-0005-0000-0000-000032000000}"/>
    <cellStyle name="Millares 3_PRESUPUESTO NM - 2011 - v 4.5" xfId="52" xr:uid="{00000000-0005-0000-0000-000033000000}"/>
    <cellStyle name="Millares 4" xfId="53" xr:uid="{00000000-0005-0000-0000-000034000000}"/>
    <cellStyle name="Millares 5" xfId="54" xr:uid="{00000000-0005-0000-0000-000035000000}"/>
    <cellStyle name="Millares 6" xfId="55" xr:uid="{00000000-0005-0000-0000-000036000000}"/>
    <cellStyle name="Millares 7" xfId="56" xr:uid="{00000000-0005-0000-0000-000037000000}"/>
    <cellStyle name="Millares 8" xfId="57" xr:uid="{00000000-0005-0000-0000-000038000000}"/>
    <cellStyle name="Millares 8 2" xfId="58" xr:uid="{00000000-0005-0000-0000-000039000000}"/>
    <cellStyle name="Millares 8 2 2" xfId="59" xr:uid="{00000000-0005-0000-0000-00003A000000}"/>
    <cellStyle name="Millares 8 3" xfId="60" xr:uid="{00000000-0005-0000-0000-00003B000000}"/>
    <cellStyle name="Millares 9" xfId="61" xr:uid="{00000000-0005-0000-0000-00003C000000}"/>
    <cellStyle name="Moneda 10" xfId="62" xr:uid="{00000000-0005-0000-0000-00003D000000}"/>
    <cellStyle name="Moneda 10 2" xfId="63" xr:uid="{00000000-0005-0000-0000-00003E000000}"/>
    <cellStyle name="Moneda 11" xfId="64" xr:uid="{00000000-0005-0000-0000-00003F000000}"/>
    <cellStyle name="Moneda 2" xfId="65" xr:uid="{00000000-0005-0000-0000-000040000000}"/>
    <cellStyle name="Moneda 2 2" xfId="66" xr:uid="{00000000-0005-0000-0000-000041000000}"/>
    <cellStyle name="Moneda 2_PRESUPUESTO NM - 2011 - v 4.5" xfId="67" xr:uid="{00000000-0005-0000-0000-000042000000}"/>
    <cellStyle name="Moneda 3" xfId="68" xr:uid="{00000000-0005-0000-0000-000043000000}"/>
    <cellStyle name="Moneda 4" xfId="69" xr:uid="{00000000-0005-0000-0000-000044000000}"/>
    <cellStyle name="Moneda 4 2" xfId="70" xr:uid="{00000000-0005-0000-0000-000045000000}"/>
    <cellStyle name="Moneda 5" xfId="71" xr:uid="{00000000-0005-0000-0000-000046000000}"/>
    <cellStyle name="Moneda 5 2" xfId="72" xr:uid="{00000000-0005-0000-0000-000047000000}"/>
    <cellStyle name="Moneda 6" xfId="73" xr:uid="{00000000-0005-0000-0000-000048000000}"/>
    <cellStyle name="Moneda 6 2" xfId="74" xr:uid="{00000000-0005-0000-0000-000049000000}"/>
    <cellStyle name="Moneda 7" xfId="75" xr:uid="{00000000-0005-0000-0000-00004A000000}"/>
    <cellStyle name="Moneda 7 2" xfId="76" xr:uid="{00000000-0005-0000-0000-00004B000000}"/>
    <cellStyle name="Moneda 8" xfId="77" xr:uid="{00000000-0005-0000-0000-00004C000000}"/>
    <cellStyle name="Moneda 8 2" xfId="78" xr:uid="{00000000-0005-0000-0000-00004D000000}"/>
    <cellStyle name="Moneda 9" xfId="79" xr:uid="{00000000-0005-0000-0000-00004E000000}"/>
    <cellStyle name="Moneda 9 2" xfId="80" xr:uid="{00000000-0005-0000-0000-00004F000000}"/>
    <cellStyle name="Normal" xfId="0" builtinId="0"/>
    <cellStyle name="Normal 10" xfId="81" xr:uid="{00000000-0005-0000-0000-000051000000}"/>
    <cellStyle name="Normal 11" xfId="82" xr:uid="{00000000-0005-0000-0000-000052000000}"/>
    <cellStyle name="Normal 12" xfId="83" xr:uid="{00000000-0005-0000-0000-000053000000}"/>
    <cellStyle name="Normal 13" xfId="84" xr:uid="{00000000-0005-0000-0000-000054000000}"/>
    <cellStyle name="Normal 14" xfId="85" xr:uid="{00000000-0005-0000-0000-000055000000}"/>
    <cellStyle name="Normal 15" xfId="86" xr:uid="{00000000-0005-0000-0000-000056000000}"/>
    <cellStyle name="Normal 16" xfId="87" xr:uid="{00000000-0005-0000-0000-000057000000}"/>
    <cellStyle name="Normal 17" xfId="88" xr:uid="{00000000-0005-0000-0000-000058000000}"/>
    <cellStyle name="Normal 17 2" xfId="89" xr:uid="{00000000-0005-0000-0000-000059000000}"/>
    <cellStyle name="Normal 18" xfId="90" xr:uid="{00000000-0005-0000-0000-00005A000000}"/>
    <cellStyle name="Normal 18 2" xfId="91" xr:uid="{00000000-0005-0000-0000-00005B000000}"/>
    <cellStyle name="Normal 19" xfId="92" xr:uid="{00000000-0005-0000-0000-00005C000000}"/>
    <cellStyle name="Normal 2" xfId="93" xr:uid="{00000000-0005-0000-0000-00005D000000}"/>
    <cellStyle name="Normal 2 2" xfId="94" xr:uid="{00000000-0005-0000-0000-00005E000000}"/>
    <cellStyle name="Normal 2 3" xfId="95" xr:uid="{00000000-0005-0000-0000-00005F000000}"/>
    <cellStyle name="Normal 20" xfId="96" xr:uid="{00000000-0005-0000-0000-000060000000}"/>
    <cellStyle name="Normal 3" xfId="97" xr:uid="{00000000-0005-0000-0000-000061000000}"/>
    <cellStyle name="Normal 3 2" xfId="98" xr:uid="{00000000-0005-0000-0000-000062000000}"/>
    <cellStyle name="Normal 4" xfId="99" xr:uid="{00000000-0005-0000-0000-000063000000}"/>
    <cellStyle name="Normal 4 2" xfId="100" xr:uid="{00000000-0005-0000-0000-000064000000}"/>
    <cellStyle name="Normal 4 3" xfId="101" xr:uid="{00000000-0005-0000-0000-000065000000}"/>
    <cellStyle name="Normal 4 3 2" xfId="102" xr:uid="{00000000-0005-0000-0000-000066000000}"/>
    <cellStyle name="Normal 4_1. Presupuesto Año 2011 (gastos e ingresos) NM" xfId="103" xr:uid="{00000000-0005-0000-0000-000067000000}"/>
    <cellStyle name="Normal 5" xfId="104" xr:uid="{00000000-0005-0000-0000-000068000000}"/>
    <cellStyle name="Normal 6" xfId="105" xr:uid="{00000000-0005-0000-0000-000069000000}"/>
    <cellStyle name="Normal 7" xfId="106" xr:uid="{00000000-0005-0000-0000-00006A000000}"/>
    <cellStyle name="Normal 8" xfId="107" xr:uid="{00000000-0005-0000-0000-00006B000000}"/>
    <cellStyle name="Normal 9" xfId="108" xr:uid="{00000000-0005-0000-0000-00006C000000}"/>
    <cellStyle name="Output" xfId="109" xr:uid="{00000000-0005-0000-0000-00006D000000}"/>
    <cellStyle name="Percent" xfId="110" builtinId="5"/>
    <cellStyle name="Porcentual 2" xfId="111" xr:uid="{00000000-0005-0000-0000-00006F000000}"/>
    <cellStyle name="Porcentual 2 2" xfId="112" xr:uid="{00000000-0005-0000-0000-000070000000}"/>
    <cellStyle name="Porcentual 2 3" xfId="113" xr:uid="{00000000-0005-0000-0000-000071000000}"/>
    <cellStyle name="Porcentual 3" xfId="114" xr:uid="{00000000-0005-0000-0000-000072000000}"/>
    <cellStyle name="Porcentual 3 2" xfId="115" xr:uid="{00000000-0005-0000-0000-000073000000}"/>
    <cellStyle name="Porcentual 4" xfId="116" xr:uid="{00000000-0005-0000-0000-000074000000}"/>
    <cellStyle name="Porcentual 5" xfId="117" xr:uid="{00000000-0005-0000-0000-000075000000}"/>
    <cellStyle name="Porcentual 5 2" xfId="118" xr:uid="{00000000-0005-0000-0000-000076000000}"/>
    <cellStyle name="Porcentual 6" xfId="119" xr:uid="{00000000-0005-0000-0000-000077000000}"/>
    <cellStyle name="Porcentual 7" xfId="120" xr:uid="{00000000-0005-0000-0000-000078000000}"/>
    <cellStyle name="Porcentual 8" xfId="121" xr:uid="{00000000-0005-0000-0000-000079000000}"/>
    <cellStyle name="Porcentual 9" xfId="122" xr:uid="{00000000-0005-0000-0000-00007A000000}"/>
    <cellStyle name="Title" xfId="123" xr:uid="{00000000-0005-0000-0000-00007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s-ES"/>
              <a:t>  Producción Nacional vs. Importación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Gasolines!$B$33</c:f>
              <c:strCache>
                <c:ptCount val="1"/>
                <c:pt idx="0">
                  <c:v>Gasolinas (Producción Nacional)</c:v>
                </c:pt>
              </c:strCache>
            </c:strRef>
          </c:tx>
          <c:marker>
            <c:symbol val="none"/>
          </c:marker>
          <c:cat>
            <c:numRef>
              <c:f>(Gasolines!$C$32,Gasolines!$E$32,Gasolines!$G$32,Gasolines!$I$32,Gasolines!$K$32,Gasolines!$M$32,Gasolines!$O$32)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(Gasolines!$C$33,Gasolines!$E$33,Gasolines!$G$33,Gasolines!$I$33,Gasolines!$K$33,Gasolines!$M$33,Gasolines!$O$33)</c:f>
              <c:numCache>
                <c:formatCode>#,##0</c:formatCode>
                <c:ptCount val="7"/>
                <c:pt idx="0">
                  <c:v>9636074</c:v>
                </c:pt>
                <c:pt idx="1">
                  <c:v>12006816</c:v>
                </c:pt>
                <c:pt idx="2">
                  <c:v>12681853</c:v>
                </c:pt>
                <c:pt idx="3">
                  <c:v>12979580</c:v>
                </c:pt>
                <c:pt idx="4">
                  <c:v>9847049</c:v>
                </c:pt>
                <c:pt idx="5">
                  <c:v>8375604</c:v>
                </c:pt>
                <c:pt idx="6">
                  <c:v>8263536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D-D24B-8CA4-8FE1F500B9D9}"/>
            </c:ext>
          </c:extLst>
        </c:ser>
        <c:ser>
          <c:idx val="1"/>
          <c:order val="1"/>
          <c:tx>
            <c:strRef>
              <c:f>Gasolines!$B$34</c:f>
              <c:strCache>
                <c:ptCount val="1"/>
                <c:pt idx="0">
                  <c:v>Importacion - Naftas</c:v>
                </c:pt>
              </c:strCache>
            </c:strRef>
          </c:tx>
          <c:marker>
            <c:symbol val="none"/>
          </c:marker>
          <c:cat>
            <c:numRef>
              <c:f>(Gasolines!$C$32,Gasolines!$E$32,Gasolines!$G$32,Gasolines!$I$32,Gasolines!$K$32,Gasolines!$M$32,Gasolines!$O$32)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(Gasolines!$C$34,Gasolines!$E$34,Gasolines!$G$34,Gasolines!$I$34,Gasolines!$K$34,Gasolines!$M$34,Gasolines!$O$34)</c:f>
              <c:numCache>
                <c:formatCode>#,##0</c:formatCode>
                <c:ptCount val="7"/>
                <c:pt idx="0">
                  <c:v>19463197</c:v>
                </c:pt>
                <c:pt idx="1">
                  <c:v>15983790</c:v>
                </c:pt>
                <c:pt idx="2">
                  <c:v>16376676</c:v>
                </c:pt>
                <c:pt idx="3">
                  <c:v>17624878</c:v>
                </c:pt>
                <c:pt idx="4">
                  <c:v>20377496</c:v>
                </c:pt>
                <c:pt idx="5">
                  <c:v>15503320</c:v>
                </c:pt>
                <c:pt idx="6">
                  <c:v>18626635.199999999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D-D24B-8CA4-8FE1F500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9616"/>
        <c:axId val="69529600"/>
      </c:lineChart>
      <c:catAx>
        <c:axId val="695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s-EC"/>
          </a:p>
        </c:txPr>
        <c:crossAx val="69529600"/>
        <c:crosses val="autoZero"/>
        <c:auto val="1"/>
        <c:lblAlgn val="ctr"/>
        <c:lblOffset val="100"/>
        <c:noMultiLvlLbl val="0"/>
      </c:catAx>
      <c:valAx>
        <c:axId val="6952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barriles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s-EC"/>
          </a:p>
        </c:txPr>
        <c:crossAx val="69519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0</xdr:rowOff>
    </xdr:from>
    <xdr:to>
      <xdr:col>11</xdr:col>
      <xdr:colOff>243167</xdr:colOff>
      <xdr:row>49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spinel/Desktop/Contabilidad/Blexim/2008/EEFF/Compartir/Victor/Excel/CTS05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ON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petroecuador.ec/wp-content/uploads/downloads/2019/06/INFORME-ESTADISTICO-MAYO-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B1:L34"/>
  <sheetViews>
    <sheetView workbookViewId="0">
      <selection activeCell="G7" sqref="G7"/>
    </sheetView>
  </sheetViews>
  <sheetFormatPr defaultColWidth="10.88671875" defaultRowHeight="14.4"/>
  <cols>
    <col min="1" max="1" width="2.33203125" style="7" customWidth="1"/>
    <col min="2" max="2" width="24.33203125" style="7" customWidth="1"/>
    <col min="3" max="3" width="13" style="7" customWidth="1"/>
    <col min="4" max="4" width="7" style="7" customWidth="1"/>
    <col min="5" max="5" width="13" style="7" customWidth="1"/>
    <col min="6" max="6" width="7.44140625" style="7" customWidth="1"/>
    <col min="7" max="7" width="13" style="7" customWidth="1"/>
    <col min="8" max="8" width="6.44140625" style="7" customWidth="1"/>
    <col min="9" max="9" width="13" style="7" customWidth="1"/>
    <col min="10" max="10" width="6.44140625" style="7" customWidth="1"/>
    <col min="11" max="11" width="13" style="7" customWidth="1"/>
    <col min="12" max="12" width="8.6640625" style="7" customWidth="1"/>
    <col min="13" max="16384" width="10.88671875" style="7"/>
  </cols>
  <sheetData>
    <row r="1" spans="2:12" ht="25.8">
      <c r="B1" s="32" t="s">
        <v>12</v>
      </c>
      <c r="C1" s="32"/>
      <c r="D1" s="32"/>
      <c r="E1" s="32"/>
      <c r="F1" s="6"/>
    </row>
    <row r="2" spans="2:12" ht="23.4">
      <c r="B2" s="30" t="s">
        <v>11</v>
      </c>
      <c r="C2" s="8"/>
      <c r="D2" s="8"/>
      <c r="E2" s="8"/>
      <c r="F2" s="8"/>
    </row>
    <row r="3" spans="2:12" ht="21.75" customHeight="1">
      <c r="B3" s="7" t="s">
        <v>0</v>
      </c>
      <c r="C3" s="35">
        <f>1/0.15209</f>
        <v>6.5750542441975144</v>
      </c>
    </row>
    <row r="4" spans="2:12" ht="21.75" customHeight="1">
      <c r="B4" s="7" t="s">
        <v>1</v>
      </c>
      <c r="C4" s="35">
        <f>1/0.15645</f>
        <v>6.3918184723553848</v>
      </c>
    </row>
    <row r="5" spans="2:12">
      <c r="B5" s="9" t="s">
        <v>25</v>
      </c>
    </row>
    <row r="6" spans="2:12">
      <c r="B6" s="10"/>
      <c r="C6" s="91">
        <v>2015</v>
      </c>
      <c r="D6" s="91"/>
      <c r="E6" s="91">
        <v>2016</v>
      </c>
      <c r="F6" s="91"/>
      <c r="G6" s="91">
        <v>2017</v>
      </c>
      <c r="H6" s="91"/>
      <c r="I6" s="91">
        <v>2018</v>
      </c>
      <c r="J6" s="91"/>
      <c r="K6" s="91" t="s">
        <v>2</v>
      </c>
      <c r="L6" s="91"/>
    </row>
    <row r="7" spans="2:12">
      <c r="B7" s="11" t="s">
        <v>3</v>
      </c>
      <c r="C7" s="12">
        <v>1323903.4812</v>
      </c>
      <c r="D7" s="28">
        <f>+C7/C$10</f>
        <v>0.51868421425777389</v>
      </c>
      <c r="E7" s="12">
        <v>1045930.4238</v>
      </c>
      <c r="F7" s="28">
        <f>+E7/E$10</f>
        <v>0.30966043007616273</v>
      </c>
      <c r="G7" s="12">
        <v>1618755.5162</v>
      </c>
      <c r="H7" s="28">
        <f>+G7/G$10</f>
        <v>0.40204367987827111</v>
      </c>
      <c r="I7" s="12">
        <v>1532110.5538999999</v>
      </c>
      <c r="J7" s="28">
        <f>+I7/I$10</f>
        <v>0.38924106243976858</v>
      </c>
      <c r="K7" s="12">
        <v>1121403.98028</v>
      </c>
      <c r="L7" s="28">
        <f>+K7/K$10</f>
        <v>0.51193207764258775</v>
      </c>
    </row>
    <row r="8" spans="2:12">
      <c r="B8" s="11" t="s">
        <v>4</v>
      </c>
      <c r="C8" s="12">
        <v>787102.92039999994</v>
      </c>
      <c r="D8" s="28">
        <f t="shared" ref="D8:F9" si="0">+C8/C$10</f>
        <v>0.30837433816370352</v>
      </c>
      <c r="E8" s="12">
        <v>520756.27268187719</v>
      </c>
      <c r="F8" s="28">
        <f t="shared" si="0"/>
        <v>0.15417623170158862</v>
      </c>
      <c r="G8" s="12">
        <v>240773.27911999999</v>
      </c>
      <c r="H8" s="28">
        <f>+G8/G$10</f>
        <v>5.9799873535567878E-2</v>
      </c>
      <c r="I8" s="12">
        <v>198985.46954999998</v>
      </c>
      <c r="J8" s="28">
        <f>+I8/I$10</f>
        <v>5.0553346415217991E-2</v>
      </c>
      <c r="K8" s="12">
        <v>21124.34835</v>
      </c>
      <c r="L8" s="28">
        <f>+K8/K$10</f>
        <v>9.643475259434247E-3</v>
      </c>
    </row>
    <row r="9" spans="2:12">
      <c r="B9" s="11" t="s">
        <v>5</v>
      </c>
      <c r="C9" s="12">
        <v>441420.38295999996</v>
      </c>
      <c r="D9" s="28">
        <f t="shared" si="0"/>
        <v>0.17294144757852248</v>
      </c>
      <c r="E9" s="12">
        <v>1810982.26672</v>
      </c>
      <c r="F9" s="28">
        <f t="shared" si="0"/>
        <v>0.5361633382222486</v>
      </c>
      <c r="G9" s="12">
        <v>2166788.7348799999</v>
      </c>
      <c r="H9" s="28">
        <f>+G9/G$10</f>
        <v>0.53815644658616102</v>
      </c>
      <c r="I9" s="12">
        <v>2205052.2963</v>
      </c>
      <c r="J9" s="28">
        <f>+I9/I$10</f>
        <v>0.56020559114501345</v>
      </c>
      <c r="K9" s="12">
        <v>1048004.4183</v>
      </c>
      <c r="L9" s="28">
        <f>+K9/K$10</f>
        <v>0.47842444709797782</v>
      </c>
    </row>
    <row r="10" spans="2:12" ht="15" thickBot="1">
      <c r="B10" s="14" t="s">
        <v>16</v>
      </c>
      <c r="C10" s="15">
        <f t="shared" ref="C10:L10" si="1">SUM(C7:C9)</f>
        <v>2552426.7845600001</v>
      </c>
      <c r="D10" s="29">
        <f t="shared" si="1"/>
        <v>0.99999999999999989</v>
      </c>
      <c r="E10" s="15">
        <f t="shared" si="1"/>
        <v>3377668.9632018772</v>
      </c>
      <c r="F10" s="29">
        <f t="shared" si="1"/>
        <v>1</v>
      </c>
      <c r="G10" s="15">
        <f t="shared" si="1"/>
        <v>4026317.5301999999</v>
      </c>
      <c r="H10" s="29">
        <f t="shared" si="1"/>
        <v>1</v>
      </c>
      <c r="I10" s="15">
        <f t="shared" si="1"/>
        <v>3936148.3197499998</v>
      </c>
      <c r="J10" s="29">
        <f t="shared" si="1"/>
        <v>1</v>
      </c>
      <c r="K10" s="15">
        <f t="shared" si="1"/>
        <v>2190532.7469300004</v>
      </c>
      <c r="L10" s="29">
        <f t="shared" si="1"/>
        <v>0.99999999999999978</v>
      </c>
    </row>
    <row r="11" spans="2:12" ht="15" thickTop="1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2:12">
      <c r="B12" s="9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2:12">
      <c r="B13" s="10"/>
      <c r="C13" s="91">
        <v>2015</v>
      </c>
      <c r="D13" s="91"/>
      <c r="E13" s="91">
        <v>2016</v>
      </c>
      <c r="F13" s="91"/>
      <c r="G13" s="91">
        <v>2017</v>
      </c>
      <c r="H13" s="91"/>
      <c r="I13" s="91">
        <v>2018</v>
      </c>
      <c r="J13" s="91"/>
      <c r="K13" s="91" t="s">
        <v>2</v>
      </c>
      <c r="L13" s="91"/>
    </row>
    <row r="14" spans="2:12">
      <c r="B14" s="20" t="s">
        <v>14</v>
      </c>
      <c r="C14" s="13">
        <v>57873.897799999999</v>
      </c>
      <c r="D14" s="28">
        <f>+C14/C$16</f>
        <v>0.1048863702847086</v>
      </c>
      <c r="E14" s="13">
        <v>0</v>
      </c>
      <c r="F14" s="28">
        <f>+E14/E$16</f>
        <v>0</v>
      </c>
      <c r="G14" s="13">
        <v>248850.65280000001</v>
      </c>
      <c r="H14" s="28">
        <f>+G14/G$16</f>
        <v>0.10213489036443656</v>
      </c>
      <c r="I14" s="13">
        <v>114190.84499</v>
      </c>
      <c r="J14" s="28">
        <f>+I14/I$16</f>
        <v>4.7434033583468732E-2</v>
      </c>
      <c r="K14" s="13">
        <v>0</v>
      </c>
      <c r="L14" s="28">
        <f>+K14/K$16</f>
        <v>0</v>
      </c>
    </row>
    <row r="15" spans="2:12">
      <c r="B15" s="20" t="s">
        <v>15</v>
      </c>
      <c r="C15" s="13">
        <v>491888.20767999999</v>
      </c>
      <c r="D15" s="28">
        <f>+C15/C$16</f>
        <v>0.89146179280508264</v>
      </c>
      <c r="E15" s="13">
        <v>1829832.6375199999</v>
      </c>
      <c r="F15" s="28">
        <f>+E15/E$16</f>
        <v>0.99889947239160037</v>
      </c>
      <c r="G15" s="13">
        <v>2185622.48208</v>
      </c>
      <c r="H15" s="28">
        <f>+G15/G$16</f>
        <v>0.89703727948303169</v>
      </c>
      <c r="I15" s="13">
        <v>2291152.2070500003</v>
      </c>
      <c r="J15" s="28">
        <f>+I15/I$16</f>
        <v>0.95172770412168772</v>
      </c>
      <c r="K15" s="13">
        <v>1000156.0632000001</v>
      </c>
      <c r="L15" s="28">
        <f>+K15/K$16</f>
        <v>1</v>
      </c>
    </row>
    <row r="16" spans="2:12" ht="15" thickBot="1">
      <c r="B16" s="14" t="s">
        <v>17</v>
      </c>
      <c r="C16" s="15">
        <f t="shared" ref="C16:L16" si="2">SUM(C13:C15)</f>
        <v>551777.10548000003</v>
      </c>
      <c r="D16" s="29">
        <f t="shared" si="2"/>
        <v>0.99634816308979124</v>
      </c>
      <c r="E16" s="15">
        <f t="shared" si="2"/>
        <v>1831848.6375199999</v>
      </c>
      <c r="F16" s="29">
        <f t="shared" si="2"/>
        <v>0.99889947239160037</v>
      </c>
      <c r="G16" s="15">
        <f t="shared" si="2"/>
        <v>2436490.1348799998</v>
      </c>
      <c r="H16" s="29">
        <f t="shared" si="2"/>
        <v>0.99917216984746826</v>
      </c>
      <c r="I16" s="15">
        <f t="shared" si="2"/>
        <v>2407361.0520400004</v>
      </c>
      <c r="J16" s="29">
        <f t="shared" si="2"/>
        <v>0.99916173770515648</v>
      </c>
      <c r="K16" s="15">
        <f t="shared" si="2"/>
        <v>1000156.0632000001</v>
      </c>
      <c r="L16" s="29">
        <f t="shared" si="2"/>
        <v>1</v>
      </c>
    </row>
    <row r="17" spans="2:12" ht="15" thickTop="1"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2:12">
      <c r="B18" s="9" t="s">
        <v>26</v>
      </c>
    </row>
    <row r="19" spans="2:12">
      <c r="B19" s="10"/>
      <c r="C19" s="91">
        <v>2015</v>
      </c>
      <c r="D19" s="91"/>
      <c r="E19" s="91">
        <v>2016</v>
      </c>
      <c r="F19" s="91"/>
      <c r="G19" s="91">
        <v>2017</v>
      </c>
      <c r="H19" s="91"/>
      <c r="I19" s="91">
        <v>2018</v>
      </c>
      <c r="J19" s="91"/>
      <c r="K19" s="91" t="s">
        <v>2</v>
      </c>
      <c r="L19" s="91"/>
    </row>
    <row r="20" spans="2:12">
      <c r="B20" s="11" t="s">
        <v>6</v>
      </c>
      <c r="C20" s="12">
        <v>279842.22560000001</v>
      </c>
      <c r="D20" s="28">
        <f>+C20/C$23</f>
        <v>0.17750740674008211</v>
      </c>
      <c r="E20" s="12">
        <v>329264.00079999998</v>
      </c>
      <c r="F20" s="28">
        <f>+E20/E$23</f>
        <v>0.26795960125784268</v>
      </c>
      <c r="G20" s="12">
        <v>326831.99700000003</v>
      </c>
      <c r="H20" s="28">
        <f>+G20/G$23</f>
        <v>0.32568865670493091</v>
      </c>
      <c r="I20" s="12">
        <v>277666.30239000003</v>
      </c>
      <c r="J20" s="28">
        <f>+I20/I$23</f>
        <v>0.35852365388947072</v>
      </c>
      <c r="K20" s="12">
        <v>136668.37818</v>
      </c>
      <c r="L20" s="28">
        <f>+K20/K$23</f>
        <v>0.34071412539920942</v>
      </c>
    </row>
    <row r="21" spans="2:12" customFormat="1">
      <c r="B21" s="11" t="s">
        <v>19</v>
      </c>
      <c r="C21" s="12">
        <v>559461.02159999998</v>
      </c>
      <c r="D21" s="28">
        <f>+C21/C$23</f>
        <v>0.35487308930397909</v>
      </c>
      <c r="E21" s="12">
        <v>449171.42239999998</v>
      </c>
      <c r="F21" s="28">
        <f>+E21/E$23</f>
        <v>0.36554192061776714</v>
      </c>
      <c r="G21" s="12">
        <v>336912.35519999999</v>
      </c>
      <c r="H21" s="28">
        <f>+G21/G$23</f>
        <v>0.3357337512837904</v>
      </c>
      <c r="I21" s="12">
        <v>478869.35728</v>
      </c>
      <c r="J21" s="28">
        <f>+I21/I$23</f>
        <v>0.61831770809042608</v>
      </c>
      <c r="K21" s="37">
        <v>216606.57800000001</v>
      </c>
      <c r="L21" s="28">
        <f>+K21/K$23</f>
        <v>0.53999997484264894</v>
      </c>
    </row>
    <row r="22" spans="2:12" customFormat="1" ht="16.2">
      <c r="B22" s="33" t="s">
        <v>22</v>
      </c>
      <c r="C22" s="19">
        <v>737206.88688000012</v>
      </c>
      <c r="D22" s="28">
        <f>+C22/C$23</f>
        <v>0.46761950395593871</v>
      </c>
      <c r="E22" s="19">
        <v>450346.82328187738</v>
      </c>
      <c r="F22" s="28">
        <f>+E22/E$23</f>
        <v>0.36649847812439024</v>
      </c>
      <c r="G22" s="19">
        <v>339766.17932</v>
      </c>
      <c r="H22" s="28">
        <f>+G22/G$23</f>
        <v>0.33857759201127868</v>
      </c>
      <c r="I22" s="19">
        <v>17935.701919999323</v>
      </c>
      <c r="J22" s="28">
        <f>+I22/I$23</f>
        <v>2.3158638020103293E-2</v>
      </c>
      <c r="K22" s="36">
        <f>+K9-K15</f>
        <v>47848.355099999928</v>
      </c>
      <c r="L22" s="28">
        <f>+K22/K$23</f>
        <v>0.11928589975814168</v>
      </c>
    </row>
    <row r="23" spans="2:12" customFormat="1" ht="15" thickBot="1">
      <c r="B23" s="14" t="s">
        <v>18</v>
      </c>
      <c r="C23" s="15">
        <f t="shared" ref="C23:L23" si="3">SUM(C20:C22)</f>
        <v>1576510.1340800002</v>
      </c>
      <c r="D23" s="29">
        <f t="shared" si="3"/>
        <v>1</v>
      </c>
      <c r="E23" s="15">
        <f t="shared" si="3"/>
        <v>1228782.2464818773</v>
      </c>
      <c r="F23" s="29">
        <f t="shared" si="3"/>
        <v>1</v>
      </c>
      <c r="G23" s="15">
        <f t="shared" si="3"/>
        <v>1003510.5315200001</v>
      </c>
      <c r="H23" s="29">
        <f t="shared" si="3"/>
        <v>1</v>
      </c>
      <c r="I23" s="15">
        <f t="shared" si="3"/>
        <v>774471.36158999929</v>
      </c>
      <c r="J23" s="29">
        <f t="shared" si="3"/>
        <v>1</v>
      </c>
      <c r="K23" s="15">
        <f t="shared" si="3"/>
        <v>401123.31127999991</v>
      </c>
      <c r="L23" s="29">
        <f t="shared" si="3"/>
        <v>1</v>
      </c>
    </row>
    <row r="24" spans="2:12" ht="9.75" customHeight="1" thickTop="1"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2:12" ht="14.25" customHeight="1">
      <c r="B25" s="9" t="s">
        <v>27</v>
      </c>
    </row>
    <row r="26" spans="2:12">
      <c r="B26" s="10"/>
      <c r="C26" s="91">
        <v>2015</v>
      </c>
      <c r="D26" s="91"/>
      <c r="E26" s="91">
        <v>2016</v>
      </c>
      <c r="F26" s="91"/>
      <c r="G26" s="91">
        <v>2017</v>
      </c>
      <c r="H26" s="91"/>
      <c r="I26" s="91">
        <v>2018</v>
      </c>
      <c r="J26" s="91"/>
      <c r="K26" s="91" t="s">
        <v>2</v>
      </c>
      <c r="L26" s="91"/>
    </row>
    <row r="27" spans="2:12">
      <c r="B27" s="11" t="s">
        <v>8</v>
      </c>
      <c r="C27" s="12">
        <v>366265.64720000001</v>
      </c>
      <c r="D27" s="28">
        <f>+C27/C$29</f>
        <v>0.86354986588199412</v>
      </c>
      <c r="E27" s="12">
        <v>317038.07919999998</v>
      </c>
      <c r="F27" s="28">
        <f>+E27/E$29</f>
        <v>1</v>
      </c>
      <c r="G27" s="12">
        <v>337466.21100000001</v>
      </c>
      <c r="H27" s="28">
        <f>+G27/G$29</f>
        <v>0.57556968225821648</v>
      </c>
      <c r="I27" s="12">
        <v>640125.06113000005</v>
      </c>
      <c r="J27" s="28">
        <f>+I27/I$29</f>
        <v>0.848616681600462</v>
      </c>
      <c r="K27" s="12">
        <v>317192.82040000003</v>
      </c>
      <c r="L27" s="28">
        <f>+K27/K$29</f>
        <v>1</v>
      </c>
    </row>
    <row r="28" spans="2:12">
      <c r="B28" s="7" t="s">
        <v>20</v>
      </c>
      <c r="C28" s="19">
        <f>+C14</f>
        <v>57873.897799999999</v>
      </c>
      <c r="D28" s="28">
        <f>+C28/C$29</f>
        <v>0.13645013411800591</v>
      </c>
      <c r="E28" s="19">
        <f>+E14</f>
        <v>0</v>
      </c>
      <c r="F28" s="28">
        <f>+E28/E$29</f>
        <v>0</v>
      </c>
      <c r="G28" s="19">
        <f>+G14</f>
        <v>248850.65280000001</v>
      </c>
      <c r="H28" s="28">
        <f>+G28/G$29</f>
        <v>0.42443031774178347</v>
      </c>
      <c r="I28" s="19">
        <v>114190.84499</v>
      </c>
      <c r="J28" s="28">
        <f>+I28/I$29</f>
        <v>0.15138331839953803</v>
      </c>
      <c r="K28" s="19">
        <v>0</v>
      </c>
      <c r="L28" s="28">
        <f>+K28/K$29</f>
        <v>0</v>
      </c>
    </row>
    <row r="29" spans="2:12" ht="15" thickBot="1">
      <c r="B29" s="14" t="s">
        <v>21</v>
      </c>
      <c r="C29" s="15">
        <f>SUM(C27:C28)</f>
        <v>424139.54499999998</v>
      </c>
      <c r="D29" s="29">
        <f>SUM(D26:D28)</f>
        <v>1</v>
      </c>
      <c r="E29" s="15">
        <f>SUM(E27:E28)</f>
        <v>317038.07919999998</v>
      </c>
      <c r="F29" s="29">
        <f>SUM(F26:F28)</f>
        <v>1</v>
      </c>
      <c r="G29" s="15">
        <f>SUM(G27:G28)</f>
        <v>586316.86380000005</v>
      </c>
      <c r="H29" s="29">
        <f>SUM(H26:H28)</f>
        <v>1</v>
      </c>
      <c r="I29" s="15">
        <f>SUM(I27:I28)</f>
        <v>754315.90612000006</v>
      </c>
      <c r="J29" s="29">
        <f>SUM(J26:J28)</f>
        <v>1</v>
      </c>
      <c r="K29" s="15">
        <f>SUM(K27:K28)</f>
        <v>317192.82040000003</v>
      </c>
      <c r="L29" s="29">
        <f>SUM(L26:L28)</f>
        <v>1</v>
      </c>
    </row>
    <row r="30" spans="2:12" ht="7.5" customHeight="1" thickTop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>
      <c r="B31" s="34" t="s">
        <v>23</v>
      </c>
      <c r="C31" s="19"/>
      <c r="E31" s="19"/>
      <c r="G31" s="19"/>
      <c r="I31" s="19"/>
      <c r="K31" s="19"/>
    </row>
    <row r="32" spans="2:12">
      <c r="B32" s="34" t="s">
        <v>24</v>
      </c>
      <c r="C32" s="19"/>
      <c r="E32" s="19"/>
      <c r="G32" s="19"/>
      <c r="I32" s="19"/>
      <c r="K32" s="19"/>
    </row>
    <row r="33" spans="2:12">
      <c r="B33" s="22" t="s">
        <v>9</v>
      </c>
      <c r="C33" s="21"/>
      <c r="D33" s="21"/>
      <c r="E33" s="21"/>
      <c r="F33" s="21"/>
      <c r="G33" s="21"/>
      <c r="H33" s="21"/>
      <c r="I33" s="21"/>
      <c r="J33" s="92">
        <v>43693</v>
      </c>
      <c r="K33" s="92"/>
      <c r="L33" s="26"/>
    </row>
    <row r="34" spans="2:12">
      <c r="B34" s="23" t="s">
        <v>10</v>
      </c>
      <c r="C34" s="21"/>
      <c r="D34" s="21"/>
      <c r="E34" s="21"/>
      <c r="F34" s="21"/>
      <c r="G34" s="21"/>
      <c r="H34" s="21"/>
      <c r="I34" s="21"/>
      <c r="J34" s="27" t="s">
        <v>40</v>
      </c>
      <c r="K34" s="31"/>
      <c r="L34" s="27"/>
    </row>
  </sheetData>
  <mergeCells count="21">
    <mergeCell ref="J33:K33"/>
    <mergeCell ref="C26:D26"/>
    <mergeCell ref="E26:F26"/>
    <mergeCell ref="G26:H26"/>
    <mergeCell ref="I26:J26"/>
    <mergeCell ref="K26:L26"/>
    <mergeCell ref="C19:D19"/>
    <mergeCell ref="E19:F19"/>
    <mergeCell ref="G19:H19"/>
    <mergeCell ref="I19:J19"/>
    <mergeCell ref="K19:L19"/>
    <mergeCell ref="K6:L6"/>
    <mergeCell ref="C6:D6"/>
    <mergeCell ref="E6:F6"/>
    <mergeCell ref="G6:H6"/>
    <mergeCell ref="I6:J6"/>
    <mergeCell ref="C13:D13"/>
    <mergeCell ref="E13:F13"/>
    <mergeCell ref="G13:H13"/>
    <mergeCell ref="I13:J13"/>
    <mergeCell ref="K13:L13"/>
  </mergeCells>
  <hyperlinks>
    <hyperlink ref="B34" r:id="rId1" xr:uid="{00000000-0004-0000-0000-000000000000}"/>
  </hyperlinks>
  <pageMargins left="0.55118110236220474" right="0.70866141732283472" top="0.74803149606299213" bottom="0.74803149606299213" header="0.31496062992125984" footer="0.31496062992125984"/>
  <pageSetup paperSize="9" scale="93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  <pageSetUpPr fitToPage="1"/>
  </sheetPr>
  <dimension ref="B1:T83"/>
  <sheetViews>
    <sheetView showGridLines="0" tabSelected="1" zoomScale="85" zoomScaleNormal="85" workbookViewId="0">
      <selection activeCell="B1" sqref="B1"/>
    </sheetView>
  </sheetViews>
  <sheetFormatPr defaultColWidth="10.88671875" defaultRowHeight="14.4"/>
  <cols>
    <col min="1" max="1" width="2.33203125" style="7" customWidth="1"/>
    <col min="2" max="2" width="27.109375" style="7" customWidth="1"/>
    <col min="3" max="3" width="13" style="7" hidden="1" customWidth="1"/>
    <col min="4" max="4" width="7" style="7" hidden="1" customWidth="1"/>
    <col min="5" max="5" width="13" style="7" customWidth="1"/>
    <col min="6" max="6" width="7.44140625" style="7" customWidth="1"/>
    <col min="7" max="7" width="13" style="7" customWidth="1"/>
    <col min="8" max="8" width="6.44140625" style="7" customWidth="1"/>
    <col min="9" max="9" width="13" style="7" customWidth="1"/>
    <col min="10" max="10" width="6.44140625" style="7" customWidth="1"/>
    <col min="11" max="11" width="13" style="7" customWidth="1"/>
    <col min="12" max="12" width="8.6640625" style="7" customWidth="1"/>
    <col min="13" max="13" width="13.44140625" style="7" bestFit="1" customWidth="1"/>
    <col min="14" max="14" width="12.6640625" style="7" customWidth="1"/>
    <col min="15" max="15" width="13.44140625" style="7" bestFit="1" customWidth="1"/>
    <col min="16" max="17" width="10.88671875" style="7"/>
    <col min="18" max="18" width="14.109375" style="7" customWidth="1"/>
    <col min="19" max="16384" width="10.88671875" style="7"/>
  </cols>
  <sheetData>
    <row r="1" spans="2:17" ht="25.8">
      <c r="B1" s="32" t="s">
        <v>12</v>
      </c>
      <c r="C1" s="32"/>
      <c r="D1" s="32"/>
      <c r="E1" s="32"/>
      <c r="F1" s="6"/>
    </row>
    <row r="2" spans="2:17">
      <c r="B2" s="85" t="s">
        <v>0</v>
      </c>
      <c r="C2" s="85"/>
      <c r="D2" s="85"/>
      <c r="E2" s="86">
        <f>1/0.1522</f>
        <v>6.5703022339027592</v>
      </c>
      <c r="F2" s="85" t="s">
        <v>62</v>
      </c>
    </row>
    <row r="3" spans="2:17" ht="21.75" customHeight="1">
      <c r="B3" s="85" t="s">
        <v>64</v>
      </c>
      <c r="C3" s="85"/>
      <c r="D3" s="85"/>
      <c r="E3" s="86">
        <f>1/0.15209</f>
        <v>6.5750542441975144</v>
      </c>
      <c r="F3" s="87" t="s">
        <v>65</v>
      </c>
    </row>
    <row r="4" spans="2:17" ht="21.75" customHeight="1">
      <c r="B4" s="85" t="s">
        <v>1</v>
      </c>
      <c r="C4" s="85"/>
      <c r="D4" s="85"/>
      <c r="E4" s="86">
        <f>1/0.15645</f>
        <v>6.3918184723553848</v>
      </c>
      <c r="F4" s="85" t="s">
        <v>63</v>
      </c>
    </row>
    <row r="5" spans="2:17">
      <c r="B5" s="9" t="s">
        <v>44</v>
      </c>
      <c r="P5" s="83"/>
    </row>
    <row r="6" spans="2:17">
      <c r="B6" s="10"/>
      <c r="C6" s="91">
        <v>2015</v>
      </c>
      <c r="D6" s="91"/>
      <c r="E6" s="91">
        <v>2016</v>
      </c>
      <c r="F6" s="91"/>
      <c r="G6" s="91">
        <v>2017</v>
      </c>
      <c r="H6" s="91"/>
      <c r="I6" s="91">
        <v>2018</v>
      </c>
      <c r="J6" s="91"/>
      <c r="K6" s="91">
        <v>2019</v>
      </c>
      <c r="L6" s="91"/>
      <c r="M6" s="91">
        <v>2020</v>
      </c>
      <c r="N6" s="91"/>
      <c r="O6" s="91" t="s">
        <v>60</v>
      </c>
      <c r="P6" s="91"/>
    </row>
    <row r="7" spans="2:17">
      <c r="B7" s="11" t="s">
        <v>3</v>
      </c>
      <c r="C7" s="12">
        <v>1323903.4812</v>
      </c>
      <c r="D7" s="28">
        <f>+C7/C$10</f>
        <v>0.51868421425777389</v>
      </c>
      <c r="E7" s="12">
        <v>1045930.4238</v>
      </c>
      <c r="F7" s="28">
        <f>+E7/E$10</f>
        <v>0.30934227807227627</v>
      </c>
      <c r="G7" s="12">
        <v>1255625.3436</v>
      </c>
      <c r="H7" s="28">
        <f>+G7/G$10</f>
        <v>0.34353452177264066</v>
      </c>
      <c r="I7" s="12">
        <v>1532110.7059900002</v>
      </c>
      <c r="J7" s="28">
        <f>+I7/I$10</f>
        <v>0.38703725254513327</v>
      </c>
      <c r="K7" s="12">
        <f>8329626/E3</f>
        <v>1266852.81834</v>
      </c>
      <c r="L7" s="28">
        <f>+K7/K$10</f>
        <v>0.35986612913071714</v>
      </c>
      <c r="M7" s="12">
        <f>(7469284/$E$2)</f>
        <v>1136825.0248</v>
      </c>
      <c r="N7" s="28">
        <f>+M7/M$10</f>
        <v>0.38391240106144087</v>
      </c>
      <c r="O7" s="12">
        <f>(3733341/$E$2)*12/5</f>
        <v>1363714.80048</v>
      </c>
      <c r="P7" s="28">
        <f>O7/O$10</f>
        <v>0.40061403363362041</v>
      </c>
    </row>
    <row r="8" spans="2:17">
      <c r="B8" s="11" t="s">
        <v>4</v>
      </c>
      <c r="C8" s="12">
        <v>787102.92039999994</v>
      </c>
      <c r="D8" s="28">
        <f t="shared" ref="D8:F9" si="0">+C8/C$10</f>
        <v>0.30837433816370352</v>
      </c>
      <c r="E8" s="12">
        <v>524230.13391999993</v>
      </c>
      <c r="F8" s="28">
        <f t="shared" si="0"/>
        <v>0.15504524982816287</v>
      </c>
      <c r="G8" s="12">
        <v>232605.32719999997</v>
      </c>
      <c r="H8" s="28">
        <f t="shared" ref="H8:J9" si="1">+G8/G$10</f>
        <v>6.3639970512475247E-2</v>
      </c>
      <c r="I8" s="12">
        <v>221398.3401</v>
      </c>
      <c r="J8" s="28">
        <f t="shared" si="1"/>
        <v>5.5928990597965501E-2</v>
      </c>
      <c r="K8" s="12">
        <f>763167/E4</f>
        <v>119397.47715000001</v>
      </c>
      <c r="L8" s="28">
        <f>+K8/K$10</f>
        <v>3.3916416578087576E-2</v>
      </c>
      <c r="M8" s="12">
        <f>(660471/$E$4)</f>
        <v>103330.68795000001</v>
      </c>
      <c r="N8" s="28">
        <f>+M8/M$10</f>
        <v>3.4895372329786699E-2</v>
      </c>
      <c r="O8" s="12">
        <f>(167928/$E$4)*12/5</f>
        <v>63053.605439999999</v>
      </c>
      <c r="P8" s="28">
        <f>O8/O$10</f>
        <v>1.8523051301907206E-2</v>
      </c>
    </row>
    <row r="9" spans="2:17">
      <c r="B9" s="33" t="s">
        <v>5</v>
      </c>
      <c r="C9" s="19">
        <v>441420.38295999996</v>
      </c>
      <c r="D9" s="61">
        <f t="shared" si="0"/>
        <v>0.17294144757852248</v>
      </c>
      <c r="E9" s="19">
        <v>1810982.26672</v>
      </c>
      <c r="F9" s="61">
        <f t="shared" si="0"/>
        <v>0.53561247209956098</v>
      </c>
      <c r="G9" s="19">
        <v>2166788.7348799999</v>
      </c>
      <c r="H9" s="61">
        <f t="shared" si="1"/>
        <v>0.59282550771488407</v>
      </c>
      <c r="I9" s="19">
        <v>2205052.2963</v>
      </c>
      <c r="J9" s="61">
        <f t="shared" si="1"/>
        <v>0.55703375685690126</v>
      </c>
      <c r="K9" s="19">
        <f>13640744/E4</f>
        <v>2134094.3988000001</v>
      </c>
      <c r="L9" s="61">
        <f>+K9/K$10</f>
        <v>0.60621745429119533</v>
      </c>
      <c r="M9" s="19">
        <f>(11000330/$E$4)</f>
        <v>1721001.6285000001</v>
      </c>
      <c r="N9" s="61">
        <f>+M9/M$10</f>
        <v>0.58119222660877246</v>
      </c>
      <c r="O9" s="19">
        <f>(5266041/$E$4)*12/5</f>
        <v>1977293.0746799998</v>
      </c>
      <c r="P9" s="61">
        <f>O9/O$10</f>
        <v>0.58086291506447241</v>
      </c>
    </row>
    <row r="10" spans="2:17" ht="15" thickBot="1">
      <c r="B10" s="77" t="s">
        <v>16</v>
      </c>
      <c r="C10" s="79">
        <f>SUM(C7:C9)</f>
        <v>2552426.7845600001</v>
      </c>
      <c r="D10" s="80">
        <f>SUM(D7:D9)</f>
        <v>0.99999999999999989</v>
      </c>
      <c r="E10" s="79">
        <f>SUM(E7:E9)</f>
        <v>3381142.8244399996</v>
      </c>
      <c r="F10" s="80">
        <f>SUM(F7:F9)</f>
        <v>1</v>
      </c>
      <c r="G10" s="79">
        <f>SUM(G7:G9)</f>
        <v>3655019.4056799999</v>
      </c>
      <c r="H10" s="80">
        <f t="shared" ref="H10:N10" si="2">SUM(H7:H9)</f>
        <v>1</v>
      </c>
      <c r="I10" s="79">
        <f t="shared" si="2"/>
        <v>3958561.3423899999</v>
      </c>
      <c r="J10" s="80">
        <f t="shared" si="2"/>
        <v>1</v>
      </c>
      <c r="K10" s="79">
        <f>SUM(K7:K9)</f>
        <v>3520344.69429</v>
      </c>
      <c r="L10" s="80">
        <f t="shared" si="2"/>
        <v>1</v>
      </c>
      <c r="M10" s="79">
        <f t="shared" si="2"/>
        <v>2961157.3412500001</v>
      </c>
      <c r="N10" s="80">
        <f t="shared" si="2"/>
        <v>1</v>
      </c>
      <c r="O10" s="79">
        <f t="shared" ref="O10:P10" si="3">SUM(O7:O9)</f>
        <v>3404061.4805999999</v>
      </c>
      <c r="P10" s="80">
        <f t="shared" si="3"/>
        <v>1</v>
      </c>
    </row>
    <row r="11" spans="2:17" ht="15" thickTop="1">
      <c r="B11" s="62" t="s">
        <v>77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74"/>
    </row>
    <row r="12" spans="2:17">
      <c r="B12" s="9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74"/>
      <c r="P12" s="83"/>
    </row>
    <row r="13" spans="2:17">
      <c r="B13" s="10"/>
      <c r="C13" s="91">
        <v>2015</v>
      </c>
      <c r="D13" s="91"/>
      <c r="E13" s="91">
        <v>2016</v>
      </c>
      <c r="F13" s="91"/>
      <c r="G13" s="91">
        <v>2017</v>
      </c>
      <c r="H13" s="91"/>
      <c r="I13" s="91">
        <v>2018</v>
      </c>
      <c r="J13" s="91"/>
      <c r="K13" s="91">
        <v>2019</v>
      </c>
      <c r="L13" s="91"/>
      <c r="M13" s="91">
        <v>2020</v>
      </c>
      <c r="N13" s="91"/>
      <c r="O13" s="91" t="s">
        <v>60</v>
      </c>
      <c r="P13" s="91"/>
    </row>
    <row r="14" spans="2:17">
      <c r="B14" s="20" t="s">
        <v>14</v>
      </c>
      <c r="C14" s="13">
        <v>57873.897799999999</v>
      </c>
      <c r="D14" s="28">
        <f>+C14/C$16</f>
        <v>0.1048863702847086</v>
      </c>
      <c r="E14" s="13">
        <v>0</v>
      </c>
      <c r="F14" s="28">
        <f>+E14/E$16</f>
        <v>0</v>
      </c>
      <c r="G14" s="13">
        <v>248850.65280000001</v>
      </c>
      <c r="H14" s="28">
        <f>+G14/G$16</f>
        <v>0.10213489036443656</v>
      </c>
      <c r="I14" s="13">
        <v>114190.84499</v>
      </c>
      <c r="J14" s="28">
        <f>+I14/I$16</f>
        <v>4.7434033583468732E-2</v>
      </c>
      <c r="K14" s="13">
        <f>693338/E3</f>
        <v>105449.77642000001</v>
      </c>
      <c r="L14" s="28">
        <f>+K14/K$16</f>
        <v>4.7074834520732613E-2</v>
      </c>
      <c r="M14" s="13">
        <f>(2558201/$E$2)</f>
        <v>389358.19219999999</v>
      </c>
      <c r="N14" s="28">
        <f>+M14/M$16</f>
        <v>0.1743053350694673</v>
      </c>
      <c r="O14" s="13">
        <f>(926956/$E$2)*12/5</f>
        <v>338598.48768000008</v>
      </c>
      <c r="P14" s="28">
        <f>+O14/O$16</f>
        <v>0.15418929697922096</v>
      </c>
      <c r="Q14" s="74"/>
    </row>
    <row r="15" spans="2:17">
      <c r="B15" s="7" t="s">
        <v>15</v>
      </c>
      <c r="C15" s="19">
        <v>491888.20767999999</v>
      </c>
      <c r="D15" s="61">
        <f>+C15/C$16</f>
        <v>0.89146179280508264</v>
      </c>
      <c r="E15" s="19">
        <v>1829832.6375199999</v>
      </c>
      <c r="F15" s="61">
        <f>+E15/E$16</f>
        <v>0.99889947239160037</v>
      </c>
      <c r="G15" s="19">
        <v>2185622.48208</v>
      </c>
      <c r="H15" s="61">
        <f>+G15/G$16</f>
        <v>0.89703727948303169</v>
      </c>
      <c r="I15" s="19">
        <v>2291152.2070500003</v>
      </c>
      <c r="J15" s="61">
        <f>+I15/I$16</f>
        <v>0.95172770412168772</v>
      </c>
      <c r="K15" s="19">
        <f>13631044/E4</f>
        <v>2132576.8338000001</v>
      </c>
      <c r="L15" s="61">
        <f>+K15/K$16</f>
        <v>0.95202384454598443</v>
      </c>
      <c r="M15" s="19">
        <f>(11776240/$E$4)</f>
        <v>1842392.7480000001</v>
      </c>
      <c r="N15" s="61">
        <f>+M15/M$16</f>
        <v>0.8247903645102671</v>
      </c>
      <c r="O15" s="19">
        <f>(4946718/$E$4)*12/5</f>
        <v>1857393.6746399999</v>
      </c>
      <c r="P15" s="61">
        <f>+O15/O$16</f>
        <v>0.84581070302077899</v>
      </c>
      <c r="Q15" s="74"/>
    </row>
    <row r="16" spans="2:17" ht="15" thickBot="1">
      <c r="B16" s="77" t="s">
        <v>17</v>
      </c>
      <c r="C16" s="79">
        <f>SUM(C13:C15)</f>
        <v>551777.10548000003</v>
      </c>
      <c r="D16" s="80">
        <f>SUM(D13:D15)</f>
        <v>0.99634816308979124</v>
      </c>
      <c r="E16" s="79">
        <f>SUM(E13:E15)</f>
        <v>1831848.6375199999</v>
      </c>
      <c r="F16" s="80">
        <f>SUM(F13:F15)</f>
        <v>0.99889947239160037</v>
      </c>
      <c r="G16" s="79">
        <f>SUM(G13:G15)</f>
        <v>2436490.1348799998</v>
      </c>
      <c r="H16" s="80">
        <f t="shared" ref="H16:N16" si="4">SUM(H13:H15)</f>
        <v>0.99917216984746826</v>
      </c>
      <c r="I16" s="79">
        <f t="shared" si="4"/>
        <v>2407361.0520400004</v>
      </c>
      <c r="J16" s="80">
        <f t="shared" si="4"/>
        <v>0.99916173770515648</v>
      </c>
      <c r="K16" s="79">
        <f>SUM(K13:K15)</f>
        <v>2240045.6102200001</v>
      </c>
      <c r="L16" s="80">
        <f t="shared" si="4"/>
        <v>0.99909867906671701</v>
      </c>
      <c r="M16" s="79">
        <f t="shared" si="4"/>
        <v>2233770.9402000001</v>
      </c>
      <c r="N16" s="80">
        <f t="shared" si="4"/>
        <v>0.99909569957973443</v>
      </c>
      <c r="O16" s="79">
        <f t="shared" ref="O16:P16" si="5">SUM(O13:O15)</f>
        <v>2195992.1623200001</v>
      </c>
      <c r="P16" s="80">
        <f t="shared" si="5"/>
        <v>1</v>
      </c>
      <c r="Q16" s="74"/>
    </row>
    <row r="17" spans="2:20" ht="15" thickTop="1">
      <c r="B17" s="62" t="s">
        <v>77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Q17" s="74"/>
      <c r="R17" s="9"/>
    </row>
    <row r="18" spans="2:20">
      <c r="B18" s="9" t="s">
        <v>66</v>
      </c>
      <c r="P18" s="83"/>
      <c r="Q18" s="74"/>
      <c r="R18" s="9"/>
    </row>
    <row r="19" spans="2:20">
      <c r="B19" s="10"/>
      <c r="C19" s="91">
        <v>2015</v>
      </c>
      <c r="D19" s="91"/>
      <c r="E19" s="91">
        <v>2016</v>
      </c>
      <c r="F19" s="91"/>
      <c r="G19" s="91">
        <v>2017</v>
      </c>
      <c r="H19" s="91"/>
      <c r="I19" s="91">
        <v>2018</v>
      </c>
      <c r="J19" s="91"/>
      <c r="K19" s="91">
        <v>2019</v>
      </c>
      <c r="L19" s="91"/>
      <c r="M19" s="91">
        <v>2020</v>
      </c>
      <c r="N19" s="91"/>
      <c r="O19" s="91" t="s">
        <v>60</v>
      </c>
      <c r="P19" s="91"/>
      <c r="R19" s="63"/>
      <c r="S19" s="64"/>
      <c r="T19" s="63"/>
    </row>
    <row r="20" spans="2:20">
      <c r="B20" s="11" t="s">
        <v>6</v>
      </c>
      <c r="C20" s="12">
        <v>279842.22560000001</v>
      </c>
      <c r="D20" s="28">
        <f>+C20/C$23</f>
        <v>0.23212462340385345</v>
      </c>
      <c r="E20" s="12">
        <v>329264.00079999998</v>
      </c>
      <c r="F20" s="28">
        <f>+E20/E$23</f>
        <v>0.30056774543486214</v>
      </c>
      <c r="G20" s="12">
        <v>326831.99700000003</v>
      </c>
      <c r="H20" s="28">
        <f>+G20/G$23</f>
        <v>0.32643682459302281</v>
      </c>
      <c r="I20" s="12">
        <v>277666.30239000003</v>
      </c>
      <c r="J20" s="28">
        <f>+I20/I$23</f>
        <v>0.19880726811802527</v>
      </c>
      <c r="K20" s="38">
        <f>1749922/E3</f>
        <v>266145.63698000001</v>
      </c>
      <c r="L20" s="28">
        <f>+K20/K$23</f>
        <v>0.20926346897674636</v>
      </c>
      <c r="M20" s="3">
        <f>(1661437/$E$2)</f>
        <v>252870.7114</v>
      </c>
      <c r="N20" s="28">
        <f>+M20/M$23</f>
        <v>0.30801182673826544</v>
      </c>
      <c r="O20" s="3">
        <f>(789835/$E$2)*12/5</f>
        <v>288510.92879999999</v>
      </c>
      <c r="P20" s="28">
        <f>+O20/O$23</f>
        <v>0.23923699427485171</v>
      </c>
      <c r="S20" s="65"/>
      <c r="T20" s="61"/>
    </row>
    <row r="21" spans="2:20" customFormat="1">
      <c r="B21" s="11" t="s">
        <v>41</v>
      </c>
      <c r="C21" s="12">
        <v>559461.02159999998</v>
      </c>
      <c r="D21" s="28">
        <f>+C21/C$23</f>
        <v>0.46406391554954501</v>
      </c>
      <c r="E21" s="12">
        <v>449171.42239999998</v>
      </c>
      <c r="F21" s="28">
        <f>+E21/E$23</f>
        <v>0.41002490833045274</v>
      </c>
      <c r="G21" s="12">
        <v>336912.35519999999</v>
      </c>
      <c r="H21" s="28">
        <f>+G21/G$23</f>
        <v>0.33650499463687639</v>
      </c>
      <c r="I21" s="12">
        <v>478869.35728</v>
      </c>
      <c r="J21" s="28">
        <f>+I21/I$23</f>
        <v>0.34286734791661222</v>
      </c>
      <c r="K21" s="38">
        <f>2453648/E3+K8</f>
        <v>492572.80147000001</v>
      </c>
      <c r="L21" s="28">
        <f>+K21/K$23</f>
        <v>0.38729732461085709</v>
      </c>
      <c r="M21" s="2">
        <f>(2223876/$E$2)+M8</f>
        <v>441804.61515000003</v>
      </c>
      <c r="N21" s="28">
        <f>+M21/M$23</f>
        <v>0.53814475318373245</v>
      </c>
      <c r="O21" s="2">
        <f>(659533/$E$2)*12/5+O8</f>
        <v>303967.81968000002</v>
      </c>
      <c r="P21" s="28">
        <f>+O21/O$23</f>
        <v>0.25205404813948706</v>
      </c>
      <c r="R21" s="7"/>
      <c r="S21" s="66"/>
      <c r="T21" s="61"/>
    </row>
    <row r="22" spans="2:20" customFormat="1">
      <c r="B22" s="33" t="s">
        <v>42</v>
      </c>
      <c r="C22" s="19">
        <v>366265.64720000001</v>
      </c>
      <c r="D22" s="61">
        <f>+C22/C$23</f>
        <v>0.30381146104660145</v>
      </c>
      <c r="E22" s="19">
        <v>317038.07919999998</v>
      </c>
      <c r="F22" s="61">
        <f>+E22/E$23</f>
        <v>0.28940734623468517</v>
      </c>
      <c r="G22" s="19">
        <v>337466.21100000001</v>
      </c>
      <c r="H22" s="61">
        <f>+G22/G$23</f>
        <v>0.33705818077010075</v>
      </c>
      <c r="I22" s="19">
        <v>640125.06113000005</v>
      </c>
      <c r="J22" s="61">
        <f>+I22/I$23</f>
        <v>0.45832538396536254</v>
      </c>
      <c r="K22" s="39">
        <f>3373676/E3</f>
        <v>513102.38284000003</v>
      </c>
      <c r="L22" s="61">
        <f>+K22/K$23</f>
        <v>0.40343920641239656</v>
      </c>
      <c r="M22" s="78">
        <f>829842/$E$2</f>
        <v>126301.95240000001</v>
      </c>
      <c r="N22" s="61">
        <f>+M22/M$23</f>
        <v>0.15384342007800217</v>
      </c>
      <c r="O22" s="78">
        <f>(1679490/$E$2)*12/5</f>
        <v>613484.10719999997</v>
      </c>
      <c r="P22" s="61">
        <f>+O22/O$23</f>
        <v>0.50870895758566115</v>
      </c>
      <c r="S22" s="39"/>
      <c r="T22" s="48"/>
    </row>
    <row r="23" spans="2:20" customFormat="1" ht="15" thickBot="1">
      <c r="B23" s="77" t="s">
        <v>18</v>
      </c>
      <c r="C23" s="79">
        <f t="shared" ref="C23:L23" si="6">SUM(C20:C22)</f>
        <v>1205568.8944000001</v>
      </c>
      <c r="D23" s="80">
        <f t="shared" si="6"/>
        <v>1</v>
      </c>
      <c r="E23" s="79">
        <f t="shared" si="6"/>
        <v>1095473.5023999999</v>
      </c>
      <c r="F23" s="80">
        <f t="shared" si="6"/>
        <v>1</v>
      </c>
      <c r="G23" s="79">
        <f t="shared" si="6"/>
        <v>1001210.5632000001</v>
      </c>
      <c r="H23" s="80">
        <f t="shared" si="6"/>
        <v>1</v>
      </c>
      <c r="I23" s="79">
        <f t="shared" si="6"/>
        <v>1396660.7208</v>
      </c>
      <c r="J23" s="80">
        <f t="shared" si="6"/>
        <v>1</v>
      </c>
      <c r="K23" s="79">
        <f>SUM(K20:K22)</f>
        <v>1271820.8212900001</v>
      </c>
      <c r="L23" s="80">
        <f t="shared" si="6"/>
        <v>1</v>
      </c>
      <c r="M23" s="79">
        <f>SUM(M20:M22)</f>
        <v>820977.27894999995</v>
      </c>
      <c r="N23" s="80">
        <f>SUM(N20:N22)</f>
        <v>1</v>
      </c>
      <c r="O23" s="79">
        <f>SUM(O20:O22)</f>
        <v>1205962.85568</v>
      </c>
      <c r="P23" s="80">
        <f>SUM(P20:P22)</f>
        <v>0.99999999999999989</v>
      </c>
      <c r="R23" s="7"/>
      <c r="S23" s="66"/>
      <c r="T23" s="61"/>
    </row>
    <row r="24" spans="2:20" ht="15" customHeight="1" thickTop="1">
      <c r="B24" s="62" t="s">
        <v>77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N24" s="22"/>
      <c r="O24" s="69"/>
      <c r="R24" s="9"/>
      <c r="S24" s="67"/>
      <c r="T24" s="68"/>
    </row>
    <row r="25" spans="2:20" ht="15" customHeight="1">
      <c r="B25" s="62"/>
      <c r="C25" s="19"/>
      <c r="D25" s="19"/>
      <c r="E25" s="19"/>
      <c r="F25" s="19"/>
      <c r="G25" s="19"/>
      <c r="H25" s="19"/>
      <c r="I25" s="19"/>
      <c r="J25" s="19"/>
      <c r="K25" s="19"/>
      <c r="L25" s="19"/>
      <c r="N25" s="22"/>
      <c r="O25" s="69"/>
      <c r="R25" s="9"/>
      <c r="S25" s="67"/>
      <c r="T25" s="68"/>
    </row>
    <row r="26" spans="2:20">
      <c r="B26" s="10"/>
      <c r="C26" s="91">
        <v>2015</v>
      </c>
      <c r="D26" s="91"/>
      <c r="E26" s="91">
        <v>2016</v>
      </c>
      <c r="F26" s="91"/>
      <c r="G26" s="91">
        <v>2017</v>
      </c>
      <c r="H26" s="91"/>
      <c r="I26" s="91">
        <v>2018</v>
      </c>
      <c r="J26" s="91"/>
      <c r="K26" s="91">
        <v>2019</v>
      </c>
      <c r="L26" s="91"/>
      <c r="M26" s="91">
        <v>2020</v>
      </c>
      <c r="N26" s="91"/>
      <c r="O26" s="91" t="s">
        <v>60</v>
      </c>
      <c r="P26" s="91"/>
      <c r="R26" s="63"/>
      <c r="S26" s="64"/>
      <c r="T26" s="63"/>
    </row>
    <row r="27" spans="2:20">
      <c r="B27" s="11" t="s">
        <v>6</v>
      </c>
      <c r="C27" s="12">
        <v>279842.22560000001</v>
      </c>
      <c r="D27" s="28">
        <f>+C27/C$23</f>
        <v>0.23212462340385345</v>
      </c>
      <c r="E27" s="12">
        <v>329264.00079999998</v>
      </c>
      <c r="F27" s="28">
        <f>+E27/E$23</f>
        <v>0.30056774543486214</v>
      </c>
      <c r="G27" s="12">
        <f>1729780/E3</f>
        <v>263082.2402</v>
      </c>
      <c r="H27" s="28">
        <f>+G27/G$23</f>
        <v>0.26276414759264494</v>
      </c>
      <c r="I27" s="12">
        <f>1627135/E3</f>
        <v>247470.96215000001</v>
      </c>
      <c r="J27" s="28">
        <f>+I27/I$23</f>
        <v>0.17718760072829279</v>
      </c>
      <c r="K27" s="38">
        <f>1674672/E3</f>
        <v>254700.86448000002</v>
      </c>
      <c r="L27" s="28">
        <f>+K27/K$23</f>
        <v>0.20026473872448361</v>
      </c>
      <c r="M27" s="3">
        <f>(1596302/$E$2)</f>
        <v>242957.16440000001</v>
      </c>
      <c r="N27" s="28">
        <f>+M27/M$23</f>
        <v>0.29593652666092463</v>
      </c>
      <c r="O27" s="3">
        <f>(780745/$E$2)*12/5</f>
        <v>285190.53360000002</v>
      </c>
      <c r="P27" s="28">
        <f>+O27/O$23</f>
        <v>0.23648367962311004</v>
      </c>
      <c r="S27" s="65"/>
      <c r="T27" s="61"/>
    </row>
    <row r="28" spans="2:20">
      <c r="B28" s="11" t="s">
        <v>73</v>
      </c>
      <c r="C28" s="12"/>
      <c r="D28" s="28"/>
      <c r="E28" s="12">
        <v>0</v>
      </c>
      <c r="F28" s="28"/>
      <c r="G28" s="12">
        <f>417605/E3</f>
        <v>63513.544450000001</v>
      </c>
      <c r="H28" s="28">
        <f>+G28/G$23</f>
        <v>6.3436750254614163E-2</v>
      </c>
      <c r="I28" s="12">
        <f>198536/E3</f>
        <v>30195.340240000001</v>
      </c>
      <c r="J28" s="28"/>
      <c r="K28" s="38">
        <f>75250/E3</f>
        <v>11444.772500000001</v>
      </c>
      <c r="L28" s="28">
        <f>+K28/K$23</f>
        <v>8.9987302522627662E-3</v>
      </c>
      <c r="M28" s="3">
        <f>65136/E2</f>
        <v>9913.6992000000009</v>
      </c>
      <c r="N28" s="28">
        <f>+M28/M$23</f>
        <v>1.2075485466149881E-2</v>
      </c>
      <c r="O28" s="3">
        <f>(9090/E2)*12/5</f>
        <v>3320.3952000000004</v>
      </c>
      <c r="P28" s="28">
        <f>+O28/O$23</f>
        <v>2.753314651741696E-3</v>
      </c>
      <c r="S28" s="65"/>
      <c r="T28" s="61"/>
    </row>
    <row r="29" spans="2:20" customFormat="1">
      <c r="B29" s="11" t="s">
        <v>76</v>
      </c>
      <c r="C29" s="12">
        <v>559461.02159999998</v>
      </c>
      <c r="D29" s="28">
        <f>+C29/C$23</f>
        <v>0.46406391554954501</v>
      </c>
      <c r="E29" s="12">
        <v>449171.42239999998</v>
      </c>
      <c r="F29" s="28">
        <f>+E29/E$23</f>
        <v>0.41002490833045274</v>
      </c>
      <c r="G29" s="12">
        <v>336912.35519999999</v>
      </c>
      <c r="H29" s="28">
        <f>+G29/G$23</f>
        <v>0.33650499463687639</v>
      </c>
      <c r="I29" s="12">
        <v>478869.35728</v>
      </c>
      <c r="J29" s="28">
        <f>+I29/I$23</f>
        <v>0.34286734791661222</v>
      </c>
      <c r="K29" s="38">
        <f>2453648/E3+K8</f>
        <v>492572.80147000001</v>
      </c>
      <c r="L29" s="28">
        <f>+K29/K$23</f>
        <v>0.38729732461085709</v>
      </c>
      <c r="M29" s="2">
        <f>(2223876/$E$2)+M8</f>
        <v>441804.61515000003</v>
      </c>
      <c r="N29" s="28">
        <f>+M29/M$23</f>
        <v>0.53814475318373245</v>
      </c>
      <c r="O29" s="2">
        <f>(659533/$E$2)*12/5+O8</f>
        <v>303967.81968000002</v>
      </c>
      <c r="P29" s="28">
        <f>+O29/O$23</f>
        <v>0.25205404813948706</v>
      </c>
      <c r="R29" s="7"/>
      <c r="S29" s="66"/>
      <c r="T29" s="61"/>
    </row>
    <row r="30" spans="2:20" customFormat="1">
      <c r="B30" s="33" t="s">
        <v>42</v>
      </c>
      <c r="C30" s="19">
        <v>366265.64720000001</v>
      </c>
      <c r="D30" s="61">
        <f>+C30/C$23</f>
        <v>0.30381146104660145</v>
      </c>
      <c r="E30" s="19">
        <v>317038.07919999998</v>
      </c>
      <c r="F30" s="61">
        <f>+E30/E$23</f>
        <v>0.28940734623468517</v>
      </c>
      <c r="G30" s="19">
        <v>337466.21100000001</v>
      </c>
      <c r="H30" s="61">
        <f>+G30/G$23</f>
        <v>0.33705818077010075</v>
      </c>
      <c r="I30" s="19">
        <v>640125.06113000005</v>
      </c>
      <c r="J30" s="61">
        <f>+I30/I$23</f>
        <v>0.45832538396536254</v>
      </c>
      <c r="K30" s="39">
        <f>3373676/E3</f>
        <v>513102.38284000003</v>
      </c>
      <c r="L30" s="61">
        <f>+K30/K$23</f>
        <v>0.40343920641239656</v>
      </c>
      <c r="M30" s="78">
        <f>829842/$E$2</f>
        <v>126301.95240000001</v>
      </c>
      <c r="N30" s="61">
        <f>+M30/M$23</f>
        <v>0.15384342007800217</v>
      </c>
      <c r="O30" s="78">
        <f>(1679490/$E$2)*12/5</f>
        <v>613484.10719999997</v>
      </c>
      <c r="P30" s="61">
        <f>+O30/O$23</f>
        <v>0.50870895758566115</v>
      </c>
      <c r="S30" s="39"/>
      <c r="T30" s="48"/>
    </row>
    <row r="31" spans="2:20" customFormat="1" ht="15" thickBot="1">
      <c r="B31" s="77" t="s">
        <v>18</v>
      </c>
      <c r="C31" s="79">
        <f t="shared" ref="C31:J31" si="7">SUM(C27:C30)</f>
        <v>1205568.8944000001</v>
      </c>
      <c r="D31" s="80">
        <f t="shared" si="7"/>
        <v>1</v>
      </c>
      <c r="E31" s="79">
        <f t="shared" si="7"/>
        <v>1095473.5023999999</v>
      </c>
      <c r="F31" s="80">
        <f t="shared" si="7"/>
        <v>1</v>
      </c>
      <c r="G31" s="79">
        <f t="shared" si="7"/>
        <v>1000974.3508499999</v>
      </c>
      <c r="H31" s="80">
        <f t="shared" si="7"/>
        <v>0.99976407325423622</v>
      </c>
      <c r="I31" s="79">
        <f t="shared" si="7"/>
        <v>1396660.7208</v>
      </c>
      <c r="J31" s="80">
        <f t="shared" si="7"/>
        <v>0.97838033261026758</v>
      </c>
      <c r="K31" s="79">
        <f>SUM(K27:K30)</f>
        <v>1271820.8212900001</v>
      </c>
      <c r="L31" s="80">
        <f t="shared" ref="L31" si="8">SUM(L27:L30)</f>
        <v>1</v>
      </c>
      <c r="M31" s="79">
        <f>SUM(M27:M30)</f>
        <v>820977.43115000008</v>
      </c>
      <c r="N31" s="80">
        <f>SUM(N27:N30)</f>
        <v>1.0000001853888092</v>
      </c>
      <c r="O31" s="79">
        <f>SUM(O27:O30)</f>
        <v>1205962.85568</v>
      </c>
      <c r="P31" s="80">
        <f>SUM(P27:P30)</f>
        <v>1</v>
      </c>
      <c r="R31" s="7"/>
      <c r="S31" s="66"/>
      <c r="T31" s="61"/>
    </row>
    <row r="32" spans="2:20" ht="15" thickTop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R32" s="22"/>
      <c r="S32" s="69"/>
    </row>
    <row r="33" spans="2:16">
      <c r="B33" s="22" t="s">
        <v>9</v>
      </c>
      <c r="C33" s="21"/>
      <c r="D33" s="21"/>
      <c r="E33" s="21"/>
      <c r="F33" s="21"/>
      <c r="G33" s="21"/>
      <c r="H33" s="21"/>
      <c r="I33" s="21"/>
      <c r="J33" s="92"/>
      <c r="K33" s="92"/>
      <c r="L33" s="26"/>
    </row>
    <row r="34" spans="2:16">
      <c r="B34" s="40"/>
      <c r="C34" s="21"/>
      <c r="D34" s="21"/>
      <c r="E34" s="21"/>
      <c r="F34" s="21"/>
      <c r="G34" s="21"/>
      <c r="H34" s="21"/>
      <c r="I34" s="21"/>
      <c r="J34" s="27" t="s">
        <v>43</v>
      </c>
      <c r="K34" s="31"/>
      <c r="L34" s="27"/>
    </row>
    <row r="35" spans="2:16">
      <c r="B35" s="10"/>
      <c r="C35" s="91">
        <v>2015</v>
      </c>
      <c r="D35" s="91"/>
      <c r="E35" s="91">
        <v>2016</v>
      </c>
      <c r="F35" s="91"/>
      <c r="G35" s="91">
        <v>2017</v>
      </c>
      <c r="H35" s="91"/>
      <c r="I35" s="91">
        <v>2018</v>
      </c>
      <c r="J35" s="91"/>
      <c r="K35" s="91">
        <v>2019</v>
      </c>
      <c r="L35" s="91"/>
      <c r="M35" s="91">
        <v>2020</v>
      </c>
      <c r="N35" s="91"/>
      <c r="O35" s="91" t="s">
        <v>60</v>
      </c>
      <c r="P35" s="91"/>
    </row>
    <row r="36" spans="2:16">
      <c r="B36" s="20" t="s">
        <v>45</v>
      </c>
      <c r="C36" s="13">
        <f>+C23</f>
        <v>1205568.8944000001</v>
      </c>
      <c r="D36" s="71">
        <f>+C36/C$38</f>
        <v>0.68601680857515945</v>
      </c>
      <c r="E36" s="13">
        <f>+E23</f>
        <v>1095473.5023999999</v>
      </c>
      <c r="F36" s="71">
        <f>+E36/E$38</f>
        <v>0.37422376152627251</v>
      </c>
      <c r="G36" s="13">
        <f>+G23</f>
        <v>1001210.5632000001</v>
      </c>
      <c r="H36" s="71">
        <f>+G36/G$38</f>
        <v>0.29124425048381586</v>
      </c>
      <c r="I36" s="13">
        <f>+I23</f>
        <v>1396660.7208</v>
      </c>
      <c r="J36" s="71">
        <f>+I36/I$38</f>
        <v>0.36715371367532507</v>
      </c>
      <c r="K36" s="13">
        <f>+K23</f>
        <v>1271820.8212900001</v>
      </c>
      <c r="L36" s="71">
        <f>+K36/K$38</f>
        <v>0.36214954244235142</v>
      </c>
      <c r="M36" s="13">
        <f>+M23</f>
        <v>820977.27894999995</v>
      </c>
      <c r="N36" s="71">
        <f>+M36/M$38</f>
        <v>0.2687544832020366</v>
      </c>
      <c r="O36" s="13">
        <f>+O23</f>
        <v>1205962.85568</v>
      </c>
      <c r="P36" s="71">
        <f>+O36/O$38</f>
        <v>0.35449112328033727</v>
      </c>
    </row>
    <row r="37" spans="2:16">
      <c r="B37" s="7" t="s">
        <v>46</v>
      </c>
      <c r="C37" s="19">
        <f>+C16</f>
        <v>551777.10548000003</v>
      </c>
      <c r="D37" s="61">
        <f>+C37/C$38</f>
        <v>0.31398319142484066</v>
      </c>
      <c r="E37" s="19">
        <f>+E16</f>
        <v>1831848.6375199999</v>
      </c>
      <c r="F37" s="61">
        <f>+E37/E$38</f>
        <v>0.62577623847372743</v>
      </c>
      <c r="G37" s="19">
        <f>+G16</f>
        <v>2436490.1348799998</v>
      </c>
      <c r="H37" s="61">
        <f>+G37/G$38</f>
        <v>0.70875574951618414</v>
      </c>
      <c r="I37" s="19">
        <f>+I16</f>
        <v>2407361.0520400004</v>
      </c>
      <c r="J37" s="61">
        <f>+I37/I$38</f>
        <v>0.63284628632467488</v>
      </c>
      <c r="K37" s="19">
        <f>+K16</f>
        <v>2240045.6102200001</v>
      </c>
      <c r="L37" s="61">
        <f>+K37/K$38</f>
        <v>0.63785045755764858</v>
      </c>
      <c r="M37" s="19">
        <f>+M16</f>
        <v>2233770.9402000001</v>
      </c>
      <c r="N37" s="61">
        <f>+M37/M$38</f>
        <v>0.73124551679796335</v>
      </c>
      <c r="O37" s="19">
        <f>+O16</f>
        <v>2195992.1623200001</v>
      </c>
      <c r="P37" s="61">
        <f>+O37/O$38</f>
        <v>0.64550887671966273</v>
      </c>
    </row>
    <row r="38" spans="2:16" ht="15" thickBot="1">
      <c r="B38" s="76" t="s">
        <v>47</v>
      </c>
      <c r="C38" s="81">
        <f t="shared" ref="C38:I38" si="9">SUM(C36:C37)</f>
        <v>1757345.99988</v>
      </c>
      <c r="D38" s="82">
        <f>SUM(D36:D37)</f>
        <v>1</v>
      </c>
      <c r="E38" s="81">
        <f t="shared" si="9"/>
        <v>2927322.13992</v>
      </c>
      <c r="F38" s="82">
        <f>SUM(F36:F37)</f>
        <v>1</v>
      </c>
      <c r="G38" s="81">
        <f t="shared" si="9"/>
        <v>3437700.69808</v>
      </c>
      <c r="H38" s="82">
        <f>SUM(H36:H37)</f>
        <v>1</v>
      </c>
      <c r="I38" s="81">
        <f t="shared" si="9"/>
        <v>3804021.7728400007</v>
      </c>
      <c r="J38" s="82">
        <f t="shared" ref="J38:P38" si="10">SUM(J36:J37)</f>
        <v>1</v>
      </c>
      <c r="K38" s="81">
        <f t="shared" si="10"/>
        <v>3511866.4315100005</v>
      </c>
      <c r="L38" s="82">
        <f t="shared" si="10"/>
        <v>1</v>
      </c>
      <c r="M38" s="81">
        <f t="shared" si="10"/>
        <v>3054748.2191500003</v>
      </c>
      <c r="N38" s="82">
        <f t="shared" si="10"/>
        <v>1</v>
      </c>
      <c r="O38" s="81">
        <f t="shared" si="10"/>
        <v>3401955.0180000002</v>
      </c>
      <c r="P38" s="82">
        <f t="shared" si="10"/>
        <v>1</v>
      </c>
    </row>
    <row r="39" spans="2:16" ht="15" thickTop="1">
      <c r="B39" s="41" t="s">
        <v>48</v>
      </c>
      <c r="C39" s="41"/>
      <c r="D39" s="41"/>
      <c r="E39" s="42">
        <f>+(E38-C38)/C38</f>
        <v>0.66576311103214247</v>
      </c>
      <c r="F39" s="41"/>
      <c r="G39" s="42">
        <f>+(G38-E38)/E38</f>
        <v>0.17434998055046583</v>
      </c>
      <c r="H39" s="41"/>
      <c r="I39" s="42">
        <f>+(I38-G38)/G38</f>
        <v>0.10655990935004775</v>
      </c>
      <c r="J39" s="41"/>
      <c r="K39" s="42">
        <f>+(K38-I38)/I38</f>
        <v>-7.6801700614842511E-2</v>
      </c>
      <c r="L39" s="41"/>
      <c r="M39" s="42">
        <f>+(M38-K38)/K38</f>
        <v>-0.13016389469102124</v>
      </c>
      <c r="N39" s="41"/>
      <c r="O39" s="42">
        <f>+(O38-M38)/M38</f>
        <v>0.11366134749613244</v>
      </c>
    </row>
    <row r="40" spans="2:16">
      <c r="B40" s="62" t="s">
        <v>77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spans="2:16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2:16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2:16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2:16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2:16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 spans="2:1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 spans="2:16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2:16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2:1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 spans="2:1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2:1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2:1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2:1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2:1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 spans="2:1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2:1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 spans="2:1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 spans="2:1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 spans="2:1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 spans="2:1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2:1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 spans="2:1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 spans="2:1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spans="2:1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 spans="2:1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spans="2:1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 spans="2:1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spans="2:1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spans="2:1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spans="2:1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 spans="2:1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spans="2:1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 spans="2:1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spans="2:1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 spans="2:1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spans="2:1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spans="2:1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spans="2:1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spans="2:1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 spans="2:1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 spans="2:1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 spans="2:1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</sheetData>
  <sheetProtection algorithmName="SHA-512" hashValue="9NeYF1WUV5HY3ANfuVwBCNSlO4VcizWMK8e/N75Yfo+4mQTU5d/7vf/WwkQiLlkC0yOAtiBNAR/4JlAct36eWA==" saltValue="eWgTqgmxUksPqRPALgGNyw==" spinCount="100000" sheet="1" objects="1" scenarios="1" selectLockedCells="1"/>
  <mergeCells count="36">
    <mergeCell ref="M26:N26"/>
    <mergeCell ref="O26:P26"/>
    <mergeCell ref="O6:P6"/>
    <mergeCell ref="O13:P13"/>
    <mergeCell ref="O19:P19"/>
    <mergeCell ref="O35:P35"/>
    <mergeCell ref="C6:D6"/>
    <mergeCell ref="E6:F6"/>
    <mergeCell ref="M6:N6"/>
    <mergeCell ref="M13:N13"/>
    <mergeCell ref="C13:D13"/>
    <mergeCell ref="G6:H6"/>
    <mergeCell ref="I6:J6"/>
    <mergeCell ref="K6:L6"/>
    <mergeCell ref="E13:F13"/>
    <mergeCell ref="G13:H13"/>
    <mergeCell ref="I13:J13"/>
    <mergeCell ref="K13:L13"/>
    <mergeCell ref="M19:N19"/>
    <mergeCell ref="M35:N35"/>
    <mergeCell ref="C35:D35"/>
    <mergeCell ref="I19:J19"/>
    <mergeCell ref="K19:L19"/>
    <mergeCell ref="E35:F35"/>
    <mergeCell ref="G35:H35"/>
    <mergeCell ref="I35:J35"/>
    <mergeCell ref="K35:L35"/>
    <mergeCell ref="J33:K33"/>
    <mergeCell ref="I26:J26"/>
    <mergeCell ref="K26:L26"/>
    <mergeCell ref="C26:D26"/>
    <mergeCell ref="E26:F26"/>
    <mergeCell ref="G26:H26"/>
    <mergeCell ref="C19:D19"/>
    <mergeCell ref="E19:F19"/>
    <mergeCell ref="G19:H19"/>
  </mergeCells>
  <pageMargins left="0.55118110236220474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  <pageSetUpPr fitToPage="1"/>
  </sheetPr>
  <dimension ref="B1:Q89"/>
  <sheetViews>
    <sheetView showGridLines="0" zoomScale="85" zoomScaleNormal="85" workbookViewId="0">
      <selection activeCell="O7" sqref="O7"/>
    </sheetView>
  </sheetViews>
  <sheetFormatPr defaultColWidth="10.88671875" defaultRowHeight="14.4"/>
  <cols>
    <col min="1" max="1" width="2.33203125" style="7" customWidth="1"/>
    <col min="2" max="2" width="34.88671875" style="7" customWidth="1"/>
    <col min="3" max="3" width="13" style="7" hidden="1" customWidth="1"/>
    <col min="4" max="4" width="7" style="7" hidden="1" customWidth="1"/>
    <col min="5" max="5" width="11.88671875" style="7" customWidth="1"/>
    <col min="6" max="6" width="7.44140625" style="7" customWidth="1"/>
    <col min="7" max="7" width="11.44140625" style="7" customWidth="1"/>
    <col min="8" max="8" width="6.44140625" style="7" customWidth="1"/>
    <col min="9" max="9" width="11.88671875" style="7" customWidth="1"/>
    <col min="10" max="10" width="6.44140625" style="7" customWidth="1"/>
    <col min="11" max="11" width="10.6640625" style="7" customWidth="1"/>
    <col min="12" max="12" width="8.6640625" style="7" customWidth="1"/>
    <col min="13" max="13" width="13.44140625" style="7" bestFit="1" customWidth="1"/>
    <col min="14" max="14" width="9" style="7" bestFit="1" customWidth="1"/>
    <col min="15" max="15" width="18.5546875" style="7" bestFit="1" customWidth="1"/>
    <col min="16" max="16384" width="10.88671875" style="7"/>
  </cols>
  <sheetData>
    <row r="1" spans="2:17" ht="25.8">
      <c r="B1" s="32" t="s">
        <v>34</v>
      </c>
      <c r="C1" s="32"/>
      <c r="D1" s="32"/>
      <c r="E1" s="32"/>
      <c r="F1" s="6"/>
    </row>
    <row r="2" spans="2:17" ht="23.4">
      <c r="B2" s="30"/>
      <c r="C2" s="8"/>
      <c r="D2" s="8"/>
      <c r="E2" s="8"/>
      <c r="F2" s="8"/>
      <c r="O2" s="41"/>
    </row>
    <row r="3" spans="2:17" ht="21.75" customHeight="1">
      <c r="B3" s="85" t="s">
        <v>67</v>
      </c>
      <c r="C3" s="85"/>
      <c r="D3" s="85"/>
      <c r="E3" s="85">
        <f>42/310</f>
        <v>0.13548387096774195</v>
      </c>
    </row>
    <row r="4" spans="2:17" ht="21.75" customHeight="1"/>
    <row r="5" spans="2:17">
      <c r="B5" s="9" t="s">
        <v>28</v>
      </c>
      <c r="P5" s="83"/>
    </row>
    <row r="6" spans="2:17">
      <c r="B6" s="10"/>
      <c r="C6" s="91">
        <v>2015</v>
      </c>
      <c r="D6" s="91"/>
      <c r="E6" s="91">
        <v>2016</v>
      </c>
      <c r="F6" s="91"/>
      <c r="G6" s="91">
        <v>2017</v>
      </c>
      <c r="H6" s="91"/>
      <c r="I6" s="91">
        <v>2018</v>
      </c>
      <c r="J6" s="91"/>
      <c r="K6" s="91">
        <v>2019</v>
      </c>
      <c r="L6" s="91"/>
      <c r="M6" s="91">
        <v>2020</v>
      </c>
      <c r="N6" s="91"/>
      <c r="O6" s="91" t="s">
        <v>60</v>
      </c>
      <c r="P6" s="91"/>
    </row>
    <row r="7" spans="2:17">
      <c r="B7" s="11" t="s">
        <v>29</v>
      </c>
      <c r="C7" s="12">
        <v>771664.50967741932</v>
      </c>
      <c r="D7" s="28">
        <v>0.59399926746314069</v>
      </c>
      <c r="E7" s="12">
        <v>785167.37419354834</v>
      </c>
      <c r="F7" s="28">
        <v>0.44571512557131621</v>
      </c>
      <c r="G7" s="12">
        <v>819940.79999999993</v>
      </c>
      <c r="H7" s="28">
        <v>0.46261395662350152</v>
      </c>
      <c r="I7" s="12">
        <v>816682.41290322575</v>
      </c>
      <c r="J7" s="28">
        <v>0.47620941384921595</v>
      </c>
      <c r="K7" s="12">
        <f>4198915*0.135483870967742</f>
        <v>568885.25806451647</v>
      </c>
      <c r="L7" s="28">
        <v>0.3661160176011351</v>
      </c>
      <c r="M7" s="12">
        <f>5105552*0.135483870967742</f>
        <v>691719.9483870971</v>
      </c>
      <c r="N7" s="28">
        <f>M7/M9</f>
        <v>0.56986733404812984</v>
      </c>
      <c r="O7" s="12">
        <f>(2217611*0.135483870967742)*12/5</f>
        <v>721081.25419354881</v>
      </c>
      <c r="P7" s="28">
        <f>O7/O9</f>
        <v>0.43161439057833439</v>
      </c>
    </row>
    <row r="8" spans="2:17">
      <c r="B8" s="33" t="s">
        <v>30</v>
      </c>
      <c r="C8" s="19">
        <v>527435.59354838706</v>
      </c>
      <c r="D8" s="61">
        <v>0.40600073253685942</v>
      </c>
      <c r="E8" s="19">
        <v>976422.77419354825</v>
      </c>
      <c r="F8" s="61">
        <v>0.55428487442868379</v>
      </c>
      <c r="G8" s="19">
        <v>952467.46451612888</v>
      </c>
      <c r="H8" s="61">
        <v>0.53738604337649853</v>
      </c>
      <c r="I8" s="19">
        <v>898282.45161290315</v>
      </c>
      <c r="J8" s="61">
        <v>0.52379058615078411</v>
      </c>
      <c r="K8" s="19">
        <f>7853696*0.135483870967742</f>
        <v>1064049.1354838714</v>
      </c>
      <c r="L8" s="61">
        <v>0.6338839823988649</v>
      </c>
      <c r="M8" s="19">
        <f>3853642*0.135483870967742</f>
        <v>522106.33548387123</v>
      </c>
      <c r="N8" s="61">
        <f>M8/M9</f>
        <v>0.43013266595187027</v>
      </c>
      <c r="O8" s="19">
        <f>(2920334*0.135483870967742)*12/5</f>
        <v>949579.57161290362</v>
      </c>
      <c r="P8" s="61">
        <f>O8/O9</f>
        <v>0.56838560942166561</v>
      </c>
      <c r="Q8"/>
    </row>
    <row r="9" spans="2:17" ht="15" thickBot="1">
      <c r="B9" s="77" t="s">
        <v>16</v>
      </c>
      <c r="C9" s="79">
        <f t="shared" ref="C9:L9" si="0">SUM(C7:C8)</f>
        <v>1299100.1032258063</v>
      </c>
      <c r="D9" s="80">
        <f t="shared" si="0"/>
        <v>1</v>
      </c>
      <c r="E9" s="79">
        <f t="shared" si="0"/>
        <v>1761590.1483870966</v>
      </c>
      <c r="F9" s="80">
        <f t="shared" si="0"/>
        <v>1</v>
      </c>
      <c r="G9" s="79">
        <f t="shared" si="0"/>
        <v>1772408.2645161287</v>
      </c>
      <c r="H9" s="80">
        <f t="shared" si="0"/>
        <v>1</v>
      </c>
      <c r="I9" s="79">
        <f t="shared" si="0"/>
        <v>1714964.8645161288</v>
      </c>
      <c r="J9" s="80">
        <f t="shared" si="0"/>
        <v>1</v>
      </c>
      <c r="K9" s="79">
        <f t="shared" si="0"/>
        <v>1632934.393548388</v>
      </c>
      <c r="L9" s="80">
        <f t="shared" si="0"/>
        <v>1</v>
      </c>
      <c r="M9" s="79">
        <f>SUM(M7:M8)</f>
        <v>1213826.2838709683</v>
      </c>
      <c r="N9" s="80">
        <f>SUM(N7:N8)</f>
        <v>1</v>
      </c>
      <c r="O9" s="79">
        <f>SUM(O7:O8)</f>
        <v>1670660.8258064524</v>
      </c>
      <c r="P9" s="80">
        <f>SUM(P7:P8)</f>
        <v>1</v>
      </c>
      <c r="Q9"/>
    </row>
    <row r="10" spans="2:17" ht="15" thickTop="1">
      <c r="B10" s="62" t="s">
        <v>77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Q10" s="75"/>
    </row>
    <row r="11" spans="2:17">
      <c r="B11" s="9" t="s">
        <v>35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P11" s="84"/>
      <c r="Q11"/>
    </row>
    <row r="12" spans="2:17">
      <c r="B12" s="10"/>
      <c r="C12" s="91">
        <v>2015</v>
      </c>
      <c r="D12" s="91"/>
      <c r="E12" s="91">
        <v>2016</v>
      </c>
      <c r="F12" s="91"/>
      <c r="G12" s="91">
        <v>2017</v>
      </c>
      <c r="H12" s="91"/>
      <c r="I12" s="91">
        <v>2018</v>
      </c>
      <c r="J12" s="91"/>
      <c r="K12" s="91">
        <v>2019</v>
      </c>
      <c r="L12" s="91"/>
      <c r="M12" s="91">
        <v>2020</v>
      </c>
      <c r="N12" s="91"/>
      <c r="O12" s="91" t="s">
        <v>60</v>
      </c>
      <c r="P12" s="91"/>
      <c r="Q12"/>
    </row>
    <row r="13" spans="2:17">
      <c r="B13" s="11" t="s">
        <v>29</v>
      </c>
      <c r="C13" s="13">
        <v>969390.21290322568</v>
      </c>
      <c r="D13" s="28">
        <v>0.30167941502293727</v>
      </c>
      <c r="E13" s="13">
        <v>663512.07096774189</v>
      </c>
      <c r="F13" s="28">
        <v>0.27130207073900836</v>
      </c>
      <c r="G13" s="13">
        <v>514795.49032258056</v>
      </c>
      <c r="H13" s="28">
        <v>0.21274954957699038</v>
      </c>
      <c r="I13" s="13">
        <v>582359.94193548383</v>
      </c>
      <c r="J13" s="28">
        <v>0.21223382396195486</v>
      </c>
      <c r="K13" s="13">
        <f>6305047*0.135483870967742</f>
        <v>854232.17419354885</v>
      </c>
      <c r="L13" s="28">
        <v>0.33031114272421008</v>
      </c>
      <c r="M13" s="13">
        <f>4068099*0.135483870967742</f>
        <v>551161.80000000028</v>
      </c>
      <c r="N13" s="28">
        <f>M13/M15</f>
        <v>0.21224603746604431</v>
      </c>
      <c r="O13" s="13">
        <f>(1978512*0.135483870967742)*12/5</f>
        <v>643335.51483871008</v>
      </c>
      <c r="P13" s="28">
        <f>O13/O15</f>
        <v>0.24723534825483648</v>
      </c>
    </row>
    <row r="14" spans="2:17">
      <c r="B14" s="33" t="s">
        <v>30</v>
      </c>
      <c r="C14" s="19">
        <v>2243922.2129032253</v>
      </c>
      <c r="D14" s="61">
        <v>0.69832058497706273</v>
      </c>
      <c r="E14" s="19">
        <v>1782145.8967741933</v>
      </c>
      <c r="F14" s="61">
        <v>0.72869792926099164</v>
      </c>
      <c r="G14" s="19">
        <v>1904929.9161290321</v>
      </c>
      <c r="H14" s="61">
        <v>0.78725045042300967</v>
      </c>
      <c r="I14" s="19">
        <v>2161594.4903225806</v>
      </c>
      <c r="J14" s="61">
        <v>0.78776617603804511</v>
      </c>
      <c r="K14" s="19">
        <f>15091953*0.135483870967742</f>
        <v>2044716.2129032267</v>
      </c>
      <c r="L14" s="61">
        <v>0.66968885727578986</v>
      </c>
      <c r="M14" s="19">
        <f>15098803*0.135483870967742</f>
        <v>2045644.2774193559</v>
      </c>
      <c r="N14" s="61">
        <f>M14/M15</f>
        <v>0.78775396253395558</v>
      </c>
      <c r="O14" s="19">
        <f>(6024033*0.135483870967742)*12/5</f>
        <v>1958782.3432258074</v>
      </c>
      <c r="P14" s="61">
        <f>O14/O15</f>
        <v>0.7527646517451636</v>
      </c>
      <c r="Q14"/>
    </row>
    <row r="15" spans="2:17" ht="15" thickBot="1">
      <c r="B15" s="77" t="s">
        <v>36</v>
      </c>
      <c r="C15" s="79">
        <f>SUM(C13:C14)</f>
        <v>3213312.4258064511</v>
      </c>
      <c r="D15" s="80">
        <f>SUM(D12:D14)</f>
        <v>1</v>
      </c>
      <c r="E15" s="79">
        <f>SUM(E13:E14)</f>
        <v>2445657.967741935</v>
      </c>
      <c r="F15" s="80">
        <f>SUM(F12:F14)</f>
        <v>1</v>
      </c>
      <c r="G15" s="79">
        <f>SUM(G13:G14)</f>
        <v>2419725.4064516127</v>
      </c>
      <c r="H15" s="80">
        <f t="shared" ref="H15:N15" si="1">SUM(H12:H14)</f>
        <v>1</v>
      </c>
      <c r="I15" s="79">
        <f>SUM(I13:I14)</f>
        <v>2743954.4322580644</v>
      </c>
      <c r="J15" s="80">
        <f t="shared" si="1"/>
        <v>1</v>
      </c>
      <c r="K15" s="79">
        <f>SUM(K13:K14)</f>
        <v>2898948.3870967757</v>
      </c>
      <c r="L15" s="80">
        <f t="shared" si="1"/>
        <v>1</v>
      </c>
      <c r="M15" s="79">
        <f>SUM(M13:M14)</f>
        <v>2596806.0774193564</v>
      </c>
      <c r="N15" s="80">
        <f t="shared" si="1"/>
        <v>0.99999999999999989</v>
      </c>
      <c r="O15" s="79">
        <f>SUM(O13:O14)</f>
        <v>2602117.8580645174</v>
      </c>
      <c r="P15" s="80">
        <f t="shared" ref="P15" si="2">SUM(P12:P14)</f>
        <v>1</v>
      </c>
    </row>
    <row r="16" spans="2:17" ht="15" thickTop="1">
      <c r="B16" s="62" t="s">
        <v>77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6">
      <c r="B17" s="9" t="s">
        <v>32</v>
      </c>
      <c r="P17" s="83"/>
    </row>
    <row r="18" spans="2:16">
      <c r="B18" s="10"/>
      <c r="C18" s="91">
        <v>2015</v>
      </c>
      <c r="D18" s="91"/>
      <c r="E18" s="91">
        <v>2016</v>
      </c>
      <c r="F18" s="91"/>
      <c r="G18" s="91">
        <v>2017</v>
      </c>
      <c r="H18" s="91"/>
      <c r="I18" s="91">
        <v>2018</v>
      </c>
      <c r="J18" s="91"/>
      <c r="K18" s="91">
        <v>2019</v>
      </c>
      <c r="L18" s="91"/>
      <c r="M18" s="91">
        <v>2020</v>
      </c>
      <c r="N18" s="91"/>
      <c r="O18" s="91" t="s">
        <v>60</v>
      </c>
      <c r="P18" s="91"/>
    </row>
    <row r="19" spans="2:16">
      <c r="B19" s="11" t="s">
        <v>6</v>
      </c>
      <c r="C19" s="12">
        <v>1024849.5870967741</v>
      </c>
      <c r="D19" s="28">
        <f>+C19/C$24</f>
        <v>0.22883121731167791</v>
      </c>
      <c r="E19" s="12">
        <v>933879.48387096764</v>
      </c>
      <c r="F19" s="28">
        <f>+E19/E$24</f>
        <v>0.2217122816237784</v>
      </c>
      <c r="G19" s="12">
        <v>1011951.2516129031</v>
      </c>
      <c r="H19" s="28">
        <f>+G19/G$24</f>
        <v>0.22809930570343545</v>
      </c>
      <c r="I19" s="12">
        <v>1090680.1161290321</v>
      </c>
      <c r="J19" s="28">
        <f>+I19/I$24</f>
        <v>0.24396878487618989</v>
      </c>
      <c r="K19" s="12">
        <f>8370309*0.135483870967742</f>
        <v>1134041.8645161297</v>
      </c>
      <c r="L19" s="28">
        <f>+K19/K$24</f>
        <v>0.25407061803629005</v>
      </c>
      <c r="M19" s="12">
        <f>7365012*0.135483870967742</f>
        <v>997840.33548387152</v>
      </c>
      <c r="N19" s="28">
        <f>+M19/M$24</f>
        <v>0.26350606828620737</v>
      </c>
      <c r="O19" s="12">
        <f>(3323925*0.135483870967742)*12/5</f>
        <v>1080811.7419354846</v>
      </c>
      <c r="P19" s="28">
        <f>+O19/O$24</f>
        <v>0.26034937575442529</v>
      </c>
    </row>
    <row r="20" spans="2:16" customFormat="1">
      <c r="B20" s="11" t="s">
        <v>7</v>
      </c>
      <c r="C20" s="12">
        <v>430163.32258064509</v>
      </c>
      <c r="D20" s="28">
        <f t="shared" ref="D20:F23" si="3">+C20/C$24</f>
        <v>9.6048042550140614E-2</v>
      </c>
      <c r="E20" s="12">
        <v>310502.74838709674</v>
      </c>
      <c r="F20" s="28">
        <f t="shared" si="3"/>
        <v>7.3716441986714648E-2</v>
      </c>
      <c r="G20" s="12">
        <v>254016.54193548384</v>
      </c>
      <c r="H20" s="28">
        <f>+G20/G$24</f>
        <v>5.7256707534401423E-2</v>
      </c>
      <c r="I20" s="12">
        <v>75326.187096774185</v>
      </c>
      <c r="J20" s="28">
        <f>+I20/I$24</f>
        <v>1.6849338374829624E-2</v>
      </c>
      <c r="K20" s="12">
        <f>586048*0.135483870967742</f>
        <v>79400.051612903262</v>
      </c>
      <c r="L20" s="28">
        <f>+K20/K$24</f>
        <v>1.7788779071230425E-2</v>
      </c>
      <c r="M20" s="12">
        <f>532933*0.135483870967742</f>
        <v>72203.825806451656</v>
      </c>
      <c r="N20" s="28">
        <f>+M20/M$24</f>
        <v>1.9067325279303465E-2</v>
      </c>
      <c r="O20" s="12">
        <f>(180384*0.135483870967742)*12/5</f>
        <v>58653.894193548418</v>
      </c>
      <c r="P20" s="28">
        <f>+O20/O$24</f>
        <v>1.4128736898722518E-2</v>
      </c>
    </row>
    <row r="21" spans="2:16" customFormat="1">
      <c r="B21" s="11" t="s">
        <v>33</v>
      </c>
      <c r="C21" s="12">
        <f>258071.84516129-C22</f>
        <v>247083.87574528999</v>
      </c>
      <c r="D21" s="28">
        <f t="shared" si="3"/>
        <v>5.5169563199075664E-2</v>
      </c>
      <c r="E21" s="12">
        <f>255962.496774194-9511</f>
        <v>246451.49677419401</v>
      </c>
      <c r="F21" s="28">
        <f t="shared" si="3"/>
        <v>5.8510037540295191E-2</v>
      </c>
      <c r="G21" s="12">
        <f>292095.503225806-G22</f>
        <v>281971.51689580601</v>
      </c>
      <c r="H21" s="28">
        <f>+G21/G$24</f>
        <v>6.3557910649910385E-2</v>
      </c>
      <c r="I21" s="12">
        <f>254016.541935484-I22</f>
        <v>234812.79010158402</v>
      </c>
      <c r="J21" s="28">
        <f>+I21/I$24</f>
        <v>5.2524099621244026E-2</v>
      </c>
      <c r="K21" s="12">
        <f>(960389*0.135483870967742)-K22</f>
        <v>114724.14786963878</v>
      </c>
      <c r="L21" s="28">
        <f>+K21/K$24</f>
        <v>2.5702785818548828E-2</v>
      </c>
      <c r="M21" s="12">
        <f>(792727*0.135483870967742)-M22</f>
        <v>103612.66400864522</v>
      </c>
      <c r="N21" s="28">
        <f>+M21/M$24</f>
        <v>2.7361657718855799E-2</v>
      </c>
      <c r="O21" s="38">
        <f>((296874*0.135483870967742)*12/5)-O22</f>
        <v>52361.077184825859</v>
      </c>
      <c r="P21" s="28">
        <f>+O21/O$24</f>
        <v>1.2612903089382257E-2</v>
      </c>
    </row>
    <row r="22" spans="2:16" customFormat="1" ht="16.2">
      <c r="B22" s="11" t="s">
        <v>39</v>
      </c>
      <c r="C22" s="12">
        <f>+'Fuel Oil'!C27*0.03</f>
        <v>10987.969416</v>
      </c>
      <c r="D22" s="28">
        <f t="shared" si="3"/>
        <v>2.4534238476590603E-3</v>
      </c>
      <c r="E22" s="12">
        <f>+'Fuel Oil'!E27*0.03</f>
        <v>9511.1423759999998</v>
      </c>
      <c r="F22" s="28">
        <f t="shared" si="3"/>
        <v>2.2580398364580897E-3</v>
      </c>
      <c r="G22" s="12">
        <f>+'Fuel Oil'!G27*0.03</f>
        <v>10123.98633</v>
      </c>
      <c r="H22" s="28">
        <f>+G22/G$24</f>
        <v>2.2820014789679093E-3</v>
      </c>
      <c r="I22" s="12">
        <f>+'Fuel Oil'!I27*0.03</f>
        <v>19203.751833900002</v>
      </c>
      <c r="J22" s="28">
        <f>+I22/I$24</f>
        <v>4.2955912835457048E-3</v>
      </c>
      <c r="K22" s="12">
        <f>'Fuel Oil 2016-2021'!K22*0.03</f>
        <v>15393.0714852</v>
      </c>
      <c r="L22" s="28">
        <f>+K22/K$24</f>
        <v>3.4486620891992044E-3</v>
      </c>
      <c r="M22" s="38">
        <f>'Fuel Oil 2016-2021'!M22*0.03</f>
        <v>3789.0585719999999</v>
      </c>
      <c r="N22" s="28">
        <f>+M22/M$24</f>
        <v>1.0006008890487566E-3</v>
      </c>
      <c r="O22" s="38">
        <f>'Fuel Oil 2016-2021'!O22*0.03*12/5</f>
        <v>44170.855718399995</v>
      </c>
      <c r="P22" s="28">
        <f>+O22/O$24</f>
        <v>1.0640016449331534E-2</v>
      </c>
    </row>
    <row r="23" spans="2:16" customFormat="1">
      <c r="B23" s="33" t="s">
        <v>31</v>
      </c>
      <c r="C23" s="19">
        <v>2765541.8903225805</v>
      </c>
      <c r="D23" s="61">
        <f t="shared" si="3"/>
        <v>0.61749775309144672</v>
      </c>
      <c r="E23" s="19">
        <v>2711778.5032258062</v>
      </c>
      <c r="F23" s="61">
        <f t="shared" si="3"/>
        <v>0.64380319901275362</v>
      </c>
      <c r="G23" s="19">
        <v>2878387.0838709674</v>
      </c>
      <c r="H23" s="61">
        <f>+G23/G$24</f>
        <v>0.64880407463328482</v>
      </c>
      <c r="I23" s="19">
        <v>3050549.5548387095</v>
      </c>
      <c r="J23" s="61">
        <f>+I23/I$24</f>
        <v>0.68236218584419062</v>
      </c>
      <c r="K23" s="19">
        <f>23028067*42/310</f>
        <v>3119931.6580645163</v>
      </c>
      <c r="L23" s="61">
        <f>+K23/K$24</f>
        <v>0.69898915498473146</v>
      </c>
      <c r="M23" s="39">
        <f>19259394*42/310</f>
        <v>2609337.2516129031</v>
      </c>
      <c r="N23" s="61">
        <f>+M23/M$24</f>
        <v>0.68906434782658466</v>
      </c>
      <c r="O23" s="39">
        <f>(8965988*42/310)*12/5</f>
        <v>2915392.2270967741</v>
      </c>
      <c r="P23" s="61">
        <f>+O23/O$24</f>
        <v>0.70226896780813841</v>
      </c>
    </row>
    <row r="24" spans="2:16" customFormat="1" ht="15" thickBot="1">
      <c r="B24" s="77" t="s">
        <v>18</v>
      </c>
      <c r="C24" s="79">
        <f t="shared" ref="C24:L24" si="4">SUM(C19:C23)</f>
        <v>4478626.6451612897</v>
      </c>
      <c r="D24" s="80">
        <f t="shared" si="4"/>
        <v>1</v>
      </c>
      <c r="E24" s="79">
        <f t="shared" si="4"/>
        <v>4212123.3746340647</v>
      </c>
      <c r="F24" s="80">
        <f t="shared" si="4"/>
        <v>1</v>
      </c>
      <c r="G24" s="79">
        <f t="shared" si="4"/>
        <v>4436450.3806451606</v>
      </c>
      <c r="H24" s="80">
        <f t="shared" si="4"/>
        <v>1</v>
      </c>
      <c r="I24" s="79">
        <f t="shared" si="4"/>
        <v>4470572.4000000004</v>
      </c>
      <c r="J24" s="80">
        <f t="shared" si="4"/>
        <v>0.99999999999999989</v>
      </c>
      <c r="K24" s="79">
        <f t="shared" si="4"/>
        <v>4463490.7935483884</v>
      </c>
      <c r="L24" s="80">
        <f t="shared" si="4"/>
        <v>1</v>
      </c>
      <c r="M24" s="79">
        <f>SUM(M19:M23)</f>
        <v>3786783.1354838712</v>
      </c>
      <c r="N24" s="80">
        <f>SUM(N19:N23)</f>
        <v>1</v>
      </c>
      <c r="O24" s="79">
        <f>SUM(O19:O23)</f>
        <v>4151389.796129033</v>
      </c>
      <c r="P24" s="80">
        <f>SUM(P19:P23)</f>
        <v>1</v>
      </c>
    </row>
    <row r="25" spans="2:16" ht="18" customHeight="1" thickTop="1">
      <c r="B25" s="62" t="s">
        <v>77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6" ht="7.5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2:16">
      <c r="B27" s="34" t="s">
        <v>37</v>
      </c>
      <c r="C27" s="19"/>
      <c r="E27" s="19"/>
      <c r="G27" s="19"/>
      <c r="I27" s="19"/>
      <c r="K27" s="19"/>
    </row>
    <row r="28" spans="2:16">
      <c r="B28" s="34" t="s">
        <v>38</v>
      </c>
      <c r="C28" s="19"/>
      <c r="E28" s="19"/>
      <c r="G28" s="19"/>
      <c r="I28" s="19"/>
      <c r="K28" s="19"/>
    </row>
    <row r="29" spans="2:16">
      <c r="B29" s="34"/>
      <c r="C29" s="19"/>
      <c r="E29" s="19"/>
      <c r="G29" s="19"/>
      <c r="I29" s="19"/>
      <c r="K29" s="19"/>
    </row>
    <row r="30" spans="2:16">
      <c r="B30" s="9" t="s">
        <v>74</v>
      </c>
      <c r="E30" s="7" t="s">
        <v>75</v>
      </c>
      <c r="P30" s="83"/>
    </row>
    <row r="31" spans="2:16">
      <c r="B31" s="10"/>
      <c r="C31" s="91">
        <v>2015</v>
      </c>
      <c r="D31" s="91"/>
      <c r="E31" s="91">
        <v>2016</v>
      </c>
      <c r="F31" s="91"/>
      <c r="G31" s="91">
        <v>2017</v>
      </c>
      <c r="H31" s="91"/>
      <c r="I31" s="91">
        <v>2018</v>
      </c>
      <c r="J31" s="91"/>
      <c r="K31" s="91">
        <v>2019</v>
      </c>
      <c r="L31" s="91"/>
      <c r="M31" s="91">
        <v>2020</v>
      </c>
      <c r="N31" s="91"/>
      <c r="O31" s="91" t="s">
        <v>60</v>
      </c>
      <c r="P31" s="91"/>
    </row>
    <row r="32" spans="2:16">
      <c r="B32" s="12" t="s">
        <v>68</v>
      </c>
      <c r="C32" s="12">
        <v>1024849.5870967741</v>
      </c>
      <c r="D32" s="28">
        <f>+C32/C$24</f>
        <v>0.22883121731167791</v>
      </c>
      <c r="E32" s="12">
        <f>0*E3</f>
        <v>0</v>
      </c>
      <c r="F32" s="28">
        <f>+E32/E$38</f>
        <v>0</v>
      </c>
      <c r="G32" s="12">
        <f>620450*E3</f>
        <v>84060.967741935485</v>
      </c>
      <c r="H32" s="28">
        <f>+G32/G$38</f>
        <v>6.264808808475672E-2</v>
      </c>
      <c r="I32" s="12">
        <f>651914*E3</f>
        <v>88323.832258064518</v>
      </c>
      <c r="J32" s="28">
        <f>+I32/I$38</f>
        <v>6.2706305229347295E-2</v>
      </c>
      <c r="K32" s="12">
        <f>662940*0.135483870967742</f>
        <v>89817.677419354877</v>
      </c>
      <c r="L32" s="28">
        <f>+K32/K$38</f>
        <v>8.1256657857549722E-2</v>
      </c>
      <c r="M32" s="12">
        <f>506338*0.135483870967742</f>
        <v>68600.63225806455</v>
      </c>
      <c r="N32" s="28">
        <f>+M32/M$38</f>
        <v>6.9963757817825184E-2</v>
      </c>
      <c r="O32" s="12">
        <f>(226056*0.135483870967742)*12/5</f>
        <v>73504.660645161319</v>
      </c>
      <c r="P32" s="28">
        <f>+O32/O$38</f>
        <v>6.011691172422854E-2</v>
      </c>
    </row>
    <row r="33" spans="2:16" customFormat="1">
      <c r="B33" s="12" t="s">
        <v>69</v>
      </c>
      <c r="C33" s="12">
        <v>430163.32258064509</v>
      </c>
      <c r="D33" s="28">
        <f t="shared" ref="D33:D37" si="5">+C33/C$24</f>
        <v>9.6048042550140614E-2</v>
      </c>
      <c r="E33" s="12">
        <f>2291806*E3</f>
        <v>310502.7483870968</v>
      </c>
      <c r="F33" s="28">
        <f t="shared" ref="F33:F37" si="6">+E33/E$38</f>
        <v>0.20528585967684984</v>
      </c>
      <c r="G33" s="12">
        <f>368628*E3</f>
        <v>49943.148387096779</v>
      </c>
      <c r="H33" s="28">
        <f t="shared" ref="H33:H37" si="7">+G33/G$38</f>
        <v>3.7221112764135228E-2</v>
      </c>
      <c r="I33" s="12">
        <f>471146*E3</f>
        <v>63832.683870967747</v>
      </c>
      <c r="J33" s="28">
        <f t="shared" ref="J33:J37" si="8">+I33/I$38</f>
        <v>4.5318592457879517E-2</v>
      </c>
      <c r="K33" s="12">
        <f>495762*0.135483870967742</f>
        <v>67167.754838709705</v>
      </c>
      <c r="L33" s="28">
        <f t="shared" ref="L33:L37" si="9">+K33/K$38</f>
        <v>6.0765624661016933E-2</v>
      </c>
      <c r="M33" s="12">
        <f>449100*0.135483870967742</f>
        <v>60845.806451612931</v>
      </c>
      <c r="N33" s="28">
        <f t="shared" ref="N33:N37" si="10">+M33/M$38</f>
        <v>6.2054840118626865E-2</v>
      </c>
      <c r="O33" s="12">
        <f>(139479*0.135483870967742)*12/5</f>
        <v>45353.171612903257</v>
      </c>
      <c r="P33" s="28">
        <f t="shared" ref="P33:P37" si="11">+O33/O$38</f>
        <v>3.7092785550410852E-2</v>
      </c>
    </row>
    <row r="34" spans="2:16" customFormat="1">
      <c r="B34" s="12" t="s">
        <v>70</v>
      </c>
      <c r="C34" s="12">
        <f>258071.84516129-C35</f>
        <v>258071.84516129</v>
      </c>
      <c r="D34" s="28">
        <f t="shared" si="5"/>
        <v>5.7622987046734728E-2</v>
      </c>
      <c r="E34" s="12">
        <f>6982921*E3</f>
        <v>946073.16774193558</v>
      </c>
      <c r="F34" s="28">
        <f t="shared" si="6"/>
        <v>0.62548703535139005</v>
      </c>
      <c r="G34" s="12">
        <f>4194331*E3</f>
        <v>568264.20000000007</v>
      </c>
      <c r="H34" s="28">
        <f t="shared" si="7"/>
        <v>0.42351006196248819</v>
      </c>
      <c r="I34" s="12">
        <f>4419886*E3</f>
        <v>598823.26451612904</v>
      </c>
      <c r="J34" s="28">
        <f t="shared" si="8"/>
        <v>0.42514000404181984</v>
      </c>
      <c r="K34" s="12">
        <f>(4080747*0.135483870967742)-K35</f>
        <v>326906.32258064538</v>
      </c>
      <c r="L34" s="28">
        <f t="shared" si="9"/>
        <v>0.29574707305536646</v>
      </c>
      <c r="M34" s="12">
        <f>(3934054*0.135483870967742)-M35</f>
        <v>347429.82580645184</v>
      </c>
      <c r="N34" s="28">
        <f t="shared" si="10"/>
        <v>0.35433341342935287</v>
      </c>
      <c r="O34" s="38">
        <f>((1504835*0.135483870967742)*12/5)</f>
        <v>489314.09032258083</v>
      </c>
      <c r="P34" s="28">
        <f t="shared" si="11"/>
        <v>0.40019301790056205</v>
      </c>
    </row>
    <row r="35" spans="2:16" customFormat="1">
      <c r="B35" s="12" t="s">
        <v>71</v>
      </c>
      <c r="C35" s="12">
        <f>+'Fuel Oil'!C40*0.03</f>
        <v>0</v>
      </c>
      <c r="D35" s="28">
        <f t="shared" si="5"/>
        <v>0</v>
      </c>
      <c r="E35" s="12">
        <f>1889247*E3</f>
        <v>255962.49677419357</v>
      </c>
      <c r="F35" s="28">
        <f t="shared" si="6"/>
        <v>0.16922710497176005</v>
      </c>
      <c r="G35" s="12">
        <f>578345*E3</f>
        <v>78356.419354838712</v>
      </c>
      <c r="H35" s="28">
        <f t="shared" si="7"/>
        <v>5.8396661299667384E-2</v>
      </c>
      <c r="I35" s="12">
        <f>903500*E3</f>
        <v>122409.67741935485</v>
      </c>
      <c r="J35" s="28">
        <f t="shared" si="8"/>
        <v>8.690585993661018E-2</v>
      </c>
      <c r="K35" s="12">
        <f>1667867*E3</f>
        <v>225969.07741935487</v>
      </c>
      <c r="L35" s="28">
        <f t="shared" si="9"/>
        <v>0.20443071495293366</v>
      </c>
      <c r="M35" s="38">
        <f>1369691*E3</f>
        <v>185571.03870967744</v>
      </c>
      <c r="N35" s="28">
        <f t="shared" si="10"/>
        <v>0.18925841909802296</v>
      </c>
      <c r="O35" s="38">
        <f>(600179*E3)*12/5</f>
        <v>195154.97806451615</v>
      </c>
      <c r="P35" s="28">
        <f t="shared" si="11"/>
        <v>0.15961048572803091</v>
      </c>
    </row>
    <row r="36" spans="2:16" customFormat="1">
      <c r="B36" s="12" t="s">
        <v>72</v>
      </c>
      <c r="C36" s="19"/>
      <c r="D36" s="61"/>
      <c r="E36" s="12">
        <f>0*E3</f>
        <v>0</v>
      </c>
      <c r="F36" s="28">
        <f t="shared" si="6"/>
        <v>0</v>
      </c>
      <c r="G36" s="12">
        <f>1641588*E3</f>
        <v>222408.69677419358</v>
      </c>
      <c r="H36" s="28">
        <f t="shared" si="7"/>
        <v>0.16575445180575329</v>
      </c>
      <c r="I36" s="12">
        <f>1306417*E3</f>
        <v>176998.43225806454</v>
      </c>
      <c r="J36" s="28">
        <f t="shared" si="8"/>
        <v>0.12566164119624401</v>
      </c>
      <c r="K36" s="12">
        <f>453802*E3</f>
        <v>61482.851612903229</v>
      </c>
      <c r="L36" s="28">
        <f t="shared" si="9"/>
        <v>5.5622581001405505E-2</v>
      </c>
      <c r="M36" s="12">
        <f>434439*E3</f>
        <v>58859.477419354844</v>
      </c>
      <c r="N36" s="28">
        <f t="shared" si="10"/>
        <v>6.0029041830986701E-2</v>
      </c>
      <c r="O36" s="12">
        <f>(194608*E3)*12/5</f>
        <v>63278.988387096775</v>
      </c>
      <c r="P36" s="28">
        <f t="shared" si="11"/>
        <v>5.175368916033489E-2</v>
      </c>
    </row>
    <row r="37" spans="2:16" customFormat="1">
      <c r="B37" s="12" t="s">
        <v>73</v>
      </c>
      <c r="C37" s="19">
        <v>2765541.8903225805</v>
      </c>
      <c r="D37" s="61">
        <f t="shared" si="5"/>
        <v>0.61749775309144672</v>
      </c>
      <c r="E37" s="19">
        <f>0*E3</f>
        <v>0</v>
      </c>
      <c r="F37" s="28">
        <f t="shared" si="6"/>
        <v>0</v>
      </c>
      <c r="G37" s="19">
        <f>2500392*E3</f>
        <v>338762.78709677421</v>
      </c>
      <c r="H37" s="28">
        <f t="shared" si="7"/>
        <v>0.25246962408319934</v>
      </c>
      <c r="I37" s="19">
        <f>2643444*E3</f>
        <v>358144.02580645162</v>
      </c>
      <c r="J37" s="28">
        <f t="shared" si="8"/>
        <v>0.2542675971380991</v>
      </c>
      <c r="K37" s="19">
        <f>2465342*42/310</f>
        <v>334014.07741935481</v>
      </c>
      <c r="L37" s="28">
        <f t="shared" si="9"/>
        <v>0.30217734847172784</v>
      </c>
      <c r="M37" s="39">
        <f>1913216*42/310</f>
        <v>259209.90967741935</v>
      </c>
      <c r="N37" s="28">
        <f t="shared" si="10"/>
        <v>0.26436052770518537</v>
      </c>
      <c r="O37" s="39">
        <f>(1095116*42/310)*12/5</f>
        <v>356089.33161290328</v>
      </c>
      <c r="P37" s="28">
        <f t="shared" si="11"/>
        <v>0.29123310993643275</v>
      </c>
    </row>
    <row r="38" spans="2:16" customFormat="1" ht="15" thickBot="1">
      <c r="B38" s="77" t="s">
        <v>18</v>
      </c>
      <c r="C38" s="79">
        <f t="shared" ref="C38:L38" si="12">SUM(C32:C37)</f>
        <v>4478626.6451612897</v>
      </c>
      <c r="D38" s="80">
        <f t="shared" si="12"/>
        <v>1</v>
      </c>
      <c r="E38" s="79">
        <f t="shared" si="12"/>
        <v>1512538.412903226</v>
      </c>
      <c r="F38" s="80">
        <f t="shared" si="12"/>
        <v>1</v>
      </c>
      <c r="G38" s="79">
        <f t="shared" si="12"/>
        <v>1341796.2193548386</v>
      </c>
      <c r="H38" s="80">
        <f t="shared" si="12"/>
        <v>1.0000000000000002</v>
      </c>
      <c r="I38" s="79">
        <f t="shared" si="12"/>
        <v>1408531.9161290324</v>
      </c>
      <c r="J38" s="80">
        <f t="shared" si="12"/>
        <v>0.99999999999999989</v>
      </c>
      <c r="K38" s="79">
        <f t="shared" si="12"/>
        <v>1105357.7612903228</v>
      </c>
      <c r="L38" s="80">
        <f t="shared" si="12"/>
        <v>1</v>
      </c>
      <c r="M38" s="79">
        <f>SUM(M32:M37)</f>
        <v>980516.69032258098</v>
      </c>
      <c r="N38" s="80">
        <f>SUM(N32:N37)</f>
        <v>0.99999999999999989</v>
      </c>
      <c r="O38" s="79">
        <f>SUM(O32:O37)</f>
        <v>1222695.2206451616</v>
      </c>
      <c r="P38" s="80">
        <f>SUM(P32:P37)</f>
        <v>1</v>
      </c>
    </row>
    <row r="39" spans="2:16" customFormat="1" ht="15" thickTop="1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2:16">
      <c r="B40" s="40"/>
      <c r="C40" s="21"/>
      <c r="D40" s="21"/>
      <c r="E40" s="21"/>
      <c r="F40" s="21"/>
      <c r="G40" s="21"/>
      <c r="H40" s="21"/>
      <c r="I40" s="21"/>
      <c r="J40" s="27" t="s">
        <v>43</v>
      </c>
      <c r="K40" s="31"/>
      <c r="L40" s="27"/>
      <c r="M40" s="27"/>
    </row>
    <row r="41" spans="2:16" customFormat="1">
      <c r="B41" s="46" t="s">
        <v>52</v>
      </c>
      <c r="C41" s="44"/>
      <c r="D41" s="44"/>
      <c r="E41" s="44"/>
      <c r="F41" s="44"/>
      <c r="G41" s="44"/>
      <c r="H41" s="44"/>
      <c r="I41" s="44"/>
      <c r="J41" s="45"/>
      <c r="K41" s="31"/>
      <c r="L41" s="45"/>
      <c r="M41" s="45"/>
    </row>
    <row r="42" spans="2:16" customFormat="1">
      <c r="B42" s="10"/>
      <c r="C42" s="91">
        <v>2015</v>
      </c>
      <c r="D42" s="91"/>
      <c r="E42" s="91">
        <v>2016</v>
      </c>
      <c r="F42" s="91"/>
      <c r="G42" s="91">
        <v>2017</v>
      </c>
      <c r="H42" s="91"/>
      <c r="I42" s="91">
        <v>2018</v>
      </c>
      <c r="J42" s="91"/>
      <c r="K42" s="91">
        <v>2019</v>
      </c>
      <c r="L42" s="91"/>
      <c r="M42" s="91">
        <v>2020</v>
      </c>
      <c r="N42" s="91"/>
      <c r="O42" s="91" t="s">
        <v>60</v>
      </c>
      <c r="P42" s="91"/>
    </row>
    <row r="43" spans="2:16" customFormat="1">
      <c r="B43" s="70" t="s">
        <v>49</v>
      </c>
      <c r="C43" s="13">
        <f>+C7</f>
        <v>771664.50967741932</v>
      </c>
      <c r="D43" s="71">
        <f>+C43/C$45</f>
        <v>0.44321668909615569</v>
      </c>
      <c r="E43" s="13">
        <f>+E7</f>
        <v>785167.37419354834</v>
      </c>
      <c r="F43" s="71">
        <f>+E43/E$45</f>
        <v>0.54198834449958733</v>
      </c>
      <c r="G43" s="13">
        <f>+G7</f>
        <v>819940.79999999993</v>
      </c>
      <c r="H43" s="71">
        <f>+G43/G$45</f>
        <v>0.61430921294710272</v>
      </c>
      <c r="I43" s="13">
        <f>+I7</f>
        <v>816682.41290322575</v>
      </c>
      <c r="J43" s="71">
        <f>+I43/I$45</f>
        <v>0.58374388028972723</v>
      </c>
      <c r="K43" s="13">
        <f>+K7</f>
        <v>568885.25806451647</v>
      </c>
      <c r="L43" s="71">
        <f>+K43/K$45</f>
        <v>0.39974582924043328</v>
      </c>
      <c r="M43" s="13">
        <f>+M7</f>
        <v>691719.9483870971</v>
      </c>
      <c r="N43" s="71">
        <f>+M43/M$45</f>
        <v>0.55654526207722532</v>
      </c>
      <c r="O43" s="13">
        <f>+O7</f>
        <v>721081.25419354881</v>
      </c>
      <c r="P43" s="71">
        <f>+O43/O$45</f>
        <v>0.52849046608023642</v>
      </c>
    </row>
    <row r="44" spans="2:16" customFormat="1">
      <c r="B44" s="5" t="s">
        <v>50</v>
      </c>
      <c r="C44" s="4">
        <f>+C13</f>
        <v>969390.21290322568</v>
      </c>
      <c r="D44" s="1">
        <f>+C44/C$45</f>
        <v>0.55678331090384436</v>
      </c>
      <c r="E44" s="4">
        <v>663512.07096774189</v>
      </c>
      <c r="F44" s="1">
        <f>+E44/E$45</f>
        <v>0.45801165550041273</v>
      </c>
      <c r="G44" s="4">
        <v>514795.49032258056</v>
      </c>
      <c r="H44" s="1">
        <f>+G44/G$45</f>
        <v>0.38569078705289739</v>
      </c>
      <c r="I44" s="4">
        <v>582359.94193548383</v>
      </c>
      <c r="J44" s="1">
        <f>+I44/I$45</f>
        <v>0.41625611971027277</v>
      </c>
      <c r="K44" s="4">
        <f>K13</f>
        <v>854232.17419354885</v>
      </c>
      <c r="L44" s="1">
        <f>+K44/K$45</f>
        <v>0.60025417075956666</v>
      </c>
      <c r="M44" s="4">
        <f>+M13</f>
        <v>551161.80000000028</v>
      </c>
      <c r="N44" s="1">
        <f>+M44/M$45</f>
        <v>0.44345473792277468</v>
      </c>
      <c r="O44" s="4">
        <f>+O13</f>
        <v>643335.51483871008</v>
      </c>
      <c r="P44" s="1">
        <f>+O44/O$45</f>
        <v>0.47150953391976352</v>
      </c>
    </row>
    <row r="45" spans="2:16" customFormat="1" ht="15" thickBot="1">
      <c r="B45" s="14" t="s">
        <v>51</v>
      </c>
      <c r="C45" s="15">
        <f>+SUM(C43:C44)</f>
        <v>1741054.722580645</v>
      </c>
      <c r="D45" s="29">
        <f t="shared" ref="D45:L45" si="13">+SUM(D43:D44)</f>
        <v>1</v>
      </c>
      <c r="E45" s="15">
        <f>+SUM(E43:E44)</f>
        <v>1448679.4451612902</v>
      </c>
      <c r="F45" s="29">
        <f t="shared" si="13"/>
        <v>1</v>
      </c>
      <c r="G45" s="15">
        <f>+SUM(G43:G44)</f>
        <v>1334736.2903225804</v>
      </c>
      <c r="H45" s="29">
        <f t="shared" si="13"/>
        <v>1</v>
      </c>
      <c r="I45" s="15">
        <f>+SUM(I43:I44)</f>
        <v>1399042.3548387096</v>
      </c>
      <c r="J45" s="29">
        <f t="shared" si="13"/>
        <v>1</v>
      </c>
      <c r="K45" s="15">
        <f>+SUM(K43:K44)</f>
        <v>1423117.4322580653</v>
      </c>
      <c r="L45" s="29">
        <f t="shared" si="13"/>
        <v>1</v>
      </c>
      <c r="M45" s="15">
        <f>+SUM(M43:M44)</f>
        <v>1242881.7483870974</v>
      </c>
      <c r="N45" s="29">
        <f>+SUM(N43:N44)</f>
        <v>1</v>
      </c>
      <c r="O45" s="15">
        <f>+SUM(O43:O44)</f>
        <v>1364416.769032259</v>
      </c>
      <c r="P45" s="29">
        <f>+SUM(P43:P44)</f>
        <v>1</v>
      </c>
    </row>
    <row r="46" spans="2:16" customFormat="1" ht="15" thickTop="1">
      <c r="B46" s="47" t="s">
        <v>48</v>
      </c>
      <c r="C46" s="39"/>
      <c r="D46" s="48"/>
      <c r="E46" s="57">
        <f>+(E45-C45)/C45</f>
        <v>-0.16792997579420543</v>
      </c>
      <c r="F46" s="48"/>
      <c r="G46" s="57">
        <f>+(G45-E45)/E45</f>
        <v>-7.8653117650898871E-2</v>
      </c>
      <c r="H46" s="48"/>
      <c r="I46" s="57">
        <f>+(I45-G45)/G45</f>
        <v>4.8178853742403042E-2</v>
      </c>
      <c r="J46" s="48"/>
      <c r="K46" s="57">
        <f>+(K45-I45)/I45</f>
        <v>1.7208254872406112E-2</v>
      </c>
      <c r="L46" s="48"/>
      <c r="M46" s="57">
        <f>+(M45-K45)/K45</f>
        <v>-0.12664849701474556</v>
      </c>
      <c r="N46" s="48"/>
      <c r="O46" s="57">
        <f>+(O45-M45)/M45</f>
        <v>9.7784862319266558E-2</v>
      </c>
    </row>
    <row r="47" spans="2:16" customFormat="1">
      <c r="B47" s="62" t="s">
        <v>61</v>
      </c>
      <c r="C47" s="25"/>
      <c r="D47" s="49"/>
      <c r="E47" s="25"/>
      <c r="F47" s="49"/>
      <c r="G47" s="25"/>
      <c r="H47" s="49"/>
      <c r="I47" s="25"/>
      <c r="J47" s="49"/>
      <c r="K47" s="25"/>
      <c r="L47" s="49"/>
      <c r="M47" s="25"/>
      <c r="N47" s="49"/>
    </row>
    <row r="48" spans="2:16" customFormat="1"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</row>
    <row r="49" spans="2:16" customFormat="1">
      <c r="B49" s="46" t="s">
        <v>53</v>
      </c>
      <c r="C49" s="44"/>
      <c r="D49" s="44"/>
      <c r="E49" s="44"/>
      <c r="F49" s="44"/>
      <c r="G49" s="44"/>
      <c r="H49" s="44"/>
      <c r="I49" s="44"/>
      <c r="J49" s="45"/>
      <c r="K49" s="31"/>
      <c r="L49" s="45"/>
      <c r="M49" s="31"/>
      <c r="N49" s="45"/>
    </row>
    <row r="50" spans="2:16" customFormat="1">
      <c r="B50" s="10"/>
      <c r="C50" s="91">
        <v>2015</v>
      </c>
      <c r="D50" s="91"/>
      <c r="E50" s="91">
        <v>2016</v>
      </c>
      <c r="F50" s="91"/>
      <c r="G50" s="91">
        <v>2017</v>
      </c>
      <c r="H50" s="91"/>
      <c r="I50" s="91">
        <v>2018</v>
      </c>
      <c r="J50" s="91"/>
      <c r="K50" s="91">
        <v>2019</v>
      </c>
      <c r="L50" s="91"/>
      <c r="M50" s="91">
        <v>2020</v>
      </c>
      <c r="N50" s="91"/>
      <c r="O50" s="91" t="s">
        <v>60</v>
      </c>
      <c r="P50" s="91"/>
    </row>
    <row r="51" spans="2:16" customFormat="1">
      <c r="B51" s="70" t="s">
        <v>54</v>
      </c>
      <c r="C51" s="13">
        <f>+C8</f>
        <v>527435.59354838706</v>
      </c>
      <c r="D51" s="71">
        <f>+C51/C$53</f>
        <v>0.19031667160427199</v>
      </c>
      <c r="E51" s="13">
        <f>+E8</f>
        <v>976422.77419354825</v>
      </c>
      <c r="F51" s="71">
        <f>+E51/E$53</f>
        <v>0.35395993018763844</v>
      </c>
      <c r="G51" s="13">
        <f>+G8</f>
        <v>952467.46451612888</v>
      </c>
      <c r="H51" s="71">
        <f>+G51/G$53</f>
        <v>0.33333391811994834</v>
      </c>
      <c r="I51" s="13">
        <f>+I8</f>
        <v>898282.45161290315</v>
      </c>
      <c r="J51" s="71">
        <f>+I51/I$53</f>
        <v>0.29356816259568491</v>
      </c>
      <c r="K51" s="13">
        <f>+K8</f>
        <v>1064049.1354838714</v>
      </c>
      <c r="L51" s="71">
        <f>+K51/K$53</f>
        <v>0.34227386638747942</v>
      </c>
      <c r="M51" s="13">
        <f>+M8</f>
        <v>522106.33548387123</v>
      </c>
      <c r="N51" s="71">
        <f>+M51/M$53</f>
        <v>0.20333218220657018</v>
      </c>
      <c r="O51" s="13">
        <f>+O8</f>
        <v>949579.57161290362</v>
      </c>
      <c r="P51" s="71">
        <f>+O51/O$53</f>
        <v>0.32649979590506517</v>
      </c>
    </row>
    <row r="52" spans="2:16" s="44" customFormat="1">
      <c r="B52" s="5" t="s">
        <v>55</v>
      </c>
      <c r="C52" s="4">
        <f>+C14</f>
        <v>2243922.2129032253</v>
      </c>
      <c r="D52" s="1">
        <f>+C52/C$53</f>
        <v>0.8096833283957281</v>
      </c>
      <c r="E52" s="4">
        <f>+E14</f>
        <v>1782145.8967741933</v>
      </c>
      <c r="F52" s="1">
        <f>+E52/E$53</f>
        <v>0.64604006981236162</v>
      </c>
      <c r="G52" s="4">
        <f>+G14</f>
        <v>1904929.9161290321</v>
      </c>
      <c r="H52" s="1">
        <f>+G52/G$53</f>
        <v>0.66666608188005172</v>
      </c>
      <c r="I52" s="4">
        <f>+I14</f>
        <v>2161594.4903225806</v>
      </c>
      <c r="J52" s="1">
        <f>+I52/I$53</f>
        <v>0.70643183740431503</v>
      </c>
      <c r="K52" s="4">
        <f>+K14</f>
        <v>2044716.2129032267</v>
      </c>
      <c r="L52" s="1">
        <f>+K52/K$53</f>
        <v>0.65772613361252064</v>
      </c>
      <c r="M52" s="4">
        <f>+M14</f>
        <v>2045644.2774193559</v>
      </c>
      <c r="N52" s="1">
        <f>+M52/M$53</f>
        <v>0.79666781779342988</v>
      </c>
      <c r="O52" s="4">
        <f>+O14</f>
        <v>1958782.3432258074</v>
      </c>
      <c r="P52" s="1">
        <f>+O52/O$53</f>
        <v>0.67350020409493494</v>
      </c>
    </row>
    <row r="53" spans="2:16" customFormat="1" ht="15" thickBot="1">
      <c r="B53" s="14" t="s">
        <v>51</v>
      </c>
      <c r="C53" s="15">
        <f t="shared" ref="C53:N53" si="14">+SUM(C51:C52)</f>
        <v>2771357.8064516122</v>
      </c>
      <c r="D53" s="29">
        <f t="shared" si="14"/>
        <v>1</v>
      </c>
      <c r="E53" s="15">
        <f t="shared" si="14"/>
        <v>2758568.6709677414</v>
      </c>
      <c r="F53" s="29">
        <f t="shared" si="14"/>
        <v>1</v>
      </c>
      <c r="G53" s="15">
        <f t="shared" si="14"/>
        <v>2857397.380645161</v>
      </c>
      <c r="H53" s="29">
        <f t="shared" si="14"/>
        <v>1</v>
      </c>
      <c r="I53" s="15">
        <f t="shared" si="14"/>
        <v>3059876.9419354838</v>
      </c>
      <c r="J53" s="29">
        <f t="shared" si="14"/>
        <v>1</v>
      </c>
      <c r="K53" s="15">
        <f t="shared" si="14"/>
        <v>3108765.3483870979</v>
      </c>
      <c r="L53" s="29">
        <f t="shared" si="14"/>
        <v>1</v>
      </c>
      <c r="M53" s="15">
        <f t="shared" si="14"/>
        <v>2567750.6129032271</v>
      </c>
      <c r="N53" s="29">
        <f t="shared" si="14"/>
        <v>1</v>
      </c>
      <c r="O53" s="15">
        <f t="shared" ref="O53:P53" si="15">+SUM(O51:O52)</f>
        <v>2908361.9148387108</v>
      </c>
      <c r="P53" s="29">
        <f t="shared" si="15"/>
        <v>1</v>
      </c>
    </row>
    <row r="54" spans="2:16" customFormat="1" ht="15" thickTop="1">
      <c r="B54" s="47" t="s">
        <v>48</v>
      </c>
      <c r="C54" s="39"/>
      <c r="D54" s="48"/>
      <c r="E54" s="57">
        <f>+(E53-C53)/C53</f>
        <v>-4.6147543468036296E-3</v>
      </c>
      <c r="F54" s="48"/>
      <c r="G54" s="57">
        <f>+(G53-E53)/E53</f>
        <v>3.5826082822418642E-2</v>
      </c>
      <c r="H54" s="48"/>
      <c r="I54" s="57">
        <f>+(I53-G53)/G53</f>
        <v>7.0861533877589575E-2</v>
      </c>
      <c r="J54" s="48"/>
      <c r="K54" s="57">
        <f>+(K53-I53)/I53</f>
        <v>1.5977245941364689E-2</v>
      </c>
      <c r="L54" s="48"/>
      <c r="M54" s="57">
        <f>+(M53-K53)/K53</f>
        <v>-0.17402881042937585</v>
      </c>
      <c r="N54" s="48"/>
      <c r="O54" s="57">
        <f>+(O53-M53)/M53</f>
        <v>0.13264968187481865</v>
      </c>
    </row>
    <row r="55" spans="2:16" customFormat="1">
      <c r="B55" s="62" t="s">
        <v>61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spans="2:16" customFormat="1">
      <c r="B56" s="58" t="s">
        <v>56</v>
      </c>
      <c r="C56" s="59">
        <f>+C45+C53</f>
        <v>4512412.5290322574</v>
      </c>
      <c r="D56" s="59"/>
      <c r="E56" s="59">
        <f>+E45+E53</f>
        <v>4207248.1161290314</v>
      </c>
      <c r="F56" s="60"/>
      <c r="G56" s="59">
        <f>+G45+G53</f>
        <v>4192133.6709677414</v>
      </c>
      <c r="H56" s="60"/>
      <c r="I56" s="59">
        <f>+I45+I53</f>
        <v>4458919.2967741936</v>
      </c>
      <c r="J56" s="60"/>
      <c r="K56" s="59">
        <f>+K45+K53</f>
        <v>4531882.7806451637</v>
      </c>
      <c r="L56" s="60"/>
      <c r="M56" s="59">
        <f>+M45+M53</f>
        <v>3810632.3612903245</v>
      </c>
      <c r="N56" s="60"/>
      <c r="O56" s="59">
        <f>+O45+O53</f>
        <v>4272778.6838709693</v>
      </c>
      <c r="P56" s="60"/>
    </row>
    <row r="57" spans="2:16" customFormat="1">
      <c r="B57" s="47" t="s">
        <v>48</v>
      </c>
      <c r="C57" s="25"/>
      <c r="D57" s="25"/>
      <c r="E57" s="57">
        <f>+(E56-C56)/C56</f>
        <v>-6.7627773600006436E-2</v>
      </c>
      <c r="F57" s="48"/>
      <c r="G57" s="57">
        <f>+(G56-E56)/E56</f>
        <v>-3.5924777298840102E-3</v>
      </c>
      <c r="H57" s="48"/>
      <c r="I57" s="57">
        <f>+(I56-G56)/G56</f>
        <v>6.3639579924193015E-2</v>
      </c>
      <c r="J57" s="48"/>
      <c r="K57" s="57">
        <f>+(K56-I56)/I56</f>
        <v>1.6363490571304023E-2</v>
      </c>
      <c r="L57" s="49"/>
      <c r="M57" s="57">
        <f>+(M56-K56)/K56</f>
        <v>-0.15915028129923547</v>
      </c>
      <c r="N57" s="49"/>
      <c r="O57" s="57">
        <f>+(O56-M56)/M56</f>
        <v>0.12127811837092485</v>
      </c>
    </row>
    <row r="58" spans="2:16" customFormat="1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2:16" customFormat="1">
      <c r="B59" s="51"/>
      <c r="C59" s="25"/>
      <c r="D59" s="25"/>
      <c r="E59" s="25"/>
      <c r="F59" s="25"/>
      <c r="G59" s="25"/>
      <c r="H59" s="25"/>
      <c r="I59" s="25"/>
      <c r="J59" s="56"/>
      <c r="K59" s="56"/>
    </row>
    <row r="60" spans="2:16" customFormat="1">
      <c r="B60" s="43"/>
      <c r="C60" s="25"/>
      <c r="D60" s="25"/>
      <c r="E60" s="25"/>
      <c r="F60" s="25"/>
      <c r="G60" s="25"/>
      <c r="H60" s="25"/>
      <c r="I60" s="25"/>
      <c r="J60" s="45"/>
      <c r="K60" s="31"/>
    </row>
    <row r="61" spans="2:16" customFormat="1"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2:16" customFormat="1">
      <c r="B62" s="46"/>
    </row>
    <row r="63" spans="2:16" s="44" customFormat="1">
      <c r="B63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</row>
    <row r="64" spans="2:16" s="44" customFormat="1">
      <c r="B64" s="47"/>
      <c r="C64" s="39"/>
      <c r="D64" s="48"/>
      <c r="E64" s="39"/>
      <c r="F64" s="48"/>
      <c r="G64" s="39"/>
      <c r="H64" s="48"/>
      <c r="I64" s="39"/>
      <c r="J64" s="48"/>
      <c r="K64" s="39"/>
      <c r="L64" s="48"/>
      <c r="M64" s="48"/>
    </row>
    <row r="65" spans="2:13" s="44" customFormat="1">
      <c r="B65" s="47"/>
      <c r="C65" s="39"/>
      <c r="D65" s="48"/>
      <c r="E65" s="39"/>
      <c r="F65" s="48"/>
      <c r="G65" s="39"/>
      <c r="H65" s="48"/>
      <c r="I65" s="39"/>
      <c r="J65" s="48"/>
      <c r="K65" s="39"/>
      <c r="L65" s="48"/>
      <c r="M65" s="48"/>
    </row>
    <row r="66" spans="2:13" customFormat="1">
      <c r="B66" s="24"/>
      <c r="C66" s="25"/>
      <c r="D66" s="49"/>
      <c r="E66" s="25"/>
      <c r="F66" s="49"/>
      <c r="G66" s="25"/>
      <c r="H66" s="49"/>
      <c r="I66" s="25"/>
      <c r="J66" s="49"/>
      <c r="K66" s="25"/>
      <c r="L66" s="49"/>
      <c r="M66" s="49"/>
    </row>
    <row r="67" spans="2:13" customFormat="1">
      <c r="B67" s="46"/>
    </row>
    <row r="68" spans="2:13" customFormat="1">
      <c r="C68" s="52"/>
      <c r="D68" s="52"/>
      <c r="E68" s="52"/>
      <c r="F68" s="52"/>
      <c r="G68" s="52"/>
      <c r="H68" s="52"/>
      <c r="I68" s="52"/>
      <c r="J68" s="52"/>
      <c r="K68" s="53"/>
      <c r="L68" s="53"/>
      <c r="M68" s="53"/>
    </row>
    <row r="69" spans="2:13" customFormat="1"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spans="2:13" customFormat="1"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spans="2:13" customFormat="1"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spans="2:13" customFormat="1"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spans="2:13" customFormat="1">
      <c r="C73" s="48"/>
      <c r="D73" s="48"/>
      <c r="E73" s="48"/>
      <c r="F73" s="48"/>
      <c r="G73" s="48"/>
      <c r="H73" s="48"/>
    </row>
    <row r="74" spans="2:13" customFormat="1">
      <c r="B74" s="46"/>
      <c r="C74" s="48"/>
      <c r="D74" s="48"/>
      <c r="E74" s="48"/>
      <c r="F74" s="48"/>
      <c r="G74" s="48"/>
      <c r="H74" s="48"/>
    </row>
    <row r="75" spans="2:13" customFormat="1">
      <c r="C75" s="52"/>
      <c r="D75" s="52"/>
      <c r="E75" s="52"/>
      <c r="F75" s="52"/>
      <c r="G75" s="52"/>
      <c r="H75" s="52"/>
      <c r="I75" s="52"/>
      <c r="J75" s="52"/>
      <c r="K75" s="53"/>
      <c r="L75" s="53"/>
      <c r="M75" s="53"/>
    </row>
    <row r="76" spans="2:13" customFormat="1"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spans="2:13" customFormat="1"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spans="2:13" customFormat="1"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spans="2:13" customFormat="1"/>
    <row r="80" spans="2:13" customFormat="1">
      <c r="B80" s="46"/>
    </row>
    <row r="81" spans="2:13" customFormat="1">
      <c r="C81" s="52"/>
      <c r="D81" s="52"/>
      <c r="E81" s="52"/>
      <c r="F81" s="52"/>
      <c r="G81" s="52"/>
      <c r="H81" s="52"/>
      <c r="I81" s="52"/>
      <c r="J81" s="52"/>
      <c r="K81" s="53"/>
      <c r="L81" s="53"/>
      <c r="M81" s="53"/>
    </row>
    <row r="82" spans="2:13" customFormat="1"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spans="2:13" customFormat="1"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spans="2:13" customFormat="1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spans="2:13" customFormat="1"/>
    <row r="86" spans="2:13" customFormat="1">
      <c r="B86" s="51"/>
    </row>
    <row r="87" spans="2:13" customFormat="1">
      <c r="B87" s="51"/>
      <c r="J87" s="56"/>
      <c r="K87" s="56"/>
      <c r="L87" s="55"/>
      <c r="M87" s="55"/>
    </row>
    <row r="88" spans="2:13" customFormat="1">
      <c r="B88" s="43"/>
      <c r="J88" s="45"/>
      <c r="K88" s="31"/>
      <c r="L88" s="45"/>
      <c r="M88" s="45"/>
    </row>
    <row r="89" spans="2:13" customFormat="1"/>
  </sheetData>
  <sheetProtection algorithmName="SHA-512" hashValue="WsYxtGh7OsP+SzBbgrEpZcxIZMJQTgQnHAe20SsW464CE9V0kI4H2jWZJ/IVs84k0UL/yIg4/A22JRPw/3P1JA==" saltValue="ps2TWewIN5Hm5JPMpnjZhQ==" spinCount="100000" sheet="1" objects="1" scenarios="1" selectLockedCells="1"/>
  <mergeCells count="42">
    <mergeCell ref="O50:P50"/>
    <mergeCell ref="O31:P31"/>
    <mergeCell ref="E42:F42"/>
    <mergeCell ref="G42:H42"/>
    <mergeCell ref="I42:J42"/>
    <mergeCell ref="K42:L42"/>
    <mergeCell ref="M50:N50"/>
    <mergeCell ref="K50:L50"/>
    <mergeCell ref="O6:P6"/>
    <mergeCell ref="O12:P12"/>
    <mergeCell ref="O18:P18"/>
    <mergeCell ref="O42:P42"/>
    <mergeCell ref="M6:N6"/>
    <mergeCell ref="M12:N12"/>
    <mergeCell ref="M18:N18"/>
    <mergeCell ref="M42:N42"/>
    <mergeCell ref="M31:N31"/>
    <mergeCell ref="C6:D6"/>
    <mergeCell ref="E6:F6"/>
    <mergeCell ref="G6:H6"/>
    <mergeCell ref="I6:J6"/>
    <mergeCell ref="K6:L6"/>
    <mergeCell ref="K18:L18"/>
    <mergeCell ref="C12:D12"/>
    <mergeCell ref="E12:F12"/>
    <mergeCell ref="G12:H12"/>
    <mergeCell ref="I12:J12"/>
    <mergeCell ref="K12:L12"/>
    <mergeCell ref="C18:D18"/>
    <mergeCell ref="E18:F18"/>
    <mergeCell ref="G18:H18"/>
    <mergeCell ref="I18:J18"/>
    <mergeCell ref="C50:D50"/>
    <mergeCell ref="E50:F50"/>
    <mergeCell ref="G50:H50"/>
    <mergeCell ref="I50:J50"/>
    <mergeCell ref="C42:D42"/>
    <mergeCell ref="C31:D31"/>
    <mergeCell ref="E31:F31"/>
    <mergeCell ref="G31:H31"/>
    <mergeCell ref="I31:J31"/>
    <mergeCell ref="K31:L31"/>
  </mergeCells>
  <pageMargins left="0.55118110236220474" right="0.70866141732283472" top="0.74803149606299213" bottom="0.74803149606299213" header="0.31496062992125984" footer="0.31496062992125984"/>
  <pageSetup paperSize="9" orientation="landscape" r:id="rId1"/>
  <rowBreaks count="1" manualBreakCount="1">
    <brk id="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  <pageSetUpPr fitToPage="1"/>
  </sheetPr>
  <dimension ref="B1:T79"/>
  <sheetViews>
    <sheetView showGridLines="0" topLeftCell="A7" workbookViewId="0">
      <selection activeCell="O34" sqref="O34"/>
    </sheetView>
  </sheetViews>
  <sheetFormatPr defaultColWidth="10.88671875" defaultRowHeight="14.4"/>
  <cols>
    <col min="1" max="1" width="2.33203125" style="7" customWidth="1"/>
    <col min="2" max="2" width="27.109375" style="7" customWidth="1"/>
    <col min="3" max="3" width="11.88671875" style="7" customWidth="1"/>
    <col min="4" max="4" width="6.88671875" style="7" customWidth="1"/>
    <col min="5" max="5" width="11.88671875" style="7" customWidth="1"/>
    <col min="6" max="6" width="6.88671875" style="7" customWidth="1"/>
    <col min="7" max="7" width="11.88671875" style="7" customWidth="1"/>
    <col min="8" max="8" width="6.88671875" style="7" customWidth="1"/>
    <col min="9" max="9" width="11.88671875" style="7" customWidth="1"/>
    <col min="10" max="10" width="6.88671875" style="7" customWidth="1"/>
    <col min="11" max="11" width="11.88671875" style="7" customWidth="1"/>
    <col min="12" max="12" width="6.88671875" style="7" customWidth="1"/>
    <col min="13" max="13" width="11.88671875" style="7" customWidth="1"/>
    <col min="14" max="14" width="6.88671875" style="7" customWidth="1"/>
    <col min="15" max="15" width="13.44140625" style="7" bestFit="1" customWidth="1"/>
    <col min="16" max="17" width="10.88671875" style="7"/>
    <col min="18" max="18" width="14.109375" style="7" customWidth="1"/>
    <col min="19" max="16384" width="10.88671875" style="7"/>
  </cols>
  <sheetData>
    <row r="1" spans="2:16" ht="25.8">
      <c r="B1" s="32" t="s">
        <v>12</v>
      </c>
      <c r="C1" s="32"/>
      <c r="D1" s="32"/>
      <c r="E1" s="32"/>
      <c r="F1" s="6"/>
    </row>
    <row r="2" spans="2:16" ht="23.4">
      <c r="B2" s="30"/>
      <c r="C2" s="8"/>
      <c r="D2" s="8"/>
      <c r="E2" s="8"/>
      <c r="F2" s="8"/>
    </row>
    <row r="3" spans="2:16" ht="21.75" customHeight="1">
      <c r="B3" s="7" t="s">
        <v>0</v>
      </c>
      <c r="C3" s="35">
        <f>1/0.15209</f>
        <v>6.5750542441975144</v>
      </c>
    </row>
    <row r="4" spans="2:16" ht="21.75" customHeight="1">
      <c r="B4" s="7" t="s">
        <v>1</v>
      </c>
      <c r="C4" s="35">
        <f>1/0.15645</f>
        <v>6.3918184723553848</v>
      </c>
    </row>
    <row r="5" spans="2:16">
      <c r="B5" s="9" t="s">
        <v>44</v>
      </c>
    </row>
    <row r="6" spans="2:16">
      <c r="B6" s="10"/>
      <c r="C6" s="91">
        <v>2015</v>
      </c>
      <c r="D6" s="91"/>
      <c r="E6" s="91">
        <v>2016</v>
      </c>
      <c r="F6" s="91"/>
      <c r="G6" s="91">
        <v>2017</v>
      </c>
      <c r="H6" s="91"/>
      <c r="I6" s="91">
        <v>2018</v>
      </c>
      <c r="J6" s="91"/>
      <c r="K6" s="91">
        <v>2019</v>
      </c>
      <c r="L6" s="91"/>
      <c r="M6" s="91">
        <v>2020</v>
      </c>
      <c r="N6" s="91"/>
      <c r="O6" s="91" t="s">
        <v>60</v>
      </c>
      <c r="P6" s="91"/>
    </row>
    <row r="7" spans="2:16">
      <c r="B7" s="11" t="s">
        <v>3</v>
      </c>
      <c r="C7" s="12">
        <v>1323903.4812</v>
      </c>
      <c r="D7" s="28">
        <f>+C7/C$10</f>
        <v>0.51868421425777389</v>
      </c>
      <c r="E7" s="12">
        <v>1045930.4238</v>
      </c>
      <c r="F7" s="28">
        <f>+E7/E$10</f>
        <v>0.30934227807227627</v>
      </c>
      <c r="G7" s="12">
        <v>1255625.3436</v>
      </c>
      <c r="H7" s="28">
        <f>+G7/G$10</f>
        <v>0.34353452177264066</v>
      </c>
      <c r="I7" s="12">
        <v>1532110.7059900002</v>
      </c>
      <c r="J7" s="28">
        <f>+I7/I$10</f>
        <v>0.38703725254513327</v>
      </c>
      <c r="K7" s="12">
        <f>8329626/C3</f>
        <v>1266852.81834</v>
      </c>
      <c r="L7" s="28">
        <f>+K7/K$10</f>
        <v>0.35986612913071714</v>
      </c>
      <c r="M7" s="12">
        <f>(7469284/C3)</f>
        <v>1136003.40356</v>
      </c>
      <c r="N7" s="28">
        <f>+M7/M$10</f>
        <v>0.38374141009796092</v>
      </c>
      <c r="O7" s="12">
        <f>(2958989/$C$3)*12/4</f>
        <v>1350097.9110300001</v>
      </c>
      <c r="P7" s="28">
        <f>O7/O$10</f>
        <v>0.42283106968770018</v>
      </c>
    </row>
    <row r="8" spans="2:16">
      <c r="B8" s="11" t="s">
        <v>4</v>
      </c>
      <c r="C8" s="12">
        <v>787102.92039999994</v>
      </c>
      <c r="D8" s="28">
        <f t="shared" ref="D8:F9" si="0">+C8/C$10</f>
        <v>0.30837433816370352</v>
      </c>
      <c r="E8" s="12">
        <v>524230.13391999993</v>
      </c>
      <c r="F8" s="28">
        <f t="shared" si="0"/>
        <v>0.15504524982816287</v>
      </c>
      <c r="G8" s="12">
        <v>232605.32719999997</v>
      </c>
      <c r="H8" s="28">
        <f t="shared" ref="H8:J9" si="1">+G8/G$10</f>
        <v>6.3639970512475247E-2</v>
      </c>
      <c r="I8" s="12">
        <v>221398.3401</v>
      </c>
      <c r="J8" s="28">
        <f t="shared" si="1"/>
        <v>5.5928990597965501E-2</v>
      </c>
      <c r="K8" s="12">
        <f>763167/C4</f>
        <v>119397.47715000001</v>
      </c>
      <c r="L8" s="28">
        <f>+K8/K$10</f>
        <v>3.3916416578087576E-2</v>
      </c>
      <c r="M8" s="12">
        <f>(660471/C4)</f>
        <v>103330.68795000001</v>
      </c>
      <c r="N8" s="28">
        <f>+M8/M$10</f>
        <v>3.4905057305342026E-2</v>
      </c>
      <c r="O8" s="12">
        <f>(120436/$C$4)*12/4</f>
        <v>56526.636600000005</v>
      </c>
      <c r="P8" s="28">
        <f>O8/O$10</f>
        <v>1.7703322125127565E-2</v>
      </c>
    </row>
    <row r="9" spans="2:16">
      <c r="B9" s="11" t="s">
        <v>5</v>
      </c>
      <c r="C9" s="12">
        <v>441420.38295999996</v>
      </c>
      <c r="D9" s="28">
        <f t="shared" si="0"/>
        <v>0.17294144757852248</v>
      </c>
      <c r="E9" s="12">
        <v>1810982.26672</v>
      </c>
      <c r="F9" s="28">
        <f t="shared" si="0"/>
        <v>0.53561247209956098</v>
      </c>
      <c r="G9" s="12">
        <v>2166788.7348799999</v>
      </c>
      <c r="H9" s="28">
        <f t="shared" si="1"/>
        <v>0.59282550771488407</v>
      </c>
      <c r="I9" s="12">
        <v>2205052.2963</v>
      </c>
      <c r="J9" s="28">
        <f t="shared" si="1"/>
        <v>0.55703375685690126</v>
      </c>
      <c r="K9" s="12">
        <f>13640744/C4</f>
        <v>2134094.3988000001</v>
      </c>
      <c r="L9" s="28">
        <f>+K9/K$10</f>
        <v>0.60621745429119533</v>
      </c>
      <c r="M9" s="12">
        <f>(11000330/C4)</f>
        <v>1721001.6285000001</v>
      </c>
      <c r="N9" s="28">
        <f>+M9/M$10</f>
        <v>0.58135353259669698</v>
      </c>
      <c r="O9" s="12">
        <f>(3806054/$C$4)*12/4</f>
        <v>1786371.4449</v>
      </c>
      <c r="P9" s="28">
        <f>O9/O$10</f>
        <v>0.55946560818717217</v>
      </c>
    </row>
    <row r="10" spans="2:16" ht="15" thickBot="1">
      <c r="B10" s="14" t="s">
        <v>16</v>
      </c>
      <c r="C10" s="15">
        <f>SUM(C7:C9)</f>
        <v>2552426.7845600001</v>
      </c>
      <c r="D10" s="29">
        <f>SUM(D7:D9)</f>
        <v>0.99999999999999989</v>
      </c>
      <c r="E10" s="15">
        <f>SUM(E7:E9)</f>
        <v>3381142.8244399996</v>
      </c>
      <c r="F10" s="29">
        <f>SUM(F7:F9)</f>
        <v>1</v>
      </c>
      <c r="G10" s="15">
        <f>SUM(G7:G9)</f>
        <v>3655019.4056799999</v>
      </c>
      <c r="H10" s="29">
        <f t="shared" ref="H10:P10" si="2">SUM(H7:H9)</f>
        <v>1</v>
      </c>
      <c r="I10" s="15">
        <f t="shared" si="2"/>
        <v>3958561.3423899999</v>
      </c>
      <c r="J10" s="29">
        <f t="shared" si="2"/>
        <v>1</v>
      </c>
      <c r="K10" s="15">
        <f t="shared" si="2"/>
        <v>3520344.69429</v>
      </c>
      <c r="L10" s="29">
        <f t="shared" si="2"/>
        <v>1</v>
      </c>
      <c r="M10" s="15">
        <f t="shared" si="2"/>
        <v>2960335.7200100003</v>
      </c>
      <c r="N10" s="29">
        <f t="shared" si="2"/>
        <v>1</v>
      </c>
      <c r="O10" s="15">
        <f t="shared" si="2"/>
        <v>3192995.9925300004</v>
      </c>
      <c r="P10" s="29">
        <f t="shared" si="2"/>
        <v>0.99999999999999989</v>
      </c>
    </row>
    <row r="11" spans="2:16" ht="15" thickTop="1">
      <c r="B11" s="62" t="s">
        <v>61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6">
      <c r="B12" s="9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6">
      <c r="B13" s="10"/>
      <c r="C13" s="91">
        <v>2015</v>
      </c>
      <c r="D13" s="91"/>
      <c r="E13" s="91">
        <v>2016</v>
      </c>
      <c r="F13" s="91"/>
      <c r="G13" s="91">
        <v>2017</v>
      </c>
      <c r="H13" s="91"/>
      <c r="I13" s="91">
        <v>2018</v>
      </c>
      <c r="J13" s="91"/>
      <c r="K13" s="91">
        <v>2019</v>
      </c>
      <c r="L13" s="91"/>
      <c r="M13" s="91">
        <v>2020</v>
      </c>
      <c r="N13" s="91"/>
      <c r="O13" s="91" t="s">
        <v>60</v>
      </c>
      <c r="P13" s="91"/>
    </row>
    <row r="14" spans="2:16">
      <c r="B14" s="20" t="s">
        <v>14</v>
      </c>
      <c r="C14" s="13">
        <v>57873.897799999999</v>
      </c>
      <c r="D14" s="28">
        <f>+C14/C$16</f>
        <v>0.1048863702847086</v>
      </c>
      <c r="E14" s="13">
        <v>0</v>
      </c>
      <c r="F14" s="28">
        <f>+E14/E$16</f>
        <v>0</v>
      </c>
      <c r="G14" s="13">
        <v>248850.65280000001</v>
      </c>
      <c r="H14" s="28">
        <f>+G14/G$16</f>
        <v>0.10213489036443656</v>
      </c>
      <c r="I14" s="13">
        <v>114190.84499</v>
      </c>
      <c r="J14" s="28">
        <f>+I14/I$16</f>
        <v>4.7434033583468732E-2</v>
      </c>
      <c r="K14" s="13">
        <f>693338/C3</f>
        <v>105449.77642000001</v>
      </c>
      <c r="L14" s="28">
        <f>+K14/K$16</f>
        <v>4.7074834520732613E-2</v>
      </c>
      <c r="M14" s="13">
        <f>(2558201/C3)</f>
        <v>389076.79009000002</v>
      </c>
      <c r="N14" s="28">
        <f>+M14/M$16</f>
        <v>0.17420130403777245</v>
      </c>
      <c r="O14" s="13">
        <f>(573775/$C$3)*12/4</f>
        <v>261796.31925</v>
      </c>
      <c r="P14" s="28">
        <f>+O14/O$16</f>
        <v>0.13470731518873336</v>
      </c>
    </row>
    <row r="15" spans="2:16">
      <c r="B15" s="20" t="s">
        <v>15</v>
      </c>
      <c r="C15" s="13">
        <v>491888.20767999999</v>
      </c>
      <c r="D15" s="28">
        <f>+C15/C$16</f>
        <v>0.89146179280508264</v>
      </c>
      <c r="E15" s="13">
        <v>1829832.6375199999</v>
      </c>
      <c r="F15" s="28">
        <f>+E15/E$16</f>
        <v>0.99889947239160037</v>
      </c>
      <c r="G15" s="13">
        <v>2185622.48208</v>
      </c>
      <c r="H15" s="28">
        <f>+G15/G$16</f>
        <v>0.89703727948303169</v>
      </c>
      <c r="I15" s="13">
        <v>2291152.2070500003</v>
      </c>
      <c r="J15" s="28">
        <f>+I15/I$16</f>
        <v>0.95172770412168772</v>
      </c>
      <c r="K15" s="13">
        <f>13631044/C4</f>
        <v>2132576.8338000001</v>
      </c>
      <c r="L15" s="28">
        <f>+K15/K$16</f>
        <v>0.95202384454598443</v>
      </c>
      <c r="M15" s="13">
        <f>(11776240/C4)</f>
        <v>1842392.7480000001</v>
      </c>
      <c r="N15" s="28">
        <f>+M15/M$16</f>
        <v>0.82489428160722356</v>
      </c>
      <c r="O15" s="13">
        <f>(3582932/$C$4)*12/4</f>
        <v>1681649.1342000002</v>
      </c>
      <c r="P15" s="28">
        <f>+O15/O$16</f>
        <v>0.86529268481126664</v>
      </c>
    </row>
    <row r="16" spans="2:16" ht="15" thickBot="1">
      <c r="B16" s="14" t="s">
        <v>17</v>
      </c>
      <c r="C16" s="15">
        <f>SUM(C13:C15)</f>
        <v>551777.10548000003</v>
      </c>
      <c r="D16" s="29">
        <f>SUM(D13:D15)</f>
        <v>0.99634816308979124</v>
      </c>
      <c r="E16" s="15">
        <f>SUM(E13:E15)</f>
        <v>1831848.6375199999</v>
      </c>
      <c r="F16" s="29">
        <f>SUM(F13:F15)</f>
        <v>0.99889947239160037</v>
      </c>
      <c r="G16" s="15">
        <f>SUM(G13:G15)</f>
        <v>2436490.1348799998</v>
      </c>
      <c r="H16" s="29">
        <f t="shared" ref="H16:P16" si="3">SUM(H13:H15)</f>
        <v>0.99917216984746826</v>
      </c>
      <c r="I16" s="15">
        <f t="shared" si="3"/>
        <v>2407361.0520400004</v>
      </c>
      <c r="J16" s="29">
        <f t="shared" si="3"/>
        <v>0.99916173770515648</v>
      </c>
      <c r="K16" s="15">
        <f t="shared" si="3"/>
        <v>2240045.6102200001</v>
      </c>
      <c r="L16" s="29">
        <f t="shared" si="3"/>
        <v>0.99909867906671701</v>
      </c>
      <c r="M16" s="15">
        <f t="shared" si="3"/>
        <v>2233489.5380899999</v>
      </c>
      <c r="N16" s="29">
        <f t="shared" si="3"/>
        <v>0.99909558564499601</v>
      </c>
      <c r="O16" s="15">
        <f t="shared" si="3"/>
        <v>1943445.4534500001</v>
      </c>
      <c r="P16" s="29">
        <f t="shared" si="3"/>
        <v>1</v>
      </c>
    </row>
    <row r="17" spans="2:20" ht="15" thickTop="1">
      <c r="B17" s="62" t="s">
        <v>61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R17" s="9"/>
    </row>
    <row r="18" spans="2:20">
      <c r="B18" s="6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R18" s="9"/>
    </row>
    <row r="19" spans="2:20">
      <c r="B19" s="62" t="s">
        <v>59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R19" s="9"/>
    </row>
    <row r="20" spans="2:20">
      <c r="B20" s="9" t="s">
        <v>58</v>
      </c>
      <c r="R20" s="9"/>
    </row>
    <row r="21" spans="2:20">
      <c r="B21" s="10"/>
      <c r="C21" s="91">
        <v>2015</v>
      </c>
      <c r="D21" s="91"/>
      <c r="E21" s="91">
        <v>2016</v>
      </c>
      <c r="F21" s="91"/>
      <c r="G21" s="91">
        <v>2017</v>
      </c>
      <c r="H21" s="91"/>
      <c r="I21" s="91">
        <v>2018</v>
      </c>
      <c r="J21" s="91"/>
      <c r="K21" s="91">
        <v>2019</v>
      </c>
      <c r="L21" s="91"/>
      <c r="M21" s="91">
        <v>2020</v>
      </c>
      <c r="N21" s="91"/>
      <c r="O21" s="91" t="s">
        <v>60</v>
      </c>
      <c r="P21" s="91"/>
      <c r="R21" s="63"/>
      <c r="S21" s="64"/>
      <c r="T21" s="63"/>
    </row>
    <row r="22" spans="2:20">
      <c r="B22" s="70" t="s">
        <v>6</v>
      </c>
      <c r="C22" s="13">
        <v>279842.22560000001</v>
      </c>
      <c r="D22" s="71">
        <f>+C22/C$26</f>
        <v>0.22149180582424158</v>
      </c>
      <c r="E22" s="13">
        <v>329264.00079999998</v>
      </c>
      <c r="F22" s="71">
        <f>+E22/E$26</f>
        <v>0.30056774543486214</v>
      </c>
      <c r="G22" s="13">
        <v>326831.99700000003</v>
      </c>
      <c r="H22" s="71">
        <f>+G22/G$26</f>
        <v>0.2614527935246333</v>
      </c>
      <c r="I22" s="13">
        <v>277666.30239000003</v>
      </c>
      <c r="J22" s="71">
        <f>+I22/I$26</f>
        <v>0.18378132483505275</v>
      </c>
      <c r="K22" s="3">
        <f>1749922/C3</f>
        <v>266145.63698000001</v>
      </c>
      <c r="L22" s="71">
        <f>+K22/K$26</f>
        <v>0.19324135534623529</v>
      </c>
      <c r="M22" s="3">
        <f>(1661437/C3)</f>
        <v>252687.95333000002</v>
      </c>
      <c r="N22" s="71">
        <f>+M22/M$26</f>
        <v>0.20891323471331444</v>
      </c>
      <c r="O22" s="3">
        <f>(634330/$C$3)*12/4</f>
        <v>289425.74910000002</v>
      </c>
      <c r="P22" s="28">
        <f>+O22/O$26</f>
        <v>0.2004766860898686</v>
      </c>
      <c r="S22" s="65"/>
      <c r="T22" s="61"/>
    </row>
    <row r="23" spans="2:20" customFormat="1">
      <c r="B23" s="5" t="s">
        <v>41</v>
      </c>
      <c r="C23" s="4">
        <v>559461.02159999998</v>
      </c>
      <c r="D23" s="1">
        <f>+C23/C$26</f>
        <v>0.44280676976741074</v>
      </c>
      <c r="E23" s="4">
        <v>449171.42239999998</v>
      </c>
      <c r="F23" s="1">
        <f>+E23/E$26</f>
        <v>0.41002490833045274</v>
      </c>
      <c r="G23" s="4">
        <v>336912.35519999999</v>
      </c>
      <c r="H23" s="1">
        <f>+G23/G$26</f>
        <v>0.26951668517328031</v>
      </c>
      <c r="I23" s="4">
        <v>478869.35728</v>
      </c>
      <c r="J23" s="1">
        <f>+I23/I$26</f>
        <v>0.31695327861649131</v>
      </c>
      <c r="K23" s="2">
        <f>2453648/C3+K8</f>
        <v>492572.80147000001</v>
      </c>
      <c r="L23" s="1">
        <f>+K23/K$26</f>
        <v>0.35764417122459824</v>
      </c>
      <c r="M23" s="2">
        <f>(2223876/C3)+M8</f>
        <v>441559.98879000003</v>
      </c>
      <c r="N23" s="1">
        <f>+M23/M$26</f>
        <v>0.36506578316229443</v>
      </c>
      <c r="O23" s="2">
        <f>(514649/$C$3)*12/4+O8</f>
        <v>291345.53583000007</v>
      </c>
      <c r="P23" s="28">
        <f>+O23/O26</f>
        <v>0.2018064657754236</v>
      </c>
      <c r="R23" s="7"/>
      <c r="S23" s="66"/>
      <c r="T23" s="61"/>
    </row>
    <row r="24" spans="2:20" customFormat="1">
      <c r="B24" s="5" t="s">
        <v>42</v>
      </c>
      <c r="C24" s="4">
        <v>366265.64720000001</v>
      </c>
      <c r="D24" s="1">
        <f>+C24/C$26</f>
        <v>0.28989492002422301</v>
      </c>
      <c r="E24" s="4">
        <v>317038.07919999998</v>
      </c>
      <c r="F24" s="1">
        <f>+E24/E$26</f>
        <v>0.28940734623468517</v>
      </c>
      <c r="G24" s="4">
        <v>337466.21100000001</v>
      </c>
      <c r="H24" s="1">
        <f>+G24/G$26</f>
        <v>0.26995974811524753</v>
      </c>
      <c r="I24" s="4">
        <v>640125.06113000005</v>
      </c>
      <c r="J24" s="1">
        <f>+I24/I$26</f>
        <v>0.4236849440568895</v>
      </c>
      <c r="K24" s="2">
        <f>3373676/C3</f>
        <v>513102.38284000003</v>
      </c>
      <c r="L24" s="1">
        <f>+K24/K$26</f>
        <v>0.37255016094378246</v>
      </c>
      <c r="M24" s="2">
        <f>829842/C3</f>
        <v>126210.66978000001</v>
      </c>
      <c r="N24" s="1">
        <f>+M24/M$26</f>
        <v>0.10434640405923684</v>
      </c>
      <c r="O24" s="2">
        <f>1317466/$C$3*12/4</f>
        <v>601120.21182000008</v>
      </c>
      <c r="P24" s="28">
        <f>+O24/O$26</f>
        <v>0.41637825377339061</v>
      </c>
      <c r="S24" s="39"/>
      <c r="T24" s="48"/>
    </row>
    <row r="25" spans="2:20" customFormat="1">
      <c r="B25" s="72" t="s">
        <v>57</v>
      </c>
      <c r="C25" s="4">
        <v>57873.897799999999</v>
      </c>
      <c r="D25" s="73">
        <f>+C25/C$26</f>
        <v>4.5806504384124654E-2</v>
      </c>
      <c r="E25" s="4">
        <v>0</v>
      </c>
      <c r="F25" s="73">
        <f>+E25/E$26</f>
        <v>0</v>
      </c>
      <c r="G25" s="4">
        <v>248850.65280000001</v>
      </c>
      <c r="H25" s="73">
        <f>+G25/G$26</f>
        <v>0.19907077318683888</v>
      </c>
      <c r="I25" s="4">
        <v>114190.84499</v>
      </c>
      <c r="J25" s="73">
        <f>+I25/I$26</f>
        <v>7.558045249156653E-2</v>
      </c>
      <c r="K25" s="4">
        <f>693338/C3</f>
        <v>105449.77642000001</v>
      </c>
      <c r="L25" s="73">
        <f>+K25/K$26</f>
        <v>7.6564312485383978E-2</v>
      </c>
      <c r="M25" s="4">
        <f>+M14</f>
        <v>389076.79009000002</v>
      </c>
      <c r="N25" s="73">
        <f>+M25/M$26</f>
        <v>0.32167457806515426</v>
      </c>
      <c r="O25" s="4">
        <f>+O14</f>
        <v>261796.31925</v>
      </c>
      <c r="P25" s="28">
        <f>+O25/O$26</f>
        <v>0.18133859436131722</v>
      </c>
      <c r="S25" s="39"/>
      <c r="T25" s="48"/>
    </row>
    <row r="26" spans="2:20" customFormat="1" ht="15" thickBot="1">
      <c r="B26" s="14" t="s">
        <v>18</v>
      </c>
      <c r="C26" s="15">
        <f>SUM(C22:C25)</f>
        <v>1263442.7922</v>
      </c>
      <c r="D26" s="29">
        <f t="shared" ref="D26:P26" si="4">SUM(D22:D25)</f>
        <v>1</v>
      </c>
      <c r="E26" s="15">
        <f>SUM(E22:E25)</f>
        <v>1095473.5023999999</v>
      </c>
      <c r="F26" s="29">
        <f t="shared" si="4"/>
        <v>1</v>
      </c>
      <c r="G26" s="15">
        <f t="shared" si="4"/>
        <v>1250061.216</v>
      </c>
      <c r="H26" s="29">
        <f t="shared" si="4"/>
        <v>1</v>
      </c>
      <c r="I26" s="15">
        <f t="shared" si="4"/>
        <v>1510851.5657899999</v>
      </c>
      <c r="J26" s="29">
        <f t="shared" si="4"/>
        <v>1</v>
      </c>
      <c r="K26" s="15">
        <f t="shared" si="4"/>
        <v>1377270.5977100001</v>
      </c>
      <c r="L26" s="29">
        <f t="shared" si="4"/>
        <v>1</v>
      </c>
      <c r="M26" s="15">
        <f t="shared" si="4"/>
        <v>1209535.4019900002</v>
      </c>
      <c r="N26" s="29">
        <f t="shared" si="4"/>
        <v>1</v>
      </c>
      <c r="O26" s="15">
        <f t="shared" si="4"/>
        <v>1443687.8160000001</v>
      </c>
      <c r="P26" s="29">
        <f t="shared" si="4"/>
        <v>1</v>
      </c>
      <c r="R26" s="7"/>
      <c r="S26" s="66"/>
      <c r="T26" s="61"/>
    </row>
    <row r="27" spans="2:20" ht="15" customHeight="1" thickTop="1">
      <c r="B27" s="62" t="s">
        <v>61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N27" s="22"/>
      <c r="O27" s="69"/>
      <c r="R27" s="9"/>
      <c r="S27" s="67"/>
      <c r="T27" s="68"/>
    </row>
    <row r="28" spans="2:20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R28" s="22"/>
      <c r="S28" s="69"/>
    </row>
    <row r="29" spans="2:20">
      <c r="B29" s="22" t="s">
        <v>9</v>
      </c>
      <c r="C29" s="21"/>
      <c r="D29" s="21"/>
      <c r="E29" s="21"/>
      <c r="F29" s="21"/>
      <c r="G29" s="21"/>
      <c r="H29" s="21"/>
      <c r="I29" s="21"/>
      <c r="J29" s="92"/>
      <c r="K29" s="92"/>
      <c r="L29" s="26"/>
    </row>
    <row r="30" spans="2:20">
      <c r="B30" s="40"/>
      <c r="C30" s="21"/>
      <c r="D30" s="21"/>
      <c r="E30" s="21"/>
      <c r="F30" s="21"/>
      <c r="G30" s="21"/>
      <c r="H30" s="21"/>
      <c r="I30" s="21"/>
      <c r="J30" s="27" t="s">
        <v>43</v>
      </c>
      <c r="K30" s="31"/>
      <c r="L30" s="27"/>
    </row>
    <row r="31" spans="2:20">
      <c r="B31" s="10"/>
      <c r="C31" s="91">
        <v>2015</v>
      </c>
      <c r="D31" s="91"/>
      <c r="E31" s="91">
        <v>2016</v>
      </c>
      <c r="F31" s="91"/>
      <c r="G31" s="91">
        <v>2017</v>
      </c>
      <c r="H31" s="91"/>
      <c r="I31" s="91">
        <v>2018</v>
      </c>
      <c r="J31" s="91"/>
      <c r="K31" s="91">
        <v>2019</v>
      </c>
      <c r="L31" s="91"/>
      <c r="M31" s="91">
        <v>2020</v>
      </c>
      <c r="N31" s="91"/>
      <c r="O31" s="91" t="s">
        <v>60</v>
      </c>
      <c r="P31" s="91"/>
    </row>
    <row r="32" spans="2:20">
      <c r="B32" s="20" t="s">
        <v>45</v>
      </c>
      <c r="C32" s="13">
        <f>+C26-C25</f>
        <v>1205568.8944000001</v>
      </c>
      <c r="D32" s="28">
        <f>+C32/C$34</f>
        <v>0.68601680857515945</v>
      </c>
      <c r="E32" s="13">
        <f>+E26-E25</f>
        <v>1095473.5023999999</v>
      </c>
      <c r="F32" s="28">
        <f>+E32/E$34</f>
        <v>0.37422376152627251</v>
      </c>
      <c r="G32" s="13">
        <f>+G26-G25</f>
        <v>1001210.5632</v>
      </c>
      <c r="H32" s="28">
        <f>+G32/G$34</f>
        <v>0.29124425048381586</v>
      </c>
      <c r="I32" s="13">
        <f>+I26-I25</f>
        <v>1396660.7208</v>
      </c>
      <c r="J32" s="28">
        <f>+I32/I$34</f>
        <v>0.36715371367532507</v>
      </c>
      <c r="K32" s="13">
        <f>+K26-K25</f>
        <v>1271820.8212900001</v>
      </c>
      <c r="L32" s="28">
        <f>+K32/K$34</f>
        <v>0.36214954244235142</v>
      </c>
      <c r="M32" s="13">
        <f>+M26-M25</f>
        <v>820458.61190000013</v>
      </c>
      <c r="N32" s="28">
        <f>+M32/M$34</f>
        <v>0.26865505621065855</v>
      </c>
      <c r="O32" s="13">
        <f>+O26-O25</f>
        <v>1181891.4967500002</v>
      </c>
      <c r="P32" s="28">
        <f>+O32/O$34</f>
        <v>0.37816450372634769</v>
      </c>
    </row>
    <row r="33" spans="2:16">
      <c r="B33" s="20" t="s">
        <v>46</v>
      </c>
      <c r="C33" s="13">
        <f>+C16</f>
        <v>551777.10548000003</v>
      </c>
      <c r="D33" s="28">
        <f>+C33/C$34</f>
        <v>0.31398319142484066</v>
      </c>
      <c r="E33" s="13">
        <f>+E16</f>
        <v>1831848.6375199999</v>
      </c>
      <c r="F33" s="28">
        <f>+E33/E$34</f>
        <v>0.62577623847372743</v>
      </c>
      <c r="G33" s="13">
        <f>+G16</f>
        <v>2436490.1348799998</v>
      </c>
      <c r="H33" s="28">
        <f>+G33/G$34</f>
        <v>0.70875574951618425</v>
      </c>
      <c r="I33" s="13">
        <f>+I16</f>
        <v>2407361.0520400004</v>
      </c>
      <c r="J33" s="28">
        <f>+I33/I$34</f>
        <v>0.63284628632467488</v>
      </c>
      <c r="K33" s="13">
        <f>+K16</f>
        <v>2240045.6102200001</v>
      </c>
      <c r="L33" s="28">
        <f>+K33/K$34</f>
        <v>0.63785045755764858</v>
      </c>
      <c r="M33" s="13">
        <f>+M16</f>
        <v>2233489.5380899999</v>
      </c>
      <c r="N33" s="28">
        <f>+M33/M$34</f>
        <v>0.73134494378934156</v>
      </c>
      <c r="O33" s="13">
        <f>+O16</f>
        <v>1943445.4534500001</v>
      </c>
      <c r="P33" s="28">
        <f>+O33/O$34</f>
        <v>0.62183549627365231</v>
      </c>
    </row>
    <row r="34" spans="2:16" ht="15" thickBot="1">
      <c r="B34" s="14" t="s">
        <v>47</v>
      </c>
      <c r="C34" s="15">
        <f t="shared" ref="C34:K34" si="5">SUM(C32:C33)</f>
        <v>1757345.99988</v>
      </c>
      <c r="D34" s="29">
        <f>SUM(D32:D33)</f>
        <v>1</v>
      </c>
      <c r="E34" s="15">
        <f t="shared" si="5"/>
        <v>2927322.13992</v>
      </c>
      <c r="F34" s="29">
        <f>SUM(F32:F33)</f>
        <v>1</v>
      </c>
      <c r="G34" s="15">
        <f t="shared" si="5"/>
        <v>3437700.6980799995</v>
      </c>
      <c r="H34" s="29">
        <f>SUM(H32:H33)</f>
        <v>1</v>
      </c>
      <c r="I34" s="15">
        <f t="shared" si="5"/>
        <v>3804021.7728400007</v>
      </c>
      <c r="J34" s="29">
        <f>SUM(J32:J33)</f>
        <v>1</v>
      </c>
      <c r="K34" s="15">
        <f t="shared" si="5"/>
        <v>3511866.4315100005</v>
      </c>
      <c r="L34" s="29">
        <f>SUM(L32:L33)</f>
        <v>1</v>
      </c>
      <c r="M34" s="15">
        <f>SUM(M32:M33)</f>
        <v>3053948.1499899998</v>
      </c>
      <c r="N34" s="29">
        <f>SUM(N32:N33)</f>
        <v>1</v>
      </c>
      <c r="O34" s="15">
        <f>SUM(O32:O33)</f>
        <v>3125336.9502000003</v>
      </c>
      <c r="P34" s="29">
        <f>SUM(P32:P33)</f>
        <v>1</v>
      </c>
    </row>
    <row r="35" spans="2:16" ht="15" thickTop="1">
      <c r="B35" s="41" t="s">
        <v>48</v>
      </c>
      <c r="C35" s="41"/>
      <c r="D35" s="41"/>
      <c r="E35" s="42">
        <f>+(E34-C34)/C34</f>
        <v>0.66576311103214247</v>
      </c>
      <c r="F35" s="41"/>
      <c r="G35" s="42">
        <f>+(G34-E34)/E34</f>
        <v>0.17434998055046566</v>
      </c>
      <c r="H35" s="41"/>
      <c r="I35" s="42">
        <f>+(I34-G34)/G34</f>
        <v>0.1065599093500479</v>
      </c>
      <c r="J35" s="41"/>
      <c r="K35" s="42">
        <f>+(K34-I34)/I34</f>
        <v>-7.6801700614842511E-2</v>
      </c>
      <c r="L35" s="41"/>
      <c r="M35" s="42">
        <f>+(M34-K34)/K34</f>
        <v>-0.13039171348071718</v>
      </c>
      <c r="N35" s="41"/>
      <c r="O35" s="42">
        <f>+(O34-M34)/M34</f>
        <v>2.337590446983661E-2</v>
      </c>
    </row>
    <row r="36" spans="2:16">
      <c r="B36" s="62" t="s">
        <v>61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spans="2:16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2:16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spans="2:16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2:16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spans="2:16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2:16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2:16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2:16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 spans="2:16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 spans="2:1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 spans="2:16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2:16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 spans="2:1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 spans="2:1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2:1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2:1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2:1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2:1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 spans="2:1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2:1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 spans="2:1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 spans="2:1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 spans="2:1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 spans="2:1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2:1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 spans="2:1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 spans="2:1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spans="2:1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 spans="2:1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spans="2:1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 spans="2:1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spans="2:1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spans="2:1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spans="2:1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 spans="2:1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spans="2:1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 spans="2:1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spans="2:1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 spans="2:1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spans="2:1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spans="2:1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spans="2:1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</sheetData>
  <mergeCells count="29">
    <mergeCell ref="O6:P6"/>
    <mergeCell ref="O13:P13"/>
    <mergeCell ref="O21:P21"/>
    <mergeCell ref="O31:P31"/>
    <mergeCell ref="M6:N6"/>
    <mergeCell ref="M21:N21"/>
    <mergeCell ref="M13:N13"/>
    <mergeCell ref="M31:N31"/>
    <mergeCell ref="C6:D6"/>
    <mergeCell ref="E6:F6"/>
    <mergeCell ref="G6:H6"/>
    <mergeCell ref="I6:J6"/>
    <mergeCell ref="K6:L6"/>
    <mergeCell ref="C13:D13"/>
    <mergeCell ref="E13:F13"/>
    <mergeCell ref="G13:H13"/>
    <mergeCell ref="I13:J13"/>
    <mergeCell ref="K13:L13"/>
    <mergeCell ref="C21:D21"/>
    <mergeCell ref="E21:F21"/>
    <mergeCell ref="G21:H21"/>
    <mergeCell ref="I21:J21"/>
    <mergeCell ref="K21:L21"/>
    <mergeCell ref="J29:K29"/>
    <mergeCell ref="C31:D31"/>
    <mergeCell ref="E31:F31"/>
    <mergeCell ref="G31:H31"/>
    <mergeCell ref="I31:J31"/>
    <mergeCell ref="K31:L31"/>
  </mergeCells>
  <pageMargins left="0.55118110236220474" right="0.70866141732283472" top="0.74803149606299213" bottom="0.74803149606299213" header="0.31496062992125984" footer="0.31496062992125984"/>
  <pageSetup paperSize="9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  <pageSetUpPr fitToPage="1"/>
  </sheetPr>
  <dimension ref="B1:S69"/>
  <sheetViews>
    <sheetView showGridLines="0" zoomScale="85" zoomScaleNormal="85" workbookViewId="0">
      <selection activeCell="O8" sqref="O8"/>
    </sheetView>
  </sheetViews>
  <sheetFormatPr defaultColWidth="10.88671875" defaultRowHeight="14.4"/>
  <cols>
    <col min="1" max="1" width="2.33203125" style="7" customWidth="1"/>
    <col min="2" max="2" width="34.88671875" style="7" customWidth="1"/>
    <col min="3" max="3" width="13" style="7" customWidth="1"/>
    <col min="4" max="4" width="7" style="7" customWidth="1"/>
    <col min="5" max="5" width="11.88671875" style="7" customWidth="1"/>
    <col min="6" max="6" width="7.44140625" style="7" customWidth="1"/>
    <col min="7" max="7" width="11.44140625" style="7" customWidth="1"/>
    <col min="8" max="8" width="6.44140625" style="7" customWidth="1"/>
    <col min="9" max="9" width="11.88671875" style="7" customWidth="1"/>
    <col min="10" max="10" width="6.44140625" style="7" customWidth="1"/>
    <col min="11" max="11" width="10.6640625" style="7" customWidth="1"/>
    <col min="12" max="12" width="8.6640625" style="7" customWidth="1"/>
    <col min="13" max="13" width="13.44140625" style="7" bestFit="1" customWidth="1"/>
    <col min="14" max="14" width="9" style="7" bestFit="1" customWidth="1"/>
    <col min="15" max="15" width="18.5546875" style="7" bestFit="1" customWidth="1"/>
    <col min="16" max="16384" width="10.88671875" style="7"/>
  </cols>
  <sheetData>
    <row r="1" spans="2:19" ht="25.8">
      <c r="B1" s="32" t="s">
        <v>79</v>
      </c>
      <c r="C1" s="32"/>
      <c r="D1" s="32"/>
      <c r="E1" s="32"/>
      <c r="F1" s="6"/>
    </row>
    <row r="2" spans="2:19" ht="23.4">
      <c r="B2" s="30" t="s">
        <v>78</v>
      </c>
      <c r="C2" s="8"/>
      <c r="D2" s="8"/>
      <c r="E2" s="8"/>
      <c r="F2" s="8"/>
      <c r="O2" s="41"/>
    </row>
    <row r="3" spans="2:19" ht="21.75" hidden="1" customHeight="1"/>
    <row r="4" spans="2:19" ht="21.75" customHeight="1"/>
    <row r="5" spans="2:19">
      <c r="B5" s="9" t="s">
        <v>80</v>
      </c>
      <c r="P5" s="83"/>
    </row>
    <row r="6" spans="2:19">
      <c r="B6" s="10"/>
      <c r="C6" s="91">
        <v>2015</v>
      </c>
      <c r="D6" s="91"/>
      <c r="E6" s="91">
        <v>2016</v>
      </c>
      <c r="F6" s="91"/>
      <c r="G6" s="91">
        <v>2017</v>
      </c>
      <c r="H6" s="91"/>
      <c r="I6" s="91">
        <v>2018</v>
      </c>
      <c r="J6" s="91"/>
      <c r="K6" s="91">
        <v>2019</v>
      </c>
      <c r="L6" s="91"/>
      <c r="M6" s="91">
        <v>2020</v>
      </c>
      <c r="N6" s="91"/>
      <c r="O6" s="91" t="s">
        <v>60</v>
      </c>
      <c r="P6" s="91"/>
    </row>
    <row r="7" spans="2:19">
      <c r="B7" s="11" t="s">
        <v>81</v>
      </c>
      <c r="C7" s="12">
        <f>C17-C8</f>
        <v>9636074</v>
      </c>
      <c r="D7" s="28">
        <f>C7/C$9</f>
        <v>0.3311448592646874</v>
      </c>
      <c r="E7" s="12">
        <f>E17-E8</f>
        <v>12006816</v>
      </c>
      <c r="F7" s="28">
        <f>E7/E$9</f>
        <v>0.42895877281113526</v>
      </c>
      <c r="G7" s="12">
        <f>G17-G8</f>
        <v>12681853</v>
      </c>
      <c r="H7" s="28">
        <f>G7/G$9</f>
        <v>0.43642446594595341</v>
      </c>
      <c r="I7" s="12">
        <f>I17-I8</f>
        <v>12979580</v>
      </c>
      <c r="J7" s="28">
        <f>I7/I$9</f>
        <v>0.42410749440490009</v>
      </c>
      <c r="K7" s="12">
        <f>K17-K8</f>
        <v>9847049</v>
      </c>
      <c r="L7" s="28">
        <f>K7/K$9</f>
        <v>0.32579643465269703</v>
      </c>
      <c r="M7" s="12">
        <f>M17-M8</f>
        <v>8375604</v>
      </c>
      <c r="N7" s="28">
        <f>M7/M$9</f>
        <v>0.35075299037762336</v>
      </c>
      <c r="O7" s="89">
        <f>3443140*12/5</f>
        <v>8263536</v>
      </c>
      <c r="P7" s="28">
        <f>O7/O$9</f>
        <v>0.30730693153786987</v>
      </c>
    </row>
    <row r="8" spans="2:19">
      <c r="B8" s="33" t="s">
        <v>82</v>
      </c>
      <c r="C8" s="19">
        <f>+C24</f>
        <v>19463197</v>
      </c>
      <c r="D8" s="28">
        <f>C8/C$9</f>
        <v>0.6688551407353126</v>
      </c>
      <c r="E8" s="19">
        <f>+E24</f>
        <v>15983790</v>
      </c>
      <c r="F8" s="28">
        <f>E8/E$9</f>
        <v>0.57104122718886474</v>
      </c>
      <c r="G8" s="19">
        <f>+G24</f>
        <v>16376676</v>
      </c>
      <c r="H8" s="28">
        <f>G8/G$9</f>
        <v>0.56357553405404659</v>
      </c>
      <c r="I8" s="19">
        <f>+I24</f>
        <v>17624878</v>
      </c>
      <c r="J8" s="28">
        <f>I8/I$9</f>
        <v>0.57589250559509986</v>
      </c>
      <c r="K8" s="19">
        <f>+K24</f>
        <v>20377496</v>
      </c>
      <c r="L8" s="28">
        <f>K8/K$9</f>
        <v>0.67420356534730297</v>
      </c>
      <c r="M8" s="19">
        <f>+M24</f>
        <v>15503320</v>
      </c>
      <c r="N8" s="28">
        <f>M8/M$9</f>
        <v>0.64924700962237658</v>
      </c>
      <c r="O8" s="90">
        <f>7761098*12/5</f>
        <v>18626635.199999999</v>
      </c>
      <c r="P8" s="28">
        <f>O8/O$9</f>
        <v>0.69269306846213008</v>
      </c>
      <c r="Q8"/>
    </row>
    <row r="9" spans="2:19" ht="15" thickBot="1">
      <c r="B9" s="77" t="s">
        <v>83</v>
      </c>
      <c r="C9" s="79">
        <f t="shared" ref="C9:L9" si="0">SUM(C7:C8)</f>
        <v>29099271</v>
      </c>
      <c r="D9" s="80">
        <f t="shared" si="0"/>
        <v>1</v>
      </c>
      <c r="E9" s="79">
        <f t="shared" si="0"/>
        <v>27990606</v>
      </c>
      <c r="F9" s="80">
        <f t="shared" si="0"/>
        <v>1</v>
      </c>
      <c r="G9" s="79">
        <f t="shared" si="0"/>
        <v>29058529</v>
      </c>
      <c r="H9" s="80">
        <f t="shared" si="0"/>
        <v>1</v>
      </c>
      <c r="I9" s="79">
        <f t="shared" si="0"/>
        <v>30604458</v>
      </c>
      <c r="J9" s="80">
        <f t="shared" si="0"/>
        <v>1</v>
      </c>
      <c r="K9" s="79">
        <f t="shared" si="0"/>
        <v>30224545</v>
      </c>
      <c r="L9" s="80">
        <f t="shared" si="0"/>
        <v>1</v>
      </c>
      <c r="M9" s="79">
        <f>SUM(M7:M8)</f>
        <v>23878924</v>
      </c>
      <c r="N9" s="80">
        <f>SUM(N7:N8)</f>
        <v>1</v>
      </c>
      <c r="O9" s="79">
        <f>SUM(O7:O8)</f>
        <v>26890171.199999999</v>
      </c>
      <c r="P9" s="80">
        <f>SUM(P7:P8)</f>
        <v>1</v>
      </c>
      <c r="Q9"/>
    </row>
    <row r="10" spans="2:19" ht="15" thickTop="1">
      <c r="B10" s="62" t="s">
        <v>77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Q10" s="75"/>
    </row>
    <row r="11" spans="2:19">
      <c r="B11" s="62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Q11" s="75"/>
      <c r="S11" s="19"/>
    </row>
    <row r="12" spans="2:19">
      <c r="B12" s="9" t="s">
        <v>84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P12" s="84"/>
      <c r="Q12"/>
    </row>
    <row r="13" spans="2:19">
      <c r="B13" s="10"/>
      <c r="C13" s="91">
        <v>2015</v>
      </c>
      <c r="D13" s="91"/>
      <c r="E13" s="91">
        <v>2016</v>
      </c>
      <c r="F13" s="91"/>
      <c r="G13" s="91">
        <v>2017</v>
      </c>
      <c r="H13" s="91"/>
      <c r="I13" s="91">
        <v>2018</v>
      </c>
      <c r="J13" s="91"/>
      <c r="K13" s="91">
        <v>2019</v>
      </c>
      <c r="L13" s="91"/>
      <c r="M13" s="91">
        <v>2020</v>
      </c>
      <c r="N13" s="91"/>
      <c r="O13" s="91" t="s">
        <v>60</v>
      </c>
      <c r="P13" s="91"/>
      <c r="Q13"/>
    </row>
    <row r="14" spans="2:19">
      <c r="B14" s="11" t="s">
        <v>85</v>
      </c>
      <c r="C14" s="13">
        <v>6269643</v>
      </c>
      <c r="D14" s="28">
        <f>C14/C$17</f>
        <v>0.21545704701674484</v>
      </c>
      <c r="E14" s="13">
        <v>5209408</v>
      </c>
      <c r="F14" s="28">
        <f>E14/E$17</f>
        <v>0.18611272653403788</v>
      </c>
      <c r="G14" s="13">
        <v>5072303</v>
      </c>
      <c r="H14" s="28">
        <f>G14/G$17</f>
        <v>0.174554706468452</v>
      </c>
      <c r="I14" s="13">
        <v>4560446</v>
      </c>
      <c r="J14" s="28">
        <f>I14/I$17</f>
        <v>0.14901247393435296</v>
      </c>
      <c r="K14" s="13">
        <v>2856578</v>
      </c>
      <c r="L14" s="28">
        <f>K14/K$17</f>
        <v>9.4511861138025399E-2</v>
      </c>
      <c r="M14" s="88">
        <v>2044534</v>
      </c>
      <c r="N14" s="28">
        <f>M14/M$17</f>
        <v>8.5620859633373764E-2</v>
      </c>
      <c r="O14" s="88">
        <f>1053410*12/5</f>
        <v>2528184</v>
      </c>
      <c r="P14" s="28">
        <f>O14/O$17</f>
        <v>9.4018888209979126E-2</v>
      </c>
    </row>
    <row r="15" spans="2:19">
      <c r="B15" s="70" t="s">
        <v>86</v>
      </c>
      <c r="C15" s="13">
        <v>18461475</v>
      </c>
      <c r="D15" s="28">
        <f>C15/C$17</f>
        <v>0.63443084192727717</v>
      </c>
      <c r="E15" s="13">
        <v>17624251</v>
      </c>
      <c r="F15" s="28">
        <f>E15/E$17</f>
        <v>0.62964878288094228</v>
      </c>
      <c r="G15" s="13">
        <v>13372743</v>
      </c>
      <c r="H15" s="28">
        <f>G15/G$17</f>
        <v>0.46020027373030481</v>
      </c>
      <c r="I15" s="13">
        <v>12506260</v>
      </c>
      <c r="J15" s="28">
        <f>I15/I$17</f>
        <v>0.40864177369192423</v>
      </c>
      <c r="K15" s="13">
        <v>12987133</v>
      </c>
      <c r="L15" s="28">
        <f>K15/K$17</f>
        <v>0.4296882881115332</v>
      </c>
      <c r="M15" s="88">
        <v>10573566</v>
      </c>
      <c r="N15" s="28">
        <f>M15/M$17</f>
        <v>0.44279909764778347</v>
      </c>
      <c r="O15" s="88">
        <f>4944310*12/5</f>
        <v>11866344</v>
      </c>
      <c r="P15" s="28">
        <f>O15/O$17</f>
        <v>0.4412892692925659</v>
      </c>
      <c r="Q15"/>
    </row>
    <row r="16" spans="2:19">
      <c r="B16" s="33" t="s">
        <v>87</v>
      </c>
      <c r="C16" s="19">
        <v>4368153</v>
      </c>
      <c r="D16" s="28">
        <f>C16/C$17</f>
        <v>0.15011211105597799</v>
      </c>
      <c r="E16" s="19">
        <v>5156947</v>
      </c>
      <c r="F16" s="28">
        <f>E16/E$17</f>
        <v>0.18423849058501984</v>
      </c>
      <c r="G16" s="19">
        <v>10613483</v>
      </c>
      <c r="H16" s="28">
        <f>G16/G$17</f>
        <v>0.36524501980124319</v>
      </c>
      <c r="I16" s="19">
        <v>13537752</v>
      </c>
      <c r="J16" s="28">
        <f>I16/I$17</f>
        <v>0.44234575237372281</v>
      </c>
      <c r="K16" s="19">
        <v>14380834</v>
      </c>
      <c r="L16" s="28">
        <f>K16/K$17</f>
        <v>0.4757998507504414</v>
      </c>
      <c r="M16" s="19">
        <v>11260824</v>
      </c>
      <c r="N16" s="28">
        <f>M16/M$17</f>
        <v>0.4715800427188428</v>
      </c>
      <c r="O16" s="19">
        <f>5206518*12/5</f>
        <v>12495643.199999999</v>
      </c>
      <c r="P16" s="28">
        <f>O16/O$17</f>
        <v>0.46469184249745499</v>
      </c>
      <c r="Q16"/>
    </row>
    <row r="17" spans="2:16" ht="15" thickBot="1">
      <c r="B17" s="77" t="s">
        <v>83</v>
      </c>
      <c r="C17" s="79">
        <f>SUM(C14:C16)</f>
        <v>29099271</v>
      </c>
      <c r="D17" s="80">
        <f>SUM(D13:D15)</f>
        <v>0.84988788894402201</v>
      </c>
      <c r="E17" s="79">
        <f>SUM(E14:E16)</f>
        <v>27990606</v>
      </c>
      <c r="F17" s="80">
        <f>SUM(F13:F15)</f>
        <v>0.81576150941498016</v>
      </c>
      <c r="G17" s="79">
        <f>SUM(G14:G16)</f>
        <v>29058529</v>
      </c>
      <c r="H17" s="80">
        <f t="shared" ref="H17:N17" si="1">SUM(H13:H15)</f>
        <v>0.63475498019875687</v>
      </c>
      <c r="I17" s="79">
        <f>SUM(I14:I16)</f>
        <v>30604458</v>
      </c>
      <c r="J17" s="80">
        <f t="shared" si="1"/>
        <v>0.55765424762627713</v>
      </c>
      <c r="K17" s="79">
        <f>SUM(K14:K16)</f>
        <v>30224545</v>
      </c>
      <c r="L17" s="80">
        <f t="shared" si="1"/>
        <v>0.5242001492495586</v>
      </c>
      <c r="M17" s="79">
        <f>SUM(M14:M16)</f>
        <v>23878924</v>
      </c>
      <c r="N17" s="80">
        <f t="shared" si="1"/>
        <v>0.5284199572811572</v>
      </c>
      <c r="O17" s="79">
        <f>SUM(O14:O16)</f>
        <v>26890171.199999999</v>
      </c>
      <c r="P17" s="80">
        <f t="shared" ref="P17" si="2">SUM(P13:P15)</f>
        <v>0.53530815750254501</v>
      </c>
    </row>
    <row r="18" spans="2:16" ht="15" thickTop="1">
      <c r="B18" s="62" t="s">
        <v>77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6">
      <c r="B19" s="6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6">
      <c r="B20" s="9" t="s">
        <v>88</v>
      </c>
      <c r="P20" s="83"/>
    </row>
    <row r="21" spans="2:16">
      <c r="B21" s="10"/>
      <c r="C21" s="91">
        <v>2015</v>
      </c>
      <c r="D21" s="91"/>
      <c r="E21" s="91">
        <v>2016</v>
      </c>
      <c r="F21" s="91"/>
      <c r="G21" s="91">
        <v>2017</v>
      </c>
      <c r="H21" s="91"/>
      <c r="I21" s="91">
        <v>2018</v>
      </c>
      <c r="J21" s="91"/>
      <c r="K21" s="91">
        <v>2019</v>
      </c>
      <c r="L21" s="91"/>
      <c r="M21" s="91">
        <v>2020</v>
      </c>
      <c r="N21" s="91"/>
      <c r="O21" s="91" t="s">
        <v>60</v>
      </c>
      <c r="P21" s="91"/>
    </row>
    <row r="22" spans="2:16">
      <c r="B22" s="11" t="s">
        <v>93</v>
      </c>
      <c r="C22" s="12">
        <v>5226407</v>
      </c>
      <c r="D22" s="28">
        <f>C22/C$24</f>
        <v>0.26852767302309072</v>
      </c>
      <c r="E22" s="12">
        <v>2337957</v>
      </c>
      <c r="F22" s="28">
        <f>E22/E$24</f>
        <v>0.14627050280315243</v>
      </c>
      <c r="G22" s="12">
        <v>3562403</v>
      </c>
      <c r="H22" s="28">
        <f>G22/G$24</f>
        <v>0.21752906389550603</v>
      </c>
      <c r="I22" s="12">
        <v>1564574</v>
      </c>
      <c r="J22" s="28">
        <f>I22/I$24</f>
        <v>8.8770770498383028E-2</v>
      </c>
      <c r="K22" s="12">
        <v>9139105</v>
      </c>
      <c r="L22" s="28">
        <f>K22/K$24</f>
        <v>0.44849008926317541</v>
      </c>
      <c r="M22" s="89">
        <v>4776412</v>
      </c>
      <c r="N22" s="28">
        <f>M22/M$24</f>
        <v>0.30808962209384827</v>
      </c>
      <c r="O22" s="89">
        <f>5672759*12/5</f>
        <v>13614621.6</v>
      </c>
      <c r="P22" s="28">
        <f>O22/O$24</f>
        <v>0.73092222260303896</v>
      </c>
    </row>
    <row r="23" spans="2:16" customFormat="1">
      <c r="B23" s="11" t="s">
        <v>89</v>
      </c>
      <c r="C23" s="12">
        <v>14236790</v>
      </c>
      <c r="D23" s="28">
        <f>C23/C$24</f>
        <v>0.73147232697690934</v>
      </c>
      <c r="E23" s="12">
        <v>13645833</v>
      </c>
      <c r="F23" s="28">
        <f>E23/E$24</f>
        <v>0.85372949719684754</v>
      </c>
      <c r="G23" s="12">
        <v>12814273</v>
      </c>
      <c r="H23" s="28">
        <f>G23/G$24</f>
        <v>0.78247093610449403</v>
      </c>
      <c r="I23" s="12">
        <v>16060304</v>
      </c>
      <c r="J23" s="28">
        <f>I23/I$24</f>
        <v>0.911229229501617</v>
      </c>
      <c r="K23" s="12">
        <v>11238391</v>
      </c>
      <c r="L23" s="28">
        <f>K23/K$24</f>
        <v>0.55150991073682454</v>
      </c>
      <c r="M23" s="89">
        <v>10726908</v>
      </c>
      <c r="N23" s="28">
        <f>M23/M$24</f>
        <v>0.69191037790615173</v>
      </c>
      <c r="O23" s="89">
        <f>2088339*12/5</f>
        <v>5012013.5999999996</v>
      </c>
      <c r="P23" s="28">
        <f>O23/O$24</f>
        <v>0.26907777739696109</v>
      </c>
    </row>
    <row r="24" spans="2:16" customFormat="1" ht="15" thickBot="1">
      <c r="B24" s="77" t="s">
        <v>83</v>
      </c>
      <c r="C24" s="79">
        <f t="shared" ref="C24:P24" si="3">SUM(C22:C23)</f>
        <v>19463197</v>
      </c>
      <c r="D24" s="80">
        <f t="shared" si="3"/>
        <v>1</v>
      </c>
      <c r="E24" s="79">
        <f t="shared" si="3"/>
        <v>15983790</v>
      </c>
      <c r="F24" s="80">
        <f t="shared" si="3"/>
        <v>1</v>
      </c>
      <c r="G24" s="79">
        <f t="shared" si="3"/>
        <v>16376676</v>
      </c>
      <c r="H24" s="80">
        <f t="shared" si="3"/>
        <v>1</v>
      </c>
      <c r="I24" s="79">
        <f t="shared" si="3"/>
        <v>17624878</v>
      </c>
      <c r="J24" s="80">
        <f t="shared" si="3"/>
        <v>1</v>
      </c>
      <c r="K24" s="79">
        <f t="shared" si="3"/>
        <v>20377496</v>
      </c>
      <c r="L24" s="80">
        <f t="shared" si="3"/>
        <v>1</v>
      </c>
      <c r="M24" s="79">
        <f t="shared" si="3"/>
        <v>15503320</v>
      </c>
      <c r="N24" s="80">
        <f t="shared" si="3"/>
        <v>1</v>
      </c>
      <c r="O24" s="79">
        <f t="shared" si="3"/>
        <v>18626635.199999999</v>
      </c>
      <c r="P24" s="80">
        <f t="shared" si="3"/>
        <v>1</v>
      </c>
    </row>
    <row r="25" spans="2:16" ht="18" customHeight="1" thickTop="1">
      <c r="B25" s="62" t="s">
        <v>77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6" ht="7.5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2:16">
      <c r="B27" s="34"/>
      <c r="C27" s="19"/>
      <c r="E27" s="19"/>
      <c r="G27" s="19"/>
      <c r="I27" s="19"/>
      <c r="K27" s="19"/>
    </row>
    <row r="28" spans="2:16">
      <c r="B28" s="34"/>
      <c r="C28" s="19"/>
      <c r="E28" s="19"/>
      <c r="G28" s="19"/>
      <c r="I28" s="19"/>
      <c r="K28" s="19"/>
    </row>
    <row r="29" spans="2:16">
      <c r="B29" s="34"/>
      <c r="C29" s="19"/>
      <c r="E29" s="19"/>
      <c r="G29" s="19"/>
      <c r="I29" s="19"/>
      <c r="K29" s="19"/>
    </row>
    <row r="30" spans="2:16">
      <c r="B30" s="40"/>
      <c r="C30" s="21"/>
      <c r="D30" s="21"/>
      <c r="E30" s="21"/>
      <c r="F30" s="21"/>
      <c r="G30" s="21"/>
      <c r="H30" s="21"/>
      <c r="I30" s="21"/>
      <c r="J30" s="27" t="s">
        <v>43</v>
      </c>
      <c r="K30" s="31"/>
      <c r="L30" s="27"/>
      <c r="M30" s="27"/>
    </row>
    <row r="31" spans="2:16" customFormat="1">
      <c r="B31" s="46" t="s">
        <v>92</v>
      </c>
      <c r="C31" s="44"/>
      <c r="D31" s="44"/>
      <c r="E31" s="44"/>
      <c r="F31" s="44"/>
      <c r="G31" s="44"/>
      <c r="H31" s="44"/>
      <c r="I31" s="44"/>
      <c r="J31" s="45"/>
      <c r="K31" s="31"/>
      <c r="L31" s="45"/>
      <c r="M31" s="45"/>
    </row>
    <row r="32" spans="2:16" customFormat="1">
      <c r="B32" s="10"/>
      <c r="C32" s="91">
        <v>2015</v>
      </c>
      <c r="D32" s="91"/>
      <c r="E32" s="91">
        <v>2016</v>
      </c>
      <c r="F32" s="91"/>
      <c r="G32" s="91">
        <v>2017</v>
      </c>
      <c r="H32" s="91"/>
      <c r="I32" s="91">
        <v>2018</v>
      </c>
      <c r="J32" s="91"/>
      <c r="K32" s="91">
        <v>2019</v>
      </c>
      <c r="L32" s="91"/>
      <c r="M32" s="91">
        <v>2020</v>
      </c>
      <c r="N32" s="91"/>
      <c r="O32" s="91">
        <v>2021</v>
      </c>
      <c r="P32" s="91"/>
    </row>
    <row r="33" spans="2:16" customFormat="1">
      <c r="B33" s="70" t="s">
        <v>90</v>
      </c>
      <c r="C33" s="13">
        <f>+C7</f>
        <v>9636074</v>
      </c>
      <c r="D33" s="71">
        <f>+C33/C$35</f>
        <v>0.3311448592646874</v>
      </c>
      <c r="E33" s="13">
        <f>+E7</f>
        <v>12006816</v>
      </c>
      <c r="F33" s="71">
        <f>+E33/E$35</f>
        <v>0.42895877281113526</v>
      </c>
      <c r="G33" s="13">
        <f>+G7</f>
        <v>12681853</v>
      </c>
      <c r="H33" s="71">
        <f>+G33/G$35</f>
        <v>0.43642446594595341</v>
      </c>
      <c r="I33" s="13">
        <f>+I7</f>
        <v>12979580</v>
      </c>
      <c r="J33" s="71">
        <f>+I33/I$35</f>
        <v>0.42410749440490009</v>
      </c>
      <c r="K33" s="13">
        <f>+K7</f>
        <v>9847049</v>
      </c>
      <c r="L33" s="71">
        <f>+K33/K$35</f>
        <v>0.32579643465269703</v>
      </c>
      <c r="M33" s="13">
        <f>+M7</f>
        <v>8375604</v>
      </c>
      <c r="N33" s="71">
        <f>+M33/M$35</f>
        <v>0.35075299037762336</v>
      </c>
      <c r="O33" s="13">
        <f>+O7</f>
        <v>8263536</v>
      </c>
      <c r="P33" s="71">
        <f>+O33/O$35</f>
        <v>0.30730693153786987</v>
      </c>
    </row>
    <row r="34" spans="2:16" customFormat="1">
      <c r="B34" s="5" t="s">
        <v>91</v>
      </c>
      <c r="C34" s="4">
        <f>+C8</f>
        <v>19463197</v>
      </c>
      <c r="D34" s="1">
        <f>+C34/C$35</f>
        <v>0.6688551407353126</v>
      </c>
      <c r="E34" s="4">
        <f>+E8</f>
        <v>15983790</v>
      </c>
      <c r="F34" s="1">
        <f>+E34/E$35</f>
        <v>0.57104122718886474</v>
      </c>
      <c r="G34" s="4">
        <f>+G8</f>
        <v>16376676</v>
      </c>
      <c r="H34" s="1">
        <f>+G34/G$35</f>
        <v>0.56357553405404659</v>
      </c>
      <c r="I34" s="4">
        <f>+I8</f>
        <v>17624878</v>
      </c>
      <c r="J34" s="1">
        <f>+I34/I$35</f>
        <v>0.57589250559509986</v>
      </c>
      <c r="K34" s="4">
        <f>+K8</f>
        <v>20377496</v>
      </c>
      <c r="L34" s="1">
        <f>+K34/K$35</f>
        <v>0.67420356534730297</v>
      </c>
      <c r="M34" s="4">
        <f>+M8</f>
        <v>15503320</v>
      </c>
      <c r="N34" s="1">
        <f>+M34/M$35</f>
        <v>0.64924700962237658</v>
      </c>
      <c r="O34" s="4">
        <f>+O8</f>
        <v>18626635.199999999</v>
      </c>
      <c r="P34" s="1">
        <f>+O34/O$35</f>
        <v>0.69269306846213008</v>
      </c>
    </row>
    <row r="35" spans="2:16" customFormat="1" ht="15" thickBot="1">
      <c r="B35" s="14" t="s">
        <v>51</v>
      </c>
      <c r="C35" s="15">
        <f>+SUM(C33:C34)</f>
        <v>29099271</v>
      </c>
      <c r="D35" s="29">
        <f t="shared" ref="D35:L35" si="4">+SUM(D33:D34)</f>
        <v>1</v>
      </c>
      <c r="E35" s="15">
        <f>+SUM(E33:E34)</f>
        <v>27990606</v>
      </c>
      <c r="F35" s="29">
        <f t="shared" si="4"/>
        <v>1</v>
      </c>
      <c r="G35" s="15">
        <f>+SUM(G33:G34)</f>
        <v>29058529</v>
      </c>
      <c r="H35" s="29">
        <f t="shared" si="4"/>
        <v>1</v>
      </c>
      <c r="I35" s="15">
        <f>+SUM(I33:I34)</f>
        <v>30604458</v>
      </c>
      <c r="J35" s="29">
        <f t="shared" si="4"/>
        <v>1</v>
      </c>
      <c r="K35" s="15">
        <f>+SUM(K33:K34)</f>
        <v>30224545</v>
      </c>
      <c r="L35" s="29">
        <f t="shared" si="4"/>
        <v>1</v>
      </c>
      <c r="M35" s="15">
        <f>+SUM(M33:M34)</f>
        <v>23878924</v>
      </c>
      <c r="N35" s="29">
        <f>+SUM(N33:N34)</f>
        <v>1</v>
      </c>
      <c r="O35" s="15">
        <f>+SUM(O33:O34)</f>
        <v>26890171.199999999</v>
      </c>
      <c r="P35" s="29">
        <f>+SUM(P33:P34)</f>
        <v>1</v>
      </c>
    </row>
    <row r="36" spans="2:16" customFormat="1" ht="15" thickTop="1">
      <c r="B36" s="47" t="s">
        <v>48</v>
      </c>
      <c r="C36" s="39"/>
      <c r="D36" s="48"/>
      <c r="E36" s="57">
        <f>+(E35-C35)/C35</f>
        <v>-3.8099408057335866E-2</v>
      </c>
      <c r="F36" s="48"/>
      <c r="G36" s="57">
        <f>+(G35-E35)/E35</f>
        <v>3.8152907443304372E-2</v>
      </c>
      <c r="H36" s="48"/>
      <c r="I36" s="57">
        <f>+(I35-G35)/G35</f>
        <v>5.3200525050665845E-2</v>
      </c>
      <c r="J36" s="48"/>
      <c r="K36" s="57">
        <f>+(K35-I35)/I35</f>
        <v>-1.2413649018061355E-2</v>
      </c>
      <c r="L36" s="48"/>
      <c r="M36" s="57">
        <f>+(M35-K35)/K35</f>
        <v>-0.20994926474492834</v>
      </c>
      <c r="N36" s="48"/>
      <c r="O36" s="57">
        <f>+(O35-M35)/M35</f>
        <v>0.12610481108780275</v>
      </c>
    </row>
    <row r="37" spans="2:16" customFormat="1">
      <c r="B37" s="62" t="s">
        <v>77</v>
      </c>
      <c r="C37" s="25"/>
      <c r="D37" s="49"/>
      <c r="E37" s="25"/>
      <c r="F37" s="49"/>
      <c r="G37" s="25"/>
      <c r="H37" s="49"/>
      <c r="I37" s="25"/>
      <c r="J37" s="49"/>
      <c r="K37" s="25"/>
      <c r="L37" s="49"/>
      <c r="M37" s="25"/>
      <c r="N37" s="49"/>
    </row>
    <row r="38" spans="2:16" customFormat="1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</row>
    <row r="39" spans="2:16" customFormat="1">
      <c r="B39" s="51"/>
      <c r="C39" s="25"/>
      <c r="D39" s="25"/>
      <c r="E39" s="25"/>
      <c r="F39" s="25"/>
      <c r="G39" s="25"/>
      <c r="H39" s="25"/>
      <c r="I39" s="25"/>
      <c r="J39" s="56"/>
      <c r="K39" s="56"/>
    </row>
    <row r="40" spans="2:16" customFormat="1">
      <c r="B40" s="43"/>
      <c r="C40" s="25"/>
      <c r="D40" s="25"/>
      <c r="E40" s="25"/>
      <c r="F40" s="25"/>
      <c r="G40" s="25"/>
      <c r="H40" s="25"/>
      <c r="I40" s="25"/>
      <c r="J40" s="45"/>
      <c r="K40" s="31"/>
    </row>
    <row r="41" spans="2:16" customFormat="1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</row>
    <row r="42" spans="2:16" customFormat="1">
      <c r="B42" s="46"/>
    </row>
    <row r="43" spans="2:16" s="44" customFormat="1">
      <c r="B43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2:16" s="44" customFormat="1">
      <c r="B44" s="47"/>
      <c r="C44" s="39"/>
      <c r="D44" s="48"/>
      <c r="E44" s="39"/>
      <c r="F44" s="48"/>
      <c r="G44" s="39"/>
      <c r="H44" s="48"/>
      <c r="I44" s="39"/>
      <c r="J44" s="48"/>
      <c r="K44" s="39"/>
      <c r="L44" s="48"/>
      <c r="M44" s="48"/>
    </row>
    <row r="45" spans="2:16" s="44" customFormat="1">
      <c r="B45" s="47"/>
      <c r="C45" s="39"/>
      <c r="D45" s="48"/>
      <c r="E45" s="39"/>
      <c r="F45" s="48"/>
      <c r="G45" s="39"/>
      <c r="H45" s="48"/>
      <c r="I45" s="39"/>
      <c r="J45" s="48"/>
      <c r="K45" s="39"/>
      <c r="L45" s="48"/>
      <c r="M45" s="48"/>
    </row>
    <row r="46" spans="2:16" customFormat="1">
      <c r="B46" s="24"/>
      <c r="C46" s="25"/>
      <c r="D46" s="49"/>
      <c r="E46" s="25"/>
      <c r="F46" s="49"/>
      <c r="G46" s="25"/>
      <c r="H46" s="49"/>
      <c r="I46" s="25"/>
      <c r="J46" s="49"/>
      <c r="K46" s="25"/>
      <c r="L46" s="49"/>
      <c r="M46" s="49"/>
    </row>
    <row r="47" spans="2:16" customFormat="1">
      <c r="B47" s="46"/>
    </row>
    <row r="48" spans="2:16" customFormat="1">
      <c r="C48" s="52"/>
      <c r="D48" s="52"/>
      <c r="E48" s="52"/>
      <c r="F48" s="52"/>
      <c r="G48" s="52"/>
      <c r="H48" s="52"/>
      <c r="I48" s="52"/>
      <c r="J48" s="52"/>
      <c r="K48" s="53"/>
      <c r="L48" s="53"/>
      <c r="M48" s="53"/>
    </row>
    <row r="49" spans="2:13" customFormat="1"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spans="2:13" customFormat="1"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spans="2:13" customFormat="1"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spans="2:13" customFormat="1"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spans="2:13" customFormat="1">
      <c r="C53" s="48"/>
      <c r="D53" s="48"/>
      <c r="E53" s="48"/>
      <c r="F53" s="48"/>
      <c r="G53" s="48"/>
      <c r="H53" s="48"/>
    </row>
    <row r="54" spans="2:13" customFormat="1">
      <c r="B54" s="46"/>
      <c r="C54" s="48"/>
      <c r="D54" s="48"/>
      <c r="E54" s="48"/>
      <c r="F54" s="48"/>
      <c r="G54" s="48"/>
      <c r="H54" s="48"/>
    </row>
    <row r="55" spans="2:13" customFormat="1">
      <c r="C55" s="52"/>
      <c r="D55" s="52"/>
      <c r="E55" s="52"/>
      <c r="F55" s="52"/>
      <c r="G55" s="52"/>
      <c r="H55" s="52"/>
      <c r="I55" s="52"/>
      <c r="J55" s="52"/>
      <c r="K55" s="53"/>
      <c r="L55" s="53"/>
      <c r="M55" s="53"/>
    </row>
    <row r="56" spans="2:13" customFormat="1"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spans="2:13" customFormat="1"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spans="2:13" customFormat="1"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spans="2:13" customFormat="1"/>
    <row r="60" spans="2:13" customFormat="1">
      <c r="B60" s="46"/>
    </row>
    <row r="61" spans="2:13" customFormat="1">
      <c r="C61" s="52"/>
      <c r="D61" s="52"/>
      <c r="E61" s="52"/>
      <c r="F61" s="52"/>
      <c r="G61" s="52"/>
      <c r="H61" s="52"/>
      <c r="I61" s="52"/>
      <c r="J61" s="52"/>
      <c r="K61" s="53"/>
      <c r="L61" s="53"/>
      <c r="M61" s="53"/>
    </row>
    <row r="62" spans="2:13" customFormat="1"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spans="2:13" customFormat="1"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spans="2:13" customFormat="1"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</row>
    <row r="65" spans="2:13" customFormat="1"/>
    <row r="66" spans="2:13" customFormat="1">
      <c r="B66" s="51"/>
    </row>
    <row r="67" spans="2:13" customFormat="1">
      <c r="B67" s="51"/>
      <c r="J67" s="56"/>
      <c r="K67" s="56"/>
      <c r="L67" s="55"/>
      <c r="M67" s="55"/>
    </row>
    <row r="68" spans="2:13" customFormat="1">
      <c r="B68" s="43"/>
      <c r="J68" s="45"/>
      <c r="K68" s="31"/>
      <c r="L68" s="45"/>
      <c r="M68" s="45"/>
    </row>
    <row r="69" spans="2:13" customFormat="1"/>
  </sheetData>
  <sheetProtection algorithmName="SHA-512" hashValue="i/Rn9ch7oY4CBd8Kw7nWIjcXqX+VH3PfawxHcXl8gpRXFp4AlrA9gIr1zzxAOQlYX7tIeE5ZmMhTMy3L84fCpw==" saltValue="IKR+/oaLhZkYUq23p9u6Hg==" spinCount="100000" sheet="1" objects="1" scenarios="1" selectLockedCells="1"/>
  <mergeCells count="28">
    <mergeCell ref="O32:P32"/>
    <mergeCell ref="C32:D32"/>
    <mergeCell ref="E32:F32"/>
    <mergeCell ref="G32:H32"/>
    <mergeCell ref="I32:J32"/>
    <mergeCell ref="K32:L32"/>
    <mergeCell ref="M32:N32"/>
    <mergeCell ref="O21:P21"/>
    <mergeCell ref="C21:D21"/>
    <mergeCell ref="E21:F21"/>
    <mergeCell ref="G21:H21"/>
    <mergeCell ref="I21:J21"/>
    <mergeCell ref="K21:L21"/>
    <mergeCell ref="M21:N21"/>
    <mergeCell ref="O6:P6"/>
    <mergeCell ref="C13:D13"/>
    <mergeCell ref="E13:F13"/>
    <mergeCell ref="G13:H13"/>
    <mergeCell ref="I13:J13"/>
    <mergeCell ref="K13:L13"/>
    <mergeCell ref="M13:N13"/>
    <mergeCell ref="O13:P13"/>
    <mergeCell ref="C6:D6"/>
    <mergeCell ref="E6:F6"/>
    <mergeCell ref="G6:H6"/>
    <mergeCell ref="I6:J6"/>
    <mergeCell ref="K6:L6"/>
    <mergeCell ref="M6:N6"/>
  </mergeCells>
  <pageMargins left="0.55118110236220474" right="0.70866141732283472" top="0.74803149606299213" bottom="0.74803149606299213" header="0.31496062992125984" footer="0.31496062992125984"/>
  <pageSetup paperSize="9" orientation="landscape" r:id="rId1"/>
  <rowBreaks count="1" manualBreakCount="1"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Fuel Oil</vt:lpstr>
      <vt:lpstr>Fuel Oil 2016-2021</vt:lpstr>
      <vt:lpstr>Diesel Oil</vt:lpstr>
      <vt:lpstr>LA LIB</vt:lpstr>
      <vt:lpstr>Gasolines</vt:lpstr>
      <vt:lpstr>'Diesel Oil'!Print_Area</vt:lpstr>
      <vt:lpstr>'Fuel Oil'!Print_Area</vt:lpstr>
      <vt:lpstr>'Fuel Oil 2016-2021'!Print_Area</vt:lpstr>
      <vt:lpstr>Gasolines!Print_Area</vt:lpstr>
      <vt:lpstr>'LA LIB'!Print_Area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aandrade</dc:creator>
  <cp:lastModifiedBy>Daniela Chipe</cp:lastModifiedBy>
  <cp:lastPrinted>2021-02-02T18:15:48Z</cp:lastPrinted>
  <dcterms:created xsi:type="dcterms:W3CDTF">2019-06-12T17:41:53Z</dcterms:created>
  <dcterms:modified xsi:type="dcterms:W3CDTF">2024-05-20T18:03:35Z</dcterms:modified>
</cp:coreProperties>
</file>