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Nowacka\Desktop\maria\fiz ukl zlozonych\"/>
    </mc:Choice>
  </mc:AlternateContent>
  <xr:revisionPtr revIDLastSave="0" documentId="13_ncr:1_{E338C211-3AC1-4A52-B24B-976E8D5BFEF9}" xr6:coauthVersionLast="47" xr6:coauthVersionMax="47" xr10:uidLastSave="{00000000-0000-0000-0000-000000000000}"/>
  <bookViews>
    <workbookView xWindow="-120" yWindow="-120" windowWidth="20730" windowHeight="11760" xr2:uid="{C1815081-9881-42B1-ADC9-A775B9854252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L2" i="1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R15" i="1"/>
  <c r="R14" i="1"/>
  <c r="R5" i="1"/>
  <c r="R6" i="1"/>
  <c r="R12" i="1"/>
  <c r="P2" i="1"/>
  <c r="R9" i="1"/>
  <c r="AF41" i="1" a="1"/>
  <c r="AF41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Q9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2" i="1"/>
  <c r="X19" i="1"/>
  <c r="X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2" i="1"/>
  <c r="AG42" i="1" l="1"/>
  <c r="AF42" i="1"/>
  <c r="AG43" i="1"/>
  <c r="AG41" i="1"/>
  <c r="AF4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R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I2" i="1" l="1"/>
  <c r="G2" i="1"/>
  <c r="I35" i="1"/>
  <c r="N35" i="1" s="1"/>
  <c r="G35" i="1"/>
  <c r="M35" i="1" s="1"/>
  <c r="I31" i="1"/>
  <c r="G31" i="1"/>
  <c r="M31" i="1" s="1"/>
  <c r="I27" i="1"/>
  <c r="N27" i="1" s="1"/>
  <c r="G27" i="1"/>
  <c r="M27" i="1" s="1"/>
  <c r="I23" i="1"/>
  <c r="G23" i="1"/>
  <c r="M23" i="1" s="1"/>
  <c r="I19" i="1"/>
  <c r="N19" i="1" s="1"/>
  <c r="G19" i="1"/>
  <c r="M19" i="1" s="1"/>
  <c r="I15" i="1"/>
  <c r="G15" i="1"/>
  <c r="M15" i="1" s="1"/>
  <c r="I11" i="1"/>
  <c r="G11" i="1"/>
  <c r="I7" i="1"/>
  <c r="G7" i="1"/>
  <c r="M7" i="1" s="1"/>
  <c r="I3" i="1"/>
  <c r="N3" i="1" s="1"/>
  <c r="G3" i="1"/>
  <c r="M3" i="1" s="1"/>
  <c r="J37" i="1"/>
  <c r="K37" i="1"/>
  <c r="J33" i="1"/>
  <c r="K33" i="1"/>
  <c r="J29" i="1"/>
  <c r="K29" i="1"/>
  <c r="J25" i="1"/>
  <c r="K25" i="1"/>
  <c r="J21" i="1"/>
  <c r="K21" i="1"/>
  <c r="J17" i="1"/>
  <c r="K17" i="1"/>
  <c r="J13" i="1"/>
  <c r="K13" i="1"/>
  <c r="J9" i="1"/>
  <c r="K9" i="1"/>
  <c r="J5" i="1"/>
  <c r="K5" i="1"/>
  <c r="G38" i="1"/>
  <c r="M38" i="1" s="1"/>
  <c r="I38" i="1"/>
  <c r="G34" i="1"/>
  <c r="M34" i="1" s="1"/>
  <c r="I34" i="1"/>
  <c r="N34" i="1" s="1"/>
  <c r="G30" i="1"/>
  <c r="M30" i="1" s="1"/>
  <c r="I30" i="1"/>
  <c r="G26" i="1"/>
  <c r="M26" i="1" s="1"/>
  <c r="I26" i="1"/>
  <c r="N26" i="1" s="1"/>
  <c r="G22" i="1"/>
  <c r="M22" i="1" s="1"/>
  <c r="I22" i="1"/>
  <c r="G18" i="1"/>
  <c r="M18" i="1" s="1"/>
  <c r="I18" i="1"/>
  <c r="N18" i="1" s="1"/>
  <c r="G14" i="1"/>
  <c r="M14" i="1" s="1"/>
  <c r="I14" i="1"/>
  <c r="G10" i="1"/>
  <c r="M10" i="1" s="1"/>
  <c r="I10" i="1"/>
  <c r="N10" i="1" s="1"/>
  <c r="G6" i="1"/>
  <c r="M6" i="1" s="1"/>
  <c r="I6" i="1"/>
  <c r="K36" i="1"/>
  <c r="J36" i="1"/>
  <c r="K32" i="1"/>
  <c r="J32" i="1"/>
  <c r="K28" i="1"/>
  <c r="J28" i="1"/>
  <c r="K24" i="1"/>
  <c r="J24" i="1"/>
  <c r="K20" i="1"/>
  <c r="J20" i="1"/>
  <c r="K16" i="1"/>
  <c r="J16" i="1"/>
  <c r="K12" i="1"/>
  <c r="J12" i="1"/>
  <c r="K8" i="1"/>
  <c r="J8" i="1"/>
  <c r="K4" i="1"/>
  <c r="J4" i="1"/>
  <c r="G37" i="1"/>
  <c r="I37" i="1"/>
  <c r="I33" i="1"/>
  <c r="G33" i="1"/>
  <c r="G29" i="1"/>
  <c r="I29" i="1"/>
  <c r="I25" i="1"/>
  <c r="G25" i="1"/>
  <c r="I21" i="1"/>
  <c r="G21" i="1"/>
  <c r="G17" i="1"/>
  <c r="I17" i="1"/>
  <c r="I13" i="1"/>
  <c r="G13" i="1"/>
  <c r="G9" i="1"/>
  <c r="I9" i="1"/>
  <c r="I5" i="1"/>
  <c r="G5" i="1"/>
  <c r="J35" i="1"/>
  <c r="K35" i="1"/>
  <c r="J31" i="1"/>
  <c r="K31" i="1"/>
  <c r="J27" i="1"/>
  <c r="K27" i="1"/>
  <c r="J23" i="1"/>
  <c r="K23" i="1"/>
  <c r="J19" i="1"/>
  <c r="K19" i="1"/>
  <c r="J15" i="1"/>
  <c r="K15" i="1"/>
  <c r="J11" i="1"/>
  <c r="K11" i="1"/>
  <c r="J7" i="1"/>
  <c r="K7" i="1"/>
  <c r="J3" i="1"/>
  <c r="K3" i="1"/>
  <c r="G36" i="1"/>
  <c r="M36" i="1" s="1"/>
  <c r="I36" i="1"/>
  <c r="G32" i="1"/>
  <c r="M32" i="1" s="1"/>
  <c r="I32" i="1"/>
  <c r="N32" i="1" s="1"/>
  <c r="G28" i="1"/>
  <c r="M28" i="1" s="1"/>
  <c r="I28" i="1"/>
  <c r="G24" i="1"/>
  <c r="M24" i="1" s="1"/>
  <c r="I24" i="1"/>
  <c r="N24" i="1" s="1"/>
  <c r="G20" i="1"/>
  <c r="M20" i="1" s="1"/>
  <c r="I20" i="1"/>
  <c r="G16" i="1"/>
  <c r="M16" i="1" s="1"/>
  <c r="I16" i="1"/>
  <c r="N16" i="1" s="1"/>
  <c r="G12" i="1"/>
  <c r="M12" i="1" s="1"/>
  <c r="I12" i="1"/>
  <c r="G8" i="1"/>
  <c r="M8" i="1" s="1"/>
  <c r="I8" i="1"/>
  <c r="N8" i="1" s="1"/>
  <c r="G4" i="1"/>
  <c r="M4" i="1" s="1"/>
  <c r="I4" i="1"/>
  <c r="K38" i="1"/>
  <c r="J38" i="1"/>
  <c r="K34" i="1"/>
  <c r="J34" i="1"/>
  <c r="K30" i="1"/>
  <c r="J30" i="1"/>
  <c r="K26" i="1"/>
  <c r="J26" i="1"/>
  <c r="K22" i="1"/>
  <c r="J22" i="1"/>
  <c r="K18" i="1"/>
  <c r="J18" i="1"/>
  <c r="K14" i="1"/>
  <c r="J14" i="1"/>
  <c r="K10" i="1"/>
  <c r="J10" i="1"/>
  <c r="K6" i="1"/>
  <c r="J6" i="1"/>
  <c r="N25" i="1" l="1"/>
  <c r="M25" i="1"/>
  <c r="M33" i="1"/>
  <c r="N33" i="1"/>
  <c r="M2" i="1"/>
  <c r="N2" i="1"/>
  <c r="Z8" i="1" a="1"/>
  <c r="N9" i="1"/>
  <c r="M9" i="1"/>
  <c r="M17" i="1"/>
  <c r="N17" i="1"/>
  <c r="N7" i="1"/>
  <c r="N15" i="1"/>
  <c r="N23" i="1"/>
  <c r="N31" i="1"/>
  <c r="N4" i="1"/>
  <c r="N12" i="1"/>
  <c r="N20" i="1"/>
  <c r="N28" i="1"/>
  <c r="N36" i="1"/>
  <c r="M5" i="1"/>
  <c r="N5" i="1"/>
  <c r="M13" i="1"/>
  <c r="N13" i="1"/>
  <c r="M21" i="1"/>
  <c r="N21" i="1"/>
  <c r="N6" i="1"/>
  <c r="N14" i="1"/>
  <c r="N22" i="1"/>
  <c r="N30" i="1"/>
  <c r="N38" i="1"/>
  <c r="N11" i="1"/>
  <c r="G41" i="1"/>
  <c r="M11" i="1"/>
  <c r="Q12" i="1"/>
  <c r="M29" i="1"/>
  <c r="N29" i="1"/>
  <c r="M37" i="1"/>
  <c r="N37" i="1"/>
  <c r="Z8" i="1" l="1"/>
  <c r="O2" i="1" l="1"/>
  <c r="AA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<sst xmlns="http://schemas.openxmlformats.org/spreadsheetml/2006/main" count="49" uniqueCount="37">
  <si>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alfa [*]</t>
  </si>
  <si>
    <t>alfa_0 = 87*</t>
  </si>
  <si>
    <t>kąty w radianach!</t>
  </si>
  <si>
    <t>B0sin(alfa- alfa_0)</t>
  </si>
  <si>
    <t>jednostki!!!</t>
  </si>
  <si>
    <t>alfa [rad]</t>
  </si>
  <si>
    <t>S_N</t>
  </si>
  <si>
    <t>delta U/delta alfa</t>
  </si>
  <si>
    <t>[v/stopnie]</t>
  </si>
  <si>
    <t xml:space="preserve">S_N  </t>
  </si>
  <si>
    <t>rad</t>
  </si>
  <si>
    <t>v/rad</t>
  </si>
  <si>
    <t>u(alfa)</t>
  </si>
  <si>
    <t>u(Bn)</t>
  </si>
  <si>
    <t>U_H [mV]</t>
  </si>
  <si>
    <t>B_N na podst rad</t>
  </si>
  <si>
    <t>u(U) [V]</t>
  </si>
  <si>
    <t>Bn stopnie</t>
  </si>
  <si>
    <t>gamma = u/(IsBn)</t>
  </si>
  <si>
    <t>uc(S_n)</t>
  </si>
  <si>
    <t>S_n [rad]</t>
  </si>
  <si>
    <t>Sn [st]</t>
  </si>
  <si>
    <t>gamma</t>
  </si>
  <si>
    <t>u_c(gamma)</t>
  </si>
  <si>
    <t>U_H [V]</t>
  </si>
  <si>
    <t>I_S</t>
  </si>
  <si>
    <t>A</t>
  </si>
  <si>
    <t>mA</t>
  </si>
  <si>
    <t>u(I_S)</t>
  </si>
  <si>
    <t>gamma_i</t>
  </si>
  <si>
    <t>u_c(gamma_i)</t>
  </si>
  <si>
    <t>n</t>
  </si>
  <si>
    <t>u_c(n)</t>
  </si>
  <si>
    <t>u(U_H) [V]</t>
  </si>
  <si>
    <t>2 część gamma</t>
  </si>
  <si>
    <t xml:space="preserve">ost gamma 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</si>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</sst>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napięcia Halla od kąta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Arkusz1!$D$2:$D$38</c:f>
              <c:numCache>
                <c:formatCode>General</c:formatCode>
                <c:ptCount val="37"/>
                <c:pt idx="0">
                  <c:v>3.4000000000000002E-2</c:v>
                </c:pt>
                <c:pt idx="1">
                  <c:v>8.7999999999999995E-2</c:v>
                </c:pt>
                <c:pt idx="2">
                  <c:v>0.13800000000000001</c:v>
                </c:pt>
                <c:pt idx="3">
                  <c:v>0.18</c:v>
                </c:pt>
                <c:pt idx="4">
                  <c:v>0.22</c:v>
                </c:pt>
                <c:pt idx="5">
                  <c:v>0.25600000000000001</c:v>
                </c:pt>
                <c:pt idx="6">
                  <c:v>0.27500000000000002</c:v>
                </c:pt>
                <c:pt idx="7">
                  <c:v>0.29799999999999999</c:v>
                </c:pt>
                <c:pt idx="8">
                  <c:v>0.30499999999999999</c:v>
                </c:pt>
                <c:pt idx="9">
                  <c:v>0.30599999999999999</c:v>
                </c:pt>
                <c:pt idx="10">
                  <c:v>0.29599999999999999</c:v>
                </c:pt>
                <c:pt idx="11">
                  <c:v>0.27600000000000002</c:v>
                </c:pt>
                <c:pt idx="12">
                  <c:v>0.249</c:v>
                </c:pt>
                <c:pt idx="13">
                  <c:v>0.21299999999999999</c:v>
                </c:pt>
                <c:pt idx="14">
                  <c:v>0.17299999999999999</c:v>
                </c:pt>
                <c:pt idx="15">
                  <c:v>0.125</c:v>
                </c:pt>
                <c:pt idx="16">
                  <c:v>7.5999999999999998E-2</c:v>
                </c:pt>
                <c:pt idx="17">
                  <c:v>1.7000000000000001E-2</c:v>
                </c:pt>
                <c:pt idx="18">
                  <c:v>-3.5000000000000003E-2</c:v>
                </c:pt>
                <c:pt idx="19">
                  <c:v>-9.4E-2</c:v>
                </c:pt>
                <c:pt idx="20">
                  <c:v>-0.14399999999999999</c:v>
                </c:pt>
                <c:pt idx="21">
                  <c:v>-0.19</c:v>
                </c:pt>
                <c:pt idx="22">
                  <c:v>-0.23</c:v>
                </c:pt>
                <c:pt idx="23">
                  <c:v>-0.26900000000000002</c:v>
                </c:pt>
                <c:pt idx="24">
                  <c:v>-0.28999999999999998</c:v>
                </c:pt>
                <c:pt idx="25">
                  <c:v>-0.30599999999999999</c:v>
                </c:pt>
                <c:pt idx="26">
                  <c:v>-0.32400000000000001</c:v>
                </c:pt>
                <c:pt idx="27">
                  <c:v>-0.32400000000000001</c:v>
                </c:pt>
                <c:pt idx="28">
                  <c:v>-0.30499999999999999</c:v>
                </c:pt>
                <c:pt idx="29">
                  <c:v>-0.28699999999999998</c:v>
                </c:pt>
                <c:pt idx="30">
                  <c:v>-0.26</c:v>
                </c:pt>
                <c:pt idx="31">
                  <c:v>-0.224</c:v>
                </c:pt>
                <c:pt idx="32">
                  <c:v>-0.17899999999999999</c:v>
                </c:pt>
                <c:pt idx="33">
                  <c:v>-0.13300000000000001</c:v>
                </c:pt>
                <c:pt idx="34">
                  <c:v>-7.4999999999999997E-2</c:v>
                </c:pt>
                <c:pt idx="35">
                  <c:v>-2.7E-2</c:v>
                </c:pt>
                <c:pt idx="36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C-426D-82B3-C8595B399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43903"/>
        <c:axId val="78942943"/>
      </c:scatterChart>
      <c:valAx>
        <c:axId val="7894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α</a:t>
                </a: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</a:t>
                </a:r>
                <a:r>
                  <a:rPr lang="pl-PL" sz="1200"/>
                  <a:t>°]</a:t>
                </a:r>
              </a:p>
            </c:rich>
          </c:tx>
          <c:layout>
            <c:manualLayout>
              <c:xMode val="edge"/>
              <c:yMode val="edge"/>
              <c:x val="0.51294335083114606"/>
              <c:y val="0.89050925925925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942943"/>
        <c:crosses val="autoZero"/>
        <c:crossBetween val="midCat"/>
      </c:valAx>
      <c:valAx>
        <c:axId val="7894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94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</a:t>
            </a:r>
            <a:r>
              <a:rPr lang="pl-PL" baseline="0"/>
              <a:t>H = f(Bn)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Arkusz1!$G$2:$G$38</c:f>
              <c:numCache>
                <c:formatCode>0.000</c:formatCode>
                <c:ptCount val="37"/>
                <c:pt idx="0">
                  <c:v>4.3577871373829083E-2</c:v>
                </c:pt>
                <c:pt idx="1">
                  <c:v>0.12940952255126037</c:v>
                </c:pt>
                <c:pt idx="2">
                  <c:v>0.21130913087034972</c:v>
                </c:pt>
                <c:pt idx="3">
                  <c:v>0.28678821817552302</c:v>
                </c:pt>
                <c:pt idx="4">
                  <c:v>0.35355339059327373</c:v>
                </c:pt>
                <c:pt idx="5">
                  <c:v>0.4095760221444959</c:v>
                </c:pt>
                <c:pt idx="6">
                  <c:v>0.45315389351832491</c:v>
                </c:pt>
                <c:pt idx="7">
                  <c:v>0.4829629131445341</c:v>
                </c:pt>
                <c:pt idx="8">
                  <c:v>0.49809734904587277</c:v>
                </c:pt>
                <c:pt idx="9">
                  <c:v>0.49809734904587277</c:v>
                </c:pt>
                <c:pt idx="10">
                  <c:v>0.48296291314453416</c:v>
                </c:pt>
                <c:pt idx="11">
                  <c:v>0.45315389351832502</c:v>
                </c:pt>
                <c:pt idx="12">
                  <c:v>0.40957602214449601</c:v>
                </c:pt>
                <c:pt idx="13">
                  <c:v>0.35355339059327379</c:v>
                </c:pt>
                <c:pt idx="14">
                  <c:v>0.28678821817552319</c:v>
                </c:pt>
                <c:pt idx="15">
                  <c:v>0.21130913087034975</c:v>
                </c:pt>
                <c:pt idx="16">
                  <c:v>0.12940952255126051</c:v>
                </c:pt>
                <c:pt idx="17">
                  <c:v>4.3577871373829097E-2</c:v>
                </c:pt>
                <c:pt idx="18">
                  <c:v>-4.3577871373828972E-2</c:v>
                </c:pt>
                <c:pt idx="19">
                  <c:v>-0.1294095225512604</c:v>
                </c:pt>
                <c:pt idx="20">
                  <c:v>-0.21130913087034964</c:v>
                </c:pt>
                <c:pt idx="21">
                  <c:v>-0.28678821817552308</c:v>
                </c:pt>
                <c:pt idx="22">
                  <c:v>-0.35355339059327373</c:v>
                </c:pt>
                <c:pt idx="23">
                  <c:v>-0.40957602214449579</c:v>
                </c:pt>
                <c:pt idx="24">
                  <c:v>-0.45315389351832486</c:v>
                </c:pt>
                <c:pt idx="25">
                  <c:v>-0.48296291314453416</c:v>
                </c:pt>
                <c:pt idx="26">
                  <c:v>-0.49809734904587277</c:v>
                </c:pt>
                <c:pt idx="27">
                  <c:v>-0.49809734904587277</c:v>
                </c:pt>
                <c:pt idx="28">
                  <c:v>-0.48296291314453421</c:v>
                </c:pt>
                <c:pt idx="29">
                  <c:v>-0.45315389351832497</c:v>
                </c:pt>
                <c:pt idx="30">
                  <c:v>-0.4095760221444959</c:v>
                </c:pt>
                <c:pt idx="31">
                  <c:v>-0.35355339059327384</c:v>
                </c:pt>
                <c:pt idx="32">
                  <c:v>-0.28678821817552325</c:v>
                </c:pt>
                <c:pt idx="33">
                  <c:v>-0.21130913087035</c:v>
                </c:pt>
                <c:pt idx="34">
                  <c:v>-0.12940952255126034</c:v>
                </c:pt>
                <c:pt idx="35">
                  <c:v>-4.3577871373829159E-2</c:v>
                </c:pt>
                <c:pt idx="36">
                  <c:v>4.3577871373828916E-2</c:v>
                </c:pt>
              </c:numCache>
            </c:numRef>
          </c:xVal>
          <c:yVal>
            <c:numRef>
              <c:f>Arkusz1!$D$2:$D$38</c:f>
              <c:numCache>
                <c:formatCode>General</c:formatCode>
                <c:ptCount val="37"/>
                <c:pt idx="0">
                  <c:v>3.4000000000000002E-2</c:v>
                </c:pt>
                <c:pt idx="1">
                  <c:v>8.7999999999999995E-2</c:v>
                </c:pt>
                <c:pt idx="2">
                  <c:v>0.13800000000000001</c:v>
                </c:pt>
                <c:pt idx="3">
                  <c:v>0.18</c:v>
                </c:pt>
                <c:pt idx="4">
                  <c:v>0.22</c:v>
                </c:pt>
                <c:pt idx="5">
                  <c:v>0.25600000000000001</c:v>
                </c:pt>
                <c:pt idx="6">
                  <c:v>0.27500000000000002</c:v>
                </c:pt>
                <c:pt idx="7">
                  <c:v>0.29799999999999999</c:v>
                </c:pt>
                <c:pt idx="8">
                  <c:v>0.30499999999999999</c:v>
                </c:pt>
                <c:pt idx="9">
                  <c:v>0.30599999999999999</c:v>
                </c:pt>
                <c:pt idx="10">
                  <c:v>0.29599999999999999</c:v>
                </c:pt>
                <c:pt idx="11">
                  <c:v>0.27600000000000002</c:v>
                </c:pt>
                <c:pt idx="12">
                  <c:v>0.249</c:v>
                </c:pt>
                <c:pt idx="13">
                  <c:v>0.21299999999999999</c:v>
                </c:pt>
                <c:pt idx="14">
                  <c:v>0.17299999999999999</c:v>
                </c:pt>
                <c:pt idx="15">
                  <c:v>0.125</c:v>
                </c:pt>
                <c:pt idx="16">
                  <c:v>7.5999999999999998E-2</c:v>
                </c:pt>
                <c:pt idx="17">
                  <c:v>1.7000000000000001E-2</c:v>
                </c:pt>
                <c:pt idx="18">
                  <c:v>-3.5000000000000003E-2</c:v>
                </c:pt>
                <c:pt idx="19">
                  <c:v>-9.4E-2</c:v>
                </c:pt>
                <c:pt idx="20">
                  <c:v>-0.14399999999999999</c:v>
                </c:pt>
                <c:pt idx="21">
                  <c:v>-0.19</c:v>
                </c:pt>
                <c:pt idx="22">
                  <c:v>-0.23</c:v>
                </c:pt>
                <c:pt idx="23">
                  <c:v>-0.26900000000000002</c:v>
                </c:pt>
                <c:pt idx="24">
                  <c:v>-0.28999999999999998</c:v>
                </c:pt>
                <c:pt idx="25">
                  <c:v>-0.30599999999999999</c:v>
                </c:pt>
                <c:pt idx="26">
                  <c:v>-0.32400000000000001</c:v>
                </c:pt>
                <c:pt idx="27">
                  <c:v>-0.32400000000000001</c:v>
                </c:pt>
                <c:pt idx="28">
                  <c:v>-0.30499999999999999</c:v>
                </c:pt>
                <c:pt idx="29">
                  <c:v>-0.28699999999999998</c:v>
                </c:pt>
                <c:pt idx="30">
                  <c:v>-0.26</c:v>
                </c:pt>
                <c:pt idx="31">
                  <c:v>-0.224</c:v>
                </c:pt>
                <c:pt idx="32">
                  <c:v>-0.17899999999999999</c:v>
                </c:pt>
                <c:pt idx="33">
                  <c:v>-0.13300000000000001</c:v>
                </c:pt>
                <c:pt idx="34">
                  <c:v>-7.4999999999999997E-2</c:v>
                </c:pt>
                <c:pt idx="35">
                  <c:v>-2.7E-2</c:v>
                </c:pt>
                <c:pt idx="36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6-4E04-A555-62834E1F6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709136"/>
        <c:axId val="1802706736"/>
      </c:scatterChart>
      <c:valAx>
        <c:axId val="180270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Bn [T]</a:t>
                </a:r>
              </a:p>
            </c:rich>
          </c:tx>
          <c:layout>
            <c:manualLayout>
              <c:xMode val="edge"/>
              <c:yMode val="edge"/>
              <c:x val="0.45401399825021871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706736"/>
        <c:crosses val="autoZero"/>
        <c:crossBetween val="midCat"/>
      </c:valAx>
      <c:valAx>
        <c:axId val="18027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Uh[V]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3587962962962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70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 = f(I)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Arkusz1!$T$2:$T$17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</c:numCache>
            </c:numRef>
          </c:xVal>
          <c:yVal>
            <c:numRef>
              <c:f>Arkusz1!$U$2:$U$17</c:f>
              <c:numCache>
                <c:formatCode>General</c:formatCode>
                <c:ptCount val="16"/>
                <c:pt idx="0">
                  <c:v>0</c:v>
                </c:pt>
                <c:pt idx="1">
                  <c:v>2.5000000000000001E-2</c:v>
                </c:pt>
                <c:pt idx="2">
                  <c:v>4.7E-2</c:v>
                </c:pt>
                <c:pt idx="3">
                  <c:v>7.0000000000000007E-2</c:v>
                </c:pt>
                <c:pt idx="4">
                  <c:v>9.1999999999999998E-2</c:v>
                </c:pt>
                <c:pt idx="5">
                  <c:v>0.113</c:v>
                </c:pt>
                <c:pt idx="6">
                  <c:v>0.13600000000000001</c:v>
                </c:pt>
                <c:pt idx="7">
                  <c:v>0.158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0.24399999999999999</c:v>
                </c:pt>
                <c:pt idx="12">
                  <c:v>0.26500000000000001</c:v>
                </c:pt>
                <c:pt idx="13">
                  <c:v>0.28699999999999998</c:v>
                </c:pt>
                <c:pt idx="14">
                  <c:v>0.307</c:v>
                </c:pt>
                <c:pt idx="15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1-44D8-A9EC-3B872FF56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020976"/>
        <c:axId val="1813021456"/>
      </c:scatterChart>
      <c:valAx>
        <c:axId val="181302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021456"/>
        <c:crosses val="autoZero"/>
        <c:crossBetween val="midCat"/>
      </c:valAx>
      <c:valAx>
        <c:axId val="18130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02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</a:t>
            </a:r>
            <a:r>
              <a:rPr lang="pl-PL" baseline="0"/>
              <a:t>H = f(Bn)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53471806794536E-2"/>
                  <c:y val="-2.7095890980655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Arkusz1!$I$2:$I$38</c:f>
                <c:numCache>
                  <c:formatCode>General</c:formatCode>
                  <c:ptCount val="37"/>
                  <c:pt idx="0">
                    <c:v>5.6172279466752295E-2</c:v>
                  </c:pt>
                  <c:pt idx="1">
                    <c:v>5.6172279466752295E-2</c:v>
                  </c:pt>
                  <c:pt idx="2">
                    <c:v>5.492143116603556E-2</c:v>
                  </c:pt>
                  <c:pt idx="3">
                    <c:v>5.2490014633011638E-2</c:v>
                  </c:pt>
                  <c:pt idx="4">
                    <c:v>4.9023862275150445E-2</c:v>
                  </c:pt>
                  <c:pt idx="5">
                    <c:v>4.4757298042394984E-2</c:v>
                  </c:pt>
                  <c:pt idx="6">
                    <c:v>4.0038636137343993E-2</c:v>
                  </c:pt>
                  <c:pt idx="7">
                    <c:v>3.53727270639086E-2</c:v>
                  </c:pt>
                  <c:pt idx="8">
                    <c:v>3.146534370996075E-2</c:v>
                  </c:pt>
                  <c:pt idx="9">
                    <c:v>2.917372920318255E-2</c:v>
                  </c:pt>
                  <c:pt idx="10">
                    <c:v>2.9173729203182553E-2</c:v>
                  </c:pt>
                  <c:pt idx="11">
                    <c:v>3.146534370996075E-2</c:v>
                  </c:pt>
                  <c:pt idx="12">
                    <c:v>3.53727270639086E-2</c:v>
                  </c:pt>
                  <c:pt idx="13">
                    <c:v>4.0038636137343993E-2</c:v>
                  </c:pt>
                  <c:pt idx="14">
                    <c:v>4.4757298042394984E-2</c:v>
                  </c:pt>
                  <c:pt idx="15">
                    <c:v>4.9023862275150459E-2</c:v>
                  </c:pt>
                  <c:pt idx="16">
                    <c:v>5.2490014633011638E-2</c:v>
                  </c:pt>
                  <c:pt idx="17">
                    <c:v>5.492143116603556E-2</c:v>
                  </c:pt>
                  <c:pt idx="18">
                    <c:v>5.6172279466752295E-2</c:v>
                  </c:pt>
                  <c:pt idx="19">
                    <c:v>5.6172279466752295E-2</c:v>
                  </c:pt>
                  <c:pt idx="20">
                    <c:v>5.492143116603556E-2</c:v>
                  </c:pt>
                  <c:pt idx="21">
                    <c:v>5.2490014633011638E-2</c:v>
                  </c:pt>
                  <c:pt idx="22">
                    <c:v>4.9023862275150445E-2</c:v>
                  </c:pt>
                  <c:pt idx="23">
                    <c:v>4.4757298042394991E-2</c:v>
                  </c:pt>
                  <c:pt idx="24">
                    <c:v>4.0038636137344E-2</c:v>
                  </c:pt>
                  <c:pt idx="25">
                    <c:v>3.5372727063908593E-2</c:v>
                  </c:pt>
                  <c:pt idx="26">
                    <c:v>3.1465343709960743E-2</c:v>
                  </c:pt>
                  <c:pt idx="27">
                    <c:v>2.9173729203182553E-2</c:v>
                  </c:pt>
                  <c:pt idx="28">
                    <c:v>2.917372920318255E-2</c:v>
                  </c:pt>
                  <c:pt idx="29">
                    <c:v>3.1465343709960757E-2</c:v>
                  </c:pt>
                  <c:pt idx="30">
                    <c:v>3.5372727063908607E-2</c:v>
                  </c:pt>
                  <c:pt idx="31">
                    <c:v>4.0038636137343993E-2</c:v>
                  </c:pt>
                  <c:pt idx="32">
                    <c:v>4.4757298042394984E-2</c:v>
                  </c:pt>
                  <c:pt idx="33">
                    <c:v>4.9023862275150445E-2</c:v>
                  </c:pt>
                  <c:pt idx="34">
                    <c:v>5.2490014633011645E-2</c:v>
                  </c:pt>
                  <c:pt idx="35">
                    <c:v>5.492143116603556E-2</c:v>
                  </c:pt>
                  <c:pt idx="36">
                    <c:v>5.6172279466752295E-2</c:v>
                  </c:pt>
                </c:numCache>
              </c:numRef>
            </c:plus>
            <c:minus>
              <c:numRef>
                <c:f>Arkusz1!$I$2:$I$38</c:f>
                <c:numCache>
                  <c:formatCode>General</c:formatCode>
                  <c:ptCount val="37"/>
                  <c:pt idx="0">
                    <c:v>5.6172279466752295E-2</c:v>
                  </c:pt>
                  <c:pt idx="1">
                    <c:v>5.6172279466752295E-2</c:v>
                  </c:pt>
                  <c:pt idx="2">
                    <c:v>5.492143116603556E-2</c:v>
                  </c:pt>
                  <c:pt idx="3">
                    <c:v>5.2490014633011638E-2</c:v>
                  </c:pt>
                  <c:pt idx="4">
                    <c:v>4.9023862275150445E-2</c:v>
                  </c:pt>
                  <c:pt idx="5">
                    <c:v>4.4757298042394984E-2</c:v>
                  </c:pt>
                  <c:pt idx="6">
                    <c:v>4.0038636137343993E-2</c:v>
                  </c:pt>
                  <c:pt idx="7">
                    <c:v>3.53727270639086E-2</c:v>
                  </c:pt>
                  <c:pt idx="8">
                    <c:v>3.146534370996075E-2</c:v>
                  </c:pt>
                  <c:pt idx="9">
                    <c:v>2.917372920318255E-2</c:v>
                  </c:pt>
                  <c:pt idx="10">
                    <c:v>2.9173729203182553E-2</c:v>
                  </c:pt>
                  <c:pt idx="11">
                    <c:v>3.146534370996075E-2</c:v>
                  </c:pt>
                  <c:pt idx="12">
                    <c:v>3.53727270639086E-2</c:v>
                  </c:pt>
                  <c:pt idx="13">
                    <c:v>4.0038636137343993E-2</c:v>
                  </c:pt>
                  <c:pt idx="14">
                    <c:v>4.4757298042394984E-2</c:v>
                  </c:pt>
                  <c:pt idx="15">
                    <c:v>4.9023862275150459E-2</c:v>
                  </c:pt>
                  <c:pt idx="16">
                    <c:v>5.2490014633011638E-2</c:v>
                  </c:pt>
                  <c:pt idx="17">
                    <c:v>5.492143116603556E-2</c:v>
                  </c:pt>
                  <c:pt idx="18">
                    <c:v>5.6172279466752295E-2</c:v>
                  </c:pt>
                  <c:pt idx="19">
                    <c:v>5.6172279466752295E-2</c:v>
                  </c:pt>
                  <c:pt idx="20">
                    <c:v>5.492143116603556E-2</c:v>
                  </c:pt>
                  <c:pt idx="21">
                    <c:v>5.2490014633011638E-2</c:v>
                  </c:pt>
                  <c:pt idx="22">
                    <c:v>4.9023862275150445E-2</c:v>
                  </c:pt>
                  <c:pt idx="23">
                    <c:v>4.4757298042394991E-2</c:v>
                  </c:pt>
                  <c:pt idx="24">
                    <c:v>4.0038636137344E-2</c:v>
                  </c:pt>
                  <c:pt idx="25">
                    <c:v>3.5372727063908593E-2</c:v>
                  </c:pt>
                  <c:pt idx="26">
                    <c:v>3.1465343709960743E-2</c:v>
                  </c:pt>
                  <c:pt idx="27">
                    <c:v>2.9173729203182553E-2</c:v>
                  </c:pt>
                  <c:pt idx="28">
                    <c:v>2.917372920318255E-2</c:v>
                  </c:pt>
                  <c:pt idx="29">
                    <c:v>3.1465343709960757E-2</c:v>
                  </c:pt>
                  <c:pt idx="30">
                    <c:v>3.5372727063908607E-2</c:v>
                  </c:pt>
                  <c:pt idx="31">
                    <c:v>4.0038636137343993E-2</c:v>
                  </c:pt>
                  <c:pt idx="32">
                    <c:v>4.4757298042394984E-2</c:v>
                  </c:pt>
                  <c:pt idx="33">
                    <c:v>4.9023862275150445E-2</c:v>
                  </c:pt>
                  <c:pt idx="34">
                    <c:v>5.2490014633011645E-2</c:v>
                  </c:pt>
                  <c:pt idx="35">
                    <c:v>5.492143116603556E-2</c:v>
                  </c:pt>
                  <c:pt idx="36">
                    <c:v>5.6172279466752295E-2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Arkusz1!$F$2:$F$38</c:f>
                <c:numCache>
                  <c:formatCode>General</c:formatCode>
                  <c:ptCount val="37"/>
                  <c:pt idx="0">
                    <c:v>1.7418657621451011E-3</c:v>
                  </c:pt>
                  <c:pt idx="1">
                    <c:v>1.7574542194132212E-3</c:v>
                  </c:pt>
                  <c:pt idx="2">
                    <c:v>1.7718879761429616E-3</c:v>
                  </c:pt>
                  <c:pt idx="3">
                    <c:v>1.7840123317959436E-3</c:v>
                  </c:pt>
                  <c:pt idx="4">
                    <c:v>1.7955593371797361E-3</c:v>
                  </c:pt>
                  <c:pt idx="5">
                    <c:v>1.8059516420251495E-3</c:v>
                  </c:pt>
                  <c:pt idx="6">
                    <c:v>1.8114364695824511E-3</c:v>
                  </c:pt>
                  <c:pt idx="7">
                    <c:v>1.8180759976781317E-3</c:v>
                  </c:pt>
                  <c:pt idx="8">
                    <c:v>1.8200967236202952E-3</c:v>
                  </c:pt>
                  <c:pt idx="9">
                    <c:v>1.8203853987548901E-3</c:v>
                  </c:pt>
                  <c:pt idx="10">
                    <c:v>1.8174986474089421E-3</c:v>
                  </c:pt>
                  <c:pt idx="11">
                    <c:v>1.8117251447170458E-3</c:v>
                  </c:pt>
                  <c:pt idx="12">
                    <c:v>1.803930916082986E-3</c:v>
                  </c:pt>
                  <c:pt idx="13">
                    <c:v>1.7935386112375724E-3</c:v>
                  </c:pt>
                  <c:pt idx="14">
                    <c:v>1.7819916058537803E-3</c:v>
                  </c:pt>
                  <c:pt idx="15">
                    <c:v>1.768135199393229E-3</c:v>
                  </c:pt>
                  <c:pt idx="16">
                    <c:v>1.7539901177980831E-3</c:v>
                  </c:pt>
                  <c:pt idx="17">
                    <c:v>1.7369582848569892E-3</c:v>
                  </c:pt>
                  <c:pt idx="18">
                    <c:v>1.7219471778580589E-3</c:v>
                  </c:pt>
                  <c:pt idx="19">
                    <c:v>1.704915344916965E-3</c:v>
                  </c:pt>
                  <c:pt idx="20">
                    <c:v>1.6904815881872244E-3</c:v>
                  </c:pt>
                  <c:pt idx="21">
                    <c:v>1.677202531995863E-3</c:v>
                  </c:pt>
                  <c:pt idx="22">
                    <c:v>1.6656555266120704E-3</c:v>
                  </c:pt>
                  <c:pt idx="23">
                    <c:v>1.6543971963628727E-3</c:v>
                  </c:pt>
                  <c:pt idx="24">
                    <c:v>1.6483350185363815E-3</c:v>
                  </c:pt>
                  <c:pt idx="25">
                    <c:v>1.6437162163828647E-3</c:v>
                  </c:pt>
                  <c:pt idx="26">
                    <c:v>1.6385200639601582E-3</c:v>
                  </c:pt>
                  <c:pt idx="27">
                    <c:v>1.6385200639601582E-3</c:v>
                  </c:pt>
                  <c:pt idx="28">
                    <c:v>1.6440048915174596E-3</c:v>
                  </c:pt>
                  <c:pt idx="29">
                    <c:v>1.6492010439401661E-3</c:v>
                  </c:pt>
                  <c:pt idx="30">
                    <c:v>1.6569952725742261E-3</c:v>
                  </c:pt>
                  <c:pt idx="31">
                    <c:v>1.6673875774196392E-3</c:v>
                  </c:pt>
                  <c:pt idx="32">
                    <c:v>1.6803779584764059E-3</c:v>
                  </c:pt>
                  <c:pt idx="33">
                    <c:v>1.6936570146677673E-3</c:v>
                  </c:pt>
                  <c:pt idx="34">
                    <c:v>1.7104001724742664E-3</c:v>
                  </c:pt>
                  <c:pt idx="35">
                    <c:v>1.7242565789348174E-3</c:v>
                  </c:pt>
                  <c:pt idx="36">
                    <c:v>1.7415770870105062E-3</c:v>
                  </c:pt>
                </c:numCache>
              </c:numRef>
            </c:plus>
            <c:minus>
              <c:numRef>
                <c:f>Arkusz1!$F$2:$F$38</c:f>
                <c:numCache>
                  <c:formatCode>General</c:formatCode>
                  <c:ptCount val="37"/>
                  <c:pt idx="0">
                    <c:v>1.7418657621451011E-3</c:v>
                  </c:pt>
                  <c:pt idx="1">
                    <c:v>1.7574542194132212E-3</c:v>
                  </c:pt>
                  <c:pt idx="2">
                    <c:v>1.7718879761429616E-3</c:v>
                  </c:pt>
                  <c:pt idx="3">
                    <c:v>1.7840123317959436E-3</c:v>
                  </c:pt>
                  <c:pt idx="4">
                    <c:v>1.7955593371797361E-3</c:v>
                  </c:pt>
                  <c:pt idx="5">
                    <c:v>1.8059516420251495E-3</c:v>
                  </c:pt>
                  <c:pt idx="6">
                    <c:v>1.8114364695824511E-3</c:v>
                  </c:pt>
                  <c:pt idx="7">
                    <c:v>1.8180759976781317E-3</c:v>
                  </c:pt>
                  <c:pt idx="8">
                    <c:v>1.8200967236202952E-3</c:v>
                  </c:pt>
                  <c:pt idx="9">
                    <c:v>1.8203853987548901E-3</c:v>
                  </c:pt>
                  <c:pt idx="10">
                    <c:v>1.8174986474089421E-3</c:v>
                  </c:pt>
                  <c:pt idx="11">
                    <c:v>1.8117251447170458E-3</c:v>
                  </c:pt>
                  <c:pt idx="12">
                    <c:v>1.803930916082986E-3</c:v>
                  </c:pt>
                  <c:pt idx="13">
                    <c:v>1.7935386112375724E-3</c:v>
                  </c:pt>
                  <c:pt idx="14">
                    <c:v>1.7819916058537803E-3</c:v>
                  </c:pt>
                  <c:pt idx="15">
                    <c:v>1.768135199393229E-3</c:v>
                  </c:pt>
                  <c:pt idx="16">
                    <c:v>1.7539901177980831E-3</c:v>
                  </c:pt>
                  <c:pt idx="17">
                    <c:v>1.7369582848569892E-3</c:v>
                  </c:pt>
                  <c:pt idx="18">
                    <c:v>1.7219471778580589E-3</c:v>
                  </c:pt>
                  <c:pt idx="19">
                    <c:v>1.704915344916965E-3</c:v>
                  </c:pt>
                  <c:pt idx="20">
                    <c:v>1.6904815881872244E-3</c:v>
                  </c:pt>
                  <c:pt idx="21">
                    <c:v>1.677202531995863E-3</c:v>
                  </c:pt>
                  <c:pt idx="22">
                    <c:v>1.6656555266120704E-3</c:v>
                  </c:pt>
                  <c:pt idx="23">
                    <c:v>1.6543971963628727E-3</c:v>
                  </c:pt>
                  <c:pt idx="24">
                    <c:v>1.6483350185363815E-3</c:v>
                  </c:pt>
                  <c:pt idx="25">
                    <c:v>1.6437162163828647E-3</c:v>
                  </c:pt>
                  <c:pt idx="26">
                    <c:v>1.6385200639601582E-3</c:v>
                  </c:pt>
                  <c:pt idx="27">
                    <c:v>1.6385200639601582E-3</c:v>
                  </c:pt>
                  <c:pt idx="28">
                    <c:v>1.6440048915174596E-3</c:v>
                  </c:pt>
                  <c:pt idx="29">
                    <c:v>1.6492010439401661E-3</c:v>
                  </c:pt>
                  <c:pt idx="30">
                    <c:v>1.6569952725742261E-3</c:v>
                  </c:pt>
                  <c:pt idx="31">
                    <c:v>1.6673875774196392E-3</c:v>
                  </c:pt>
                  <c:pt idx="32">
                    <c:v>1.6803779584764059E-3</c:v>
                  </c:pt>
                  <c:pt idx="33">
                    <c:v>1.6936570146677673E-3</c:v>
                  </c:pt>
                  <c:pt idx="34">
                    <c:v>1.7104001724742664E-3</c:v>
                  </c:pt>
                  <c:pt idx="35">
                    <c:v>1.7242565789348174E-3</c:v>
                  </c:pt>
                  <c:pt idx="36">
                    <c:v>1.7415770870105062E-3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Arkusz1!$G$2:$G$38</c:f>
              <c:numCache>
                <c:formatCode>0.000</c:formatCode>
                <c:ptCount val="37"/>
                <c:pt idx="0">
                  <c:v>4.3577871373829083E-2</c:v>
                </c:pt>
                <c:pt idx="1">
                  <c:v>0.12940952255126037</c:v>
                </c:pt>
                <c:pt idx="2">
                  <c:v>0.21130913087034972</c:v>
                </c:pt>
                <c:pt idx="3">
                  <c:v>0.28678821817552302</c:v>
                </c:pt>
                <c:pt idx="4">
                  <c:v>0.35355339059327373</c:v>
                </c:pt>
                <c:pt idx="5">
                  <c:v>0.4095760221444959</c:v>
                </c:pt>
                <c:pt idx="6">
                  <c:v>0.45315389351832491</c:v>
                </c:pt>
                <c:pt idx="7">
                  <c:v>0.4829629131445341</c:v>
                </c:pt>
                <c:pt idx="8">
                  <c:v>0.49809734904587277</c:v>
                </c:pt>
                <c:pt idx="9">
                  <c:v>0.49809734904587277</c:v>
                </c:pt>
                <c:pt idx="10">
                  <c:v>0.48296291314453416</c:v>
                </c:pt>
                <c:pt idx="11">
                  <c:v>0.45315389351832502</c:v>
                </c:pt>
                <c:pt idx="12">
                  <c:v>0.40957602214449601</c:v>
                </c:pt>
                <c:pt idx="13">
                  <c:v>0.35355339059327379</c:v>
                </c:pt>
                <c:pt idx="14">
                  <c:v>0.28678821817552319</c:v>
                </c:pt>
                <c:pt idx="15">
                  <c:v>0.21130913087034975</c:v>
                </c:pt>
                <c:pt idx="16">
                  <c:v>0.12940952255126051</c:v>
                </c:pt>
                <c:pt idx="17">
                  <c:v>4.3577871373829097E-2</c:v>
                </c:pt>
                <c:pt idx="18">
                  <c:v>-4.3577871373828972E-2</c:v>
                </c:pt>
                <c:pt idx="19">
                  <c:v>-0.1294095225512604</c:v>
                </c:pt>
                <c:pt idx="20">
                  <c:v>-0.21130913087034964</c:v>
                </c:pt>
                <c:pt idx="21">
                  <c:v>-0.28678821817552308</c:v>
                </c:pt>
                <c:pt idx="22">
                  <c:v>-0.35355339059327373</c:v>
                </c:pt>
                <c:pt idx="23">
                  <c:v>-0.40957602214449579</c:v>
                </c:pt>
                <c:pt idx="24">
                  <c:v>-0.45315389351832486</c:v>
                </c:pt>
                <c:pt idx="25">
                  <c:v>-0.48296291314453416</c:v>
                </c:pt>
                <c:pt idx="26">
                  <c:v>-0.49809734904587277</c:v>
                </c:pt>
                <c:pt idx="27">
                  <c:v>-0.49809734904587277</c:v>
                </c:pt>
                <c:pt idx="28">
                  <c:v>-0.48296291314453421</c:v>
                </c:pt>
                <c:pt idx="29">
                  <c:v>-0.45315389351832497</c:v>
                </c:pt>
                <c:pt idx="30">
                  <c:v>-0.4095760221444959</c:v>
                </c:pt>
                <c:pt idx="31">
                  <c:v>-0.35355339059327384</c:v>
                </c:pt>
                <c:pt idx="32">
                  <c:v>-0.28678821817552325</c:v>
                </c:pt>
                <c:pt idx="33">
                  <c:v>-0.21130913087035</c:v>
                </c:pt>
                <c:pt idx="34">
                  <c:v>-0.12940952255126034</c:v>
                </c:pt>
                <c:pt idx="35">
                  <c:v>-4.3577871373829159E-2</c:v>
                </c:pt>
                <c:pt idx="36">
                  <c:v>4.3577871373828916E-2</c:v>
                </c:pt>
              </c:numCache>
            </c:numRef>
          </c:xVal>
          <c:yVal>
            <c:numRef>
              <c:f>Arkusz1!$D$2:$D$38</c:f>
              <c:numCache>
                <c:formatCode>General</c:formatCode>
                <c:ptCount val="37"/>
                <c:pt idx="0">
                  <c:v>3.4000000000000002E-2</c:v>
                </c:pt>
                <c:pt idx="1">
                  <c:v>8.7999999999999995E-2</c:v>
                </c:pt>
                <c:pt idx="2">
                  <c:v>0.13800000000000001</c:v>
                </c:pt>
                <c:pt idx="3">
                  <c:v>0.18</c:v>
                </c:pt>
                <c:pt idx="4">
                  <c:v>0.22</c:v>
                </c:pt>
                <c:pt idx="5">
                  <c:v>0.25600000000000001</c:v>
                </c:pt>
                <c:pt idx="6">
                  <c:v>0.27500000000000002</c:v>
                </c:pt>
                <c:pt idx="7">
                  <c:v>0.29799999999999999</c:v>
                </c:pt>
                <c:pt idx="8">
                  <c:v>0.30499999999999999</c:v>
                </c:pt>
                <c:pt idx="9">
                  <c:v>0.30599999999999999</c:v>
                </c:pt>
                <c:pt idx="10">
                  <c:v>0.29599999999999999</c:v>
                </c:pt>
                <c:pt idx="11">
                  <c:v>0.27600000000000002</c:v>
                </c:pt>
                <c:pt idx="12">
                  <c:v>0.249</c:v>
                </c:pt>
                <c:pt idx="13">
                  <c:v>0.21299999999999999</c:v>
                </c:pt>
                <c:pt idx="14">
                  <c:v>0.17299999999999999</c:v>
                </c:pt>
                <c:pt idx="15">
                  <c:v>0.125</c:v>
                </c:pt>
                <c:pt idx="16">
                  <c:v>7.5999999999999998E-2</c:v>
                </c:pt>
                <c:pt idx="17">
                  <c:v>1.7000000000000001E-2</c:v>
                </c:pt>
                <c:pt idx="18">
                  <c:v>-3.5000000000000003E-2</c:v>
                </c:pt>
                <c:pt idx="19">
                  <c:v>-9.4E-2</c:v>
                </c:pt>
                <c:pt idx="20">
                  <c:v>-0.14399999999999999</c:v>
                </c:pt>
                <c:pt idx="21">
                  <c:v>-0.19</c:v>
                </c:pt>
                <c:pt idx="22">
                  <c:v>-0.23</c:v>
                </c:pt>
                <c:pt idx="23">
                  <c:v>-0.26900000000000002</c:v>
                </c:pt>
                <c:pt idx="24">
                  <c:v>-0.28999999999999998</c:v>
                </c:pt>
                <c:pt idx="25">
                  <c:v>-0.30599999999999999</c:v>
                </c:pt>
                <c:pt idx="26">
                  <c:v>-0.32400000000000001</c:v>
                </c:pt>
                <c:pt idx="27">
                  <c:v>-0.32400000000000001</c:v>
                </c:pt>
                <c:pt idx="28">
                  <c:v>-0.30499999999999999</c:v>
                </c:pt>
                <c:pt idx="29">
                  <c:v>-0.28699999999999998</c:v>
                </c:pt>
                <c:pt idx="30">
                  <c:v>-0.26</c:v>
                </c:pt>
                <c:pt idx="31">
                  <c:v>-0.224</c:v>
                </c:pt>
                <c:pt idx="32">
                  <c:v>-0.17899999999999999</c:v>
                </c:pt>
                <c:pt idx="33">
                  <c:v>-0.13300000000000001</c:v>
                </c:pt>
                <c:pt idx="34">
                  <c:v>-7.4999999999999997E-2</c:v>
                </c:pt>
                <c:pt idx="35">
                  <c:v>-2.7E-2</c:v>
                </c:pt>
                <c:pt idx="36">
                  <c:v>3.3000000000000002E-2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7-43D6-8223-1C638A5B0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709136"/>
        <c:axId val="1802706736"/>
      </c:scatterChart>
      <c:valAx>
        <c:axId val="180270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Bn [T]</a:t>
                </a:r>
              </a:p>
            </c:rich>
          </c:tx>
          <c:layout>
            <c:manualLayout>
              <c:xMode val="edge"/>
              <c:yMode val="edge"/>
              <c:x val="0.45401399825021871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706736"/>
        <c:crosses val="autoZero"/>
        <c:crossBetween val="midCat"/>
      </c:valAx>
      <c:valAx>
        <c:axId val="18027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Uh[V]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43587962962962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270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 = f(I)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9495872583762955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4.3301270000000016E-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Arkusz1!$V$2:$V$17</c:f>
                <c:numCache>
                  <c:formatCode>General</c:formatCode>
                  <c:ptCount val="16"/>
                  <c:pt idx="0">
                    <c:v>1.7320508075688774E-3</c:v>
                  </c:pt>
                  <c:pt idx="1">
                    <c:v>1.7392676859337478E-3</c:v>
                  </c:pt>
                  <c:pt idx="2">
                    <c:v>1.7456185388948337E-3</c:v>
                  </c:pt>
                  <c:pt idx="3">
                    <c:v>1.7522580669905143E-3</c:v>
                  </c:pt>
                  <c:pt idx="4">
                    <c:v>1.7586089199516002E-3</c:v>
                  </c:pt>
                  <c:pt idx="5">
                    <c:v>1.7646710977780914E-3</c:v>
                  </c:pt>
                  <c:pt idx="6">
                    <c:v>1.771310625873772E-3</c:v>
                  </c:pt>
                  <c:pt idx="7">
                    <c:v>1.7776614788348579E-3</c:v>
                  </c:pt>
                  <c:pt idx="8">
                    <c:v>1.7840123317959436E-3</c:v>
                  </c:pt>
                  <c:pt idx="9">
                    <c:v>1.7897858344878398E-3</c:v>
                  </c:pt>
                  <c:pt idx="10">
                    <c:v>1.7955593371797361E-3</c:v>
                  </c:pt>
                  <c:pt idx="11">
                    <c:v>1.8024875404100118E-3</c:v>
                  </c:pt>
                  <c:pt idx="12">
                    <c:v>1.8085497182365028E-3</c:v>
                  </c:pt>
                  <c:pt idx="13">
                    <c:v>1.8149005711975887E-3</c:v>
                  </c:pt>
                  <c:pt idx="14">
                    <c:v>1.820674073889485E-3</c:v>
                  </c:pt>
                  <c:pt idx="15">
                    <c:v>1.8264475765813813E-3</c:v>
                  </c:pt>
                </c:numCache>
              </c:numRef>
            </c:plus>
            <c:minus>
              <c:numRef>
                <c:f>Arkusz1!$V$2:$V$17</c:f>
                <c:numCache>
                  <c:formatCode>General</c:formatCode>
                  <c:ptCount val="16"/>
                  <c:pt idx="0">
                    <c:v>1.7320508075688774E-3</c:v>
                  </c:pt>
                  <c:pt idx="1">
                    <c:v>1.7392676859337478E-3</c:v>
                  </c:pt>
                  <c:pt idx="2">
                    <c:v>1.7456185388948337E-3</c:v>
                  </c:pt>
                  <c:pt idx="3">
                    <c:v>1.7522580669905143E-3</c:v>
                  </c:pt>
                  <c:pt idx="4">
                    <c:v>1.7586089199516002E-3</c:v>
                  </c:pt>
                  <c:pt idx="5">
                    <c:v>1.7646710977780914E-3</c:v>
                  </c:pt>
                  <c:pt idx="6">
                    <c:v>1.771310625873772E-3</c:v>
                  </c:pt>
                  <c:pt idx="7">
                    <c:v>1.7776614788348579E-3</c:v>
                  </c:pt>
                  <c:pt idx="8">
                    <c:v>1.7840123317959436E-3</c:v>
                  </c:pt>
                  <c:pt idx="9">
                    <c:v>1.7897858344878398E-3</c:v>
                  </c:pt>
                  <c:pt idx="10">
                    <c:v>1.7955593371797361E-3</c:v>
                  </c:pt>
                  <c:pt idx="11">
                    <c:v>1.8024875404100118E-3</c:v>
                  </c:pt>
                  <c:pt idx="12">
                    <c:v>1.8085497182365028E-3</c:v>
                  </c:pt>
                  <c:pt idx="13">
                    <c:v>1.8149005711975887E-3</c:v>
                  </c:pt>
                  <c:pt idx="14">
                    <c:v>1.820674073889485E-3</c:v>
                  </c:pt>
                  <c:pt idx="15">
                    <c:v>1.8264475765813813E-3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Arkusz1!$T$2:$T$17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</c:numCache>
            </c:numRef>
          </c:xVal>
          <c:yVal>
            <c:numRef>
              <c:f>Arkusz1!$U$2:$U$17</c:f>
              <c:numCache>
                <c:formatCode>General</c:formatCode>
                <c:ptCount val="16"/>
                <c:pt idx="0">
                  <c:v>0</c:v>
                </c:pt>
                <c:pt idx="1">
                  <c:v>2.5000000000000001E-2</c:v>
                </c:pt>
                <c:pt idx="2">
                  <c:v>4.7E-2</c:v>
                </c:pt>
                <c:pt idx="3">
                  <c:v>7.0000000000000007E-2</c:v>
                </c:pt>
                <c:pt idx="4">
                  <c:v>9.1999999999999998E-2</c:v>
                </c:pt>
                <c:pt idx="5">
                  <c:v>0.113</c:v>
                </c:pt>
                <c:pt idx="6">
                  <c:v>0.13600000000000001</c:v>
                </c:pt>
                <c:pt idx="7">
                  <c:v>0.158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0.24399999999999999</c:v>
                </c:pt>
                <c:pt idx="12">
                  <c:v>0.26500000000000001</c:v>
                </c:pt>
                <c:pt idx="13">
                  <c:v>0.28699999999999998</c:v>
                </c:pt>
                <c:pt idx="14">
                  <c:v>0.307</c:v>
                </c:pt>
                <c:pt idx="15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0C-48B7-961D-5C3EA9710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020976"/>
        <c:axId val="1813021456"/>
      </c:scatterChart>
      <c:valAx>
        <c:axId val="181302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021456"/>
        <c:crosses val="autoZero"/>
        <c:crossBetween val="midCat"/>
      </c:valAx>
      <c:valAx>
        <c:axId val="18130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02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148480</xdr:colOff>
      <xdr:row>1</xdr:row>
      <xdr:rowOff>51548</xdr:rowOff>
    </xdr:from>
    <xdr:to>
      <xdr:col>35</xdr:col>
      <xdr:colOff>448798</xdr:colOff>
      <xdr:row>15</xdr:row>
      <xdr:rowOff>127748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A7B1870-D6BC-BA3B-6385-6A235384D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326410</xdr:colOff>
      <xdr:row>21</xdr:row>
      <xdr:rowOff>52748</xdr:rowOff>
    </xdr:from>
    <xdr:to>
      <xdr:col>33</xdr:col>
      <xdr:colOff>493060</xdr:colOff>
      <xdr:row>37</xdr:row>
      <xdr:rowOff>56030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F8082C6-A5C2-4161-61BA-C518F3E57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261097</xdr:colOff>
      <xdr:row>21</xdr:row>
      <xdr:rowOff>95809</xdr:rowOff>
    </xdr:from>
    <xdr:to>
      <xdr:col>24</xdr:col>
      <xdr:colOff>201706</xdr:colOff>
      <xdr:row>35</xdr:row>
      <xdr:rowOff>172009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A5F42683-68CF-EAE3-6D23-E9F6A5B3E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719666</xdr:colOff>
      <xdr:row>38</xdr:row>
      <xdr:rowOff>190499</xdr:rowOff>
    </xdr:from>
    <xdr:to>
      <xdr:col>21</xdr:col>
      <xdr:colOff>394607</xdr:colOff>
      <xdr:row>56</xdr:row>
      <xdr:rowOff>95250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26C3FA-90C1-48B4-BCF3-8C1B6D22B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39</xdr:row>
      <xdr:rowOff>0</xdr:rowOff>
    </xdr:from>
    <xdr:to>
      <xdr:col>30</xdr:col>
      <xdr:colOff>366433</xdr:colOff>
      <xdr:row>53</xdr:row>
      <xdr:rowOff>76200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16E55F80-80A2-4ED9-BB6A-4BED7B142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A223-EDAD-40FD-8D1D-0E2230395D30}">
  <dimension ref="A1:AG76"/>
  <sheetViews>
    <sheetView tabSelected="1" topLeftCell="I1" zoomScale="85" zoomScaleNormal="85" workbookViewId="0">
      <selection activeCell="R12" sqref="R12"/>
    </sheetView>
  </sheetViews>
  <sheetFormatPr defaultRowHeight="15" x14ac:dyDescent="0.25"/>
  <cols>
    <col min="2" max="2" width="9.42578125" bestFit="1" customWidth="1"/>
    <col min="3" max="3" width="9.42578125" customWidth="1"/>
    <col min="6" max="6" width="12.140625" bestFit="1" customWidth="1"/>
    <col min="7" max="7" width="12.85546875" customWidth="1"/>
    <col min="10" max="10" width="13.28515625" bestFit="1" customWidth="1"/>
    <col min="11" max="11" width="12.28515625" bestFit="1" customWidth="1"/>
    <col min="14" max="14" width="10.7109375" bestFit="1" customWidth="1"/>
    <col min="17" max="17" width="12.28515625" bestFit="1" customWidth="1"/>
    <col min="22" max="22" width="12.28515625" bestFit="1" customWidth="1"/>
  </cols>
  <sheetData>
    <row r="1" spans="1:28" x14ac:dyDescent="0.25">
      <c r="A1" t="s">
        <v>0</v>
      </c>
      <c r="B1" t="s">
        <v>5</v>
      </c>
      <c r="C1" t="s">
        <v>12</v>
      </c>
      <c r="D1" t="s">
        <v>24</v>
      </c>
      <c r="E1" t="s">
        <v>14</v>
      </c>
      <c r="F1" t="s">
        <v>16</v>
      </c>
      <c r="G1" t="s">
        <v>15</v>
      </c>
      <c r="H1" t="s">
        <v>17</v>
      </c>
      <c r="I1" t="s">
        <v>13</v>
      </c>
      <c r="J1" t="s">
        <v>20</v>
      </c>
      <c r="K1" t="s">
        <v>21</v>
      </c>
      <c r="L1" t="s">
        <v>19</v>
      </c>
      <c r="M1" t="s">
        <v>29</v>
      </c>
      <c r="N1" t="s">
        <v>30</v>
      </c>
      <c r="O1" t="s">
        <v>22</v>
      </c>
      <c r="P1" t="s">
        <v>23</v>
      </c>
      <c r="S1" t="s">
        <v>1</v>
      </c>
      <c r="T1" t="s">
        <v>36</v>
      </c>
      <c r="U1" t="s">
        <v>24</v>
      </c>
      <c r="V1" t="s">
        <v>33</v>
      </c>
      <c r="W1" t="s">
        <v>28</v>
      </c>
      <c r="Z1" t="s">
        <v>2</v>
      </c>
    </row>
    <row r="2" spans="1:28" x14ac:dyDescent="0.25">
      <c r="A2">
        <v>0</v>
      </c>
      <c r="B2">
        <f t="shared" ref="B2:B38" si="0">RADIANS(A2)</f>
        <v>0</v>
      </c>
      <c r="C2">
        <f>RADIANS(5)/SQRT(3)</f>
        <v>5.0383315673172717E-2</v>
      </c>
      <c r="D2">
        <v>3.4000000000000002E-2</v>
      </c>
      <c r="E2">
        <f>D2*1000</f>
        <v>34</v>
      </c>
      <c r="F2">
        <f>(0.05% * D2 + 0.003)/SQRT(3)</f>
        <v>1.7418657621451011E-3</v>
      </c>
      <c r="G2" s="3">
        <f>0.5*SIN(B2-RADIANS(-5))</f>
        <v>4.3577871373829083E-2</v>
      </c>
      <c r="H2">
        <f>0.5*SIN(A2+5)</f>
        <v>-0.47946213733156923</v>
      </c>
      <c r="I2">
        <f>SQRT((SIN(B2-R$2)*(0.05/SQRT(3)))^2 + (0.5*COS(B2-R$2)*R$2/SQRT(3))^2 + (-COS(B2-R$2)*R$2/SQRT(3))^2)</f>
        <v>5.6172279466752295E-2</v>
      </c>
      <c r="L2">
        <f xml:space="preserve"> SQRT(((0.05%*0.539+0.003)/(SQRT(3)*2/3*PI()))^2+(-0.539*RADIANS(5)/SQRT(3)/(4/9*PI()*PI()))^2)</f>
        <v>6.2562249336600203E-3</v>
      </c>
      <c r="M2" s="5">
        <f>D2/(0.014*G2)</f>
        <v>55.729464336110738</v>
      </c>
      <c r="N2" s="4">
        <f>SQRT((1/(AA$5*G2)*F2)^2+(-D2/(G2*AA$5^2)*AA$7)^2+(-D2/(AA$5*G2^2)*I2)^2)</f>
        <v>71.892717009902981</v>
      </c>
      <c r="O2">
        <f>Z$8/AA5</f>
        <v>44.87240433594544</v>
      </c>
      <c r="P2">
        <f>SQRT((1/AA5*Z9)^2+(-Z8*AA7/AA5^2)^2)</f>
        <v>0.23839557939168399</v>
      </c>
      <c r="R2">
        <f>RADIANS(5)</f>
        <v>8.7266462599716474E-2</v>
      </c>
      <c r="S2">
        <v>0</v>
      </c>
      <c r="T2">
        <f>0.001*S2</f>
        <v>0</v>
      </c>
      <c r="U2">
        <v>0</v>
      </c>
      <c r="V2">
        <f>(0.05%*U2+0.003)/SQRT(3)</f>
        <v>1.7320508075688774E-3</v>
      </c>
      <c r="W2">
        <f>0.5*15/(100*SQRT(3))</f>
        <v>4.3301270189221933E-2</v>
      </c>
      <c r="Z2" t="s">
        <v>3</v>
      </c>
      <c r="AB2" t="s">
        <v>4</v>
      </c>
    </row>
    <row r="3" spans="1:28" x14ac:dyDescent="0.25">
      <c r="A3">
        <v>10</v>
      </c>
      <c r="B3">
        <f t="shared" si="0"/>
        <v>0.17453292519943295</v>
      </c>
      <c r="C3">
        <f t="shared" ref="C3:C38" si="1">RADIANS(5)/SQRT(3)</f>
        <v>5.0383315673172717E-2</v>
      </c>
      <c r="D3">
        <v>8.7999999999999995E-2</v>
      </c>
      <c r="E3">
        <f t="shared" ref="E3:E38" si="2">D3*1000</f>
        <v>88</v>
      </c>
      <c r="F3">
        <f t="shared" ref="F3:F38" si="3">(0.05% * D3 + 0.003)/SQRT(3)</f>
        <v>1.7574542194132212E-3</v>
      </c>
      <c r="G3" s="3">
        <f t="shared" ref="G3:G38" si="4">0.5*SIN(B3-RADIANS(-5))</f>
        <v>0.12940952255126037</v>
      </c>
      <c r="H3">
        <f t="shared" ref="H3:H38" si="5">0.5*SIN(A3+5)</f>
        <v>0.32514392007855841</v>
      </c>
      <c r="I3">
        <f>SQRT((SIN(B3-R$2)*(0.05/SQRT(3)))^2 + (0.5*COS(B3-R$2)*R$2/SQRT(3))^2 + (-COS(B3-R$2)*R$2/SQRT(3))^2)</f>
        <v>5.6172279466752295E-2</v>
      </c>
      <c r="J3">
        <f>(F3-F2)/(B3-B2)</f>
        <v>8.9315281058331171E-5</v>
      </c>
      <c r="K3">
        <f>(F3-F2)/(10)</f>
        <v>1.5588457268120044E-6</v>
      </c>
      <c r="M3" s="5">
        <f t="shared" ref="M3:M38" si="6">D3/(0.014*G3)</f>
        <v>48.572270121964578</v>
      </c>
      <c r="N3" s="4">
        <f>SQRT((1/(AA$5*G3)*F3)^2+(-D3/(G3*AA$5^2)*AA$7)^2+(-D3/(AA$5*G3^2)*I3)^2)</f>
        <v>21.10641141820588</v>
      </c>
      <c r="S3">
        <v>1</v>
      </c>
      <c r="T3">
        <f t="shared" ref="T3:T17" si="7">0.001*S3</f>
        <v>1E-3</v>
      </c>
      <c r="U3">
        <v>2.5000000000000001E-2</v>
      </c>
      <c r="V3">
        <f t="shared" ref="V3:V17" si="8">(0.05%*U3+0.003)/SQRT(3)</f>
        <v>1.7392676859337478E-3</v>
      </c>
    </row>
    <row r="4" spans="1:28" x14ac:dyDescent="0.25">
      <c r="A4">
        <v>20</v>
      </c>
      <c r="B4">
        <f t="shared" si="0"/>
        <v>0.3490658503988659</v>
      </c>
      <c r="C4">
        <f t="shared" si="1"/>
        <v>5.0383315673172717E-2</v>
      </c>
      <c r="D4">
        <v>0.13800000000000001</v>
      </c>
      <c r="E4">
        <f t="shared" si="2"/>
        <v>138</v>
      </c>
      <c r="F4">
        <f t="shared" si="3"/>
        <v>1.7718879761429616E-3</v>
      </c>
      <c r="G4" s="3">
        <f t="shared" si="4"/>
        <v>0.21130913087034972</v>
      </c>
      <c r="H4">
        <f t="shared" si="5"/>
        <v>-6.6175875048886515E-2</v>
      </c>
      <c r="I4">
        <f>SQRT((SIN(B4-R$2)*(0.05/SQRT(3)))^2 + (0.5*COS(B4-R$2)*R$2/SQRT(3))^2 + (-COS(B4-R$2)*R$2/SQRT(3))^2)</f>
        <v>5.492143116603556E-2</v>
      </c>
      <c r="J4">
        <f t="shared" ref="J4:J38" si="9">(F4-F3)/(B4-B3)</f>
        <v>8.2699334313267393E-5</v>
      </c>
      <c r="K4">
        <f t="shared" ref="K4:K38" si="10">(F4-F3)/(10)</f>
        <v>1.4433756729740395E-6</v>
      </c>
      <c r="M4" s="5">
        <f t="shared" si="6"/>
        <v>46.647974067863544</v>
      </c>
      <c r="N4" s="4">
        <f>SQRT((1/(AA$5*G4)*F4)^2+(-D4/(G4*AA$5^2)*AA$7)^2+(-D4/(AA$5*G4^2)*I4)^2)</f>
        <v>12.139934125772861</v>
      </c>
      <c r="S4">
        <v>2</v>
      </c>
      <c r="T4">
        <f t="shared" si="7"/>
        <v>2E-3</v>
      </c>
      <c r="U4">
        <v>4.7E-2</v>
      </c>
      <c r="V4">
        <f t="shared" si="8"/>
        <v>1.7456185388948337E-3</v>
      </c>
      <c r="Z4" t="s">
        <v>25</v>
      </c>
      <c r="AA4">
        <v>14</v>
      </c>
      <c r="AB4" t="s">
        <v>27</v>
      </c>
    </row>
    <row r="5" spans="1:28" x14ac:dyDescent="0.25">
      <c r="A5">
        <v>30</v>
      </c>
      <c r="B5">
        <f t="shared" si="0"/>
        <v>0.52359877559829882</v>
      </c>
      <c r="C5">
        <f t="shared" si="1"/>
        <v>5.0383315673172717E-2</v>
      </c>
      <c r="D5">
        <v>0.18</v>
      </c>
      <c r="E5">
        <f t="shared" si="2"/>
        <v>180</v>
      </c>
      <c r="F5">
        <f t="shared" si="3"/>
        <v>1.7840123317959436E-3</v>
      </c>
      <c r="G5" s="3">
        <f t="shared" si="4"/>
        <v>0.28678821817552302</v>
      </c>
      <c r="H5">
        <f t="shared" si="5"/>
        <v>-0.21409133474807551</v>
      </c>
      <c r="I5">
        <f>SQRT((SIN(B5-R$2)*(0.05/SQRT(3)))^2 + (0.5*COS(B5-R$2)*R$2/SQRT(3))^2 + (-COS(B5-R$2)*R$2/SQRT(3))^2)</f>
        <v>5.2490014633011638E-2</v>
      </c>
      <c r="J5">
        <f t="shared" si="9"/>
        <v>6.946744082314481E-5</v>
      </c>
      <c r="K5">
        <f t="shared" si="10"/>
        <v>1.2124355652981967E-6</v>
      </c>
      <c r="M5" s="5">
        <f t="shared" si="6"/>
        <v>44.831489030256805</v>
      </c>
      <c r="N5" s="4">
        <f>SQRT((1/(AA$5*G5)*F5)^2+(-D5/(G5*AA$5^2)*AA$7)^2+(-D5/(AA$5*G5^2)*I5)^2)</f>
        <v>8.2185688539367376</v>
      </c>
      <c r="Q5" t="s">
        <v>31</v>
      </c>
      <c r="R5">
        <f>1/(1.602 * AA14*2)</f>
        <v>6.9554967533050601E-3</v>
      </c>
      <c r="S5">
        <v>3</v>
      </c>
      <c r="T5">
        <f t="shared" si="7"/>
        <v>3.0000000000000001E-3</v>
      </c>
      <c r="U5">
        <v>7.0000000000000007E-2</v>
      </c>
      <c r="V5">
        <f t="shared" si="8"/>
        <v>1.7522580669905143E-3</v>
      </c>
      <c r="AA5">
        <v>1.4E-2</v>
      </c>
      <c r="AB5" t="s">
        <v>26</v>
      </c>
    </row>
    <row r="6" spans="1:28" x14ac:dyDescent="0.25">
      <c r="A6">
        <v>40</v>
      </c>
      <c r="B6">
        <f t="shared" si="0"/>
        <v>0.69813170079773179</v>
      </c>
      <c r="C6">
        <f t="shared" si="1"/>
        <v>5.0383315673172717E-2</v>
      </c>
      <c r="D6">
        <v>0.22</v>
      </c>
      <c r="E6">
        <f t="shared" si="2"/>
        <v>220</v>
      </c>
      <c r="F6">
        <f t="shared" si="3"/>
        <v>1.7955593371797361E-3</v>
      </c>
      <c r="G6" s="3">
        <f t="shared" si="4"/>
        <v>0.35355339059327373</v>
      </c>
      <c r="H6">
        <f t="shared" si="5"/>
        <v>0.42545176226705922</v>
      </c>
      <c r="I6">
        <f>SQRT((SIN(B6-R$2)*(0.05/SQRT(3)))^2 + (0.5*COS(B6-R$2)*R$2/SQRT(3))^2 + (-COS(B6-R$2)*R$2/SQRT(3))^2)</f>
        <v>4.9023862275150445E-2</v>
      </c>
      <c r="J6">
        <f t="shared" si="9"/>
        <v>6.6159467450615394E-5</v>
      </c>
      <c r="K6">
        <f t="shared" si="10"/>
        <v>1.1547005383792577E-6</v>
      </c>
      <c r="M6" s="5">
        <f t="shared" si="6"/>
        <v>44.446711960297272</v>
      </c>
      <c r="N6" s="4">
        <f>SQRT((1/(AA$5*G6)*F6)^2+(-D6/(G6*AA$5^2)*AA$7)^2+(-D6/(AA$5*G6^2)*I6)^2)</f>
        <v>6.1751970193541492</v>
      </c>
      <c r="Q6" t="s">
        <v>32</v>
      </c>
      <c r="R6">
        <f xml:space="preserve"> SQRT((-P2/(1.602*10^(-19))*AA14^2*2*10^(-6))^2 + (-5%*2*10^(-6)/(1.602*10^(-19)*AA14*2*10^(-6)^2))^2)</f>
        <v>6.9554967533076433E+21</v>
      </c>
      <c r="S6">
        <v>4</v>
      </c>
      <c r="T6">
        <f t="shared" si="7"/>
        <v>4.0000000000000001E-3</v>
      </c>
      <c r="U6">
        <v>9.1999999999999998E-2</v>
      </c>
      <c r="V6">
        <f t="shared" si="8"/>
        <v>1.7586089199516002E-3</v>
      </c>
      <c r="Z6" t="s">
        <v>28</v>
      </c>
      <c r="AA6">
        <v>4.3301199999999998E-2</v>
      </c>
      <c r="AB6" t="s">
        <v>27</v>
      </c>
    </row>
    <row r="7" spans="1:28" x14ac:dyDescent="0.25">
      <c r="A7">
        <v>50</v>
      </c>
      <c r="B7">
        <f t="shared" si="0"/>
        <v>0.87266462599716477</v>
      </c>
      <c r="C7">
        <f t="shared" si="1"/>
        <v>5.0383315673172717E-2</v>
      </c>
      <c r="D7">
        <v>0.25600000000000001</v>
      </c>
      <c r="E7">
        <f t="shared" si="2"/>
        <v>256</v>
      </c>
      <c r="F7">
        <f t="shared" si="3"/>
        <v>1.8059516420251495E-3</v>
      </c>
      <c r="G7" s="3">
        <f t="shared" si="4"/>
        <v>0.4095760221444959</v>
      </c>
      <c r="H7">
        <f t="shared" si="5"/>
        <v>-0.49987758667930993</v>
      </c>
      <c r="I7">
        <f>SQRT((SIN(B7-R$2)*(0.05/SQRT(3)))^2 + (0.5*COS(B7-R$2)*R$2/SQRT(3))^2 + (-COS(B7-R$2)*R$2/SQRT(3))^2)</f>
        <v>4.4757298042394984E-2</v>
      </c>
      <c r="J7">
        <f t="shared" si="9"/>
        <v>5.9543520705554103E-5</v>
      </c>
      <c r="K7">
        <f t="shared" si="10"/>
        <v>1.0392304845413362E-6</v>
      </c>
      <c r="M7" s="5">
        <f t="shared" si="6"/>
        <v>44.645470674704676</v>
      </c>
      <c r="N7" s="4">
        <f>SQRT((1/(AA$5*G7)*F7)^2+(-D7/(G7*AA$5^2)*AA$7)^2+(-D7/(AA$5*G7^2)*I7)^2)</f>
        <v>4.890834676329713</v>
      </c>
      <c r="S7">
        <v>5</v>
      </c>
      <c r="T7">
        <f t="shared" si="7"/>
        <v>5.0000000000000001E-3</v>
      </c>
      <c r="U7">
        <v>0.113</v>
      </c>
      <c r="V7">
        <f t="shared" si="8"/>
        <v>1.7646710977780914E-3</v>
      </c>
      <c r="AA7">
        <v>4.3300999999999998E-5</v>
      </c>
      <c r="AB7" t="s">
        <v>26</v>
      </c>
    </row>
    <row r="8" spans="1:28" x14ac:dyDescent="0.25">
      <c r="A8">
        <v>60</v>
      </c>
      <c r="B8">
        <f t="shared" si="0"/>
        <v>1.0471975511965976</v>
      </c>
      <c r="C8">
        <f t="shared" si="1"/>
        <v>5.0383315673172717E-2</v>
      </c>
      <c r="D8">
        <v>0.27500000000000002</v>
      </c>
      <c r="E8">
        <f t="shared" si="2"/>
        <v>275</v>
      </c>
      <c r="F8">
        <f t="shared" si="3"/>
        <v>1.8114364695824511E-3</v>
      </c>
      <c r="G8" s="3">
        <f t="shared" si="4"/>
        <v>0.45315389351832491</v>
      </c>
      <c r="H8">
        <f t="shared" si="5"/>
        <v>0.41341433974505171</v>
      </c>
      <c r="I8">
        <f>SQRT((SIN(B8-R$2)*(0.05/SQRT(3)))^2 + (0.5*COS(B8-R$2)*R$2/SQRT(3))^2 + (-COS(B8-R$2)*R$2/SQRT(3))^2)</f>
        <v>4.0038636137343993E-2</v>
      </c>
      <c r="J8">
        <f t="shared" si="9"/>
        <v>3.1425747039043016E-5</v>
      </c>
      <c r="K8">
        <f t="shared" si="10"/>
        <v>5.4848275573015927E-7</v>
      </c>
      <c r="M8" s="5">
        <f t="shared" si="6"/>
        <v>43.346989673526473</v>
      </c>
      <c r="N8" s="4">
        <f>SQRT((1/(AA$5*G8)*F8)^2+(-D8/(G8*AA$5^2)*AA$7)^2+(-D8/(AA$5*G8^2)*I8)^2)</f>
        <v>3.8429126101880402</v>
      </c>
      <c r="Q8" t="s">
        <v>34</v>
      </c>
      <c r="S8">
        <v>6</v>
      </c>
      <c r="T8">
        <f t="shared" si="7"/>
        <v>6.0000000000000001E-3</v>
      </c>
      <c r="U8">
        <v>0.13600000000000001</v>
      </c>
      <c r="V8">
        <f t="shared" si="8"/>
        <v>1.771310625873772E-3</v>
      </c>
      <c r="Z8" cm="1">
        <f t="array" ref="Z8:AA12">LINEST(D2:D38,G2:G38,1,1)</f>
        <v>0.62821366070323614</v>
      </c>
      <c r="AA8">
        <v>-4.4696274081461726E-3</v>
      </c>
    </row>
    <row r="9" spans="1:28" x14ac:dyDescent="0.25">
      <c r="A9">
        <v>70</v>
      </c>
      <c r="B9">
        <f t="shared" si="0"/>
        <v>1.2217304763960306</v>
      </c>
      <c r="C9">
        <f t="shared" si="1"/>
        <v>5.0383315673172717E-2</v>
      </c>
      <c r="D9">
        <v>0.29799999999999999</v>
      </c>
      <c r="E9">
        <f t="shared" si="2"/>
        <v>298</v>
      </c>
      <c r="F9">
        <f t="shared" si="3"/>
        <v>1.8180759976781317E-3</v>
      </c>
      <c r="G9" s="3">
        <f t="shared" si="4"/>
        <v>0.4829629131445341</v>
      </c>
      <c r="H9">
        <f t="shared" si="5"/>
        <v>-0.19389081770471522</v>
      </c>
      <c r="I9">
        <f>SQRT((SIN(B9-R$2)*(0.05/SQRT(3)))^2 + (0.5*COS(B9-R$2)*R$2/SQRT(3))^2 + (-COS(B9-R$2)*R$2/SQRT(3))^2)</f>
        <v>3.53727270639086E-2</v>
      </c>
      <c r="J9">
        <f t="shared" si="9"/>
        <v>3.8041693784103041E-5</v>
      </c>
      <c r="K9">
        <f t="shared" si="10"/>
        <v>6.6395280956805908E-7</v>
      </c>
      <c r="M9" s="5">
        <f t="shared" si="6"/>
        <v>44.07318596602925</v>
      </c>
      <c r="N9" s="4">
        <f>SQRT((1/(AA$5*G9)*F9)^2+(-D9/(G9*AA$5^2)*AA$7)^2+(-D9/(AA$5*G9^2)*I9)^2)</f>
        <v>3.2420146395645086</v>
      </c>
      <c r="Q9">
        <f>SQRT(0.136/(0.006*H11))</f>
        <v>8.1454537774060505</v>
      </c>
      <c r="R9">
        <f>SQRT((1/(AA$5*G11)*F11)^2+(-V8/(G11*AA$5^2)*AA$7)^2+(-D11/(AA$5*G11^2)*I2)^2)</f>
        <v>4.9555333405208843</v>
      </c>
      <c r="S9">
        <v>7</v>
      </c>
      <c r="T9">
        <f t="shared" si="7"/>
        <v>7.0000000000000001E-3</v>
      </c>
      <c r="U9">
        <v>0.158</v>
      </c>
      <c r="V9">
        <f t="shared" si="8"/>
        <v>1.7776614788348579E-3</v>
      </c>
      <c r="Z9">
        <v>2.7136385172569031E-3</v>
      </c>
      <c r="AA9">
        <v>9.465618747161648E-4</v>
      </c>
    </row>
    <row r="10" spans="1:28" x14ac:dyDescent="0.25">
      <c r="A10">
        <v>80</v>
      </c>
      <c r="B10">
        <f t="shared" si="0"/>
        <v>1.3962634015954636</v>
      </c>
      <c r="C10">
        <f t="shared" si="1"/>
        <v>5.0383315673172717E-2</v>
      </c>
      <c r="D10">
        <v>0.30499999999999999</v>
      </c>
      <c r="E10">
        <f t="shared" si="2"/>
        <v>305</v>
      </c>
      <c r="F10">
        <f t="shared" si="3"/>
        <v>1.8200967236202952E-3</v>
      </c>
      <c r="G10" s="3">
        <f t="shared" si="4"/>
        <v>0.49809734904587277</v>
      </c>
      <c r="H10">
        <f t="shared" si="5"/>
        <v>-8.8037809974293543E-2</v>
      </c>
      <c r="I10">
        <f>SQRT((SIN(B10-R$2)*(0.05/SQRT(3)))^2 + (0.5*COS(B10-R$2)*R$2/SQRT(3))^2 + (-COS(B10-R$2)*R$2/SQRT(3))^2)</f>
        <v>3.146534370996075E-2</v>
      </c>
      <c r="J10">
        <f t="shared" si="9"/>
        <v>1.1577906803856637E-5</v>
      </c>
      <c r="K10">
        <f t="shared" si="10"/>
        <v>2.0207259421635167E-7</v>
      </c>
      <c r="M10" s="5">
        <f t="shared" si="6"/>
        <v>43.737864350102988</v>
      </c>
      <c r="N10" s="4">
        <f>SQRT((1/(AA$5*G10)*F10)^2+(-D10/(G10*AA$5^2)*AA$7)^2+(-D10/(AA$5*G10^2)*I10)^2)</f>
        <v>2.7785636351826564</v>
      </c>
      <c r="S10">
        <v>8</v>
      </c>
      <c r="T10">
        <f t="shared" si="7"/>
        <v>8.0000000000000002E-3</v>
      </c>
      <c r="U10">
        <v>0.18</v>
      </c>
      <c r="V10">
        <f t="shared" si="8"/>
        <v>1.7840123317959436E-3</v>
      </c>
      <c r="Z10">
        <v>0.99934735990422208</v>
      </c>
      <c r="AA10">
        <v>5.7576782828410583E-3</v>
      </c>
    </row>
    <row r="11" spans="1:28" x14ac:dyDescent="0.25">
      <c r="A11">
        <v>90</v>
      </c>
      <c r="B11">
        <f t="shared" si="0"/>
        <v>1.5707963267948966</v>
      </c>
      <c r="C11">
        <f t="shared" si="1"/>
        <v>5.0383315673172717E-2</v>
      </c>
      <c r="D11">
        <v>0.30599999999999999</v>
      </c>
      <c r="E11">
        <f t="shared" si="2"/>
        <v>306</v>
      </c>
      <c r="F11">
        <f t="shared" si="3"/>
        <v>1.8203853987548901E-3</v>
      </c>
      <c r="G11" s="3">
        <f t="shared" si="4"/>
        <v>0.49809734904587277</v>
      </c>
      <c r="H11">
        <f t="shared" si="5"/>
        <v>0.34163085736806048</v>
      </c>
      <c r="I11">
        <f>SQRT((SIN(B11-R$2)*(0.05/SQRT(3)))^2 + (0.5*COS(B11-R$2)*R$2/SQRT(3))^2 + (-COS(B11-R$2)*R$2/SQRT(3))^2)</f>
        <v>2.917372920318255E-2</v>
      </c>
      <c r="J11">
        <f t="shared" si="9"/>
        <v>1.6539866862659439E-6</v>
      </c>
      <c r="K11">
        <f t="shared" si="10"/>
        <v>2.8867513459491198E-8</v>
      </c>
      <c r="M11" s="5">
        <f t="shared" si="6"/>
        <v>43.881267184037753</v>
      </c>
      <c r="N11" s="4">
        <f>SQRT((1/(AA$5*G11)*F11)^2+(-D11/(G11*AA$5^2)*AA$7)^2+(-D11/(AA$5*G11^2)*I11)^2)</f>
        <v>2.5869265940436978</v>
      </c>
      <c r="Q11" t="s">
        <v>35</v>
      </c>
      <c r="S11">
        <v>9</v>
      </c>
      <c r="T11">
        <f t="shared" si="7"/>
        <v>9.0000000000000011E-3</v>
      </c>
      <c r="U11">
        <v>0.2</v>
      </c>
      <c r="V11">
        <f t="shared" si="8"/>
        <v>1.7897858344878398E-3</v>
      </c>
      <c r="Z11">
        <v>53593.332409277486</v>
      </c>
      <c r="AA11">
        <v>35</v>
      </c>
    </row>
    <row r="12" spans="1:28" x14ac:dyDescent="0.25">
      <c r="A12">
        <v>100</v>
      </c>
      <c r="B12">
        <f t="shared" si="0"/>
        <v>1.7453292519943295</v>
      </c>
      <c r="C12">
        <f t="shared" si="1"/>
        <v>5.0383315673172717E-2</v>
      </c>
      <c r="D12">
        <v>0.29599999999999999</v>
      </c>
      <c r="E12">
        <f t="shared" si="2"/>
        <v>296</v>
      </c>
      <c r="F12">
        <f t="shared" si="3"/>
        <v>1.8174986474089421E-3</v>
      </c>
      <c r="G12" s="3">
        <f t="shared" si="4"/>
        <v>0.48296291314453416</v>
      </c>
      <c r="H12">
        <f t="shared" si="5"/>
        <v>-0.48526764176874237</v>
      </c>
      <c r="I12">
        <f>SQRT((SIN(B12-R$2)*(0.05/SQRT(3)))^2 + (0.5*COS(B12-R$2)*R$2/SQRT(3))^2 + (-COS(B12-R$2)*R$2/SQRT(3))^2)</f>
        <v>2.9173729203182553E-2</v>
      </c>
      <c r="J12">
        <f t="shared" si="9"/>
        <v>-1.6539866862653225E-5</v>
      </c>
      <c r="K12">
        <f t="shared" si="10"/>
        <v>-2.8867513459480357E-7</v>
      </c>
      <c r="M12" s="5">
        <f t="shared" si="6"/>
        <v>43.777392771626367</v>
      </c>
      <c r="N12" s="4">
        <f>SQRT((1/(AA$5*G12)*F12)^2+(-D12/(G12*AA$5^2)*AA$7)^2+(-D12/(AA$5*G12^2)*I12)^2)</f>
        <v>2.6614786011203573</v>
      </c>
      <c r="Q12">
        <f>AF41/ G11</f>
        <v>43.633686408979791</v>
      </c>
      <c r="R12">
        <f>SQRT((1/AA5*AF42)^2+(-AF41*AA7/AA5^2)^2)</f>
        <v>8.3055417786843808</v>
      </c>
      <c r="S12">
        <v>10</v>
      </c>
      <c r="T12">
        <f t="shared" si="7"/>
        <v>0.01</v>
      </c>
      <c r="U12">
        <v>0.22</v>
      </c>
      <c r="V12">
        <f t="shared" si="8"/>
        <v>1.7955593371797361E-3</v>
      </c>
      <c r="Z12">
        <v>1.7766650172249929</v>
      </c>
      <c r="AA12">
        <v>1.1602800723044845E-3</v>
      </c>
    </row>
    <row r="13" spans="1:28" x14ac:dyDescent="0.25">
      <c r="A13">
        <v>110</v>
      </c>
      <c r="B13">
        <f t="shared" si="0"/>
        <v>1.9198621771937625</v>
      </c>
      <c r="C13">
        <f t="shared" si="1"/>
        <v>5.0383315673172717E-2</v>
      </c>
      <c r="D13">
        <v>0.27600000000000002</v>
      </c>
      <c r="E13">
        <f t="shared" si="2"/>
        <v>276</v>
      </c>
      <c r="F13">
        <f t="shared" si="3"/>
        <v>1.8117251447170458E-3</v>
      </c>
      <c r="G13" s="3">
        <f t="shared" si="4"/>
        <v>0.45315389351832502</v>
      </c>
      <c r="H13">
        <f t="shared" si="5"/>
        <v>0.47271766701238516</v>
      </c>
      <c r="I13">
        <f>SQRT((SIN(B13-R$2)*(0.05/SQRT(3)))^2 + (0.5*COS(B13-R$2)*R$2/SQRT(3))^2 + (-COS(B13-R$2)*R$2/SQRT(3))^2)</f>
        <v>3.146534370996075E-2</v>
      </c>
      <c r="J13">
        <f t="shared" si="9"/>
        <v>-3.3079733725307697E-5</v>
      </c>
      <c r="K13">
        <f t="shared" si="10"/>
        <v>-5.7735026918962885E-7</v>
      </c>
      <c r="M13" s="5">
        <f t="shared" si="6"/>
        <v>43.504615090521099</v>
      </c>
      <c r="N13" s="4">
        <f>SQRT((1/(AA$5*G13)*F13)^2+(-D13/(G13*AA$5^2)*AA$7)^2+(-D13/(AA$5*G13^2)*I13)^2)</f>
        <v>3.0372513467372704</v>
      </c>
      <c r="S13">
        <v>11</v>
      </c>
      <c r="T13">
        <f t="shared" si="7"/>
        <v>1.0999999999999999E-2</v>
      </c>
      <c r="U13">
        <v>0.24399999999999999</v>
      </c>
      <c r="V13">
        <f t="shared" si="8"/>
        <v>1.8024875404100118E-3</v>
      </c>
    </row>
    <row r="14" spans="1:28" x14ac:dyDescent="0.25">
      <c r="A14">
        <v>120</v>
      </c>
      <c r="B14">
        <f t="shared" si="0"/>
        <v>2.0943951023931953</v>
      </c>
      <c r="C14">
        <f t="shared" si="1"/>
        <v>5.0383315673172717E-2</v>
      </c>
      <c r="D14">
        <v>0.249</v>
      </c>
      <c r="E14">
        <f t="shared" si="2"/>
        <v>249</v>
      </c>
      <c r="F14">
        <f t="shared" si="3"/>
        <v>1.803930916082986E-3</v>
      </c>
      <c r="G14" s="3">
        <f t="shared" si="4"/>
        <v>0.40957602214449601</v>
      </c>
      <c r="H14">
        <f t="shared" si="5"/>
        <v>-0.30802022959432823</v>
      </c>
      <c r="I14">
        <f>SQRT((SIN(B14-R$2)*(0.05/SQRT(3)))^2 + (0.5*COS(B14-R$2)*R$2/SQRT(3))^2 + (-COS(B14-R$2)*R$2/SQRT(3))^2)</f>
        <v>3.53727270639086E-2</v>
      </c>
      <c r="J14">
        <f t="shared" si="9"/>
        <v>-4.4657640529164386E-5</v>
      </c>
      <c r="K14">
        <f t="shared" si="10"/>
        <v>-7.7942286340598049E-7</v>
      </c>
      <c r="M14" s="5">
        <f t="shared" si="6"/>
        <v>43.424696085943211</v>
      </c>
      <c r="N14" s="4">
        <f>SQRT((1/(AA$5*G14)*F14)^2+(-D14/(G14*AA$5^2)*AA$7)^2+(-D14/(AA$5*G14^2)*I14)^2)</f>
        <v>3.7659092359173663</v>
      </c>
      <c r="Q14" t="s">
        <v>31</v>
      </c>
      <c r="R14">
        <f>1/(1.602 * Q12*2)</f>
        <v>7.1529565424806353E-3</v>
      </c>
      <c r="S14">
        <v>12</v>
      </c>
      <c r="T14">
        <f t="shared" si="7"/>
        <v>1.2E-2</v>
      </c>
      <c r="U14">
        <v>0.26500000000000001</v>
      </c>
      <c r="V14">
        <f t="shared" si="8"/>
        <v>1.8085497182365028E-3</v>
      </c>
      <c r="Z14" t="s">
        <v>22</v>
      </c>
      <c r="AA14">
        <f>Z8/AA5</f>
        <v>44.87240433594544</v>
      </c>
    </row>
    <row r="15" spans="1:28" x14ac:dyDescent="0.25">
      <c r="A15">
        <v>130</v>
      </c>
      <c r="B15">
        <f t="shared" si="0"/>
        <v>2.2689280275926285</v>
      </c>
      <c r="C15">
        <f t="shared" si="1"/>
        <v>5.0383315673172717E-2</v>
      </c>
      <c r="D15">
        <v>0.21299999999999999</v>
      </c>
      <c r="E15">
        <f t="shared" si="2"/>
        <v>213</v>
      </c>
      <c r="F15">
        <f t="shared" si="3"/>
        <v>1.7935386112375724E-3</v>
      </c>
      <c r="G15" s="3">
        <f t="shared" si="4"/>
        <v>0.35355339059327379</v>
      </c>
      <c r="H15">
        <f t="shared" si="5"/>
        <v>4.4184343052000717E-2</v>
      </c>
      <c r="I15">
        <f>SQRT((SIN(B15-R$2)*(0.05/SQRT(3)))^2 + (0.5*COS(B15-R$2)*R$2/SQRT(3))^2 + (-COS(B15-R$2)*R$2/SQRT(3))^2)</f>
        <v>4.0038636137343993E-2</v>
      </c>
      <c r="J15">
        <f t="shared" si="9"/>
        <v>-5.9543520705555268E-5</v>
      </c>
      <c r="K15">
        <f t="shared" si="10"/>
        <v>-1.039230484541358E-6</v>
      </c>
      <c r="M15" s="5">
        <f t="shared" si="6"/>
        <v>43.032498397924172</v>
      </c>
      <c r="N15" s="4">
        <f>SQRT((1/(AA$5*G15)*F15)^2+(-D15/(G15*AA$5^2)*AA$7)^2+(-D15/(AA$5*G15^2)*I15)^2)</f>
        <v>4.8885387694692577</v>
      </c>
      <c r="Q15" t="s">
        <v>32</v>
      </c>
      <c r="R15">
        <f xml:space="preserve"> SQRT((-R12/(1.602*10^(-19))*Q12^2*2*10^(-6))^2 + (-5%*2*10^(-6)/(1.602*10^(-19)*Q12*2*10^(-6)^2))^2)</f>
        <v>7.1529565452048615E+21</v>
      </c>
      <c r="S15">
        <v>13</v>
      </c>
      <c r="T15">
        <f t="shared" si="7"/>
        <v>1.3000000000000001E-2</v>
      </c>
      <c r="U15">
        <v>0.28699999999999998</v>
      </c>
      <c r="V15">
        <f t="shared" si="8"/>
        <v>1.8149005711975887E-3</v>
      </c>
    </row>
    <row r="16" spans="1:28" x14ac:dyDescent="0.25">
      <c r="A16">
        <v>140</v>
      </c>
      <c r="B16">
        <f t="shared" si="0"/>
        <v>2.4434609527920612</v>
      </c>
      <c r="C16">
        <f t="shared" si="1"/>
        <v>5.0383315673172717E-2</v>
      </c>
      <c r="D16">
        <v>0.17299999999999999</v>
      </c>
      <c r="E16">
        <f t="shared" si="2"/>
        <v>173</v>
      </c>
      <c r="F16">
        <f t="shared" si="3"/>
        <v>1.7819916058537803E-3</v>
      </c>
      <c r="G16" s="3">
        <f t="shared" si="4"/>
        <v>0.28678821817552319</v>
      </c>
      <c r="H16">
        <f t="shared" si="5"/>
        <v>0.23387258102256667</v>
      </c>
      <c r="I16">
        <f>SQRT((SIN(B16-R$2)*(0.05/SQRT(3)))^2 + (0.5*COS(B16-R$2)*R$2/SQRT(3))^2 + (-COS(B16-R$2)*R$2/SQRT(3))^2)</f>
        <v>4.4757298042394984E-2</v>
      </c>
      <c r="J16">
        <f t="shared" si="9"/>
        <v>-6.6159467450612995E-5</v>
      </c>
      <c r="K16">
        <f t="shared" si="10"/>
        <v>-1.1547005383792143E-6</v>
      </c>
      <c r="M16" s="5">
        <f t="shared" si="6"/>
        <v>43.08804223463568</v>
      </c>
      <c r="N16" s="4">
        <f>SQRT((1/(AA$5*G16)*F16)^2+(-D16/(G16*AA$5^2)*AA$7)^2+(-D16/(AA$5*G16^2)*I16)^2)</f>
        <v>6.7404379371822802</v>
      </c>
      <c r="S16">
        <v>14</v>
      </c>
      <c r="T16">
        <f t="shared" si="7"/>
        <v>1.4E-2</v>
      </c>
      <c r="U16">
        <v>0.307</v>
      </c>
      <c r="V16">
        <f t="shared" si="8"/>
        <v>1.820674073889485E-3</v>
      </c>
    </row>
    <row r="17" spans="1:25" x14ac:dyDescent="0.25">
      <c r="A17">
        <v>150</v>
      </c>
      <c r="B17">
        <f t="shared" si="0"/>
        <v>2.6179938779914944</v>
      </c>
      <c r="C17">
        <f t="shared" si="1"/>
        <v>5.0383315673172717E-2</v>
      </c>
      <c r="D17">
        <v>0.125</v>
      </c>
      <c r="E17">
        <f t="shared" si="2"/>
        <v>125</v>
      </c>
      <c r="F17">
        <f t="shared" si="3"/>
        <v>1.768135199393229E-3</v>
      </c>
      <c r="G17" s="3">
        <f t="shared" si="4"/>
        <v>0.21130913087034975</v>
      </c>
      <c r="H17">
        <f t="shared" si="5"/>
        <v>-0.43665599138732381</v>
      </c>
      <c r="I17">
        <f>SQRT((SIN(B17-R$2)*(0.05/SQRT(3)))^2 + (0.5*COS(B17-R$2)*R$2/SQRT(3))^2 + (-COS(B17-R$2)*R$2/SQRT(3))^2)</f>
        <v>4.9023862275150459E-2</v>
      </c>
      <c r="J17">
        <f t="shared" si="9"/>
        <v>-7.9391360940739115E-5</v>
      </c>
      <c r="K17">
        <f t="shared" si="10"/>
        <v>-1.3856406460551221E-6</v>
      </c>
      <c r="M17" s="5">
        <f t="shared" si="6"/>
        <v>42.253599699151749</v>
      </c>
      <c r="N17" s="4">
        <f>SQRT((1/(AA$5*G17)*F17)^2+(-D17/(G17*AA$5^2)*AA$7)^2+(-D17/(AA$5*G17^2)*I17)^2)</f>
        <v>9.8219367789467267</v>
      </c>
      <c r="S17">
        <v>15</v>
      </c>
      <c r="T17">
        <f t="shared" si="7"/>
        <v>1.4999999999999999E-2</v>
      </c>
      <c r="U17">
        <v>0.32700000000000001</v>
      </c>
      <c r="V17">
        <f t="shared" si="8"/>
        <v>1.8264475765813813E-3</v>
      </c>
    </row>
    <row r="18" spans="1:25" x14ac:dyDescent="0.25">
      <c r="A18">
        <v>160</v>
      </c>
      <c r="B18">
        <f t="shared" si="0"/>
        <v>2.7925268031909272</v>
      </c>
      <c r="C18">
        <f t="shared" si="1"/>
        <v>5.0383315673172717E-2</v>
      </c>
      <c r="D18">
        <v>7.5999999999999998E-2</v>
      </c>
      <c r="E18">
        <f t="shared" si="2"/>
        <v>76</v>
      </c>
      <c r="F18">
        <f t="shared" si="3"/>
        <v>1.7539901177980831E-3</v>
      </c>
      <c r="G18" s="3">
        <f t="shared" si="4"/>
        <v>0.12940952255126051</v>
      </c>
      <c r="H18">
        <f t="shared" si="5"/>
        <v>0.49889863972494536</v>
      </c>
      <c r="I18">
        <f>SQRT((SIN(B18-R$2)*(0.05/SQRT(3)))^2 + (0.5*COS(B18-R$2)*R$2/SQRT(3))^2 + (-COS(B18-R$2)*R$2/SQRT(3))^2)</f>
        <v>5.2490014633011638E-2</v>
      </c>
      <c r="J18">
        <f t="shared" si="9"/>
        <v>-8.1045347627004013E-5</v>
      </c>
      <c r="K18">
        <f t="shared" si="10"/>
        <v>-1.4145081595145918E-6</v>
      </c>
      <c r="M18" s="5">
        <f t="shared" si="6"/>
        <v>41.948778741696636</v>
      </c>
      <c r="N18" s="4">
        <f>SQRT((1/(AA$5*G18)*F18)^2+(-D18/(G18*AA$5^2)*AA$7)^2+(-D18/(AA$5*G18^2)*I18)^2)</f>
        <v>17.042929150018171</v>
      </c>
      <c r="W18" s="1" t="s">
        <v>6</v>
      </c>
      <c r="X18" s="1" t="s">
        <v>7</v>
      </c>
      <c r="Y18" s="1"/>
    </row>
    <row r="19" spans="1:25" x14ac:dyDescent="0.25">
      <c r="A19">
        <v>170</v>
      </c>
      <c r="B19">
        <f t="shared" si="0"/>
        <v>2.9670597283903604</v>
      </c>
      <c r="C19">
        <f t="shared" si="1"/>
        <v>5.0383315673172717E-2</v>
      </c>
      <c r="D19">
        <v>1.7000000000000001E-2</v>
      </c>
      <c r="E19">
        <f t="shared" si="2"/>
        <v>17</v>
      </c>
      <c r="F19">
        <f t="shared" si="3"/>
        <v>1.7369582848569892E-3</v>
      </c>
      <c r="G19" s="3">
        <f t="shared" si="4"/>
        <v>4.3577871373829097E-2</v>
      </c>
      <c r="H19">
        <f t="shared" si="5"/>
        <v>-0.40056729758902038</v>
      </c>
      <c r="I19">
        <f>SQRT((SIN(B19-R$2)*(0.05/SQRT(3)))^2 + (0.5*COS(B19-R$2)*R$2/SQRT(3))^2 + (-COS(B19-R$2)*R$2/SQRT(3))^2)</f>
        <v>5.492143116603556E-2</v>
      </c>
      <c r="J19">
        <f t="shared" si="9"/>
        <v>-9.7585214489657015E-5</v>
      </c>
      <c r="K19">
        <f t="shared" si="10"/>
        <v>-1.7031832941093954E-6</v>
      </c>
      <c r="M19" s="5">
        <f t="shared" si="6"/>
        <v>27.864732168055358</v>
      </c>
      <c r="N19" s="4">
        <f>SQRT((1/(AA$5*G19)*F19)^2+(-D19/(G19*AA$5^2)*AA$7)^2+(-D19/(AA$5*G19^2)*I19)^2)</f>
        <v>35.233398154897351</v>
      </c>
      <c r="Q19">
        <f>RADIANS(5)</f>
        <v>8.7266462599716474E-2</v>
      </c>
      <c r="W19" s="1"/>
      <c r="X19" s="1">
        <f>(0.29 +0.249)/(240-120)</f>
        <v>4.4916666666666664E-3</v>
      </c>
      <c r="Y19" s="1" t="s">
        <v>8</v>
      </c>
    </row>
    <row r="20" spans="1:25" x14ac:dyDescent="0.25">
      <c r="A20">
        <v>180</v>
      </c>
      <c r="B20">
        <f t="shared" si="0"/>
        <v>3.1415926535897931</v>
      </c>
      <c r="C20">
        <f t="shared" si="1"/>
        <v>5.0383315673172717E-2</v>
      </c>
      <c r="D20">
        <v>-3.5000000000000003E-2</v>
      </c>
      <c r="E20">
        <f t="shared" si="2"/>
        <v>-35</v>
      </c>
      <c r="F20">
        <f t="shared" si="3"/>
        <v>1.7219471778580589E-3</v>
      </c>
      <c r="G20" s="3">
        <f t="shared" si="4"/>
        <v>-4.3577871373828972E-2</v>
      </c>
      <c r="H20">
        <f t="shared" si="5"/>
        <v>0.173310590047138</v>
      </c>
      <c r="I20">
        <f>SQRT((SIN(B20-R$2)*(0.05/SQRT(3)))^2 + (0.5*COS(B20-R$2)*R$2/SQRT(3))^2 + (-COS(B20-R$2)*R$2/SQRT(3))^2)</f>
        <v>5.6172279466752295E-2</v>
      </c>
      <c r="J20">
        <f t="shared" si="9"/>
        <v>-8.600730768579937E-5</v>
      </c>
      <c r="K20">
        <f t="shared" si="10"/>
        <v>-1.501110699893022E-6</v>
      </c>
      <c r="M20" s="5">
        <f t="shared" si="6"/>
        <v>57.36856622834943</v>
      </c>
      <c r="N20" s="4">
        <f>SQRT((1/(AA$5*G20)*F20)^2+(-D20/(G20*AA$5^2)*AA$7)^2+(-D20/(AA$5*G20^2)*I20)^2)</f>
        <v>74.00266899367729</v>
      </c>
      <c r="W20" s="2" t="s">
        <v>9</v>
      </c>
      <c r="X20" s="2" t="s">
        <v>10</v>
      </c>
      <c r="Y20" s="2"/>
    </row>
    <row r="21" spans="1:25" x14ac:dyDescent="0.25">
      <c r="A21">
        <v>190</v>
      </c>
      <c r="B21">
        <f t="shared" si="0"/>
        <v>3.3161255787892263</v>
      </c>
      <c r="C21">
        <f t="shared" si="1"/>
        <v>5.0383315673172717E-2</v>
      </c>
      <c r="D21">
        <v>-9.4E-2</v>
      </c>
      <c r="E21">
        <f t="shared" si="2"/>
        <v>-94</v>
      </c>
      <c r="F21">
        <f t="shared" si="3"/>
        <v>1.704915344916965E-3</v>
      </c>
      <c r="G21" s="3">
        <f t="shared" si="4"/>
        <v>-0.1294095225512604</v>
      </c>
      <c r="H21">
        <f t="shared" si="5"/>
        <v>0.1097273339970318</v>
      </c>
      <c r="I21">
        <f>SQRT((SIN(B21-R$2)*(0.05/SQRT(3)))^2 + (0.5*COS(B21-R$2)*R$2/SQRT(3))^2 + (-COS(B21-R$2)*R$2/SQRT(3))^2)</f>
        <v>5.6172279466752295E-2</v>
      </c>
      <c r="J21">
        <f t="shared" si="9"/>
        <v>-9.7585214489657015E-5</v>
      </c>
      <c r="K21">
        <f t="shared" si="10"/>
        <v>-1.7031832941093954E-6</v>
      </c>
      <c r="M21" s="5">
        <f t="shared" si="6"/>
        <v>51.884015812098518</v>
      </c>
      <c r="N21" s="4">
        <f>SQRT((1/(AA$5*G21)*F21)^2+(-D21/(G21*AA$5^2)*AA$7)^2+(-D21/(AA$5*G21^2)*I21)^2)</f>
        <v>22.541312761182304</v>
      </c>
      <c r="W21" s="2"/>
      <c r="X21" s="2">
        <f>(0.29 +0.249)/(2/3*PI())</f>
        <v>0.25735354297959473</v>
      </c>
      <c r="Y21" s="2" t="s">
        <v>11</v>
      </c>
    </row>
    <row r="22" spans="1:25" x14ac:dyDescent="0.25">
      <c r="A22">
        <v>200</v>
      </c>
      <c r="B22">
        <f t="shared" si="0"/>
        <v>3.4906585039886591</v>
      </c>
      <c r="C22">
        <f t="shared" si="1"/>
        <v>5.0383315673172717E-2</v>
      </c>
      <c r="D22">
        <v>-0.14399999999999999</v>
      </c>
      <c r="E22">
        <f t="shared" si="2"/>
        <v>-144</v>
      </c>
      <c r="F22">
        <f t="shared" si="3"/>
        <v>1.6904815881872244E-3</v>
      </c>
      <c r="G22" s="3">
        <f t="shared" si="4"/>
        <v>-0.21130913087034964</v>
      </c>
      <c r="H22">
        <f t="shared" si="5"/>
        <v>-0.35744875388388214</v>
      </c>
      <c r="I22">
        <f>SQRT((SIN(B22-R$2)*(0.05/SQRT(3)))^2 + (0.5*COS(B22-R$2)*R$2/SQRT(3))^2 + (-COS(B22-R$2)*R$2/SQRT(3))^2)</f>
        <v>5.492143116603556E-2</v>
      </c>
      <c r="J22">
        <f t="shared" si="9"/>
        <v>-8.2699334313268721E-5</v>
      </c>
      <c r="K22">
        <f t="shared" si="10"/>
        <v>-1.4433756729740613E-6</v>
      </c>
      <c r="M22" s="5">
        <f t="shared" si="6"/>
        <v>48.676146853422843</v>
      </c>
      <c r="N22" s="4">
        <f>SQRT((1/(AA$5*G22)*F22)^2+(-D22/(G22*AA$5^2)*AA$7)^2+(-D22/(AA$5*G22^2)*I22)^2)</f>
        <v>12.665227874704001</v>
      </c>
    </row>
    <row r="23" spans="1:25" x14ac:dyDescent="0.25">
      <c r="A23">
        <v>210</v>
      </c>
      <c r="B23">
        <f t="shared" si="0"/>
        <v>3.6651914291880923</v>
      </c>
      <c r="C23">
        <f t="shared" si="1"/>
        <v>5.0383315673172717E-2</v>
      </c>
      <c r="D23">
        <v>-0.19</v>
      </c>
      <c r="E23">
        <f t="shared" si="2"/>
        <v>-190</v>
      </c>
      <c r="F23">
        <f t="shared" si="3"/>
        <v>1.677202531995863E-3</v>
      </c>
      <c r="G23" s="3">
        <f t="shared" si="4"/>
        <v>-0.28678821817552308</v>
      </c>
      <c r="H23">
        <f t="shared" si="5"/>
        <v>0.49012281097861127</v>
      </c>
      <c r="I23">
        <f>SQRT((SIN(B23-R$2)*(0.05/SQRT(3)))^2 + (0.5*COS(B23-R$2)*R$2/SQRT(3))^2 + (-COS(B23-R$2)*R$2/SQRT(3))^2)</f>
        <v>5.2490014633011638E-2</v>
      </c>
      <c r="J23">
        <f t="shared" si="9"/>
        <v>-7.6083387568207233E-5</v>
      </c>
      <c r="K23">
        <f t="shared" si="10"/>
        <v>-1.3279056191361398E-6</v>
      </c>
      <c r="M23" s="5">
        <f t="shared" si="6"/>
        <v>47.322127309715512</v>
      </c>
      <c r="N23" s="4">
        <f>SQRT((1/(AA$5*G23)*F23)^2+(-D23/(G23*AA$5^2)*AA$7)^2+(-D23/(AA$5*G23^2)*I23)^2)</f>
        <v>8.6725343824986076</v>
      </c>
    </row>
    <row r="24" spans="1:25" x14ac:dyDescent="0.25">
      <c r="A24">
        <v>220</v>
      </c>
      <c r="B24">
        <f t="shared" si="0"/>
        <v>3.839724354387525</v>
      </c>
      <c r="C24">
        <f t="shared" si="1"/>
        <v>5.0383315673172717E-2</v>
      </c>
      <c r="D24">
        <v>-0.23</v>
      </c>
      <c r="E24">
        <f t="shared" si="2"/>
        <v>-230</v>
      </c>
      <c r="F24">
        <f t="shared" si="3"/>
        <v>1.6656555266120704E-3</v>
      </c>
      <c r="G24" s="3">
        <f t="shared" si="4"/>
        <v>-0.35355339059327373</v>
      </c>
      <c r="H24">
        <f t="shared" si="5"/>
        <v>-0.4650474390022627</v>
      </c>
      <c r="I24">
        <f>SQRT((SIN(B24-R$2)*(0.05/SQRT(3)))^2 + (0.5*COS(B24-R$2)*R$2/SQRT(3))^2 + (-COS(B24-R$2)*R$2/SQRT(3))^2)</f>
        <v>4.9023862275150445E-2</v>
      </c>
      <c r="J24">
        <f t="shared" si="9"/>
        <v>-6.6159467450615476E-5</v>
      </c>
      <c r="K24">
        <f t="shared" si="10"/>
        <v>-1.1547005383792577E-6</v>
      </c>
      <c r="M24" s="5">
        <f t="shared" si="6"/>
        <v>46.467017049401697</v>
      </c>
      <c r="N24" s="4">
        <f>SQRT((1/(AA$5*G24)*F24)^2+(-D24/(G24*AA$5^2)*AA$7)^2+(-D24/(AA$5*G24^2)*I24)^2)</f>
        <v>6.4535184395632488</v>
      </c>
    </row>
    <row r="25" spans="1:25" x14ac:dyDescent="0.25">
      <c r="A25">
        <v>230</v>
      </c>
      <c r="B25">
        <f t="shared" si="0"/>
        <v>4.0142572795869578</v>
      </c>
      <c r="C25">
        <f t="shared" si="1"/>
        <v>5.0383315673172717E-2</v>
      </c>
      <c r="D25">
        <v>-0.26900000000000002</v>
      </c>
      <c r="E25">
        <f t="shared" si="2"/>
        <v>-269</v>
      </c>
      <c r="F25">
        <f t="shared" si="3"/>
        <v>1.6543971963628727E-3</v>
      </c>
      <c r="G25" s="3">
        <f t="shared" si="4"/>
        <v>-0.40957602214449579</v>
      </c>
      <c r="H25">
        <f t="shared" si="5"/>
        <v>0.29029332049482237</v>
      </c>
      <c r="I25">
        <f>SQRT((SIN(B25-R$2)*(0.05/SQRT(3)))^2 + (0.5*COS(B25-R$2)*R$2/SQRT(3))^2 + (-COS(B25-R$2)*R$2/SQRT(3))^2)</f>
        <v>4.4757298042394991E-2</v>
      </c>
      <c r="J25">
        <f t="shared" si="9"/>
        <v>-6.4505480764349534E-5</v>
      </c>
      <c r="K25">
        <f t="shared" si="10"/>
        <v>-1.1258330249197664E-6</v>
      </c>
      <c r="M25" s="5">
        <f t="shared" si="6"/>
        <v>46.912623482404541</v>
      </c>
      <c r="N25" s="4">
        <f>SQRT((1/(AA$5*G25)*F25)^2+(-D25/(G25*AA$5^2)*AA$7)^2+(-D25/(AA$5*G25^2)*I25)^2)</f>
        <v>5.1366398870135805</v>
      </c>
    </row>
    <row r="26" spans="1:25" x14ac:dyDescent="0.25">
      <c r="A26">
        <v>240</v>
      </c>
      <c r="B26">
        <f t="shared" si="0"/>
        <v>4.1887902047863905</v>
      </c>
      <c r="C26">
        <f t="shared" si="1"/>
        <v>5.0383315673172717E-2</v>
      </c>
      <c r="D26">
        <v>-0.28999999999999998</v>
      </c>
      <c r="E26">
        <f t="shared" si="2"/>
        <v>-290</v>
      </c>
      <c r="F26">
        <f t="shared" si="3"/>
        <v>1.6483350185363815E-3</v>
      </c>
      <c r="G26" s="3">
        <f t="shared" si="4"/>
        <v>-0.45315389351832486</v>
      </c>
      <c r="H26">
        <f t="shared" si="5"/>
        <v>-2.2106281614279834E-2</v>
      </c>
      <c r="I26">
        <f>SQRT((SIN(B26-R$2)*(0.05/SQRT(3)))^2 + (0.5*COS(B26-R$2)*R$2/SQRT(3))^2 + (-COS(B26-R$2)*R$2/SQRT(3))^2)</f>
        <v>4.0038636137344E-2</v>
      </c>
      <c r="J26">
        <f t="shared" si="9"/>
        <v>-3.4733720411573686E-5</v>
      </c>
      <c r="K26">
        <f t="shared" si="10"/>
        <v>-6.0621778264912003E-7</v>
      </c>
      <c r="M26" s="5">
        <f t="shared" si="6"/>
        <v>45.711370928446101</v>
      </c>
      <c r="N26" s="4">
        <f>SQRT((1/(AA$5*G26)*F26)^2+(-D26/(G26*AA$5^2)*AA$7)^2+(-D26/(AA$5*G26^2)*I26)^2)</f>
        <v>4.0496679512512266</v>
      </c>
    </row>
    <row r="27" spans="1:25" x14ac:dyDescent="0.25">
      <c r="A27">
        <v>250</v>
      </c>
      <c r="B27">
        <f t="shared" si="0"/>
        <v>4.3633231299858242</v>
      </c>
      <c r="C27">
        <f t="shared" si="1"/>
        <v>5.0383315673172717E-2</v>
      </c>
      <c r="D27">
        <v>-0.30599999999999999</v>
      </c>
      <c r="E27">
        <f t="shared" si="2"/>
        <v>-306</v>
      </c>
      <c r="F27">
        <f t="shared" si="3"/>
        <v>1.6437162163828647E-3</v>
      </c>
      <c r="G27" s="3">
        <f t="shared" si="4"/>
        <v>-0.48296291314453416</v>
      </c>
      <c r="H27">
        <f t="shared" si="5"/>
        <v>-0.25319581746224545</v>
      </c>
      <c r="I27">
        <f>SQRT((SIN(B27-R$2)*(0.05/SQRT(3)))^2 + (0.5*COS(B27-R$2)*R$2/SQRT(3))^2 + (-COS(B27-R$2)*R$2/SQRT(3))^2)</f>
        <v>3.5372727063908593E-2</v>
      </c>
      <c r="J27">
        <f t="shared" si="9"/>
        <v>-2.6463786980245061E-5</v>
      </c>
      <c r="K27">
        <f t="shared" si="10"/>
        <v>-4.6188021535168574E-7</v>
      </c>
      <c r="M27" s="5">
        <f t="shared" si="6"/>
        <v>45.256358743640767</v>
      </c>
      <c r="N27" s="4">
        <f>SQRT((1/(AA$5*G27)*F27)^2+(-D27/(G27*AA$5^2)*AA$7)^2+(-D27/(AA$5*G27^2)*I27)^2)</f>
        <v>3.3264737756025475</v>
      </c>
    </row>
    <row r="28" spans="1:25" x14ac:dyDescent="0.25">
      <c r="A28">
        <v>260</v>
      </c>
      <c r="B28">
        <f t="shared" si="0"/>
        <v>4.5378560551852569</v>
      </c>
      <c r="C28">
        <f t="shared" si="1"/>
        <v>5.0383315673172717E-2</v>
      </c>
      <c r="D28">
        <v>-0.32400000000000001</v>
      </c>
      <c r="E28">
        <f t="shared" si="2"/>
        <v>-324</v>
      </c>
      <c r="F28">
        <f t="shared" si="3"/>
        <v>1.6385200639601582E-3</v>
      </c>
      <c r="G28" s="3">
        <f t="shared" si="4"/>
        <v>-0.49809734904587277</v>
      </c>
      <c r="H28">
        <f t="shared" si="5"/>
        <v>0.44700508504189712</v>
      </c>
      <c r="I28">
        <f>SQRT((SIN(B28-R$2)*(0.05/SQRT(3)))^2 + (0.5*COS(B28-R$2)*R$2/SQRT(3))^2 + (-COS(B28-R$2)*R$2/SQRT(3))^2)</f>
        <v>3.1465343709960743E-2</v>
      </c>
      <c r="J28">
        <f t="shared" si="9"/>
        <v>-2.9771760352775845E-5</v>
      </c>
      <c r="K28">
        <f t="shared" si="10"/>
        <v>-5.1961524227064639E-7</v>
      </c>
      <c r="M28" s="5">
        <f t="shared" si="6"/>
        <v>46.462518194863506</v>
      </c>
      <c r="N28" s="4">
        <f>SQRT((1/(AA$5*G28)*F28)^2+(-D28/(G28*AA$5^2)*AA$7)^2+(-D28/(AA$5*G28^2)*I28)^2)</f>
        <v>2.9479819627681638</v>
      </c>
    </row>
    <row r="29" spans="1:25" x14ac:dyDescent="0.25">
      <c r="A29">
        <v>270</v>
      </c>
      <c r="B29">
        <f t="shared" si="0"/>
        <v>4.7123889803846897</v>
      </c>
      <c r="C29">
        <f t="shared" si="1"/>
        <v>5.0383315673172717E-2</v>
      </c>
      <c r="D29">
        <v>-0.32400000000000001</v>
      </c>
      <c r="E29">
        <f t="shared" si="2"/>
        <v>-324</v>
      </c>
      <c r="F29">
        <f t="shared" si="3"/>
        <v>1.6385200639601582E-3</v>
      </c>
      <c r="G29" s="3">
        <f t="shared" si="4"/>
        <v>-0.49809734904587277</v>
      </c>
      <c r="H29">
        <f t="shared" si="5"/>
        <v>-0.49694266295986306</v>
      </c>
      <c r="I29">
        <f>SQRT((SIN(B29-R$2)*(0.05/SQRT(3)))^2 + (0.5*COS(B29-R$2)*R$2/SQRT(3))^2 + (-COS(B29-R$2)*R$2/SQRT(3))^2)</f>
        <v>2.9173729203182553E-2</v>
      </c>
      <c r="J29">
        <f t="shared" si="9"/>
        <v>0</v>
      </c>
      <c r="K29">
        <f t="shared" si="10"/>
        <v>0</v>
      </c>
      <c r="M29" s="5">
        <f t="shared" si="6"/>
        <v>46.462518194863506</v>
      </c>
      <c r="N29" s="4">
        <f>SQRT((1/(AA$5*G29)*F29)^2+(-D29/(G29*AA$5^2)*AA$7)^2+(-D29/(AA$5*G29^2)*I29)^2)</f>
        <v>2.7352281097891731</v>
      </c>
    </row>
    <row r="30" spans="1:25" x14ac:dyDescent="0.25">
      <c r="A30">
        <v>280</v>
      </c>
      <c r="B30">
        <f t="shared" si="0"/>
        <v>4.8869219055841224</v>
      </c>
      <c r="C30">
        <f t="shared" si="1"/>
        <v>5.0383315673172717E-2</v>
      </c>
      <c r="D30">
        <v>-0.30499999999999999</v>
      </c>
      <c r="E30">
        <f t="shared" si="2"/>
        <v>-305</v>
      </c>
      <c r="F30">
        <f t="shared" si="3"/>
        <v>1.6440048915174596E-3</v>
      </c>
      <c r="G30" s="3">
        <f t="shared" si="4"/>
        <v>-0.48296291314453421</v>
      </c>
      <c r="H30">
        <f t="shared" si="5"/>
        <v>0.38693579510421583</v>
      </c>
      <c r="I30">
        <f>SQRT((SIN(B30-R$2)*(0.05/SQRT(3)))^2 + (0.5*COS(B30-R$2)*R$2/SQRT(3))^2 + (-COS(B30-R$2)*R$2/SQRT(3))^2)</f>
        <v>2.917372920318255E-2</v>
      </c>
      <c r="J30">
        <f t="shared" si="9"/>
        <v>3.142574703904179E-5</v>
      </c>
      <c r="K30">
        <f t="shared" si="10"/>
        <v>5.4848275573013768E-7</v>
      </c>
      <c r="M30" s="5">
        <f t="shared" si="6"/>
        <v>45.108462146439322</v>
      </c>
      <c r="N30" s="4">
        <f>SQRT((1/(AA$5*G30)*F30)^2+(-D30/(G30*AA$5^2)*AA$7)^2+(-D30/(AA$5*G30^2)*I30)^2)</f>
        <v>2.739191792875824</v>
      </c>
    </row>
    <row r="31" spans="1:25" x14ac:dyDescent="0.25">
      <c r="A31">
        <v>290</v>
      </c>
      <c r="B31">
        <f t="shared" si="0"/>
        <v>5.0614548307835561</v>
      </c>
      <c r="C31">
        <f t="shared" si="1"/>
        <v>5.0383315673172717E-2</v>
      </c>
      <c r="D31">
        <v>-0.28699999999999998</v>
      </c>
      <c r="E31">
        <f t="shared" si="2"/>
        <v>-287</v>
      </c>
      <c r="F31">
        <f t="shared" si="3"/>
        <v>1.6492010439401661E-3</v>
      </c>
      <c r="G31" s="3">
        <f t="shared" si="4"/>
        <v>-0.45315389351832497</v>
      </c>
      <c r="H31">
        <f t="shared" si="5"/>
        <v>-0.15239095554515147</v>
      </c>
      <c r="I31">
        <f>SQRT((SIN(B31-R$2)*(0.05/SQRT(3)))^2 + (0.5*COS(B31-R$2)*R$2/SQRT(3))^2 + (-COS(B31-R$2)*R$2/SQRT(3))^2)</f>
        <v>3.1465343709960757E-2</v>
      </c>
      <c r="J31">
        <f t="shared" si="9"/>
        <v>2.9771760352775693E-5</v>
      </c>
      <c r="K31">
        <f t="shared" si="10"/>
        <v>5.1961524227064639E-7</v>
      </c>
      <c r="M31" s="5">
        <f t="shared" si="6"/>
        <v>45.238494677462157</v>
      </c>
      <c r="N31" s="4">
        <f>SQRT((1/(AA$5*G31)*F31)^2+(-D31/(G31*AA$5^2)*AA$7)^2+(-D31/(AA$5*G31^2)*I31)^2)</f>
        <v>3.1550374237050378</v>
      </c>
    </row>
    <row r="32" spans="1:25" x14ac:dyDescent="0.25">
      <c r="A32">
        <v>300</v>
      </c>
      <c r="B32">
        <f t="shared" si="0"/>
        <v>5.2359877559829888</v>
      </c>
      <c r="C32">
        <f t="shared" si="1"/>
        <v>5.0383315673172717E-2</v>
      </c>
      <c r="D32">
        <v>-0.26</v>
      </c>
      <c r="E32">
        <f t="shared" si="2"/>
        <v>-260</v>
      </c>
      <c r="F32">
        <f t="shared" si="3"/>
        <v>1.6569952725742261E-3</v>
      </c>
      <c r="G32" s="3">
        <f t="shared" si="4"/>
        <v>-0.4095760221444959</v>
      </c>
      <c r="H32">
        <f t="shared" si="5"/>
        <v>-0.13120197093083194</v>
      </c>
      <c r="I32">
        <f>SQRT((SIN(B32-R$2)*(0.05/SQRT(3)))^2 + (0.5*COS(B32-R$2)*R$2/SQRT(3))^2 + (-COS(B32-R$2)*R$2/SQRT(3))^2)</f>
        <v>3.5372727063908607E-2</v>
      </c>
      <c r="J32">
        <f t="shared" si="9"/>
        <v>4.4657640529165633E-5</v>
      </c>
      <c r="K32">
        <f t="shared" si="10"/>
        <v>7.794228634060022E-7</v>
      </c>
      <c r="M32" s="5">
        <f t="shared" si="6"/>
        <v>45.34305615399694</v>
      </c>
      <c r="N32" s="4">
        <f>SQRT((1/(AA$5*G32)*F32)^2+(-D32/(G32*AA$5^2)*AA$7)^2+(-D32/(AA$5*G32^2)*I32)^2)</f>
        <v>3.9291704025067191</v>
      </c>
    </row>
    <row r="33" spans="1:33" x14ac:dyDescent="0.25">
      <c r="A33">
        <v>310</v>
      </c>
      <c r="B33">
        <f t="shared" si="0"/>
        <v>5.4105206811824216</v>
      </c>
      <c r="C33">
        <f t="shared" si="1"/>
        <v>5.0383315673172717E-2</v>
      </c>
      <c r="D33">
        <v>-0.224</v>
      </c>
      <c r="E33">
        <f t="shared" si="2"/>
        <v>-224</v>
      </c>
      <c r="F33">
        <f t="shared" si="3"/>
        <v>1.6673875774196392E-3</v>
      </c>
      <c r="G33" s="3">
        <f t="shared" si="4"/>
        <v>-0.35355339059327384</v>
      </c>
      <c r="H33">
        <f t="shared" si="5"/>
        <v>0.37256663227870634</v>
      </c>
      <c r="I33">
        <f>SQRT((SIN(B33-R$2)*(0.05/SQRT(3)))^2 + (0.5*COS(B33-R$2)*R$2/SQRT(3))^2 + (-COS(B33-R$2)*R$2/SQRT(3))^2)</f>
        <v>4.0038636137343993E-2</v>
      </c>
      <c r="J33">
        <f t="shared" si="9"/>
        <v>5.954352070555293E-5</v>
      </c>
      <c r="K33">
        <f t="shared" si="10"/>
        <v>1.0392304845413146E-6</v>
      </c>
      <c r="M33" s="5">
        <f t="shared" si="6"/>
        <v>45.25483399593903</v>
      </c>
      <c r="N33" s="4">
        <f>SQRT((1/(AA$5*G33)*F33)^2+(-D33/(G33*AA$5^2)*AA$7)^2+(-D33/(AA$5*G33^2)*I33)^2)</f>
        <v>5.137911443040676</v>
      </c>
    </row>
    <row r="34" spans="1:33" x14ac:dyDescent="0.25">
      <c r="A34">
        <v>320</v>
      </c>
      <c r="B34">
        <f t="shared" si="0"/>
        <v>5.5850536063818543</v>
      </c>
      <c r="C34">
        <f t="shared" si="1"/>
        <v>5.0383315673172717E-2</v>
      </c>
      <c r="D34">
        <v>-0.17899999999999999</v>
      </c>
      <c r="E34">
        <f t="shared" si="2"/>
        <v>-179</v>
      </c>
      <c r="F34">
        <f t="shared" si="3"/>
        <v>1.6803779584764059E-3</v>
      </c>
      <c r="G34" s="3">
        <f t="shared" si="4"/>
        <v>-0.28678821817552325</v>
      </c>
      <c r="H34">
        <f t="shared" si="5"/>
        <v>-0.49401813672708506</v>
      </c>
      <c r="I34">
        <f>SQRT((SIN(B34-R$2)*(0.05/SQRT(3)))^2 + (0.5*COS(B34-R$2)*R$2/SQRT(3))^2 + (-COS(B34-R$2)*R$2/SQRT(3))^2)</f>
        <v>4.4757298042394984E-2</v>
      </c>
      <c r="J34">
        <f t="shared" si="9"/>
        <v>7.4429400881942715E-5</v>
      </c>
      <c r="K34">
        <f t="shared" si="10"/>
        <v>1.2990381056766703E-6</v>
      </c>
      <c r="M34" s="5">
        <f t="shared" si="6"/>
        <v>44.582425202310894</v>
      </c>
      <c r="N34" s="4">
        <f>SQRT((1/(AA$5*G34)*F34)^2+(-D34/(G34*AA$5^2)*AA$7)^2+(-D34/(AA$5*G34^2)*I34)^2)</f>
        <v>6.9716486409607379</v>
      </c>
    </row>
    <row r="35" spans="1:33" x14ac:dyDescent="0.25">
      <c r="A35">
        <v>330</v>
      </c>
      <c r="B35">
        <f t="shared" si="0"/>
        <v>5.7595865315812871</v>
      </c>
      <c r="C35">
        <f t="shared" si="1"/>
        <v>5.0383315673172717E-2</v>
      </c>
      <c r="D35">
        <v>-0.13300000000000001</v>
      </c>
      <c r="E35">
        <f t="shared" si="2"/>
        <v>-133</v>
      </c>
      <c r="F35">
        <f t="shared" si="3"/>
        <v>1.6936570146677673E-3</v>
      </c>
      <c r="G35" s="3">
        <f t="shared" si="4"/>
        <v>-0.21130913087035</v>
      </c>
      <c r="H35">
        <f t="shared" si="5"/>
        <v>0.45646647447148408</v>
      </c>
      <c r="I35">
        <f>SQRT((SIN(B35-R$2)*(0.05/SQRT(3)))^2 + (0.5*COS(B35-R$2)*R$2/SQRT(3))^2 + (-COS(B35-R$2)*R$2/SQRT(3))^2)</f>
        <v>4.9023862275150445E-2</v>
      </c>
      <c r="J35">
        <f t="shared" si="9"/>
        <v>7.6083387568207423E-5</v>
      </c>
      <c r="K35">
        <f t="shared" si="10"/>
        <v>1.3279056191361398E-6</v>
      </c>
      <c r="M35" s="5">
        <f t="shared" si="6"/>
        <v>44.957830079897413</v>
      </c>
      <c r="N35" s="4">
        <f>SQRT((1/(AA$5*G35)*F35)^2+(-D35/(G35*AA$5^2)*AA$7)^2+(-D35/(AA$5*G35^2)*I35)^2)</f>
        <v>10.446872913631196</v>
      </c>
    </row>
    <row r="36" spans="1:33" x14ac:dyDescent="0.25">
      <c r="A36">
        <v>340</v>
      </c>
      <c r="B36">
        <f t="shared" si="0"/>
        <v>5.9341194567807207</v>
      </c>
      <c r="C36">
        <f t="shared" si="1"/>
        <v>5.0383315673172717E-2</v>
      </c>
      <c r="D36">
        <v>-7.4999999999999997E-2</v>
      </c>
      <c r="E36">
        <f t="shared" si="2"/>
        <v>-75</v>
      </c>
      <c r="F36">
        <f t="shared" si="3"/>
        <v>1.7104001724742664E-3</v>
      </c>
      <c r="G36" s="3">
        <f t="shared" si="4"/>
        <v>-0.12940952255126034</v>
      </c>
      <c r="H36">
        <f t="shared" si="5"/>
        <v>-0.27199790868676615</v>
      </c>
      <c r="I36">
        <f>SQRT((SIN(B36-R$2)*(0.05/SQRT(3)))^2 + (0.5*COS(B36-R$2)*R$2/SQRT(3))^2 + (-COS(B36-R$2)*R$2/SQRT(3))^2)</f>
        <v>5.2490014633011645E-2</v>
      </c>
      <c r="J36">
        <f t="shared" si="9"/>
        <v>9.5931227803390829E-5</v>
      </c>
      <c r="K36">
        <f t="shared" si="10"/>
        <v>1.6743157806499041E-6</v>
      </c>
      <c r="M36" s="5">
        <f t="shared" si="6"/>
        <v>41.396821126674368</v>
      </c>
      <c r="N36" s="4">
        <f>SQRT((1/(AA$5*G36)*F36)^2+(-D36/(G36*AA$5^2)*AA$7)^2+(-D36/(AA$5*G36^2)*I36)^2)</f>
        <v>16.818040772494815</v>
      </c>
    </row>
    <row r="37" spans="1:33" x14ac:dyDescent="0.25">
      <c r="A37">
        <v>350</v>
      </c>
      <c r="B37">
        <f t="shared" si="0"/>
        <v>6.1086523819801535</v>
      </c>
      <c r="C37">
        <f t="shared" si="1"/>
        <v>5.0383315673172717E-2</v>
      </c>
      <c r="D37">
        <v>-2.7E-2</v>
      </c>
      <c r="E37">
        <f t="shared" si="2"/>
        <v>-27</v>
      </c>
      <c r="F37">
        <f t="shared" si="3"/>
        <v>1.7242565789348174E-3</v>
      </c>
      <c r="G37" s="3">
        <f t="shared" si="4"/>
        <v>-4.3577871373829159E-2</v>
      </c>
      <c r="H37">
        <f t="shared" si="5"/>
        <v>-1.5072176679741391E-5</v>
      </c>
      <c r="I37">
        <f>SQRT((SIN(B37-R$2)*(0.05/SQRT(3)))^2 + (0.5*COS(B37-R$2)*R$2/SQRT(3))^2 + (-COS(B37-R$2)*R$2/SQRT(3))^2)</f>
        <v>5.492143116603556E-2</v>
      </c>
      <c r="J37">
        <f t="shared" si="9"/>
        <v>7.9391360940738072E-5</v>
      </c>
      <c r="K37">
        <f t="shared" si="10"/>
        <v>1.3856406460551005E-6</v>
      </c>
      <c r="M37" s="5">
        <f t="shared" si="6"/>
        <v>44.255751090440796</v>
      </c>
      <c r="N37" s="4">
        <f>SQRT((1/(AA$5*G37)*F37)^2+(-D37/(G37*AA$5^2)*AA$7)^2+(-D37/(AA$5*G37^2)*I37)^2)</f>
        <v>55.847493015504924</v>
      </c>
    </row>
    <row r="38" spans="1:33" x14ac:dyDescent="0.25">
      <c r="A38">
        <v>360</v>
      </c>
      <c r="B38">
        <f t="shared" si="0"/>
        <v>6.2831853071795862</v>
      </c>
      <c r="C38">
        <f t="shared" si="1"/>
        <v>5.0383315673172717E-2</v>
      </c>
      <c r="D38">
        <v>3.3000000000000002E-2</v>
      </c>
      <c r="E38">
        <f t="shared" si="2"/>
        <v>33</v>
      </c>
      <c r="F38">
        <f t="shared" si="3"/>
        <v>1.7415770870105062E-3</v>
      </c>
      <c r="G38" s="3">
        <f t="shared" si="4"/>
        <v>4.3577871373828916E-2</v>
      </c>
      <c r="H38">
        <f t="shared" si="5"/>
        <v>0.27202320195543256</v>
      </c>
      <c r="I38">
        <f>SQRT((SIN(B38-R$2)*(0.05/SQRT(3)))^2 + (0.5*COS(B38-R$2)*R$2/SQRT(3))^2 + (-COS(B38-R$2)*R$2/SQRT(3))^2)</f>
        <v>5.6172279466752295E-2</v>
      </c>
      <c r="J38">
        <f t="shared" si="9"/>
        <v>9.9239201175923213E-5</v>
      </c>
      <c r="K38">
        <f t="shared" si="10"/>
        <v>1.7320508075688865E-6</v>
      </c>
      <c r="M38" s="5">
        <f t="shared" si="6"/>
        <v>54.090362443872387</v>
      </c>
      <c r="N38" s="4">
        <f>SQRT((1/(AA$5*G38)*F38)^2+(-D38/(G38*AA$5^2)*AA$7)^2+(-D38/(AA$5*G38^2)*I38)^2)</f>
        <v>69.781591280085436</v>
      </c>
    </row>
    <row r="40" spans="1:33" x14ac:dyDescent="0.25">
      <c r="A40">
        <v>3.4000000000000002E-2</v>
      </c>
      <c r="B40">
        <f>0.5*SIN(A2)</f>
        <v>0</v>
      </c>
    </row>
    <row r="41" spans="1:33" x14ac:dyDescent="0.25">
      <c r="A41">
        <v>8.7999999999999995E-2</v>
      </c>
      <c r="B41">
        <f t="shared" ref="B41:B76" si="11">0.5*SIN(A3)</f>
        <v>-0.27201055544468489</v>
      </c>
      <c r="E41" t="s">
        <v>18</v>
      </c>
      <c r="G41">
        <f>D11/(G11*0.014)</f>
        <v>43.881267184037753</v>
      </c>
      <c r="AF41">
        <f t="array" ref="AF41:AG43">LINEST(U2:U17,T2:T17,1,1)</f>
        <v>21.733823529411762</v>
      </c>
      <c r="AG41">
        <v>3.9338235294117951E-3</v>
      </c>
    </row>
    <row r="42" spans="1:33" x14ac:dyDescent="0.25">
      <c r="A42">
        <v>0.13800000000000001</v>
      </c>
      <c r="B42">
        <f t="shared" si="11"/>
        <v>0.45647262536381383</v>
      </c>
      <c r="AF42">
        <v>9.4877773441559718E-2</v>
      </c>
      <c r="AG42">
        <v>8.3524779061375861E-4</v>
      </c>
    </row>
    <row r="43" spans="1:33" x14ac:dyDescent="0.25">
      <c r="A43">
        <v>0.18</v>
      </c>
      <c r="B43">
        <f t="shared" si="11"/>
        <v>-0.49401581204643091</v>
      </c>
      <c r="AF43">
        <v>0.99973327183490124</v>
      </c>
      <c r="AG43">
        <v>1.7494597005068445E-3</v>
      </c>
    </row>
    <row r="44" spans="1:33" x14ac:dyDescent="0.25">
      <c r="A44">
        <v>0.22</v>
      </c>
      <c r="B44">
        <f t="shared" si="11"/>
        <v>0.37255658023967442</v>
      </c>
    </row>
    <row r="45" spans="1:33" x14ac:dyDescent="0.25">
      <c r="A45">
        <v>0.25600000000000001</v>
      </c>
      <c r="B45">
        <f t="shared" si="11"/>
        <v>-0.13118742685196438</v>
      </c>
    </row>
    <row r="46" spans="1:33" x14ac:dyDescent="0.25">
      <c r="A46">
        <v>0.27500000000000002</v>
      </c>
      <c r="B46">
        <f t="shared" si="11"/>
        <v>-0.15240531055110834</v>
      </c>
    </row>
    <row r="47" spans="1:33" x14ac:dyDescent="0.25">
      <c r="A47">
        <v>0.29799999999999999</v>
      </c>
      <c r="B47">
        <f t="shared" si="11"/>
        <v>0.38694534077894455</v>
      </c>
    </row>
    <row r="48" spans="1:33" x14ac:dyDescent="0.25">
      <c r="A48">
        <v>0.30499999999999999</v>
      </c>
      <c r="B48">
        <f t="shared" si="11"/>
        <v>-0.49694432696168761</v>
      </c>
    </row>
    <row r="49" spans="1:2" x14ac:dyDescent="0.25">
      <c r="A49">
        <v>0.30599999999999999</v>
      </c>
      <c r="B49">
        <f t="shared" si="11"/>
        <v>0.44699833180027893</v>
      </c>
    </row>
    <row r="50" spans="1:2" x14ac:dyDescent="0.25">
      <c r="A50">
        <v>0.29599999999999999</v>
      </c>
      <c r="B50">
        <f t="shared" si="11"/>
        <v>-0.2531828205548794</v>
      </c>
    </row>
    <row r="51" spans="1:2" x14ac:dyDescent="0.25">
      <c r="A51">
        <v>0.27600000000000002</v>
      </c>
      <c r="B51">
        <f t="shared" si="11"/>
        <v>-2.2121339042535482E-2</v>
      </c>
    </row>
    <row r="52" spans="1:2" x14ac:dyDescent="0.25">
      <c r="A52">
        <v>0.249</v>
      </c>
      <c r="B52">
        <f t="shared" si="11"/>
        <v>0.29030559210615714</v>
      </c>
    </row>
    <row r="53" spans="1:2" x14ac:dyDescent="0.25">
      <c r="A53">
        <v>0.21299999999999999</v>
      </c>
      <c r="B53">
        <f t="shared" si="11"/>
        <v>-0.46505297509338089</v>
      </c>
    </row>
    <row r="54" spans="1:2" x14ac:dyDescent="0.25">
      <c r="A54">
        <v>0.17299999999999999</v>
      </c>
      <c r="B54">
        <f t="shared" si="11"/>
        <v>0.49011982972015578</v>
      </c>
    </row>
    <row r="55" spans="1:2" x14ac:dyDescent="0.25">
      <c r="A55">
        <v>0.125</v>
      </c>
      <c r="B55">
        <f t="shared" si="11"/>
        <v>-0.35743821481458232</v>
      </c>
    </row>
    <row r="56" spans="1:2" x14ac:dyDescent="0.25">
      <c r="A56">
        <v>7.5999999999999998E-2</v>
      </c>
      <c r="B56">
        <f t="shared" si="11"/>
        <v>0.10971262918950236</v>
      </c>
    </row>
    <row r="57" spans="1:2" x14ac:dyDescent="0.25">
      <c r="A57">
        <v>1.7000000000000001E-2</v>
      </c>
      <c r="B57">
        <f t="shared" si="11"/>
        <v>0.17332472774851515</v>
      </c>
    </row>
    <row r="58" spans="1:2" x14ac:dyDescent="0.25">
      <c r="A58">
        <v>-3.5000000000000003E-2</v>
      </c>
      <c r="B58">
        <f t="shared" si="11"/>
        <v>-0.40057631786691522</v>
      </c>
    </row>
    <row r="59" spans="1:2" x14ac:dyDescent="0.25">
      <c r="A59">
        <v>-9.4E-2</v>
      </c>
      <c r="B59">
        <f t="shared" si="11"/>
        <v>0.49889963934030013</v>
      </c>
    </row>
    <row r="60" spans="1:2" x14ac:dyDescent="0.25">
      <c r="A60">
        <v>-0.14399999999999999</v>
      </c>
      <c r="B60">
        <f t="shared" si="11"/>
        <v>-0.43664864860699731</v>
      </c>
    </row>
    <row r="61" spans="1:2" x14ac:dyDescent="0.25">
      <c r="A61">
        <v>-0.19</v>
      </c>
      <c r="B61">
        <f t="shared" si="11"/>
        <v>0.23385925917137948</v>
      </c>
    </row>
    <row r="62" spans="1:2" x14ac:dyDescent="0.25">
      <c r="A62">
        <v>-0.23</v>
      </c>
      <c r="B62">
        <f t="shared" si="11"/>
        <v>4.4199356243765746E-2</v>
      </c>
    </row>
    <row r="63" spans="1:2" x14ac:dyDescent="0.25">
      <c r="A63">
        <v>-0.26900000000000002</v>
      </c>
      <c r="B63">
        <f t="shared" si="11"/>
        <v>-0.30803210202668224</v>
      </c>
    </row>
    <row r="64" spans="1:2" x14ac:dyDescent="0.25">
      <c r="A64">
        <v>-0.28999999999999998</v>
      </c>
      <c r="B64">
        <f t="shared" si="11"/>
        <v>0.4727225774605584</v>
      </c>
    </row>
    <row r="65" spans="1:2" x14ac:dyDescent="0.25">
      <c r="A65">
        <v>-0.30599999999999999</v>
      </c>
      <c r="B65">
        <f t="shared" si="11"/>
        <v>-0.48526400977090267</v>
      </c>
    </row>
    <row r="66" spans="1:2" x14ac:dyDescent="0.25">
      <c r="A66">
        <v>-0.32400000000000001</v>
      </c>
      <c r="B66">
        <f t="shared" si="11"/>
        <v>0.34161985190792538</v>
      </c>
    </row>
    <row r="67" spans="1:2" x14ac:dyDescent="0.25">
      <c r="A67">
        <v>-0.32400000000000001</v>
      </c>
      <c r="B67">
        <f t="shared" si="11"/>
        <v>-8.8022973235605706E-2</v>
      </c>
    </row>
    <row r="68" spans="1:2" x14ac:dyDescent="0.25">
      <c r="A68">
        <v>-0.30499999999999999</v>
      </c>
      <c r="B68">
        <f t="shared" si="11"/>
        <v>-0.19390471041461474</v>
      </c>
    </row>
    <row r="69" spans="1:2" x14ac:dyDescent="0.25">
      <c r="A69">
        <v>-0.28699999999999998</v>
      </c>
      <c r="B69">
        <f t="shared" si="11"/>
        <v>0.41342281696104072</v>
      </c>
    </row>
    <row r="70" spans="1:2" x14ac:dyDescent="0.25">
      <c r="A70">
        <v>-0.26</v>
      </c>
      <c r="B70">
        <f t="shared" si="11"/>
        <v>-0.49987791995057473</v>
      </c>
    </row>
    <row r="71" spans="1:2" x14ac:dyDescent="0.25">
      <c r="A71">
        <v>-0.224</v>
      </c>
      <c r="B71">
        <f t="shared" si="11"/>
        <v>0.42544384432792981</v>
      </c>
    </row>
    <row r="72" spans="1:2" x14ac:dyDescent="0.25">
      <c r="A72">
        <v>-0.17899999999999999</v>
      </c>
      <c r="B72">
        <f t="shared" si="11"/>
        <v>-0.21407771404222578</v>
      </c>
    </row>
    <row r="73" spans="1:2" x14ac:dyDescent="0.25">
      <c r="A73">
        <v>-0.13300000000000001</v>
      </c>
      <c r="B73">
        <f t="shared" si="11"/>
        <v>-6.6190814602725967E-2</v>
      </c>
    </row>
    <row r="74" spans="1:2" x14ac:dyDescent="0.25">
      <c r="A74">
        <v>-7.4999999999999997E-2</v>
      </c>
      <c r="B74">
        <f t="shared" si="11"/>
        <v>0.32515537008127626</v>
      </c>
    </row>
    <row r="75" spans="1:2" x14ac:dyDescent="0.25">
      <c r="A75">
        <v>-2.7E-2</v>
      </c>
      <c r="B75">
        <f t="shared" si="11"/>
        <v>-0.47946641252030658</v>
      </c>
    </row>
    <row r="76" spans="1:2" x14ac:dyDescent="0.25">
      <c r="A76">
        <v>3.3000000000000002E-2</v>
      </c>
      <c r="B76">
        <f t="shared" si="11"/>
        <v>0.47945786170715327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9887-665A-421D-81F2-7AEE1DE4D2A9}">
  <dimension ref="A1:E38"/>
  <sheetViews>
    <sheetView workbookViewId="0">
      <selection activeCell="E2" sqref="E2"/>
    </sheetView>
  </sheetViews>
  <sheetFormatPr defaultRowHeight="15" x14ac:dyDescent="0.25"/>
  <cols>
    <col min="5" max="5" width="14.140625" customWidth="1"/>
  </cols>
  <sheetData>
    <row r="1" spans="1:5" x14ac:dyDescent="0.25">
      <c r="A1" t="s">
        <v>0</v>
      </c>
      <c r="B1" t="s">
        <v>12</v>
      </c>
      <c r="C1" t="s">
        <v>24</v>
      </c>
      <c r="D1" t="s">
        <v>16</v>
      </c>
      <c r="E1" t="s">
        <v>15</v>
      </c>
    </row>
    <row r="2" spans="1:5" x14ac:dyDescent="0.25">
      <c r="A2">
        <v>0</v>
      </c>
      <c r="B2">
        <f>RADIANS(5)/SQRT(3)</f>
        <v>5.0383315673172717E-2</v>
      </c>
      <c r="C2">
        <v>3.4000000000000002E-2</v>
      </c>
      <c r="D2">
        <f>(0.05% * B2 + 0.003)/SQRT(3)</f>
        <v>1.7465952180021635E-3</v>
      </c>
      <c r="E2" t="e">
        <f>0.5*SIN(#REF!-RADIANS(-5))</f>
        <v>#REF!</v>
      </c>
    </row>
    <row r="3" spans="1:5" x14ac:dyDescent="0.25">
      <c r="A3">
        <v>10</v>
      </c>
      <c r="B3">
        <f t="shared" ref="B3:B38" si="0">RADIANS(5)/SQRT(3)</f>
        <v>5.0383315673172717E-2</v>
      </c>
      <c r="C3">
        <v>8.7999999999999995E-2</v>
      </c>
      <c r="D3">
        <f t="shared" ref="D3:D38" si="1">(0.05% * B3 + 0.003)/SQRT(3)</f>
        <v>1.7465952180021635E-3</v>
      </c>
      <c r="E3" t="e">
        <f t="shared" ref="E3:E38" si="2">0.5*SIN(#REF!-RADIANS(-5))</f>
        <v>#REF!</v>
      </c>
    </row>
    <row r="4" spans="1:5" x14ac:dyDescent="0.25">
      <c r="A4">
        <v>20</v>
      </c>
      <c r="B4">
        <f t="shared" si="0"/>
        <v>5.0383315673172717E-2</v>
      </c>
      <c r="C4">
        <v>0.13800000000000001</v>
      </c>
      <c r="D4">
        <f t="shared" si="1"/>
        <v>1.7465952180021635E-3</v>
      </c>
      <c r="E4" t="e">
        <f t="shared" ref="E4:E38" si="3">0.5*SIN(#REF!-RADIANS(-5))</f>
        <v>#REF!</v>
      </c>
    </row>
    <row r="5" spans="1:5" x14ac:dyDescent="0.25">
      <c r="A5">
        <v>30</v>
      </c>
      <c r="B5">
        <f t="shared" si="0"/>
        <v>5.0383315673172717E-2</v>
      </c>
      <c r="C5">
        <v>0.18</v>
      </c>
      <c r="D5">
        <f t="shared" si="1"/>
        <v>1.7465952180021635E-3</v>
      </c>
      <c r="E5" t="e">
        <f t="shared" ref="E5:E38" si="4">0.5*SIN(#REF!-RADIANS(-5))</f>
        <v>#REF!</v>
      </c>
    </row>
    <row r="6" spans="1:5" x14ac:dyDescent="0.25">
      <c r="A6">
        <v>40</v>
      </c>
      <c r="B6">
        <f t="shared" si="0"/>
        <v>5.0383315673172717E-2</v>
      </c>
      <c r="C6">
        <v>0.22</v>
      </c>
      <c r="D6">
        <f t="shared" si="1"/>
        <v>1.7465952180021635E-3</v>
      </c>
      <c r="E6" t="e">
        <f t="shared" ref="E6:E38" si="5">0.5*SIN(#REF!-RADIANS(-5))</f>
        <v>#REF!</v>
      </c>
    </row>
    <row r="7" spans="1:5" x14ac:dyDescent="0.25">
      <c r="A7">
        <v>50</v>
      </c>
      <c r="B7">
        <f t="shared" si="0"/>
        <v>5.0383315673172717E-2</v>
      </c>
      <c r="C7">
        <v>0.25600000000000001</v>
      </c>
      <c r="D7">
        <f t="shared" si="1"/>
        <v>1.7465952180021635E-3</v>
      </c>
      <c r="E7" t="e">
        <f t="shared" ref="E7:E38" si="6">0.5*SIN(#REF!-RADIANS(-5))</f>
        <v>#REF!</v>
      </c>
    </row>
    <row r="8" spans="1:5" x14ac:dyDescent="0.25">
      <c r="A8">
        <v>60</v>
      </c>
      <c r="B8">
        <f t="shared" si="0"/>
        <v>5.0383315673172717E-2</v>
      </c>
      <c r="C8">
        <v>0.27500000000000002</v>
      </c>
      <c r="D8">
        <f t="shared" si="1"/>
        <v>1.7465952180021635E-3</v>
      </c>
      <c r="E8" t="e">
        <f t="shared" ref="E8:E38" si="7">0.5*SIN(#REF!-RADIANS(-5))</f>
        <v>#REF!</v>
      </c>
    </row>
    <row r="9" spans="1:5" x14ac:dyDescent="0.25">
      <c r="A9">
        <v>70</v>
      </c>
      <c r="B9">
        <f t="shared" si="0"/>
        <v>5.0383315673172717E-2</v>
      </c>
      <c r="C9">
        <v>0.29799999999999999</v>
      </c>
      <c r="D9">
        <f t="shared" si="1"/>
        <v>1.7465952180021635E-3</v>
      </c>
      <c r="E9" t="e">
        <f t="shared" ref="E9:E38" si="8">0.5*SIN(#REF!-RADIANS(-5))</f>
        <v>#REF!</v>
      </c>
    </row>
    <row r="10" spans="1:5" x14ac:dyDescent="0.25">
      <c r="A10">
        <v>80</v>
      </c>
      <c r="B10">
        <f t="shared" si="0"/>
        <v>5.0383315673172717E-2</v>
      </c>
      <c r="C10">
        <v>0.30499999999999999</v>
      </c>
      <c r="D10">
        <f t="shared" si="1"/>
        <v>1.7465952180021635E-3</v>
      </c>
      <c r="E10" t="e">
        <f t="shared" ref="E10:E38" si="9">0.5*SIN(#REF!-RADIANS(-5))</f>
        <v>#REF!</v>
      </c>
    </row>
    <row r="11" spans="1:5" x14ac:dyDescent="0.25">
      <c r="A11">
        <v>90</v>
      </c>
      <c r="B11">
        <f t="shared" si="0"/>
        <v>5.0383315673172717E-2</v>
      </c>
      <c r="C11">
        <v>0.30599999999999999</v>
      </c>
      <c r="D11">
        <f t="shared" si="1"/>
        <v>1.7465952180021635E-3</v>
      </c>
      <c r="E11" t="e">
        <f t="shared" ref="E11:E38" si="10">0.5*SIN(#REF!-RADIANS(-5))</f>
        <v>#REF!</v>
      </c>
    </row>
    <row r="12" spans="1:5" x14ac:dyDescent="0.25">
      <c r="A12">
        <v>100</v>
      </c>
      <c r="B12">
        <f t="shared" si="0"/>
        <v>5.0383315673172717E-2</v>
      </c>
      <c r="C12">
        <v>0.29599999999999999</v>
      </c>
      <c r="D12">
        <f t="shared" si="1"/>
        <v>1.7465952180021635E-3</v>
      </c>
      <c r="E12" t="e">
        <f t="shared" ref="E12:E38" si="11">0.5*SIN(#REF!-RADIANS(-5))</f>
        <v>#REF!</v>
      </c>
    </row>
    <row r="13" spans="1:5" x14ac:dyDescent="0.25">
      <c r="A13">
        <v>110</v>
      </c>
      <c r="B13">
        <f t="shared" si="0"/>
        <v>5.0383315673172717E-2</v>
      </c>
      <c r="C13">
        <v>0.27600000000000002</v>
      </c>
      <c r="D13">
        <f t="shared" si="1"/>
        <v>1.7465952180021635E-3</v>
      </c>
      <c r="E13" t="e">
        <f t="shared" ref="E13:E38" si="12">0.5*SIN(#REF!-RADIANS(-5))</f>
        <v>#REF!</v>
      </c>
    </row>
    <row r="14" spans="1:5" x14ac:dyDescent="0.25">
      <c r="A14">
        <v>120</v>
      </c>
      <c r="B14">
        <f t="shared" si="0"/>
        <v>5.0383315673172717E-2</v>
      </c>
      <c r="C14">
        <v>0.249</v>
      </c>
      <c r="D14">
        <f t="shared" si="1"/>
        <v>1.7465952180021635E-3</v>
      </c>
      <c r="E14" t="e">
        <f t="shared" ref="E14:E38" si="13">0.5*SIN(#REF!-RADIANS(-5))</f>
        <v>#REF!</v>
      </c>
    </row>
    <row r="15" spans="1:5" x14ac:dyDescent="0.25">
      <c r="A15">
        <v>130</v>
      </c>
      <c r="B15">
        <f t="shared" si="0"/>
        <v>5.0383315673172717E-2</v>
      </c>
      <c r="C15">
        <v>0.21299999999999999</v>
      </c>
      <c r="D15">
        <f t="shared" si="1"/>
        <v>1.7465952180021635E-3</v>
      </c>
      <c r="E15" t="e">
        <f t="shared" ref="E15:E38" si="14">0.5*SIN(#REF!-RADIANS(-5))</f>
        <v>#REF!</v>
      </c>
    </row>
    <row r="16" spans="1:5" x14ac:dyDescent="0.25">
      <c r="A16">
        <v>140</v>
      </c>
      <c r="B16">
        <f t="shared" si="0"/>
        <v>5.0383315673172717E-2</v>
      </c>
      <c r="C16">
        <v>0.17299999999999999</v>
      </c>
      <c r="D16">
        <f t="shared" si="1"/>
        <v>1.7465952180021635E-3</v>
      </c>
      <c r="E16" t="e">
        <f t="shared" ref="E16:E38" si="15">0.5*SIN(#REF!-RADIANS(-5))</f>
        <v>#REF!</v>
      </c>
    </row>
    <row r="17" spans="1:5" x14ac:dyDescent="0.25">
      <c r="A17">
        <v>150</v>
      </c>
      <c r="B17">
        <f t="shared" si="0"/>
        <v>5.0383315673172717E-2</v>
      </c>
      <c r="C17">
        <v>0.125</v>
      </c>
      <c r="D17">
        <f t="shared" si="1"/>
        <v>1.7465952180021635E-3</v>
      </c>
      <c r="E17" t="e">
        <f t="shared" ref="E17:E38" si="16">0.5*SIN(#REF!-RADIANS(-5))</f>
        <v>#REF!</v>
      </c>
    </row>
    <row r="18" spans="1:5" x14ac:dyDescent="0.25">
      <c r="A18">
        <v>160</v>
      </c>
      <c r="B18">
        <f t="shared" si="0"/>
        <v>5.0383315673172717E-2</v>
      </c>
      <c r="C18">
        <v>7.5999999999999998E-2</v>
      </c>
      <c r="D18">
        <f t="shared" si="1"/>
        <v>1.7465952180021635E-3</v>
      </c>
      <c r="E18" t="e">
        <f t="shared" ref="E18:E38" si="17">0.5*SIN(#REF!-RADIANS(-5))</f>
        <v>#REF!</v>
      </c>
    </row>
    <row r="19" spans="1:5" x14ac:dyDescent="0.25">
      <c r="A19">
        <v>170</v>
      </c>
      <c r="B19">
        <f t="shared" si="0"/>
        <v>5.0383315673172717E-2</v>
      </c>
      <c r="C19">
        <v>1.7000000000000001E-2</v>
      </c>
      <c r="D19">
        <f t="shared" si="1"/>
        <v>1.7465952180021635E-3</v>
      </c>
      <c r="E19" t="e">
        <f t="shared" ref="E19:E38" si="18">0.5*SIN(#REF!-RADIANS(-5))</f>
        <v>#REF!</v>
      </c>
    </row>
    <row r="20" spans="1:5" x14ac:dyDescent="0.25">
      <c r="A20">
        <v>180</v>
      </c>
      <c r="B20">
        <f t="shared" si="0"/>
        <v>5.0383315673172717E-2</v>
      </c>
      <c r="C20">
        <v>-3.5000000000000003E-2</v>
      </c>
      <c r="D20">
        <f t="shared" si="1"/>
        <v>1.7465952180021635E-3</v>
      </c>
      <c r="E20" t="e">
        <f t="shared" ref="E20:E38" si="19">0.5*SIN(#REF!-RADIANS(-5))</f>
        <v>#REF!</v>
      </c>
    </row>
    <row r="21" spans="1:5" x14ac:dyDescent="0.25">
      <c r="A21">
        <v>190</v>
      </c>
      <c r="B21">
        <f t="shared" si="0"/>
        <v>5.0383315673172717E-2</v>
      </c>
      <c r="C21">
        <v>-9.4E-2</v>
      </c>
      <c r="D21">
        <f t="shared" si="1"/>
        <v>1.7465952180021635E-3</v>
      </c>
      <c r="E21" t="e">
        <f t="shared" ref="E21:E38" si="20">0.5*SIN(#REF!-RADIANS(-5))</f>
        <v>#REF!</v>
      </c>
    </row>
    <row r="22" spans="1:5" x14ac:dyDescent="0.25">
      <c r="A22">
        <v>200</v>
      </c>
      <c r="B22">
        <f t="shared" si="0"/>
        <v>5.0383315673172717E-2</v>
      </c>
      <c r="C22">
        <v>-0.14399999999999999</v>
      </c>
      <c r="D22">
        <f t="shared" si="1"/>
        <v>1.7465952180021635E-3</v>
      </c>
      <c r="E22" t="e">
        <f t="shared" ref="E22:E38" si="21">0.5*SIN(#REF!-RADIANS(-5))</f>
        <v>#REF!</v>
      </c>
    </row>
    <row r="23" spans="1:5" x14ac:dyDescent="0.25">
      <c r="A23">
        <v>210</v>
      </c>
      <c r="B23">
        <f t="shared" si="0"/>
        <v>5.0383315673172717E-2</v>
      </c>
      <c r="C23">
        <v>-0.19</v>
      </c>
      <c r="D23">
        <f t="shared" si="1"/>
        <v>1.7465952180021635E-3</v>
      </c>
      <c r="E23" t="e">
        <f t="shared" ref="E23:E38" si="22">0.5*SIN(#REF!-RADIANS(-5))</f>
        <v>#REF!</v>
      </c>
    </row>
    <row r="24" spans="1:5" x14ac:dyDescent="0.25">
      <c r="A24">
        <v>220</v>
      </c>
      <c r="B24">
        <f t="shared" si="0"/>
        <v>5.0383315673172717E-2</v>
      </c>
      <c r="C24">
        <v>-0.23</v>
      </c>
      <c r="D24">
        <f t="shared" si="1"/>
        <v>1.7465952180021635E-3</v>
      </c>
      <c r="E24" t="e">
        <f t="shared" ref="E24:E38" si="23">0.5*SIN(#REF!-RADIANS(-5))</f>
        <v>#REF!</v>
      </c>
    </row>
    <row r="25" spans="1:5" x14ac:dyDescent="0.25">
      <c r="A25">
        <v>230</v>
      </c>
      <c r="B25">
        <f t="shared" si="0"/>
        <v>5.0383315673172717E-2</v>
      </c>
      <c r="C25">
        <v>-0.26900000000000002</v>
      </c>
      <c r="D25">
        <f t="shared" si="1"/>
        <v>1.7465952180021635E-3</v>
      </c>
      <c r="E25" t="e">
        <f t="shared" ref="E25:E38" si="24">0.5*SIN(#REF!-RADIANS(-5))</f>
        <v>#REF!</v>
      </c>
    </row>
    <row r="26" spans="1:5" x14ac:dyDescent="0.25">
      <c r="A26">
        <v>240</v>
      </c>
      <c r="B26">
        <f t="shared" si="0"/>
        <v>5.0383315673172717E-2</v>
      </c>
      <c r="C26">
        <v>-0.28999999999999998</v>
      </c>
      <c r="D26">
        <f t="shared" si="1"/>
        <v>1.7465952180021635E-3</v>
      </c>
      <c r="E26" t="e">
        <f t="shared" ref="E26:E38" si="25">0.5*SIN(#REF!-RADIANS(-5))</f>
        <v>#REF!</v>
      </c>
    </row>
    <row r="27" spans="1:5" x14ac:dyDescent="0.25">
      <c r="A27">
        <v>250</v>
      </c>
      <c r="B27">
        <f t="shared" si="0"/>
        <v>5.0383315673172717E-2</v>
      </c>
      <c r="C27">
        <v>-0.30599999999999999</v>
      </c>
      <c r="D27">
        <f t="shared" si="1"/>
        <v>1.7465952180021635E-3</v>
      </c>
      <c r="E27" t="e">
        <f t="shared" ref="E27:E38" si="26">0.5*SIN(#REF!-RADIANS(-5))</f>
        <v>#REF!</v>
      </c>
    </row>
    <row r="28" spans="1:5" x14ac:dyDescent="0.25">
      <c r="A28">
        <v>260</v>
      </c>
      <c r="B28">
        <f t="shared" si="0"/>
        <v>5.0383315673172717E-2</v>
      </c>
      <c r="C28">
        <v>-0.32400000000000001</v>
      </c>
      <c r="D28">
        <f t="shared" si="1"/>
        <v>1.7465952180021635E-3</v>
      </c>
      <c r="E28" t="e">
        <f t="shared" ref="E28:E38" si="27">0.5*SIN(#REF!-RADIANS(-5))</f>
        <v>#REF!</v>
      </c>
    </row>
    <row r="29" spans="1:5" x14ac:dyDescent="0.25">
      <c r="A29">
        <v>270</v>
      </c>
      <c r="B29">
        <f t="shared" si="0"/>
        <v>5.0383315673172717E-2</v>
      </c>
      <c r="C29">
        <v>-0.32400000000000001</v>
      </c>
      <c r="D29">
        <f t="shared" si="1"/>
        <v>1.7465952180021635E-3</v>
      </c>
      <c r="E29" t="e">
        <f t="shared" ref="E29:E38" si="28">0.5*SIN(#REF!-RADIANS(-5))</f>
        <v>#REF!</v>
      </c>
    </row>
    <row r="30" spans="1:5" x14ac:dyDescent="0.25">
      <c r="A30">
        <v>280</v>
      </c>
      <c r="B30">
        <f t="shared" si="0"/>
        <v>5.0383315673172717E-2</v>
      </c>
      <c r="C30">
        <v>-0.30499999999999999</v>
      </c>
      <c r="D30">
        <f t="shared" si="1"/>
        <v>1.7465952180021635E-3</v>
      </c>
      <c r="E30" t="e">
        <f t="shared" ref="E30:E38" si="29">0.5*SIN(#REF!-RADIANS(-5))</f>
        <v>#REF!</v>
      </c>
    </row>
    <row r="31" spans="1:5" x14ac:dyDescent="0.25">
      <c r="A31">
        <v>290</v>
      </c>
      <c r="B31">
        <f t="shared" si="0"/>
        <v>5.0383315673172717E-2</v>
      </c>
      <c r="C31">
        <v>-0.28699999999999998</v>
      </c>
      <c r="D31">
        <f t="shared" si="1"/>
        <v>1.7465952180021635E-3</v>
      </c>
      <c r="E31" t="e">
        <f t="shared" ref="E31:E38" si="30">0.5*SIN(#REF!-RADIANS(-5))</f>
        <v>#REF!</v>
      </c>
    </row>
    <row r="32" spans="1:5" x14ac:dyDescent="0.25">
      <c r="A32">
        <v>300</v>
      </c>
      <c r="B32">
        <f t="shared" si="0"/>
        <v>5.0383315673172717E-2</v>
      </c>
      <c r="C32">
        <v>-0.26</v>
      </c>
      <c r="D32">
        <f t="shared" si="1"/>
        <v>1.7465952180021635E-3</v>
      </c>
      <c r="E32" t="e">
        <f t="shared" ref="E32:E38" si="31">0.5*SIN(#REF!-RADIANS(-5))</f>
        <v>#REF!</v>
      </c>
    </row>
    <row r="33" spans="1:5" x14ac:dyDescent="0.25">
      <c r="A33">
        <v>310</v>
      </c>
      <c r="B33">
        <f t="shared" si="0"/>
        <v>5.0383315673172717E-2</v>
      </c>
      <c r="C33">
        <v>-0.224</v>
      </c>
      <c r="D33">
        <f t="shared" si="1"/>
        <v>1.7465952180021635E-3</v>
      </c>
      <c r="E33" t="e">
        <f t="shared" ref="E33:E38" si="32">0.5*SIN(#REF!-RADIANS(-5))</f>
        <v>#REF!</v>
      </c>
    </row>
    <row r="34" spans="1:5" x14ac:dyDescent="0.25">
      <c r="A34">
        <v>320</v>
      </c>
      <c r="B34">
        <f t="shared" si="0"/>
        <v>5.0383315673172717E-2</v>
      </c>
      <c r="C34">
        <v>-0.17899999999999999</v>
      </c>
      <c r="D34">
        <f t="shared" si="1"/>
        <v>1.7465952180021635E-3</v>
      </c>
      <c r="E34" t="e">
        <f t="shared" ref="E34:E38" si="33">0.5*SIN(#REF!-RADIANS(-5))</f>
        <v>#REF!</v>
      </c>
    </row>
    <row r="35" spans="1:5" x14ac:dyDescent="0.25">
      <c r="A35">
        <v>330</v>
      </c>
      <c r="B35">
        <f t="shared" si="0"/>
        <v>5.0383315673172717E-2</v>
      </c>
      <c r="C35">
        <v>-0.13300000000000001</v>
      </c>
      <c r="D35">
        <f t="shared" si="1"/>
        <v>1.7465952180021635E-3</v>
      </c>
      <c r="E35" t="e">
        <f t="shared" ref="E35:E38" si="34">0.5*SIN(#REF!-RADIANS(-5))</f>
        <v>#REF!</v>
      </c>
    </row>
    <row r="36" spans="1:5" x14ac:dyDescent="0.25">
      <c r="A36">
        <v>340</v>
      </c>
      <c r="B36">
        <f t="shared" si="0"/>
        <v>5.0383315673172717E-2</v>
      </c>
      <c r="C36">
        <v>-7.4999999999999997E-2</v>
      </c>
      <c r="D36">
        <f t="shared" si="1"/>
        <v>1.7465952180021635E-3</v>
      </c>
      <c r="E36" t="e">
        <f t="shared" ref="E36:E38" si="35">0.5*SIN(#REF!-RADIANS(-5))</f>
        <v>#REF!</v>
      </c>
    </row>
    <row r="37" spans="1:5" x14ac:dyDescent="0.25">
      <c r="A37">
        <v>350</v>
      </c>
      <c r="B37">
        <f t="shared" si="0"/>
        <v>5.0383315673172717E-2</v>
      </c>
      <c r="C37">
        <v>-2.7E-2</v>
      </c>
      <c r="D37">
        <f t="shared" si="1"/>
        <v>1.7465952180021635E-3</v>
      </c>
      <c r="E37" t="e">
        <f t="shared" ref="E37:E38" si="36">0.5*SIN(#REF!-RADIANS(-5))</f>
        <v>#REF!</v>
      </c>
    </row>
    <row r="38" spans="1:5" x14ac:dyDescent="0.25">
      <c r="A38">
        <v>360</v>
      </c>
      <c r="B38">
        <f t="shared" si="0"/>
        <v>5.0383315673172717E-2</v>
      </c>
      <c r="C38">
        <v>3.3000000000000002E-2</v>
      </c>
      <c r="D38">
        <f t="shared" si="1"/>
        <v>1.7465952180021635E-3</v>
      </c>
      <c r="E38" t="e">
        <f t="shared" ref="E38" si="37">0.5*SIN(#REF!-RADIANS(-5))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Nowacka (275981)</dc:creator>
  <cp:lastModifiedBy>Maria Nowacka (275981)</cp:lastModifiedBy>
  <dcterms:created xsi:type="dcterms:W3CDTF">2024-03-14T17:47:29Z</dcterms:created>
  <dcterms:modified xsi:type="dcterms:W3CDTF">2024-03-21T10:46:55Z</dcterms:modified>
</cp:coreProperties>
</file>