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rs" sheetId="1" r:id="rId4"/>
    <sheet state="visible" name="Vehicles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<sst xmlns="http://schemas.openxmlformats.org/spreadsheetml/2006/main" count="52" uniqueCount="47">
  <si>
    <t>Charging Infrastructure Projections</t>
  </si>
  <si>
    <t>Year</t>
  </si>
  <si>
    <t>Projected super chargers</t>
  </si>
  <si>
    <t xml:space="preserve">Super Charger power </t>
  </si>
  <si>
    <t>Projected standard chargers</t>
  </si>
  <si>
    <t xml:space="preserve">Standard Charger power </t>
  </si>
  <si>
    <t>Total power (kW)</t>
  </si>
  <si>
    <t xml:space="preserve">Standard charger % </t>
  </si>
  <si>
    <t>Super charger %</t>
  </si>
  <si>
    <t>Standard charger use</t>
  </si>
  <si>
    <t>Required standard chargers</t>
  </si>
  <si>
    <t>Super charger use</t>
  </si>
  <si>
    <t>Required super chargers</t>
  </si>
  <si>
    <t>FUTURE SCENARIO-Standard charger</t>
  </si>
  <si>
    <t>FUTURE SCENARIO-Super charger</t>
  </si>
  <si>
    <t>Equation</t>
  </si>
  <si>
    <t>Chargers = 205.583*Year + -414242</t>
  </si>
  <si>
    <t>Chargers = 549.571*Year + -1.10556e+06</t>
  </si>
  <si>
    <t>Vehicle Projections</t>
  </si>
  <si>
    <t>Electric</t>
  </si>
  <si>
    <t>Petrol/Electric</t>
  </si>
  <si>
    <t>Diesel/Electric</t>
  </si>
  <si>
    <t>Petrol</t>
  </si>
  <si>
    <t>Diesel</t>
  </si>
  <si>
    <t>Natural Gas</t>
  </si>
  <si>
    <t>NG-Bio</t>
  </si>
  <si>
    <t>E85</t>
  </si>
  <si>
    <t>Hydrogen</t>
  </si>
  <si>
    <t>LPG</t>
  </si>
  <si>
    <t>Equations</t>
  </si>
  <si>
    <t>EV = 81357.9*Year + -1.64101e+08</t>
  </si>
  <si>
    <t>PE = 63603.4*Year + -1.28288e+08</t>
  </si>
  <si>
    <t>DE = 4273.18*Year + -8.6174e+06</t>
  </si>
  <si>
    <t>Petrol = 186541*Year + -3.75406e+08</t>
  </si>
  <si>
    <t>Diesel = 86477.6*Year + -1.73987e+08</t>
  </si>
  <si>
    <t>Gas=-1404.1*Year+2.84042e+06</t>
  </si>
  <si>
    <t>NgBio=105.534*Year+-210503</t>
  </si>
  <si>
    <t>E85=3.214219*Year+-6474.07</t>
  </si>
  <si>
    <t>H=407*Year+-822270</t>
  </si>
  <si>
    <t>LPG=2347.79*Year+-4.73397e+06</t>
  </si>
  <si>
    <t xml:space="preserve">Average energy usage per vehicle </t>
  </si>
  <si>
    <t>406 kW/car/month</t>
  </si>
  <si>
    <t>kW/year</t>
  </si>
  <si>
    <t>cars</t>
  </si>
  <si>
    <t>kW/Year TOTAL</t>
  </si>
  <si>
    <t>1 station</t>
  </si>
  <si>
    <t>Cars/year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</si>
</sst>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4">
    <border/>
    <border>
      <left style="thick">
        <color rgb="FF434343"/>
      </lef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3" xfId="0" applyBorder="1" applyFont="1" applyNumberFormat="1"/>
    <xf borderId="0" fillId="0" fontId="1" numFmtId="3" xfId="0" applyFont="1" applyNumberFormat="1"/>
    <xf borderId="0" fillId="0" fontId="1" numFmtId="10" xfId="0" applyFont="1" applyNumberFormat="1"/>
    <xf borderId="1" fillId="0" fontId="1" numFmtId="9" xfId="0" applyAlignment="1" applyBorder="1" applyFont="1" applyNumberFormat="1">
      <alignment readingOrder="0"/>
    </xf>
    <xf borderId="3" fillId="3" fontId="1" numFmtId="3" xfId="0" applyBorder="1" applyFill="1" applyFont="1" applyNumberFormat="1"/>
    <xf borderId="0" fillId="0" fontId="1" numFmtId="9" xfId="0" applyAlignment="1" applyFont="1" applyNumberFormat="1">
      <alignment readingOrder="0"/>
    </xf>
    <xf borderId="0" fillId="3" fontId="1" numFmtId="3" xfId="0" applyFont="1" applyNumberFormat="1"/>
    <xf borderId="3" fillId="4" fontId="1" numFmtId="3" xfId="0" applyBorder="1" applyFill="1" applyFont="1" applyNumberFormat="1"/>
    <xf borderId="0" fillId="0" fontId="1" numFmtId="3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Projected amount of chargers in Germany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Chargers!$B$2</c:f>
            </c:strRef>
          </c:tx>
          <c:spPr>
            <a:solidFill>
              <a:srgbClr val="F9CB9C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Chargers!$B$3:$B$15</c:f>
              <c:numCache/>
            </c:numRef>
          </c:val>
        </c:ser>
        <c:ser>
          <c:idx val="1"/>
          <c:order val="1"/>
          <c:tx>
            <c:strRef>
              <c:f>Chargers!$D$2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Chargers!$D$3:$D$15</c:f>
              <c:numCache/>
            </c:numRef>
          </c:val>
        </c:ser>
        <c:axId val="1080375412"/>
        <c:axId val="1400949390"/>
      </c:barChart>
      <c:catAx>
        <c:axId val="1080375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949390"/>
      </c:catAx>
      <c:valAx>
        <c:axId val="14009493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037541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Future scenario with energy transition</a:t>
            </a:r>
          </a:p>
        </c:rich>
      </c:tx>
      <c:layout>
        <c:manualLayout>
          <c:xMode val="edge"/>
          <c:yMode val="edge"/>
          <c:x val="0.0218590398365679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Chargers!$L$2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Chargers!$L$3:$L$15</c:f>
              <c:numCache/>
            </c:numRef>
          </c:val>
        </c:ser>
        <c:ser>
          <c:idx val="1"/>
          <c:order val="1"/>
          <c:tx>
            <c:strRef>
              <c:f>Chargers!$J$2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Chargers!$J$3:$J$15</c:f>
              <c:numCache/>
            </c:numRef>
          </c:val>
        </c:ser>
        <c:ser>
          <c:idx val="2"/>
          <c:order val="2"/>
          <c:tx>
            <c:strRef>
              <c:f>Chargers!$D$2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Chargers!$D$3:$D$15</c:f>
              <c:numCache/>
            </c:numRef>
          </c:val>
        </c:ser>
        <c:ser>
          <c:idx val="3"/>
          <c:order val="3"/>
          <c:tx>
            <c:strRef>
              <c:f>Chargers!$B$2</c:f>
            </c:strRef>
          </c:tx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Chargers!$B$3:$B$15</c:f>
              <c:numCache/>
            </c:numRef>
          </c:val>
        </c:ser>
        <c:axId val="1240710347"/>
        <c:axId val="2032770187"/>
      </c:barChart>
      <c:catAx>
        <c:axId val="1240710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770187"/>
      </c:catAx>
      <c:valAx>
        <c:axId val="2032770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71034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Future scenario with energy transition new proportion</a:t>
            </a:r>
          </a:p>
        </c:rich>
      </c:tx>
      <c:layout>
        <c:manualLayout>
          <c:xMode val="edge"/>
          <c:yMode val="edge"/>
          <c:x val="0.0218590398365679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Chargers!$D$2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Chargers!$D$3:$D$15</c:f>
              <c:numCache/>
            </c:numRef>
          </c:val>
        </c:ser>
        <c:ser>
          <c:idx val="1"/>
          <c:order val="1"/>
          <c:tx>
            <c:strRef>
              <c:f>Chargers!$B$2</c:f>
            </c:strRef>
          </c:tx>
          <c:spPr>
            <a:solidFill>
              <a:srgbClr val="F6B26B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Chargers!$B$3:$B$15</c:f>
              <c:numCache/>
            </c:numRef>
          </c:val>
        </c:ser>
        <c:ser>
          <c:idx val="2"/>
          <c:order val="2"/>
          <c:tx>
            <c:strRef>
              <c:f>Chargers!$R$2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Chargers!$R$3:$R$15</c:f>
              <c:numCache/>
            </c:numRef>
          </c:val>
        </c:ser>
        <c:ser>
          <c:idx val="3"/>
          <c:order val="3"/>
          <c:tx>
            <c:strRef>
              <c:f>Chargers!$P$2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Chargers!$A$3:$A$15</c:f>
            </c:strRef>
          </c:cat>
          <c:val>
            <c:numRef>
              <c:f>Chargers!$P$3:$P$15</c:f>
              <c:numCache/>
            </c:numRef>
          </c:val>
        </c:ser>
        <c:axId val="634332977"/>
        <c:axId val="1993486883"/>
      </c:barChart>
      <c:catAx>
        <c:axId val="634332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486883"/>
      </c:catAx>
      <c:valAx>
        <c:axId val="1993486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33297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18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409575</xdr:colOff>
      <xdr:row>17</xdr:row>
      <xdr:rowOff>85725</xdr:rowOff>
    </xdr:from>
    <xdr:ext cx="9324975" cy="40767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904875</xdr:colOff>
      <xdr:row>17</xdr:row>
      <xdr:rowOff>85725</xdr:rowOff>
    </xdr:from>
    <xdr:ext cx="9324975" cy="40767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7.75"/>
    <col customWidth="1" hidden="1" min="3" max="3" width="32.0"/>
    <col customWidth="1" min="4" max="4" width="32.0"/>
    <col customWidth="1" hidden="1" min="5" max="5" width="20.88"/>
    <col customWidth="1" hidden="1" min="6" max="6" width="14.25"/>
    <col customWidth="1" min="7" max="7" width="17.25"/>
    <col customWidth="1" min="8" max="8" width="14.25"/>
    <col customWidth="1" min="9" max="9" width="30.13"/>
    <col customWidth="1" min="10" max="12" width="27.13"/>
    <col customWidth="1" min="13" max="13" width="31.5"/>
    <col customWidth="1" min="14" max="18" width="27.13"/>
  </cols>
  <sheetData>
    <row r="1">
      <c r="A1" s="1" t="s">
        <v>0</v>
      </c>
      <c r="M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9</v>
      </c>
      <c r="P2" s="4" t="s">
        <v>10</v>
      </c>
      <c r="Q2" s="4" t="s">
        <v>11</v>
      </c>
      <c r="R2" s="4" t="s">
        <v>12</v>
      </c>
    </row>
    <row r="3">
      <c r="A3" s="6">
        <v>2023.0</v>
      </c>
      <c r="B3" s="7">
        <f t="shared" ref="B3:B15" si="2">A3*205.583-414242</f>
        <v>1652.409</v>
      </c>
      <c r="C3" s="7">
        <f t="shared" ref="C3:C15" si="3">B3*161</f>
        <v>266037.849</v>
      </c>
      <c r="D3" s="7">
        <f t="shared" ref="D3:D15" si="4">549.571*A3+-1105560</f>
        <v>6222.133</v>
      </c>
      <c r="E3" s="7">
        <f t="shared" ref="E3:E15" si="5">D3*33</f>
        <v>205330.389</v>
      </c>
      <c r="F3" s="8">
        <f t="shared" ref="F3:F15" si="6">C3+E3</f>
        <v>471368.238</v>
      </c>
      <c r="G3" s="9">
        <f t="shared" ref="G3:G15" si="7">D3/(D3+B3)</f>
        <v>0.7901580816</v>
      </c>
      <c r="H3" s="9">
        <f t="shared" ref="H3:H15" si="8">100%-G3</f>
        <v>0.2098419184</v>
      </c>
      <c r="I3" s="7">
        <f>G3*(sum(Vehicles!B4:D4))*104</f>
        <v>73544055.23</v>
      </c>
      <c r="J3" s="7">
        <f t="shared" ref="J3:J15" si="9">I3/3285</f>
        <v>22387.84025</v>
      </c>
      <c r="K3" s="7">
        <f>H3*(sum(Vehicles!B4:D4))*104</f>
        <v>19531060.93</v>
      </c>
      <c r="L3" s="8">
        <f t="shared" ref="L3:L15" si="10">K3/13140</f>
        <v>1486.382111</v>
      </c>
      <c r="M3" s="10">
        <f t="shared" ref="M3:N3" si="1">G3</f>
        <v>0.7901580816</v>
      </c>
      <c r="N3" s="9">
        <f t="shared" si="1"/>
        <v>0.2098419184</v>
      </c>
      <c r="O3" s="8">
        <f>M3*(sum(Vehicles!B4:D4))*104</f>
        <v>73544055.23</v>
      </c>
      <c r="P3" s="8">
        <f t="shared" ref="P3:P15" si="12">O3/3285</f>
        <v>22387.84025</v>
      </c>
      <c r="Q3" s="8">
        <f>N3*(sum(Vehicles!B4:D4))*104</f>
        <v>19531060.93</v>
      </c>
      <c r="R3" s="8">
        <f t="shared" ref="R3:R15" si="13">Q3/13140</f>
        <v>1486.382111</v>
      </c>
    </row>
    <row r="4">
      <c r="A4" s="6">
        <v>2024.0</v>
      </c>
      <c r="B4" s="7">
        <f t="shared" si="2"/>
        <v>1857.992</v>
      </c>
      <c r="C4" s="7">
        <f t="shared" si="3"/>
        <v>299136.712</v>
      </c>
      <c r="D4" s="7">
        <f t="shared" si="4"/>
        <v>6771.704</v>
      </c>
      <c r="E4" s="7">
        <f t="shared" si="5"/>
        <v>223466.232</v>
      </c>
      <c r="F4" s="8">
        <f t="shared" si="6"/>
        <v>522602.944</v>
      </c>
      <c r="G4" s="9">
        <f t="shared" si="7"/>
        <v>0.7846978619</v>
      </c>
      <c r="H4" s="9">
        <f t="shared" si="8"/>
        <v>0.2153021381</v>
      </c>
      <c r="I4" s="7">
        <f>G4*(sum(Vehicles!B5:D5))*104</f>
        <v>85214658.29</v>
      </c>
      <c r="J4" s="7">
        <f t="shared" si="9"/>
        <v>25940.53525</v>
      </c>
      <c r="K4" s="7">
        <f>H4*(sum(Vehicles!B5:D5))*104</f>
        <v>23380843.79</v>
      </c>
      <c r="L4" s="8">
        <f t="shared" si="10"/>
        <v>1779.364063</v>
      </c>
      <c r="M4" s="10">
        <f t="shared" ref="M4:N4" si="11">G4</f>
        <v>0.7846978619</v>
      </c>
      <c r="N4" s="9">
        <f t="shared" si="11"/>
        <v>0.2153021381</v>
      </c>
      <c r="O4" s="8">
        <f>M4*(sum(Vehicles!B5:D5))*104</f>
        <v>85214658.29</v>
      </c>
      <c r="P4" s="8">
        <f t="shared" si="12"/>
        <v>25940.53525</v>
      </c>
      <c r="Q4" s="8">
        <f>N4*(sum(Vehicles!B5:D5))*104</f>
        <v>23380843.79</v>
      </c>
      <c r="R4" s="8">
        <f t="shared" si="13"/>
        <v>1779.364063</v>
      </c>
    </row>
    <row r="5">
      <c r="A5" s="6">
        <v>2025.0</v>
      </c>
      <c r="B5" s="7">
        <f t="shared" si="2"/>
        <v>2063.575</v>
      </c>
      <c r="C5" s="7">
        <f t="shared" si="3"/>
        <v>332235.575</v>
      </c>
      <c r="D5" s="7">
        <f t="shared" si="4"/>
        <v>7321.275</v>
      </c>
      <c r="E5" s="7">
        <f t="shared" si="5"/>
        <v>241602.075</v>
      </c>
      <c r="F5" s="8">
        <f t="shared" si="6"/>
        <v>573837.65</v>
      </c>
      <c r="G5" s="9">
        <f t="shared" si="7"/>
        <v>0.7801163577</v>
      </c>
      <c r="H5" s="9">
        <f t="shared" si="8"/>
        <v>0.2198836423</v>
      </c>
      <c r="I5" s="7">
        <f>G5*(sum(Vehicles!B6:D6))*104</f>
        <v>96824834.49</v>
      </c>
      <c r="J5" s="7">
        <f t="shared" si="9"/>
        <v>29474.83546</v>
      </c>
      <c r="K5" s="7">
        <f>H5*(sum(Vehicles!B6:D6))*104</f>
        <v>27291053.51</v>
      </c>
      <c r="L5" s="8">
        <f t="shared" si="10"/>
        <v>2076.944712</v>
      </c>
      <c r="M5" s="10">
        <f t="shared" ref="M5:N5" si="14">G5</f>
        <v>0.7801163577</v>
      </c>
      <c r="N5" s="9">
        <f t="shared" si="14"/>
        <v>0.2198836423</v>
      </c>
      <c r="O5" s="8">
        <f>M5*(sum(Vehicles!B6:D6))*104</f>
        <v>96824834.49</v>
      </c>
      <c r="P5" s="8">
        <f t="shared" si="12"/>
        <v>29474.83546</v>
      </c>
      <c r="Q5" s="8">
        <f>N5*(sum(Vehicles!B6:D6))*104</f>
        <v>27291053.51</v>
      </c>
      <c r="R5" s="8">
        <f t="shared" si="13"/>
        <v>2076.944712</v>
      </c>
    </row>
    <row r="6">
      <c r="A6" s="6">
        <v>2026.0</v>
      </c>
      <c r="B6" s="7">
        <f t="shared" si="2"/>
        <v>2269.158</v>
      </c>
      <c r="C6" s="7">
        <f t="shared" si="3"/>
        <v>365334.438</v>
      </c>
      <c r="D6" s="7">
        <f t="shared" si="4"/>
        <v>7870.846</v>
      </c>
      <c r="E6" s="7">
        <f t="shared" si="5"/>
        <v>259737.918</v>
      </c>
      <c r="F6" s="8">
        <f t="shared" si="6"/>
        <v>625072.356</v>
      </c>
      <c r="G6" s="9">
        <f t="shared" si="7"/>
        <v>0.776217248</v>
      </c>
      <c r="H6" s="9">
        <f t="shared" si="8"/>
        <v>0.223782752</v>
      </c>
      <c r="I6" s="7">
        <f>G6*(sum(Vehicles!B7:D7))*104</f>
        <v>108388084.3</v>
      </c>
      <c r="J6" s="7">
        <f t="shared" si="9"/>
        <v>32994.85061</v>
      </c>
      <c r="K6" s="7">
        <f>H6*(sum(Vehicles!B7:D7))*104</f>
        <v>31248189.65</v>
      </c>
      <c r="L6" s="8">
        <f t="shared" si="10"/>
        <v>2378.096625</v>
      </c>
      <c r="M6" s="10">
        <f t="shared" ref="M6:N6" si="15">G6</f>
        <v>0.776217248</v>
      </c>
      <c r="N6" s="9">
        <f t="shared" si="15"/>
        <v>0.223782752</v>
      </c>
      <c r="O6" s="8">
        <f>M6*(sum(Vehicles!B7:D7))*104</f>
        <v>108388084.3</v>
      </c>
      <c r="P6" s="8">
        <f t="shared" si="12"/>
        <v>32994.85061</v>
      </c>
      <c r="Q6" s="8">
        <f>N6*(sum(Vehicles!B7:D7))*104</f>
        <v>31248189.65</v>
      </c>
      <c r="R6" s="8">
        <f t="shared" si="13"/>
        <v>2378.096625</v>
      </c>
    </row>
    <row r="7">
      <c r="A7" s="6">
        <v>2027.0</v>
      </c>
      <c r="B7" s="7">
        <f t="shared" si="2"/>
        <v>2474.741</v>
      </c>
      <c r="C7" s="7">
        <f t="shared" si="3"/>
        <v>398433.301</v>
      </c>
      <c r="D7" s="7">
        <f t="shared" si="4"/>
        <v>8420.417</v>
      </c>
      <c r="E7" s="7">
        <f t="shared" si="5"/>
        <v>277873.761</v>
      </c>
      <c r="F7" s="8">
        <f t="shared" si="6"/>
        <v>676307.062</v>
      </c>
      <c r="G7" s="9">
        <f t="shared" si="7"/>
        <v>0.7728586405</v>
      </c>
      <c r="H7" s="9">
        <f t="shared" si="8"/>
        <v>0.2271413595</v>
      </c>
      <c r="I7" s="7">
        <f>G7*(sum(Vehicles!B8:D8))*104</f>
        <v>119914165.2</v>
      </c>
      <c r="J7" s="7">
        <f t="shared" si="9"/>
        <v>36503.55105</v>
      </c>
      <c r="K7" s="7">
        <f>H7*(sum(Vehicles!B8:D8))*104</f>
        <v>35242494.65</v>
      </c>
      <c r="L7" s="8">
        <f t="shared" si="10"/>
        <v>2682.077218</v>
      </c>
      <c r="M7" s="10">
        <f t="shared" ref="M7:N7" si="16">G7</f>
        <v>0.7728586405</v>
      </c>
      <c r="N7" s="9">
        <f t="shared" si="16"/>
        <v>0.2271413595</v>
      </c>
      <c r="O7" s="8">
        <f>M7*(sum(Vehicles!B8:D8))*104</f>
        <v>119914165.2</v>
      </c>
      <c r="P7" s="8">
        <f t="shared" si="12"/>
        <v>36503.55105</v>
      </c>
      <c r="Q7" s="8">
        <f>N7*(sum(Vehicles!B8:D8))*104</f>
        <v>35242494.65</v>
      </c>
      <c r="R7" s="8">
        <f t="shared" si="13"/>
        <v>2682.077218</v>
      </c>
    </row>
    <row r="8">
      <c r="A8" s="6">
        <v>2028.0</v>
      </c>
      <c r="B8" s="7">
        <f t="shared" si="2"/>
        <v>2680.324</v>
      </c>
      <c r="C8" s="7">
        <f t="shared" si="3"/>
        <v>431532.164</v>
      </c>
      <c r="D8" s="7">
        <f t="shared" si="4"/>
        <v>8969.988</v>
      </c>
      <c r="E8" s="7">
        <f t="shared" si="5"/>
        <v>296009.604</v>
      </c>
      <c r="F8" s="8">
        <f t="shared" si="6"/>
        <v>727541.768</v>
      </c>
      <c r="G8" s="9">
        <f t="shared" si="7"/>
        <v>0.7699354318</v>
      </c>
      <c r="H8" s="9">
        <f t="shared" si="8"/>
        <v>0.2300645682</v>
      </c>
      <c r="I8" s="7">
        <f>G8*(sum(Vehicles!B9:D9))*104</f>
        <v>131410304.9</v>
      </c>
      <c r="J8" s="7">
        <f t="shared" si="9"/>
        <v>40003.13696</v>
      </c>
      <c r="K8" s="7">
        <f>H8*(sum(Vehicles!B9:D9))*104</f>
        <v>39266740.84</v>
      </c>
      <c r="L8" s="8">
        <f t="shared" si="10"/>
        <v>2988.336441</v>
      </c>
      <c r="M8" s="10">
        <f t="shared" ref="M8:N8" si="17">G8</f>
        <v>0.7699354318</v>
      </c>
      <c r="N8" s="9">
        <f t="shared" si="17"/>
        <v>0.2300645682</v>
      </c>
      <c r="O8" s="8">
        <f>M8*(sum(Vehicles!B9:D9))*104</f>
        <v>131410304.9</v>
      </c>
      <c r="P8" s="8">
        <f t="shared" si="12"/>
        <v>40003.13696</v>
      </c>
      <c r="Q8" s="8">
        <f>N8*(sum(Vehicles!B9:D9))*104</f>
        <v>39266740.84</v>
      </c>
      <c r="R8" s="8">
        <f t="shared" si="13"/>
        <v>2988.336441</v>
      </c>
    </row>
    <row r="9">
      <c r="A9" s="6">
        <v>2029.0</v>
      </c>
      <c r="B9" s="7">
        <f t="shared" si="2"/>
        <v>2885.907</v>
      </c>
      <c r="C9" s="7">
        <f t="shared" si="3"/>
        <v>464631.027</v>
      </c>
      <c r="D9" s="7">
        <f t="shared" si="4"/>
        <v>9519.559</v>
      </c>
      <c r="E9" s="7">
        <f t="shared" si="5"/>
        <v>314145.447</v>
      </c>
      <c r="F9" s="8">
        <f t="shared" si="6"/>
        <v>778776.474</v>
      </c>
      <c r="G9" s="9">
        <f t="shared" si="7"/>
        <v>0.7673681102</v>
      </c>
      <c r="H9" s="9">
        <f t="shared" si="8"/>
        <v>0.2326318898</v>
      </c>
      <c r="I9" s="7">
        <f>G9*(sum(Vehicles!B10:D10))*104</f>
        <v>142881971.3</v>
      </c>
      <c r="J9" s="7">
        <f t="shared" si="9"/>
        <v>43495.27284</v>
      </c>
      <c r="K9" s="7">
        <f>H9*(sum(Vehicles!B10:D10))*104</f>
        <v>43315460.42</v>
      </c>
      <c r="L9" s="8">
        <f t="shared" si="10"/>
        <v>3296.458175</v>
      </c>
      <c r="M9" s="10">
        <f t="shared" ref="M9:N9" si="18">G9</f>
        <v>0.7673681102</v>
      </c>
      <c r="N9" s="9">
        <f t="shared" si="18"/>
        <v>0.2326318898</v>
      </c>
      <c r="O9" s="8">
        <f>M9*(sum(Vehicles!B10:D10))*104</f>
        <v>142881971.3</v>
      </c>
      <c r="P9" s="8">
        <f t="shared" si="12"/>
        <v>43495.27284</v>
      </c>
      <c r="Q9" s="8">
        <f>N9*(sum(Vehicles!B10:D10))*104</f>
        <v>43315460.42</v>
      </c>
      <c r="R9" s="8">
        <f t="shared" si="13"/>
        <v>3296.458175</v>
      </c>
    </row>
    <row r="10">
      <c r="A10" s="6">
        <v>2030.0</v>
      </c>
      <c r="B10" s="7">
        <f t="shared" si="2"/>
        <v>3091.49</v>
      </c>
      <c r="C10" s="7">
        <f t="shared" si="3"/>
        <v>497729.89</v>
      </c>
      <c r="D10" s="7">
        <f t="shared" si="4"/>
        <v>10069.13</v>
      </c>
      <c r="E10" s="7">
        <f t="shared" si="5"/>
        <v>332281.29</v>
      </c>
      <c r="F10" s="8">
        <f t="shared" si="6"/>
        <v>830011.18</v>
      </c>
      <c r="G10" s="9">
        <f t="shared" si="7"/>
        <v>0.7650954134</v>
      </c>
      <c r="H10" s="9">
        <f t="shared" si="8"/>
        <v>0.2349045866</v>
      </c>
      <c r="I10" s="11">
        <f>G10*(sum(Vehicles!B11:K11)*104)</f>
        <v>541410856.8</v>
      </c>
      <c r="J10" s="7">
        <f t="shared" si="9"/>
        <v>164813.0462</v>
      </c>
      <c r="K10" s="11">
        <f>H10*(sum(Vehicles!B11:K11))*104</f>
        <v>166227494.3</v>
      </c>
      <c r="L10" s="8">
        <f t="shared" si="10"/>
        <v>12650.49424</v>
      </c>
      <c r="M10" s="10">
        <v>0.5</v>
      </c>
      <c r="N10" s="12">
        <v>0.5</v>
      </c>
      <c r="O10" s="13">
        <f>M10*(sum(Vehicles!B11:K11))*104</f>
        <v>353819175.6</v>
      </c>
      <c r="P10" s="8">
        <f t="shared" si="12"/>
        <v>107707.5116</v>
      </c>
      <c r="Q10" s="8">
        <f>N10*(sum(Vehicles!B11:K11))*104</f>
        <v>353819175.6</v>
      </c>
      <c r="R10" s="8">
        <f t="shared" si="13"/>
        <v>26926.8779</v>
      </c>
    </row>
    <row r="11">
      <c r="A11" s="6">
        <v>2031.0</v>
      </c>
      <c r="B11" s="7">
        <f t="shared" si="2"/>
        <v>3297.073</v>
      </c>
      <c r="C11" s="7">
        <f t="shared" si="3"/>
        <v>530828.753</v>
      </c>
      <c r="D11" s="7">
        <f t="shared" si="4"/>
        <v>10618.701</v>
      </c>
      <c r="E11" s="7">
        <f t="shared" si="5"/>
        <v>350417.133</v>
      </c>
      <c r="F11" s="8">
        <f t="shared" si="6"/>
        <v>881245.886</v>
      </c>
      <c r="G11" s="9">
        <f t="shared" si="7"/>
        <v>0.7630693772</v>
      </c>
      <c r="H11" s="9">
        <f t="shared" si="8"/>
        <v>0.2369306228</v>
      </c>
      <c r="I11" s="11">
        <f>G11*(sum(Vehicles!B12:K12)*104)</f>
        <v>573602648.8</v>
      </c>
      <c r="J11" s="7">
        <f t="shared" si="9"/>
        <v>174612.6785</v>
      </c>
      <c r="K11" s="11">
        <f>H11*(sum(Vehicles!B12:K12))*104</f>
        <v>178101804.2</v>
      </c>
      <c r="L11" s="8">
        <f t="shared" si="10"/>
        <v>13554.17079</v>
      </c>
      <c r="M11" s="10">
        <v>0.5</v>
      </c>
      <c r="N11" s="12">
        <v>0.5</v>
      </c>
      <c r="O11" s="13">
        <f>M11*(sum(Vehicles!B12:K12))*104</f>
        <v>375852226.5</v>
      </c>
      <c r="P11" s="8">
        <f t="shared" si="12"/>
        <v>114414.6808</v>
      </c>
      <c r="Q11" s="8">
        <f>N11*(sum(Vehicles!B12:K12))*104</f>
        <v>375852226.5</v>
      </c>
      <c r="R11" s="8">
        <f t="shared" si="13"/>
        <v>28603.67021</v>
      </c>
    </row>
    <row r="12">
      <c r="A12" s="6">
        <v>2032.0</v>
      </c>
      <c r="B12" s="7">
        <f t="shared" si="2"/>
        <v>3502.656</v>
      </c>
      <c r="C12" s="7">
        <f t="shared" si="3"/>
        <v>563927.616</v>
      </c>
      <c r="D12" s="7">
        <f t="shared" si="4"/>
        <v>11168.272</v>
      </c>
      <c r="E12" s="7">
        <f t="shared" si="5"/>
        <v>368552.976</v>
      </c>
      <c r="F12" s="8">
        <f t="shared" si="6"/>
        <v>932480.592</v>
      </c>
      <c r="G12" s="9">
        <f t="shared" si="7"/>
        <v>0.7612519126</v>
      </c>
      <c r="H12" s="9">
        <f t="shared" si="8"/>
        <v>0.2387480874</v>
      </c>
      <c r="I12" s="11">
        <f>G12*(sum(Vehicles!B13:K13)*104)</f>
        <v>605781856.9</v>
      </c>
      <c r="J12" s="7">
        <f t="shared" si="9"/>
        <v>184408.48</v>
      </c>
      <c r="K12" s="11">
        <f>H12*(sum(Vehicles!B13:K13))*104</f>
        <v>189988698</v>
      </c>
      <c r="L12" s="8">
        <f t="shared" si="10"/>
        <v>14458.80502</v>
      </c>
      <c r="M12" s="10">
        <v>0.5</v>
      </c>
      <c r="N12" s="12">
        <v>0.5</v>
      </c>
      <c r="O12" s="13">
        <f>M12*(sum(Vehicles!B13:K13))*104</f>
        <v>397885277.5</v>
      </c>
      <c r="P12" s="8">
        <f t="shared" si="12"/>
        <v>121121.8501</v>
      </c>
      <c r="Q12" s="8">
        <f>N12*(sum(Vehicles!B13:K13))*104</f>
        <v>397885277.5</v>
      </c>
      <c r="R12" s="8">
        <f t="shared" si="13"/>
        <v>30280.46252</v>
      </c>
    </row>
    <row r="13">
      <c r="A13" s="6">
        <v>2033.0</v>
      </c>
      <c r="B13" s="7">
        <f t="shared" si="2"/>
        <v>3708.239</v>
      </c>
      <c r="C13" s="7">
        <f t="shared" si="3"/>
        <v>597026.479</v>
      </c>
      <c r="D13" s="7">
        <f t="shared" si="4"/>
        <v>11717.843</v>
      </c>
      <c r="E13" s="7">
        <f t="shared" si="5"/>
        <v>386688.819</v>
      </c>
      <c r="F13" s="8">
        <f t="shared" si="6"/>
        <v>983715.298</v>
      </c>
      <c r="G13" s="9">
        <f t="shared" si="7"/>
        <v>0.7596123889</v>
      </c>
      <c r="H13" s="9">
        <f t="shared" si="8"/>
        <v>0.2403876111</v>
      </c>
      <c r="I13" s="11">
        <f>G13*(sum(Vehicles!B14:K14)*104)</f>
        <v>637950329.2</v>
      </c>
      <c r="J13" s="7">
        <f t="shared" si="9"/>
        <v>194201.0135</v>
      </c>
      <c r="K13" s="11">
        <f>H13*(sum(Vehicles!B14:K14))*104</f>
        <v>201886327.6</v>
      </c>
      <c r="L13" s="8">
        <f t="shared" si="10"/>
        <v>15364.25629</v>
      </c>
      <c r="M13" s="10">
        <v>0.5</v>
      </c>
      <c r="N13" s="12">
        <v>0.5</v>
      </c>
      <c r="O13" s="13">
        <f>M13*(sum(Vehicles!B14:K14))*104</f>
        <v>419918328.4</v>
      </c>
      <c r="P13" s="8">
        <f t="shared" si="12"/>
        <v>127829.0193</v>
      </c>
      <c r="Q13" s="8">
        <f>N13*(sum(Vehicles!B14:K14))*104</f>
        <v>419918328.4</v>
      </c>
      <c r="R13" s="8">
        <f t="shared" si="13"/>
        <v>31957.25482</v>
      </c>
    </row>
    <row r="14">
      <c r="A14" s="6">
        <v>2034.0</v>
      </c>
      <c r="B14" s="7">
        <f t="shared" si="2"/>
        <v>3913.822</v>
      </c>
      <c r="C14" s="7">
        <f t="shared" si="3"/>
        <v>630125.342</v>
      </c>
      <c r="D14" s="7">
        <f t="shared" si="4"/>
        <v>12267.414</v>
      </c>
      <c r="E14" s="7">
        <f t="shared" si="5"/>
        <v>404824.662</v>
      </c>
      <c r="F14" s="8">
        <f t="shared" si="6"/>
        <v>1034950.004</v>
      </c>
      <c r="G14" s="9">
        <f t="shared" si="7"/>
        <v>0.7581258935</v>
      </c>
      <c r="H14" s="9">
        <f t="shared" si="8"/>
        <v>0.2418741065</v>
      </c>
      <c r="I14" s="11">
        <f>G14*(sum(Vehicles!B15:K15)*104)</f>
        <v>670109568.7</v>
      </c>
      <c r="J14" s="7">
        <f t="shared" si="9"/>
        <v>203990.7363</v>
      </c>
      <c r="K14" s="11">
        <f>H14*(sum(Vehicles!B15:K15))*104</f>
        <v>213793190</v>
      </c>
      <c r="L14" s="8">
        <f t="shared" si="10"/>
        <v>16270.4102</v>
      </c>
      <c r="M14" s="10">
        <v>0.5</v>
      </c>
      <c r="N14" s="12">
        <v>0.5</v>
      </c>
      <c r="O14" s="13">
        <f>M14*(sum(Vehicles!B15:K15))*104</f>
        <v>441951379.3</v>
      </c>
      <c r="P14" s="8">
        <f t="shared" si="12"/>
        <v>134536.1885</v>
      </c>
      <c r="Q14" s="8">
        <f>N14*(sum(Vehicles!B15:K15))*104</f>
        <v>441951379.3</v>
      </c>
      <c r="R14" s="8">
        <f t="shared" si="13"/>
        <v>33634.04713</v>
      </c>
    </row>
    <row r="15">
      <c r="A15" s="6">
        <v>2035.0</v>
      </c>
      <c r="B15" s="7">
        <f t="shared" si="2"/>
        <v>4119.405</v>
      </c>
      <c r="C15" s="7">
        <f t="shared" si="3"/>
        <v>663224.205</v>
      </c>
      <c r="D15" s="7">
        <f t="shared" si="4"/>
        <v>12816.985</v>
      </c>
      <c r="E15" s="7">
        <f t="shared" si="5"/>
        <v>422960.505</v>
      </c>
      <c r="F15" s="8">
        <f t="shared" si="6"/>
        <v>1086184.71</v>
      </c>
      <c r="G15" s="9">
        <f t="shared" si="7"/>
        <v>0.7567719567</v>
      </c>
      <c r="H15" s="9">
        <f t="shared" si="8"/>
        <v>0.2432280433</v>
      </c>
      <c r="I15" s="11">
        <f>G15*(sum(Vehicles!B16:K16)*104)</f>
        <v>702260810.4</v>
      </c>
      <c r="J15" s="7">
        <f t="shared" si="9"/>
        <v>213778.0245</v>
      </c>
      <c r="K15" s="11">
        <f>H15*(sum(Vehicles!B16:K16))*104</f>
        <v>225708050.2</v>
      </c>
      <c r="L15" s="8">
        <f t="shared" si="10"/>
        <v>17177.17277</v>
      </c>
      <c r="M15" s="10">
        <v>0.5</v>
      </c>
      <c r="N15" s="12">
        <v>0.5</v>
      </c>
      <c r="O15" s="13">
        <f>M15*(sum(Vehicles!B16:K16))*104</f>
        <v>463984430.3</v>
      </c>
      <c r="P15" s="8">
        <f t="shared" si="12"/>
        <v>141243.3578</v>
      </c>
      <c r="Q15" s="8">
        <f>N15*(sum(Vehicles!B16:K16))*104</f>
        <v>463984430.3</v>
      </c>
      <c r="R15" s="8">
        <f t="shared" si="13"/>
        <v>35310.83944</v>
      </c>
    </row>
    <row r="16">
      <c r="A16" s="6" t="s">
        <v>15</v>
      </c>
      <c r="B16" s="6" t="s">
        <v>16</v>
      </c>
      <c r="C16" s="6"/>
      <c r="D16" s="6" t="s">
        <v>17</v>
      </c>
      <c r="E16" s="6"/>
      <c r="F16" s="1"/>
      <c r="M16" s="2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  <row r="1001">
      <c r="A1001" s="1"/>
      <c r="B1001" s="1"/>
      <c r="C1001" s="1"/>
      <c r="D1001" s="1"/>
      <c r="E1001" s="1"/>
      <c r="F1001" s="1"/>
    </row>
    <row r="1002">
      <c r="A1002" s="1"/>
      <c r="B1002" s="1"/>
      <c r="C1002" s="1"/>
      <c r="D1002" s="1"/>
      <c r="E1002" s="1"/>
      <c r="F1002" s="1"/>
    </row>
    <row r="1003">
      <c r="A1003" s="1"/>
      <c r="B1003" s="1"/>
      <c r="C1003" s="1"/>
      <c r="D1003" s="1"/>
      <c r="E1003" s="1"/>
      <c r="F1003" s="1"/>
    </row>
    <row r="1004">
      <c r="A1004" s="1"/>
      <c r="B1004" s="1"/>
      <c r="C1004" s="1"/>
      <c r="D1004" s="1"/>
      <c r="E1004" s="1"/>
      <c r="F1004" s="1"/>
    </row>
    <row r="1005">
      <c r="A1005" s="1"/>
      <c r="B1005" s="1"/>
      <c r="C1005" s="1"/>
      <c r="D1005" s="1"/>
      <c r="E1005" s="1"/>
      <c r="F1005" s="1"/>
    </row>
    <row r="1006">
      <c r="A1006" s="1"/>
      <c r="B1006" s="1"/>
      <c r="C1006" s="1"/>
      <c r="D1006" s="1"/>
      <c r="E1006" s="1"/>
      <c r="F1006" s="1"/>
    </row>
    <row r="1007">
      <c r="A1007" s="1"/>
      <c r="B1007" s="1"/>
      <c r="C1007" s="1"/>
      <c r="D1007" s="1"/>
      <c r="E1007" s="1"/>
      <c r="F1007" s="1"/>
    </row>
    <row r="1008">
      <c r="A1008" s="1"/>
      <c r="B1008" s="1"/>
      <c r="C1008" s="1"/>
      <c r="D1008" s="1"/>
      <c r="E1008" s="1"/>
      <c r="F1008" s="1"/>
    </row>
    <row r="1009">
      <c r="A1009" s="1"/>
      <c r="B1009" s="1"/>
      <c r="C1009" s="1"/>
      <c r="D1009" s="1"/>
      <c r="E1009" s="1"/>
      <c r="F1009" s="1"/>
    </row>
    <row r="1010">
      <c r="A1010" s="1"/>
      <c r="B1010" s="1"/>
      <c r="C1010" s="1"/>
      <c r="D1010" s="1"/>
      <c r="E1010" s="1"/>
      <c r="F1010" s="1"/>
    </row>
    <row r="1011">
      <c r="A1011" s="1"/>
      <c r="B1011" s="1"/>
      <c r="C1011" s="1"/>
      <c r="D1011" s="1"/>
      <c r="E1011" s="1"/>
      <c r="F1011" s="1"/>
    </row>
    <row r="1012">
      <c r="A1012" s="1"/>
      <c r="B1012" s="1"/>
      <c r="C1012" s="1"/>
      <c r="D1012" s="1"/>
      <c r="E1012" s="1"/>
      <c r="F1012" s="1"/>
    </row>
    <row r="1013">
      <c r="A1013" s="1"/>
      <c r="B1013" s="1"/>
      <c r="C1013" s="1"/>
      <c r="D1013" s="1"/>
      <c r="E1013" s="1"/>
      <c r="F1013" s="1"/>
    </row>
    <row r="1014">
      <c r="A1014" s="1"/>
      <c r="B1014" s="1"/>
      <c r="C1014" s="1"/>
      <c r="D1014" s="1"/>
      <c r="E1014" s="1"/>
      <c r="F1014" s="1"/>
    </row>
    <row r="1015">
      <c r="A1015" s="1"/>
      <c r="B1015" s="1"/>
      <c r="C1015" s="1"/>
      <c r="D1015" s="1"/>
      <c r="E1015" s="1"/>
      <c r="F1015" s="1"/>
    </row>
    <row r="1016">
      <c r="A1016" s="1"/>
      <c r="B1016" s="1"/>
      <c r="C1016" s="1"/>
      <c r="D1016" s="1"/>
      <c r="E1016" s="1"/>
      <c r="F101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38"/>
    <col customWidth="1" min="4" max="4" width="26.5"/>
    <col customWidth="1" min="5" max="5" width="29.0"/>
    <col customWidth="1" min="6" max="6" width="29.75"/>
    <col customWidth="1" min="7" max="7" width="25.5"/>
    <col customWidth="1" min="8" max="8" width="23.63"/>
    <col customWidth="1" min="9" max="9" width="23.5"/>
    <col customWidth="1" min="10" max="10" width="17.0"/>
    <col customWidth="1" min="11" max="11" width="26.63"/>
  </cols>
  <sheetData>
    <row r="1">
      <c r="A1" s="1" t="s">
        <v>18</v>
      </c>
    </row>
    <row r="2">
      <c r="A2" s="3" t="s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</row>
    <row r="3">
      <c r="A3" s="6" t="s">
        <v>29</v>
      </c>
      <c r="B3" s="6" t="s">
        <v>30</v>
      </c>
      <c r="C3" s="6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</row>
    <row r="4">
      <c r="A4" s="6">
        <v>2023.0</v>
      </c>
      <c r="B4" s="7">
        <f t="shared" ref="B4:B16" si="1">A4*81357.9+-164101000</f>
        <v>486031.7</v>
      </c>
      <c r="C4" s="7">
        <f t="shared" ref="C4:C16" si="2">A4*63603.4+-128288000</f>
        <v>381678.2</v>
      </c>
      <c r="D4" s="7">
        <f t="shared" ref="D4:D16" si="3">4273.18*A4+-8617400</f>
        <v>27243.14</v>
      </c>
      <c r="E4" s="7">
        <f t="shared" ref="E4:E16" si="4">186541*A4+-375406000</f>
        <v>1966443</v>
      </c>
      <c r="F4" s="7">
        <f t="shared" ref="F4:F16" si="5">86477.6*A4+-173987000</f>
        <v>957184.8</v>
      </c>
      <c r="G4" s="7">
        <f t="shared" ref="G4:G16" si="6">-1404.1*A4+2840420</f>
        <v>-74.3</v>
      </c>
      <c r="H4" s="7">
        <f t="shared" ref="H4:H16" si="7">105.534*A4+-210503</f>
        <v>2992.282</v>
      </c>
      <c r="I4" s="7">
        <f t="shared" ref="I4:I16" si="8">3.214219*A4+-6474.07</f>
        <v>28.295037</v>
      </c>
      <c r="J4" s="7">
        <f t="shared" ref="J4:J16" si="9">407*A4+-822270</f>
        <v>1091</v>
      </c>
      <c r="K4" s="7">
        <f t="shared" ref="K4:K16" si="10">2347.79*A4+-4733970</f>
        <v>15609.17</v>
      </c>
    </row>
    <row r="5">
      <c r="A5" s="6">
        <v>2024.0</v>
      </c>
      <c r="B5" s="7">
        <f t="shared" si="1"/>
        <v>567389.6</v>
      </c>
      <c r="C5" s="7">
        <f t="shared" si="2"/>
        <v>445281.6</v>
      </c>
      <c r="D5" s="7">
        <f t="shared" si="3"/>
        <v>31516.32</v>
      </c>
      <c r="E5" s="7">
        <f t="shared" si="4"/>
        <v>2152984</v>
      </c>
      <c r="F5" s="7">
        <f t="shared" si="5"/>
        <v>1043662.4</v>
      </c>
      <c r="G5" s="7">
        <f t="shared" si="6"/>
        <v>-1478.4</v>
      </c>
      <c r="H5" s="7">
        <f t="shared" si="7"/>
        <v>3097.816</v>
      </c>
      <c r="I5" s="7">
        <f t="shared" si="8"/>
        <v>31.509256</v>
      </c>
      <c r="J5" s="7">
        <f t="shared" si="9"/>
        <v>1498</v>
      </c>
      <c r="K5" s="7">
        <f t="shared" si="10"/>
        <v>17956.96</v>
      </c>
    </row>
    <row r="6">
      <c r="A6" s="6">
        <v>2025.0</v>
      </c>
      <c r="B6" s="7">
        <f t="shared" si="1"/>
        <v>648747.5</v>
      </c>
      <c r="C6" s="7">
        <f t="shared" si="2"/>
        <v>508885</v>
      </c>
      <c r="D6" s="7">
        <f t="shared" si="3"/>
        <v>35789.5</v>
      </c>
      <c r="E6" s="7">
        <f t="shared" si="4"/>
        <v>2339525</v>
      </c>
      <c r="F6" s="7">
        <f t="shared" si="5"/>
        <v>1130140</v>
      </c>
      <c r="G6" s="7">
        <f t="shared" si="6"/>
        <v>-2882.5</v>
      </c>
      <c r="H6" s="7">
        <f t="shared" si="7"/>
        <v>3203.35</v>
      </c>
      <c r="I6" s="7">
        <f t="shared" si="8"/>
        <v>34.723475</v>
      </c>
      <c r="J6" s="7">
        <f t="shared" si="9"/>
        <v>1905</v>
      </c>
      <c r="K6" s="7">
        <f t="shared" si="10"/>
        <v>20304.75</v>
      </c>
    </row>
    <row r="7">
      <c r="A7" s="6">
        <v>2026.0</v>
      </c>
      <c r="B7" s="7">
        <f t="shared" si="1"/>
        <v>730105.4</v>
      </c>
      <c r="C7" s="7">
        <f t="shared" si="2"/>
        <v>572488.4</v>
      </c>
      <c r="D7" s="7">
        <f t="shared" si="3"/>
        <v>40062.68</v>
      </c>
      <c r="E7" s="7">
        <f t="shared" si="4"/>
        <v>2526066</v>
      </c>
      <c r="F7" s="7">
        <f t="shared" si="5"/>
        <v>1216617.6</v>
      </c>
      <c r="G7" s="7">
        <f t="shared" si="6"/>
        <v>-4286.6</v>
      </c>
      <c r="H7" s="7">
        <f t="shared" si="7"/>
        <v>3308.884</v>
      </c>
      <c r="I7" s="7">
        <f t="shared" si="8"/>
        <v>37.937694</v>
      </c>
      <c r="J7" s="7">
        <f t="shared" si="9"/>
        <v>2312</v>
      </c>
      <c r="K7" s="7">
        <f t="shared" si="10"/>
        <v>22652.54</v>
      </c>
    </row>
    <row r="8">
      <c r="A8" s="6">
        <v>2027.0</v>
      </c>
      <c r="B8" s="7">
        <f t="shared" si="1"/>
        <v>811463.3</v>
      </c>
      <c r="C8" s="7">
        <f t="shared" si="2"/>
        <v>636091.8</v>
      </c>
      <c r="D8" s="7">
        <f t="shared" si="3"/>
        <v>44335.86</v>
      </c>
      <c r="E8" s="7">
        <f t="shared" si="4"/>
        <v>2712607</v>
      </c>
      <c r="F8" s="7">
        <f t="shared" si="5"/>
        <v>1303095.2</v>
      </c>
      <c r="G8" s="7">
        <f t="shared" si="6"/>
        <v>-5690.7</v>
      </c>
      <c r="H8" s="7">
        <f t="shared" si="7"/>
        <v>3414.418</v>
      </c>
      <c r="I8" s="7">
        <f t="shared" si="8"/>
        <v>41.151913</v>
      </c>
      <c r="J8" s="7">
        <f t="shared" si="9"/>
        <v>2719</v>
      </c>
      <c r="K8" s="7">
        <f t="shared" si="10"/>
        <v>25000.33</v>
      </c>
    </row>
    <row r="9">
      <c r="A9" s="6">
        <v>2028.0</v>
      </c>
      <c r="B9" s="7">
        <f t="shared" si="1"/>
        <v>892821.2</v>
      </c>
      <c r="C9" s="7">
        <f t="shared" si="2"/>
        <v>699695.2</v>
      </c>
      <c r="D9" s="7">
        <f t="shared" si="3"/>
        <v>48609.04</v>
      </c>
      <c r="E9" s="7">
        <f t="shared" si="4"/>
        <v>2899148</v>
      </c>
      <c r="F9" s="7">
        <f t="shared" si="5"/>
        <v>1389572.8</v>
      </c>
      <c r="G9" s="7">
        <f t="shared" si="6"/>
        <v>-7094.8</v>
      </c>
      <c r="H9" s="7">
        <f t="shared" si="7"/>
        <v>3519.952</v>
      </c>
      <c r="I9" s="7">
        <f t="shared" si="8"/>
        <v>44.366132</v>
      </c>
      <c r="J9" s="7">
        <f t="shared" si="9"/>
        <v>3126</v>
      </c>
      <c r="K9" s="7">
        <f t="shared" si="10"/>
        <v>27348.12</v>
      </c>
    </row>
    <row r="10">
      <c r="A10" s="6">
        <v>2029.0</v>
      </c>
      <c r="B10" s="7">
        <f t="shared" si="1"/>
        <v>974179.1</v>
      </c>
      <c r="C10" s="7">
        <f t="shared" si="2"/>
        <v>763298.6</v>
      </c>
      <c r="D10" s="7">
        <f t="shared" si="3"/>
        <v>52882.22</v>
      </c>
      <c r="E10" s="7">
        <f t="shared" si="4"/>
        <v>3085689</v>
      </c>
      <c r="F10" s="7">
        <f t="shared" si="5"/>
        <v>1476050.4</v>
      </c>
      <c r="G10" s="7">
        <f t="shared" si="6"/>
        <v>-8498.9</v>
      </c>
      <c r="H10" s="7">
        <f t="shared" si="7"/>
        <v>3625.486</v>
      </c>
      <c r="I10" s="7">
        <f t="shared" si="8"/>
        <v>47.580351</v>
      </c>
      <c r="J10" s="7">
        <f t="shared" si="9"/>
        <v>3533</v>
      </c>
      <c r="K10" s="7">
        <f t="shared" si="10"/>
        <v>29695.91</v>
      </c>
    </row>
    <row r="11">
      <c r="A11" s="6">
        <v>2030.0</v>
      </c>
      <c r="B11" s="7">
        <f t="shared" si="1"/>
        <v>1055537</v>
      </c>
      <c r="C11" s="7">
        <f t="shared" si="2"/>
        <v>826902</v>
      </c>
      <c r="D11" s="7">
        <f t="shared" si="3"/>
        <v>57155.4</v>
      </c>
      <c r="E11" s="14">
        <f t="shared" si="4"/>
        <v>3272230</v>
      </c>
      <c r="F11" s="14">
        <f t="shared" si="5"/>
        <v>1562528</v>
      </c>
      <c r="G11" s="14">
        <f t="shared" si="6"/>
        <v>-9903</v>
      </c>
      <c r="H11" s="14">
        <f t="shared" si="7"/>
        <v>3731.02</v>
      </c>
      <c r="I11" s="14">
        <f t="shared" si="8"/>
        <v>50.79457</v>
      </c>
      <c r="J11" s="14">
        <f t="shared" si="9"/>
        <v>3940</v>
      </c>
      <c r="K11" s="14">
        <f t="shared" si="10"/>
        <v>32043.7</v>
      </c>
    </row>
    <row r="12">
      <c r="A12" s="6">
        <v>2031.0</v>
      </c>
      <c r="B12" s="7">
        <f t="shared" si="1"/>
        <v>1136894.9</v>
      </c>
      <c r="C12" s="7">
        <f t="shared" si="2"/>
        <v>890505.4</v>
      </c>
      <c r="D12" s="7">
        <f t="shared" si="3"/>
        <v>61428.58</v>
      </c>
      <c r="E12" s="14">
        <f t="shared" si="4"/>
        <v>3458771</v>
      </c>
      <c r="F12" s="14">
        <f t="shared" si="5"/>
        <v>1649005.6</v>
      </c>
      <c r="G12" s="14">
        <f t="shared" si="6"/>
        <v>-11307.1</v>
      </c>
      <c r="H12" s="14">
        <f t="shared" si="7"/>
        <v>3836.554</v>
      </c>
      <c r="I12" s="14">
        <f t="shared" si="8"/>
        <v>54.008789</v>
      </c>
      <c r="J12" s="14">
        <f t="shared" si="9"/>
        <v>4347</v>
      </c>
      <c r="K12" s="14">
        <f t="shared" si="10"/>
        <v>34391.49</v>
      </c>
    </row>
    <row r="13">
      <c r="A13" s="6">
        <v>2032.0</v>
      </c>
      <c r="B13" s="7">
        <f t="shared" si="1"/>
        <v>1218252.8</v>
      </c>
      <c r="C13" s="7">
        <f t="shared" si="2"/>
        <v>954108.8</v>
      </c>
      <c r="D13" s="7">
        <f t="shared" si="3"/>
        <v>65701.76</v>
      </c>
      <c r="E13" s="14">
        <f t="shared" si="4"/>
        <v>3645312</v>
      </c>
      <c r="F13" s="14">
        <f t="shared" si="5"/>
        <v>1735483.2</v>
      </c>
      <c r="G13" s="14">
        <f t="shared" si="6"/>
        <v>-12711.2</v>
      </c>
      <c r="H13" s="14">
        <f t="shared" si="7"/>
        <v>3942.088</v>
      </c>
      <c r="I13" s="14">
        <f t="shared" si="8"/>
        <v>57.223008</v>
      </c>
      <c r="J13" s="14">
        <f t="shared" si="9"/>
        <v>4754</v>
      </c>
      <c r="K13" s="14">
        <f t="shared" si="10"/>
        <v>36739.28</v>
      </c>
    </row>
    <row r="14">
      <c r="A14" s="6">
        <v>2033.0</v>
      </c>
      <c r="B14" s="7">
        <f t="shared" si="1"/>
        <v>1299610.7</v>
      </c>
      <c r="C14" s="7">
        <f t="shared" si="2"/>
        <v>1017712.2</v>
      </c>
      <c r="D14" s="7">
        <f t="shared" si="3"/>
        <v>69974.94</v>
      </c>
      <c r="E14" s="14">
        <f t="shared" si="4"/>
        <v>3831853</v>
      </c>
      <c r="F14" s="14">
        <f t="shared" si="5"/>
        <v>1821960.8</v>
      </c>
      <c r="G14" s="14">
        <f t="shared" si="6"/>
        <v>-14115.3</v>
      </c>
      <c r="H14" s="14">
        <f t="shared" si="7"/>
        <v>4047.622</v>
      </c>
      <c r="I14" s="14">
        <f t="shared" si="8"/>
        <v>60.437227</v>
      </c>
      <c r="J14" s="14">
        <f t="shared" si="9"/>
        <v>5161</v>
      </c>
      <c r="K14" s="14">
        <f t="shared" si="10"/>
        <v>39087.07</v>
      </c>
    </row>
    <row r="15">
      <c r="A15" s="6">
        <v>2034.0</v>
      </c>
      <c r="B15" s="7">
        <f t="shared" si="1"/>
        <v>1380968.6</v>
      </c>
      <c r="C15" s="7">
        <f t="shared" si="2"/>
        <v>1081315.6</v>
      </c>
      <c r="D15" s="7">
        <f t="shared" si="3"/>
        <v>74248.12</v>
      </c>
      <c r="E15" s="14">
        <f t="shared" si="4"/>
        <v>4018394</v>
      </c>
      <c r="F15" s="14">
        <f t="shared" si="5"/>
        <v>1908438.4</v>
      </c>
      <c r="G15" s="14">
        <f t="shared" si="6"/>
        <v>-15519.4</v>
      </c>
      <c r="H15" s="14">
        <f t="shared" si="7"/>
        <v>4153.156</v>
      </c>
      <c r="I15" s="14">
        <f t="shared" si="8"/>
        <v>63.651446</v>
      </c>
      <c r="J15" s="14">
        <f t="shared" si="9"/>
        <v>5568</v>
      </c>
      <c r="K15" s="14">
        <f t="shared" si="10"/>
        <v>41434.86</v>
      </c>
    </row>
    <row r="16">
      <c r="A16" s="6">
        <v>2035.0</v>
      </c>
      <c r="B16" s="7">
        <f t="shared" si="1"/>
        <v>1462326.5</v>
      </c>
      <c r="C16" s="7">
        <f t="shared" si="2"/>
        <v>1144919</v>
      </c>
      <c r="D16" s="7">
        <f t="shared" si="3"/>
        <v>78521.3</v>
      </c>
      <c r="E16" s="14">
        <f t="shared" si="4"/>
        <v>4204935</v>
      </c>
      <c r="F16" s="14">
        <f t="shared" si="5"/>
        <v>1994916</v>
      </c>
      <c r="G16" s="14">
        <f t="shared" si="6"/>
        <v>-16923.5</v>
      </c>
      <c r="H16" s="14">
        <f t="shared" si="7"/>
        <v>4258.69</v>
      </c>
      <c r="I16" s="14">
        <f t="shared" si="8"/>
        <v>66.865665</v>
      </c>
      <c r="J16" s="14">
        <f t="shared" si="9"/>
        <v>5975</v>
      </c>
      <c r="K16" s="14">
        <f t="shared" si="10"/>
        <v>43782.65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40</v>
      </c>
    </row>
    <row r="3">
      <c r="A3" s="1" t="s">
        <v>41</v>
      </c>
      <c r="C3" s="1">
        <v>4872.0</v>
      </c>
      <c r="D3" s="1" t="s">
        <v>42</v>
      </c>
      <c r="E3" s="8">
        <f>Chargers!I3</f>
        <v>73544055.23</v>
      </c>
      <c r="F3" s="15" t="s">
        <v>43</v>
      </c>
      <c r="G3" s="8">
        <f>E3*C3</f>
        <v>358306637068</v>
      </c>
      <c r="H3" s="1" t="s">
        <v>44</v>
      </c>
    </row>
    <row r="5">
      <c r="A5" s="1" t="s">
        <v>45</v>
      </c>
      <c r="B5" s="1">
        <v>4308.0</v>
      </c>
      <c r="C5" s="1" t="s">
        <v>46</v>
      </c>
      <c r="E5" s="16">
        <f>E3/B5</f>
        <v>17071.50771</v>
      </c>
    </row>
  </sheetData>
  <drawing r:id="rId1"/>
</worksheet>
</file>