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480" yWindow="420" windowWidth="20835" windowHeight="9495"/>
  </bookViews>
  <sheets>
    <sheet name="Índice" sheetId="3" r:id="rId1"/>
    <sheet name="Dados a Colocar" sheetId="4" r:id="rId2"/>
    <sheet name="Recibo" sheetId="1" r:id="rId3"/>
    <sheet name="Conta-Corrente" sheetId="5" r:id="rId4"/>
    <sheet name="Declaração para IRS" sheetId="2" r:id="rId5"/>
  </sheets>
  <definedNames>
    <definedName name="_xlnm._FilterDatabase" localSheetId="3" hidden="1">'Conta-Corrente'!$B$10:$H$10</definedName>
    <definedName name="_xlnm.Print_Area" localSheetId="3">'Conta-Corrente'!$B$2:$H$90</definedName>
    <definedName name="_xlnm.Print_Area" localSheetId="4">'Declaração para IRS'!$C$2:$J$51</definedName>
    <definedName name="_xlnm.Print_Area" localSheetId="2">Recibo!$B$8:$S$68</definedName>
    <definedName name="_xlnm.Print_Titles" localSheetId="3">'Conta-Corrente'!$10:$10</definedName>
  </definedNames>
  <calcPr calcId="144525"/>
</workbook>
</file>

<file path=xl/calcChain.xml><?xml version="1.0" encoding="utf-8"?>
<calcChain xmlns="http://schemas.openxmlformats.org/spreadsheetml/2006/main">
  <c r="F12" i="5" l="1"/>
  <c r="XFC83" i="5"/>
  <c r="XFC71" i="5"/>
  <c r="F72" i="5" s="1"/>
  <c r="XFC59" i="5"/>
  <c r="F60" i="5" s="1"/>
  <c r="XFC47" i="5"/>
  <c r="F48" i="5" s="1"/>
  <c r="XFC35" i="5"/>
  <c r="F36" i="5" s="1"/>
  <c r="XFC72" i="5"/>
  <c r="F73" i="5" s="1"/>
  <c r="XFC73" i="5"/>
  <c r="F74" i="5" s="1"/>
  <c r="XFC74" i="5"/>
  <c r="F75" i="5" s="1"/>
  <c r="XFC75" i="5"/>
  <c r="F76" i="5" s="1"/>
  <c r="XFC76" i="5"/>
  <c r="F77" i="5" s="1"/>
  <c r="XFC77" i="5"/>
  <c r="F78" i="5" s="1"/>
  <c r="XFC78" i="5"/>
  <c r="F79" i="5" s="1"/>
  <c r="XFC79" i="5"/>
  <c r="F80" i="5" s="1"/>
  <c r="XFC80" i="5"/>
  <c r="F81" i="5" s="1"/>
  <c r="XFC81" i="5"/>
  <c r="F82" i="5" s="1"/>
  <c r="XFC82" i="5"/>
  <c r="F83" i="5" s="1"/>
  <c r="XFC70" i="5"/>
  <c r="F71" i="5" s="1"/>
  <c r="XFC69" i="5"/>
  <c r="F70" i="5" s="1"/>
  <c r="XFC68" i="5"/>
  <c r="F69" i="5" s="1"/>
  <c r="XFC67" i="5"/>
  <c r="F68" i="5" s="1"/>
  <c r="XFC66" i="5"/>
  <c r="F67" i="5" s="1"/>
  <c r="XFC65" i="5"/>
  <c r="F66" i="5" s="1"/>
  <c r="XFC64" i="5"/>
  <c r="F65" i="5" s="1"/>
  <c r="XFC63" i="5"/>
  <c r="F64" i="5" s="1"/>
  <c r="XFC62" i="5"/>
  <c r="F63" i="5" s="1"/>
  <c r="XFC61" i="5"/>
  <c r="F62" i="5" s="1"/>
  <c r="XFC60" i="5"/>
  <c r="F61" i="5" s="1"/>
  <c r="XFC58" i="5"/>
  <c r="F59" i="5" s="1"/>
  <c r="XFC57" i="5"/>
  <c r="F58" i="5" s="1"/>
  <c r="XFC56" i="5"/>
  <c r="F57" i="5" s="1"/>
  <c r="XFC55" i="5"/>
  <c r="F56" i="5" s="1"/>
  <c r="XFC54" i="5"/>
  <c r="F55" i="5" s="1"/>
  <c r="XFC53" i="5"/>
  <c r="F54" i="5" s="1"/>
  <c r="XFC52" i="5"/>
  <c r="F53" i="5" s="1"/>
  <c r="XFC51" i="5"/>
  <c r="F52" i="5" s="1"/>
  <c r="XFC50" i="5"/>
  <c r="F51" i="5" s="1"/>
  <c r="XFC49" i="5"/>
  <c r="F50" i="5" s="1"/>
  <c r="XFC48" i="5"/>
  <c r="F49" i="5" s="1"/>
  <c r="XFC46" i="5"/>
  <c r="F47" i="5" s="1"/>
  <c r="XFC45" i="5"/>
  <c r="F46" i="5" s="1"/>
  <c r="XFC44" i="5"/>
  <c r="F45" i="5" s="1"/>
  <c r="XFC43" i="5"/>
  <c r="F44" i="5" s="1"/>
  <c r="XFC42" i="5"/>
  <c r="F43" i="5" s="1"/>
  <c r="XFC41" i="5"/>
  <c r="F42" i="5" s="1"/>
  <c r="XFC40" i="5"/>
  <c r="F41" i="5" s="1"/>
  <c r="XFC39" i="5"/>
  <c r="F40" i="5" s="1"/>
  <c r="XFC38" i="5"/>
  <c r="F39" i="5" s="1"/>
  <c r="XFC37" i="5"/>
  <c r="F38" i="5" s="1"/>
  <c r="XFC36" i="5"/>
  <c r="F37" i="5" s="1"/>
  <c r="XFC34" i="5"/>
  <c r="F35" i="5" s="1"/>
  <c r="XFC33" i="5"/>
  <c r="F34" i="5" s="1"/>
  <c r="XFC32" i="5"/>
  <c r="F33" i="5" s="1"/>
  <c r="XFC31" i="5"/>
  <c r="F32" i="5" s="1"/>
  <c r="XFC30" i="5"/>
  <c r="F31" i="5" s="1"/>
  <c r="XFC29" i="5"/>
  <c r="F30" i="5" s="1"/>
  <c r="XFC28" i="5"/>
  <c r="F29" i="5" s="1"/>
  <c r="XFC27" i="5"/>
  <c r="F28" i="5" s="1"/>
  <c r="XFC26" i="5"/>
  <c r="F27" i="5" s="1"/>
  <c r="XFC25" i="5"/>
  <c r="F26" i="5" s="1"/>
  <c r="XFC24" i="5"/>
  <c r="F25" i="5" s="1"/>
  <c r="XFC23" i="5"/>
  <c r="F24" i="5" s="1"/>
  <c r="XFC22" i="5"/>
  <c r="F23" i="5" s="1"/>
  <c r="XFC21" i="5"/>
  <c r="F22" i="5" s="1"/>
  <c r="XFC20" i="5"/>
  <c r="F21" i="5" s="1"/>
  <c r="XFC19" i="5"/>
  <c r="F20" i="5" s="1"/>
  <c r="XFC18" i="5"/>
  <c r="F19" i="5" s="1"/>
  <c r="XFC17" i="5"/>
  <c r="F18" i="5" s="1"/>
  <c r="XFC16" i="5"/>
  <c r="F17" i="5" s="1"/>
  <c r="XFC15" i="5"/>
  <c r="F16" i="5" s="1"/>
  <c r="XFC14" i="5"/>
  <c r="F15" i="5" s="1"/>
  <c r="XFC13" i="5"/>
  <c r="F14" i="5" s="1"/>
  <c r="XFC12" i="5"/>
  <c r="F13" i="5" s="1"/>
  <c r="B8" i="5"/>
  <c r="B6" i="5"/>
  <c r="R23" i="1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E12" i="5"/>
  <c r="D13" i="5"/>
  <c r="D12" i="5"/>
  <c r="C11" i="5"/>
  <c r="F11" i="5"/>
  <c r="C25" i="1"/>
  <c r="P22" i="1"/>
  <c r="P53" i="1" s="1"/>
  <c r="R22" i="1"/>
  <c r="G4" i="5"/>
  <c r="F4" i="5"/>
  <c r="B2" i="5"/>
  <c r="C44" i="2"/>
  <c r="Q24" i="1"/>
  <c r="D30" i="2"/>
  <c r="D22" i="2"/>
  <c r="D25" i="2"/>
  <c r="C20" i="1"/>
  <c r="E24" i="2"/>
  <c r="M17" i="1"/>
  <c r="D24" i="2"/>
  <c r="L17" i="1"/>
  <c r="D23" i="2"/>
  <c r="L16" i="1"/>
  <c r="L15" i="1"/>
  <c r="D17" i="2"/>
  <c r="E12" i="1"/>
  <c r="E16" i="2"/>
  <c r="D11" i="1"/>
  <c r="D16" i="2"/>
  <c r="C11" i="1"/>
  <c r="D15" i="2"/>
  <c r="C10" i="1"/>
  <c r="D14" i="2"/>
  <c r="C9" i="1"/>
  <c r="D9" i="2"/>
  <c r="C14" i="5"/>
  <c r="L20" i="1"/>
  <c r="E20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S67" i="1"/>
  <c r="R67" i="1"/>
  <c r="Q67" i="1"/>
  <c r="P67" i="1"/>
  <c r="O67" i="1"/>
  <c r="N67" i="1"/>
  <c r="M67" i="1"/>
  <c r="C67" i="1"/>
  <c r="B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S65" i="1"/>
  <c r="R65" i="1"/>
  <c r="Q65" i="1"/>
  <c r="P65" i="1"/>
  <c r="O65" i="1"/>
  <c r="L65" i="1"/>
  <c r="K65" i="1"/>
  <c r="J65" i="1"/>
  <c r="H65" i="1"/>
  <c r="F65" i="1"/>
  <c r="C65" i="1"/>
  <c r="B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S63" i="1"/>
  <c r="R63" i="1"/>
  <c r="Q63" i="1"/>
  <c r="I63" i="1"/>
  <c r="H63" i="1"/>
  <c r="G63" i="1"/>
  <c r="F63" i="1"/>
  <c r="E63" i="1"/>
  <c r="D63" i="1"/>
  <c r="C63" i="1"/>
  <c r="B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S61" i="1"/>
  <c r="R61" i="1"/>
  <c r="Q61" i="1"/>
  <c r="I61" i="1"/>
  <c r="H61" i="1"/>
  <c r="G61" i="1"/>
  <c r="F61" i="1"/>
  <c r="E61" i="1"/>
  <c r="D61" i="1"/>
  <c r="C61" i="1"/>
  <c r="B61" i="1"/>
  <c r="S60" i="1"/>
  <c r="R60" i="1"/>
  <c r="Q60" i="1"/>
  <c r="P60" i="1"/>
  <c r="O60" i="1"/>
  <c r="N60" i="1"/>
  <c r="M60" i="1"/>
  <c r="L60" i="1"/>
  <c r="J60" i="1"/>
  <c r="I60" i="1"/>
  <c r="H60" i="1"/>
  <c r="G60" i="1"/>
  <c r="F60" i="1"/>
  <c r="E60" i="1"/>
  <c r="D60" i="1"/>
  <c r="C60" i="1"/>
  <c r="B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S58" i="1"/>
  <c r="Q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S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S56" i="1"/>
  <c r="Q56" i="1"/>
  <c r="P56" i="1"/>
  <c r="O56" i="1"/>
  <c r="N56" i="1"/>
  <c r="M56" i="1"/>
  <c r="L56" i="1"/>
  <c r="B56" i="1"/>
  <c r="S55" i="1"/>
  <c r="O55" i="1"/>
  <c r="N55" i="1"/>
  <c r="M55" i="1"/>
  <c r="L55" i="1"/>
  <c r="K55" i="1"/>
  <c r="J55" i="1"/>
  <c r="I55" i="1"/>
  <c r="H55" i="1"/>
  <c r="G55" i="1"/>
  <c r="F55" i="1"/>
  <c r="E55" i="1"/>
  <c r="D55" i="1"/>
  <c r="B55" i="1"/>
  <c r="S54" i="1"/>
  <c r="Q54" i="1"/>
  <c r="O54" i="1"/>
  <c r="N54" i="1"/>
  <c r="M54" i="1"/>
  <c r="L54" i="1"/>
  <c r="C54" i="1"/>
  <c r="B54" i="1"/>
  <c r="S53" i="1"/>
  <c r="Q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1" i="1"/>
  <c r="R51" i="1"/>
  <c r="Q51" i="1"/>
  <c r="P51" i="1"/>
  <c r="O51" i="1"/>
  <c r="N51" i="1"/>
  <c r="M51" i="1"/>
  <c r="K51" i="1"/>
  <c r="J51" i="1"/>
  <c r="E51" i="1"/>
  <c r="D51" i="1"/>
  <c r="B51" i="1"/>
  <c r="S50" i="1"/>
  <c r="R50" i="1"/>
  <c r="Q50" i="1"/>
  <c r="P50" i="1"/>
  <c r="O50" i="1"/>
  <c r="N50" i="1"/>
  <c r="M50" i="1"/>
  <c r="L50" i="1"/>
  <c r="K50" i="1"/>
  <c r="J50" i="1"/>
  <c r="I50" i="1"/>
  <c r="E50" i="1"/>
  <c r="D50" i="1"/>
  <c r="C50" i="1"/>
  <c r="B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S48" i="1"/>
  <c r="R48" i="1"/>
  <c r="Q48" i="1"/>
  <c r="P48" i="1"/>
  <c r="O48" i="1"/>
  <c r="N48" i="1"/>
  <c r="K48" i="1"/>
  <c r="J48" i="1"/>
  <c r="I48" i="1"/>
  <c r="H48" i="1"/>
  <c r="G48" i="1"/>
  <c r="F48" i="1"/>
  <c r="E48" i="1"/>
  <c r="D48" i="1"/>
  <c r="C48" i="1"/>
  <c r="B48" i="1"/>
  <c r="S47" i="1"/>
  <c r="R47" i="1"/>
  <c r="Q47" i="1"/>
  <c r="P47" i="1"/>
  <c r="O47" i="1"/>
  <c r="N47" i="1"/>
  <c r="M47" i="1"/>
  <c r="K47" i="1"/>
  <c r="J47" i="1"/>
  <c r="I47" i="1"/>
  <c r="H47" i="1"/>
  <c r="G47" i="1"/>
  <c r="F47" i="1"/>
  <c r="E47" i="1"/>
  <c r="D47" i="1"/>
  <c r="C47" i="1"/>
  <c r="B47" i="1"/>
  <c r="S46" i="1"/>
  <c r="K46" i="1"/>
  <c r="J46" i="1"/>
  <c r="I46" i="1"/>
  <c r="H46" i="1"/>
  <c r="G46" i="1"/>
  <c r="F46" i="1"/>
  <c r="E46" i="1"/>
  <c r="D46" i="1"/>
  <c r="C46" i="1"/>
  <c r="B46" i="1"/>
  <c r="S45" i="1"/>
  <c r="R45" i="1"/>
  <c r="Q45" i="1"/>
  <c r="P45" i="1"/>
  <c r="O45" i="1"/>
  <c r="N45" i="1"/>
  <c r="L45" i="1"/>
  <c r="K45" i="1"/>
  <c r="J45" i="1"/>
  <c r="I45" i="1"/>
  <c r="H45" i="1"/>
  <c r="G45" i="1"/>
  <c r="F45" i="1"/>
  <c r="E45" i="1"/>
  <c r="B45" i="1"/>
  <c r="S44" i="1"/>
  <c r="R44" i="1"/>
  <c r="Q44" i="1"/>
  <c r="P44" i="1"/>
  <c r="O44" i="1"/>
  <c r="N44" i="1"/>
  <c r="M44" i="1"/>
  <c r="L44" i="1"/>
  <c r="K44" i="1"/>
  <c r="J44" i="1"/>
  <c r="I44" i="1"/>
  <c r="H44" i="1"/>
  <c r="F44" i="1"/>
  <c r="E44" i="1"/>
  <c r="D44" i="1"/>
  <c r="B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B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B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B41" i="1"/>
  <c r="S40" i="1"/>
  <c r="R40" i="1"/>
  <c r="Q40" i="1"/>
  <c r="P40" i="1"/>
  <c r="O40" i="1"/>
  <c r="N40" i="1"/>
  <c r="M40" i="1"/>
  <c r="L40" i="1"/>
  <c r="K40" i="1"/>
  <c r="J40" i="1"/>
  <c r="I40" i="1"/>
  <c r="B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C40" i="1"/>
  <c r="C41" i="1"/>
  <c r="C42" i="1"/>
  <c r="D36" i="1"/>
  <c r="D67" i="1" s="1"/>
  <c r="D34" i="1"/>
  <c r="D65" i="1" s="1"/>
  <c r="M34" i="1"/>
  <c r="M65" i="1" s="1"/>
  <c r="N34" i="1"/>
  <c r="N65" i="1" s="1"/>
  <c r="E34" i="1"/>
  <c r="E65" i="1" s="1"/>
  <c r="G34" i="1"/>
  <c r="G65" i="1" s="1"/>
  <c r="I34" i="1"/>
  <c r="I65" i="1" s="1"/>
  <c r="Q26" i="1"/>
  <c r="Q57" i="1" s="1"/>
  <c r="P32" i="1"/>
  <c r="J63" i="1" s="1"/>
  <c r="P30" i="1"/>
  <c r="J61" i="1" s="1"/>
  <c r="Q55" i="1"/>
  <c r="R54" i="1"/>
  <c r="R53" i="1"/>
  <c r="C24" i="1"/>
  <c r="C55" i="1" s="1"/>
  <c r="C12" i="1"/>
  <c r="C43" i="1" s="1"/>
  <c r="C51" i="1"/>
  <c r="L47" i="1"/>
  <c r="M48" i="1"/>
  <c r="L48" i="1"/>
  <c r="L46" i="1"/>
  <c r="D14" i="1"/>
  <c r="D45" i="1" s="1"/>
  <c r="G13" i="1"/>
  <c r="G44" i="1" s="1"/>
  <c r="E43" i="1"/>
  <c r="D42" i="1"/>
  <c r="B68" i="4"/>
  <c r="B66" i="4"/>
  <c r="B38" i="4"/>
  <c r="C13" i="1" s="1"/>
  <c r="C44" i="1" s="1"/>
  <c r="B40" i="4"/>
  <c r="C14" i="1" s="1"/>
  <c r="C45" i="1" s="1"/>
  <c r="C15" i="5" l="1"/>
  <c r="A14" i="5"/>
  <c r="XFB14" i="5"/>
  <c r="E15" i="5" s="1"/>
  <c r="XFB12" i="5"/>
  <c r="E13" i="5" s="1"/>
  <c r="XFB13" i="5"/>
  <c r="E14" i="5" s="1"/>
  <c r="C56" i="1"/>
  <c r="B14" i="5"/>
  <c r="B11" i="5"/>
  <c r="B15" i="5"/>
  <c r="R24" i="1"/>
  <c r="F84" i="5"/>
  <c r="F8" i="5"/>
  <c r="A12" i="5"/>
  <c r="A11" i="5"/>
  <c r="A13" i="5"/>
  <c r="A15" i="5"/>
  <c r="L51" i="1"/>
  <c r="R26" i="1"/>
  <c r="R57" i="1" s="1"/>
  <c r="C16" i="5" l="1"/>
  <c r="XFB15" i="5"/>
  <c r="E16" i="5" s="1"/>
  <c r="R25" i="1"/>
  <c r="R56" i="1" s="1"/>
  <c r="R55" i="1"/>
  <c r="C17" i="5" l="1"/>
  <c r="XFB16" i="5"/>
  <c r="E17" i="5" s="1"/>
  <c r="B16" i="5"/>
  <c r="A16" i="5"/>
  <c r="R27" i="1"/>
  <c r="R58" i="1" s="1"/>
  <c r="I34" i="2"/>
  <c r="I36" i="2" s="1"/>
  <c r="C18" i="5" l="1"/>
  <c r="XFB17" i="5"/>
  <c r="E18" i="5" s="1"/>
  <c r="B17" i="5"/>
  <c r="A17" i="5"/>
  <c r="C19" i="5" l="1"/>
  <c r="XFB18" i="5"/>
  <c r="E19" i="5" s="1"/>
  <c r="B18" i="5"/>
  <c r="A18" i="5"/>
  <c r="C20" i="5" l="1"/>
  <c r="XFB19" i="5"/>
  <c r="E20" i="5" s="1"/>
  <c r="A19" i="5"/>
  <c r="B19" i="5"/>
  <c r="C21" i="5" l="1"/>
  <c r="XFB20" i="5"/>
  <c r="E21" i="5" s="1"/>
  <c r="B20" i="5"/>
  <c r="A20" i="5"/>
  <c r="C22" i="5" l="1"/>
  <c r="XFB21" i="5"/>
  <c r="E22" i="5" s="1"/>
  <c r="B21" i="5"/>
  <c r="A21" i="5"/>
  <c r="C23" i="5" l="1"/>
  <c r="XFB22" i="5"/>
  <c r="E23" i="5" s="1"/>
  <c r="B22" i="5"/>
  <c r="A22" i="5"/>
  <c r="C24" i="5" l="1"/>
  <c r="XFB23" i="5"/>
  <c r="E24" i="5" s="1"/>
  <c r="A23" i="5"/>
  <c r="B23" i="5"/>
  <c r="XFB24" i="5" l="1"/>
  <c r="E25" i="5" s="1"/>
  <c r="C25" i="5"/>
  <c r="B24" i="5"/>
  <c r="A24" i="5"/>
  <c r="B25" i="5" l="1"/>
  <c r="XFB25" i="5"/>
  <c r="E26" i="5" s="1"/>
  <c r="C26" i="5"/>
  <c r="A25" i="5"/>
  <c r="B26" i="5" l="1"/>
  <c r="XFB26" i="5"/>
  <c r="E27" i="5" s="1"/>
  <c r="C27" i="5"/>
  <c r="A26" i="5"/>
  <c r="B27" i="5" l="1"/>
  <c r="XFB27" i="5"/>
  <c r="E28" i="5" s="1"/>
  <c r="A27" i="5"/>
  <c r="C28" i="5"/>
  <c r="B28" i="5" l="1"/>
  <c r="XFB28" i="5"/>
  <c r="E29" i="5" s="1"/>
  <c r="A28" i="5"/>
  <c r="C29" i="5"/>
  <c r="B29" i="5" l="1"/>
  <c r="XFB29" i="5"/>
  <c r="E30" i="5" s="1"/>
  <c r="A29" i="5"/>
  <c r="C30" i="5"/>
  <c r="B30" i="5" l="1"/>
  <c r="XFB30" i="5"/>
  <c r="E31" i="5" s="1"/>
  <c r="A30" i="5"/>
  <c r="C31" i="5"/>
  <c r="B31" i="5" l="1"/>
  <c r="XFB31" i="5"/>
  <c r="E32" i="5" s="1"/>
  <c r="A31" i="5"/>
  <c r="C32" i="5"/>
  <c r="B32" i="5" l="1"/>
  <c r="XFB32" i="5"/>
  <c r="E33" i="5" s="1"/>
  <c r="A32" i="5"/>
  <c r="C33" i="5"/>
  <c r="B33" i="5" l="1"/>
  <c r="XFB33" i="5"/>
  <c r="E34" i="5" s="1"/>
  <c r="A33" i="5"/>
  <c r="C34" i="5"/>
  <c r="B34" i="5" l="1"/>
  <c r="XFB34" i="5"/>
  <c r="E35" i="5" s="1"/>
  <c r="A34" i="5"/>
  <c r="C35" i="5"/>
  <c r="B35" i="5" l="1"/>
  <c r="XFB35" i="5"/>
  <c r="E36" i="5" s="1"/>
  <c r="A35" i="5"/>
  <c r="C36" i="5"/>
  <c r="B36" i="5" l="1"/>
  <c r="XFB36" i="5"/>
  <c r="E37" i="5" s="1"/>
  <c r="A36" i="5"/>
  <c r="C37" i="5"/>
  <c r="B37" i="5" l="1"/>
  <c r="XFB37" i="5"/>
  <c r="E38" i="5" s="1"/>
  <c r="A37" i="5"/>
  <c r="C38" i="5"/>
  <c r="B38" i="5" l="1"/>
  <c r="XFB38" i="5"/>
  <c r="E39" i="5" s="1"/>
  <c r="A38" i="5"/>
  <c r="C39" i="5"/>
  <c r="B39" i="5" l="1"/>
  <c r="XFB39" i="5"/>
  <c r="E40" i="5" s="1"/>
  <c r="A39" i="5"/>
  <c r="C40" i="5"/>
  <c r="B40" i="5" l="1"/>
  <c r="XFB40" i="5"/>
  <c r="E41" i="5" s="1"/>
  <c r="A40" i="5"/>
  <c r="C41" i="5"/>
  <c r="B41" i="5" l="1"/>
  <c r="XFB41" i="5"/>
  <c r="E42" i="5" s="1"/>
  <c r="A41" i="5"/>
  <c r="C42" i="5"/>
  <c r="B42" i="5" l="1"/>
  <c r="XFB42" i="5"/>
  <c r="E43" i="5" s="1"/>
  <c r="A42" i="5"/>
  <c r="C43" i="5"/>
  <c r="B43" i="5" l="1"/>
  <c r="XFB43" i="5"/>
  <c r="E44" i="5" s="1"/>
  <c r="A43" i="5"/>
  <c r="C44" i="5"/>
  <c r="B44" i="5" l="1"/>
  <c r="XFB44" i="5"/>
  <c r="E45" i="5" s="1"/>
  <c r="C45" i="5"/>
  <c r="A44" i="5"/>
  <c r="B45" i="5" l="1"/>
  <c r="XFB45" i="5"/>
  <c r="E46" i="5" s="1"/>
  <c r="A45" i="5"/>
  <c r="C46" i="5"/>
  <c r="B46" i="5" l="1"/>
  <c r="XFB46" i="5"/>
  <c r="E47" i="5" s="1"/>
  <c r="A46" i="5"/>
  <c r="C47" i="5"/>
  <c r="B47" i="5" l="1"/>
  <c r="XFB47" i="5"/>
  <c r="E48" i="5" s="1"/>
  <c r="A47" i="5"/>
  <c r="C48" i="5"/>
  <c r="B48" i="5" l="1"/>
  <c r="XFB48" i="5"/>
  <c r="E49" i="5" s="1"/>
  <c r="A48" i="5"/>
  <c r="C49" i="5"/>
  <c r="B49" i="5" l="1"/>
  <c r="XFB49" i="5"/>
  <c r="E50" i="5" s="1"/>
  <c r="A49" i="5"/>
  <c r="C50" i="5"/>
  <c r="B50" i="5" l="1"/>
  <c r="XFB50" i="5"/>
  <c r="E51" i="5" s="1"/>
  <c r="A50" i="5"/>
  <c r="C51" i="5"/>
  <c r="B51" i="5" l="1"/>
  <c r="XFB51" i="5"/>
  <c r="E52" i="5" s="1"/>
  <c r="A51" i="5"/>
  <c r="C52" i="5"/>
  <c r="B52" i="5" l="1"/>
  <c r="XFB52" i="5"/>
  <c r="E53" i="5" s="1"/>
  <c r="A52" i="5"/>
  <c r="C53" i="5"/>
  <c r="B53" i="5" l="1"/>
  <c r="XFB53" i="5"/>
  <c r="E54" i="5" s="1"/>
  <c r="A53" i="5"/>
  <c r="C54" i="5"/>
  <c r="B54" i="5" l="1"/>
  <c r="XFB54" i="5"/>
  <c r="E55" i="5" s="1"/>
  <c r="A54" i="5"/>
  <c r="C55" i="5"/>
  <c r="B55" i="5" l="1"/>
  <c r="XFB55" i="5"/>
  <c r="E56" i="5" s="1"/>
  <c r="A55" i="5"/>
  <c r="C56" i="5"/>
  <c r="B56" i="5" l="1"/>
  <c r="XFB56" i="5"/>
  <c r="E57" i="5" s="1"/>
  <c r="A56" i="5"/>
  <c r="C57" i="5"/>
  <c r="B57" i="5" l="1"/>
  <c r="XFB57" i="5"/>
  <c r="E58" i="5" s="1"/>
  <c r="A57" i="5"/>
  <c r="C58" i="5"/>
  <c r="B58" i="5" l="1"/>
  <c r="XFB58" i="5"/>
  <c r="E59" i="5" s="1"/>
  <c r="A58" i="5"/>
  <c r="C59" i="5"/>
  <c r="B59" i="5" l="1"/>
  <c r="XFB59" i="5"/>
  <c r="E60" i="5" s="1"/>
  <c r="A59" i="5"/>
  <c r="C60" i="5"/>
  <c r="B60" i="5" l="1"/>
  <c r="XFB60" i="5"/>
  <c r="E61" i="5" s="1"/>
  <c r="A60" i="5"/>
  <c r="C61" i="5"/>
  <c r="B61" i="5" l="1"/>
  <c r="XFB61" i="5"/>
  <c r="E62" i="5" s="1"/>
  <c r="A61" i="5"/>
  <c r="C62" i="5"/>
  <c r="B62" i="5" l="1"/>
  <c r="XFB62" i="5"/>
  <c r="E63" i="5" s="1"/>
  <c r="A62" i="5"/>
  <c r="C63" i="5"/>
  <c r="B63" i="5" l="1"/>
  <c r="XFB63" i="5"/>
  <c r="E64" i="5" s="1"/>
  <c r="A63" i="5"/>
  <c r="C64" i="5"/>
  <c r="B64" i="5" l="1"/>
  <c r="XFB64" i="5"/>
  <c r="E65" i="5" s="1"/>
  <c r="A64" i="5"/>
  <c r="C65" i="5"/>
  <c r="B65" i="5" l="1"/>
  <c r="XFB65" i="5"/>
  <c r="E66" i="5" s="1"/>
  <c r="A65" i="5"/>
  <c r="C66" i="5"/>
  <c r="B66" i="5" l="1"/>
  <c r="XFB66" i="5"/>
  <c r="E67" i="5" s="1"/>
  <c r="A66" i="5"/>
  <c r="C67" i="5"/>
  <c r="B67" i="5" l="1"/>
  <c r="XFB67" i="5"/>
  <c r="E68" i="5" s="1"/>
  <c r="A67" i="5"/>
  <c r="C68" i="5"/>
  <c r="B68" i="5" l="1"/>
  <c r="XFB68" i="5"/>
  <c r="E69" i="5" s="1"/>
  <c r="A68" i="5"/>
  <c r="C69" i="5"/>
  <c r="B69" i="5" l="1"/>
  <c r="XFB69" i="5"/>
  <c r="E70" i="5" s="1"/>
  <c r="A69" i="5"/>
  <c r="C70" i="5"/>
  <c r="B70" i="5" l="1"/>
  <c r="XFB70" i="5"/>
  <c r="E71" i="5" s="1"/>
  <c r="A70" i="5"/>
  <c r="C71" i="5"/>
  <c r="B71" i="5" l="1"/>
  <c r="XFB71" i="5"/>
  <c r="E72" i="5" s="1"/>
  <c r="A71" i="5"/>
  <c r="C72" i="5"/>
  <c r="B72" i="5" l="1"/>
  <c r="XFB72" i="5"/>
  <c r="E73" i="5" s="1"/>
  <c r="A72" i="5"/>
  <c r="C73" i="5"/>
  <c r="B73" i="5" l="1"/>
  <c r="XFB73" i="5"/>
  <c r="E74" i="5" s="1"/>
  <c r="A73" i="5"/>
  <c r="C74" i="5"/>
  <c r="B74" i="5" l="1"/>
  <c r="XFB74" i="5"/>
  <c r="E75" i="5" s="1"/>
  <c r="A74" i="5"/>
  <c r="C75" i="5"/>
  <c r="B75" i="5" l="1"/>
  <c r="XFB75" i="5"/>
  <c r="E76" i="5" s="1"/>
  <c r="A75" i="5"/>
  <c r="C76" i="5"/>
  <c r="B76" i="5" l="1"/>
  <c r="XFB76" i="5"/>
  <c r="E77" i="5" s="1"/>
  <c r="A76" i="5"/>
  <c r="C77" i="5"/>
  <c r="B77" i="5" l="1"/>
  <c r="XFB77" i="5"/>
  <c r="E78" i="5" s="1"/>
  <c r="A77" i="5"/>
  <c r="C78" i="5"/>
  <c r="B78" i="5" l="1"/>
  <c r="XFB78" i="5"/>
  <c r="E79" i="5" s="1"/>
  <c r="A78" i="5"/>
  <c r="C79" i="5"/>
  <c r="XFB79" i="5" l="1"/>
  <c r="E80" i="5" s="1"/>
  <c r="C80" i="5"/>
  <c r="B79" i="5"/>
  <c r="A79" i="5"/>
  <c r="B80" i="5" l="1"/>
  <c r="XFB80" i="5"/>
  <c r="E81" i="5" s="1"/>
  <c r="A80" i="5"/>
  <c r="C81" i="5"/>
  <c r="B81" i="5" l="1"/>
  <c r="XFB81" i="5"/>
  <c r="E82" i="5" s="1"/>
  <c r="C82" i="5"/>
  <c r="A81" i="5"/>
  <c r="B82" i="5" l="1"/>
  <c r="XFB82" i="5"/>
  <c r="E83" i="5" s="1"/>
  <c r="A82" i="5"/>
  <c r="C83" i="5"/>
  <c r="B83" i="5" l="1"/>
  <c r="XFB83" i="5"/>
  <c r="A83" i="5"/>
  <c r="F6" i="5" s="1"/>
  <c r="I32" i="2" s="1"/>
  <c r="I38" i="2" s="1"/>
</calcChain>
</file>

<file path=xl/sharedStrings.xml><?xml version="1.0" encoding="utf-8"?>
<sst xmlns="http://schemas.openxmlformats.org/spreadsheetml/2006/main" count="224" uniqueCount="181">
  <si>
    <t>Valor da Renda:</t>
  </si>
  <si>
    <t>Retenção na Fonte:</t>
  </si>
  <si>
    <t>Subtotal:</t>
  </si>
  <si>
    <t>IVA:</t>
  </si>
  <si>
    <t>Total a Pagar:</t>
  </si>
  <si>
    <t>REFERENTES AO SENHORIO</t>
  </si>
  <si>
    <t>Nome:</t>
  </si>
  <si>
    <t>Particular</t>
  </si>
  <si>
    <t>Empresa</t>
  </si>
  <si>
    <t>Morada:</t>
  </si>
  <si>
    <t>Localidade:</t>
  </si>
  <si>
    <t>N.º Contribuinte:</t>
  </si>
  <si>
    <t>Código Postal:</t>
  </si>
  <si>
    <t>REFERENTES AO INQUILINO</t>
  </si>
  <si>
    <t>Dados a Colocar</t>
  </si>
  <si>
    <t>Colocar toda a informação relativa à Propriedade; Senhorio e Inquilino</t>
  </si>
  <si>
    <t>Descrição</t>
  </si>
  <si>
    <t>REFERENTES À PROPRIEDADE</t>
  </si>
  <si>
    <t>Freguesia:</t>
  </si>
  <si>
    <t>PARA EFEITOS DE IRS/ IRC:</t>
  </si>
  <si>
    <t>Tipo:</t>
  </si>
  <si>
    <t>Fracção:</t>
  </si>
  <si>
    <t>Classificação A ou A+</t>
  </si>
  <si>
    <t>Sem classificação A ou A+</t>
  </si>
  <si>
    <t>Recibo</t>
  </si>
  <si>
    <t>Contacto:</t>
  </si>
  <si>
    <t>Telefone:</t>
  </si>
  <si>
    <t>CONTACTOS:</t>
  </si>
  <si>
    <t>Telemóvel:</t>
  </si>
  <si>
    <t>e-mail:</t>
  </si>
  <si>
    <t>IBAN:</t>
  </si>
  <si>
    <t>PT</t>
  </si>
  <si>
    <t>Exmos.(s) Senhor(es)</t>
  </si>
  <si>
    <t>V/ N.º Contribuinte</t>
  </si>
  <si>
    <t>Data do Recibo</t>
  </si>
  <si>
    <t>Documento</t>
  </si>
  <si>
    <t>Original</t>
  </si>
  <si>
    <t>Número do Recibo</t>
  </si>
  <si>
    <t>Arrendamento da propriedade sita em:</t>
  </si>
  <si>
    <t>Meses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</si>
  <si>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</si>
  <si>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</si>
  <si>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</si>
  <si>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</si>
  <si>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</si>
  <si>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</si>
  <si>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</si>
  <si>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</si>
  <si>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</si>
  <si>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</si>
  <si>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</si>
  <si>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</si>
  <si>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Questões fiscais:</t>
  </si>
  <si>
    <t>Descritivo:</t>
  </si>
  <si>
    <t>Contactos:</t>
  </si>
  <si>
    <t>N/ IBAN:</t>
  </si>
  <si>
    <t>Duplicado</t>
  </si>
  <si>
    <t>Data do recibo:</t>
  </si>
  <si>
    <t>É para a emissão do Recibo de Renda (já com o original e Duplicado) - só terá que colocar a data e responder se é o primeiro recibo de renda</t>
  </si>
  <si>
    <t>Conta-Corrente</t>
  </si>
  <si>
    <t>N.º do Recibo</t>
  </si>
  <si>
    <t>N.º do Recibo:</t>
  </si>
  <si>
    <t>Declaração para IRS</t>
  </si>
  <si>
    <t>Declaração que o proprietário deve entregar ao inquilino, para efeiros de IRS (ou IRC se for empresa) até dia 20 de Janeiro do ano seguinte.</t>
  </si>
  <si>
    <t>Nome da Folha</t>
  </si>
  <si>
    <t>DIRECÇÃO GERAL DAS CONTRIBUIÇÕES E IMPOSTOS</t>
  </si>
  <si>
    <t>RETENÇÃO NA FONTE - Nota dos rendimentos devidos e do importo retido</t>
  </si>
  <si>
    <t>1 - ANO A QUE OS RENDIMENTOS DIZEM RESPEITO</t>
  </si>
  <si>
    <t>2 - IDENTIFICAÇÃO DA ENTIDADE PAGADORA</t>
  </si>
  <si>
    <t>3 - IDENTIFICAÇÃO DO TITULAR DOS RENDIMENTOS</t>
  </si>
  <si>
    <t>4 - IMPORTÂNCIAS DEVIDAS E IMPOSTO RETIDO</t>
  </si>
  <si>
    <t>Rendimento Tipo:</t>
  </si>
  <si>
    <t>Ano:</t>
  </si>
  <si>
    <t>Data de inicio do contrato:</t>
  </si>
  <si>
    <t>Data</t>
  </si>
  <si>
    <t>Valor</t>
  </si>
  <si>
    <t>Será exigido uma caução?</t>
  </si>
  <si>
    <t>Caução</t>
  </si>
  <si>
    <t>1.º mês de renda</t>
  </si>
  <si>
    <t>2.º mês de renda</t>
  </si>
  <si>
    <t>3.º mês de renda</t>
  </si>
  <si>
    <t>4.º mês de renda</t>
  </si>
  <si>
    <t>5.º mês de renda</t>
  </si>
  <si>
    <t>6.º mês de renda</t>
  </si>
  <si>
    <t>7.º mês de renda</t>
  </si>
  <si>
    <t>8.º mês de renda</t>
  </si>
  <si>
    <t>9.º mês de renda</t>
  </si>
  <si>
    <t>10.º mês de renda</t>
  </si>
  <si>
    <t>11.º mês de renda</t>
  </si>
  <si>
    <t>12.º mês de renda</t>
  </si>
  <si>
    <t>13.º mês de renda</t>
  </si>
  <si>
    <t>Período</t>
  </si>
  <si>
    <t>É o primeiro recibo emitido, com caução e mais duas rendas?</t>
  </si>
  <si>
    <t>Total</t>
  </si>
  <si>
    <t>Pago pelo Inquilino?</t>
  </si>
  <si>
    <t>Para gerir a Conta-Corrente do Inquilino - Tem que colocar na respectiva coluna  "Sim" quando emite o recibo, e "Sim" quando recebe o pagamento</t>
  </si>
  <si>
    <t>Recibo emitido?</t>
  </si>
  <si>
    <t>NIF:</t>
  </si>
  <si>
    <t>Total dos rendimentos prediais brutos:</t>
  </si>
  <si>
    <t>Redimentos Sujeitos a Retenção na Fonte:</t>
  </si>
  <si>
    <t>Importância Retida:</t>
  </si>
  <si>
    <t>Rendimentos Líquidos:</t>
  </si>
  <si>
    <t>(Assinatura do Senhorio)</t>
  </si>
  <si>
    <t>Referentes ao ano:</t>
  </si>
  <si>
    <t>(Alinea b do n.º1 do Art.º 119 do CIRS e Art.º 120 do CIRC)</t>
  </si>
  <si>
    <t>Índice</t>
  </si>
  <si>
    <t>Desenvolvido por:</t>
  </si>
  <si>
    <t>www.mariaproiete.com</t>
  </si>
  <si>
    <t>14.º mês de renda</t>
  </si>
  <si>
    <t>X</t>
  </si>
  <si>
    <t>01</t>
  </si>
  <si>
    <t>É o primeiro recibo emitido, sem caução e com duas rendas ?</t>
  </si>
  <si>
    <t>Qual o valor da caução?</t>
  </si>
  <si>
    <t>É o primeiro recibo emitido, com caução e mais uma renda ?</t>
  </si>
  <si>
    <t>É o primeiro recibo emitido, sem caução e com uma renda?</t>
  </si>
  <si>
    <t>Será exigido 2 rendas antecipadas?</t>
  </si>
  <si>
    <t>Factor de actualização da renda acumulado desde o inicio do contrato:</t>
  </si>
  <si>
    <t>2.º ano</t>
  </si>
  <si>
    <t>3.º ano</t>
  </si>
  <si>
    <t>4.º ano</t>
  </si>
  <si>
    <t>5.º ano</t>
  </si>
  <si>
    <t>TAXAS DE ACTUALIZAÇÃO:</t>
  </si>
  <si>
    <t>15.º mês de renda</t>
  </si>
  <si>
    <t>16.º mês de renda</t>
  </si>
  <si>
    <t>17.º mês de renda</t>
  </si>
  <si>
    <t>18.º mês de renda</t>
  </si>
  <si>
    <t>19.º mês de renda</t>
  </si>
  <si>
    <t>20.º mês de renda</t>
  </si>
  <si>
    <t>21.º mês de renda</t>
  </si>
  <si>
    <t>22.º mês de renda</t>
  </si>
  <si>
    <t>23.º mês de renda</t>
  </si>
  <si>
    <t>24.º mês de renda</t>
  </si>
  <si>
    <t>25.º mês de renda</t>
  </si>
  <si>
    <t>26.º mês de renda</t>
  </si>
  <si>
    <t>27.º mês de renda</t>
  </si>
  <si>
    <t>28.º mês de renda</t>
  </si>
  <si>
    <t>29.º mês de renda</t>
  </si>
  <si>
    <t>30.º mês de renda</t>
  </si>
  <si>
    <t>31.º mês de renda</t>
  </si>
  <si>
    <t>32.º mês de renda</t>
  </si>
  <si>
    <t>33.º mês de renda</t>
  </si>
  <si>
    <t>34.º mês de renda</t>
  </si>
  <si>
    <t>35.º mês de renda</t>
  </si>
  <si>
    <t>36.º mês de renda</t>
  </si>
  <si>
    <t>37.º mês de renda</t>
  </si>
  <si>
    <t>38.º mês de renda</t>
  </si>
  <si>
    <t>39.º mês de renda</t>
  </si>
  <si>
    <t>40.º mês de renda</t>
  </si>
  <si>
    <t>41.º mês de renda</t>
  </si>
  <si>
    <t>42.º mês de renda</t>
  </si>
  <si>
    <t>43.º mês de renda</t>
  </si>
  <si>
    <t>44.º mês de renda</t>
  </si>
  <si>
    <t>45.º mês de renda</t>
  </si>
  <si>
    <t>46.º mês de renda</t>
  </si>
  <si>
    <t>47.º mês de renda</t>
  </si>
  <si>
    <t>48.º mês de renda</t>
  </si>
  <si>
    <t>49.º mês de renda</t>
  </si>
  <si>
    <t>50.º mês de renda</t>
  </si>
  <si>
    <t>51.º mês de renda</t>
  </si>
  <si>
    <t>52.º mês de renda</t>
  </si>
  <si>
    <t>53.º mês de renda</t>
  </si>
  <si>
    <t>54.º mês de renda</t>
  </si>
  <si>
    <t>55.º mês de renda</t>
  </si>
  <si>
    <t>56.º mês de renda</t>
  </si>
  <si>
    <t>57.º mês de renda</t>
  </si>
  <si>
    <t>58.º mês de renda</t>
  </si>
  <si>
    <t>59.º mês de renda</t>
  </si>
  <si>
    <t>60.º mês de renda</t>
  </si>
  <si>
    <t>61.º mês de renda</t>
  </si>
  <si>
    <t>62.º mês de renda</t>
  </si>
  <si>
    <t>63.º mês de renda</t>
  </si>
  <si>
    <t>64.º mês de renda</t>
  </si>
  <si>
    <t>65.º mês de renda</t>
  </si>
  <si>
    <t>66.º mês de renda</t>
  </si>
  <si>
    <t>67.º mês de renda</t>
  </si>
  <si>
    <t>68.º mês de renda</t>
  </si>
  <si>
    <t>69.º mês de renda</t>
  </si>
  <si>
    <t>70.º mês de renda</t>
  </si>
  <si>
    <t>71.º mês de renda</t>
  </si>
  <si>
    <t>72.º mês de renda</t>
  </si>
  <si>
    <t>6.º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</si>
</sst>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€&quot;_-;\-* #,##0.00\ &quot;€&quot;_-;_-* &quot;-&quot;??\ &quot;€&quot;_-;_-@_-"/>
    <numFmt numFmtId="164" formatCode="mm\/yyyy"/>
    <numFmt numFmtId="165" formatCode="###\ ###\ ###"/>
    <numFmt numFmtId="166" formatCode="####\-###"/>
    <numFmt numFmtId="167" formatCode="&quot;+(&quot;###&quot;)&quot;\ ###\ ###\ ###"/>
    <numFmt numFmtId="168" formatCode="&quot;(&quot;0%&quot;)&quot;"/>
    <numFmt numFmtId="169" formatCode="&quot;+ (&quot;###&quot;)&quot;\ ###\ ###\ ###"/>
    <numFmt numFmtId="172" formatCode="0.000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Lucida Sans Unicode"/>
      <family val="2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0"/>
      <color theme="10"/>
      <name val="Calibri"/>
      <family val="2"/>
    </font>
    <font>
      <u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hidden="1"/>
    </xf>
    <xf numFmtId="0" fontId="3" fillId="4" borderId="26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0" fillId="5" borderId="27" xfId="0" applyFont="1" applyFill="1" applyBorder="1" applyAlignment="1" applyProtection="1">
      <alignment horizontal="left" vertical="center" indent="1"/>
      <protection hidden="1"/>
    </xf>
    <xf numFmtId="44" fontId="0" fillId="5" borderId="27" xfId="1" applyNumberFormat="1" applyFont="1" applyFill="1" applyBorder="1" applyAlignment="1" applyProtection="1">
      <alignment vertical="center"/>
      <protection hidden="1"/>
    </xf>
    <xf numFmtId="0" fontId="0" fillId="6" borderId="27" xfId="0" applyFont="1" applyFill="1" applyBorder="1" applyAlignment="1" applyProtection="1">
      <alignment horizontal="left" vertical="center" indent="1"/>
      <protection hidden="1"/>
    </xf>
    <xf numFmtId="44" fontId="0" fillId="6" borderId="27" xfId="1" applyNumberFormat="1" applyFont="1" applyFill="1" applyBorder="1" applyAlignment="1" applyProtection="1">
      <alignment vertical="center"/>
      <protection hidden="1"/>
    </xf>
    <xf numFmtId="0" fontId="0" fillId="5" borderId="27" xfId="0" applyFont="1" applyFill="1" applyBorder="1" applyAlignment="1" applyProtection="1">
      <alignment horizontal="left" vertical="center" indent="1"/>
      <protection hidden="1"/>
    </xf>
    <xf numFmtId="14" fontId="0" fillId="6" borderId="27" xfId="0" applyNumberFormat="1" applyFont="1" applyFill="1" applyBorder="1" applyAlignment="1" applyProtection="1">
      <alignment horizontal="center" vertical="center"/>
      <protection hidden="1"/>
    </xf>
    <xf numFmtId="14" fontId="0" fillId="5" borderId="27" xfId="0" applyNumberFormat="1" applyFont="1" applyFill="1" applyBorder="1" applyAlignment="1" applyProtection="1">
      <alignment horizontal="center" vertical="center"/>
      <protection hidden="1"/>
    </xf>
    <xf numFmtId="0" fontId="3" fillId="4" borderId="29" xfId="0" applyFont="1" applyFill="1" applyBorder="1" applyAlignment="1" applyProtection="1">
      <alignment horizontal="left" vertical="center"/>
      <protection hidden="1"/>
    </xf>
    <xf numFmtId="44" fontId="3" fillId="4" borderId="29" xfId="0" applyNumberFormat="1" applyFont="1" applyFill="1" applyBorder="1" applyAlignment="1" applyProtection="1">
      <alignment vertical="center"/>
      <protection hidden="1"/>
    </xf>
    <xf numFmtId="44" fontId="17" fillId="4" borderId="0" xfId="0" applyNumberFormat="1" applyFont="1" applyFill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7" fillId="2" borderId="3" xfId="3" applyFont="1" applyFill="1" applyBorder="1" applyAlignment="1" applyProtection="1">
      <alignment horizontal="center" vertical="center"/>
      <protection locked="0" hidden="1"/>
    </xf>
    <xf numFmtId="14" fontId="0" fillId="2" borderId="0" xfId="0" applyNumberFormat="1" applyFill="1" applyAlignment="1" applyProtection="1">
      <alignment vertical="center"/>
      <protection locked="0" hidden="1"/>
    </xf>
    <xf numFmtId="49" fontId="0" fillId="2" borderId="0" xfId="1" applyNumberFormat="1" applyFont="1" applyFill="1" applyAlignment="1" applyProtection="1">
      <alignment horizontal="right"/>
      <protection locked="0" hidden="1"/>
    </xf>
    <xf numFmtId="0" fontId="4" fillId="0" borderId="0" xfId="0" applyFont="1" applyAlignment="1" applyProtection="1">
      <alignment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0" fontId="0" fillId="0" borderId="13" xfId="0" applyBorder="1" applyAlignment="1" applyProtection="1">
      <alignment vertical="center"/>
      <protection hidden="1"/>
    </xf>
    <xf numFmtId="0" fontId="4" fillId="0" borderId="0" xfId="0" applyFont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165" fontId="0" fillId="0" borderId="0" xfId="0" applyNumberFormat="1" applyBorder="1" applyAlignment="1" applyProtection="1">
      <alignment vertical="center"/>
      <protection hidden="1"/>
    </xf>
    <xf numFmtId="0" fontId="10" fillId="0" borderId="0" xfId="0" applyFont="1" applyBorder="1" applyAlignment="1" applyProtection="1">
      <alignment vertical="center"/>
      <protection hidden="1"/>
    </xf>
    <xf numFmtId="44" fontId="10" fillId="0" borderId="0" xfId="1" applyFont="1" applyBorder="1" applyAlignment="1" applyProtection="1">
      <alignment vertical="center"/>
      <protection hidden="1"/>
    </xf>
    <xf numFmtId="0" fontId="11" fillId="0" borderId="0" xfId="0" applyFont="1" applyBorder="1" applyAlignment="1" applyProtection="1">
      <alignment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44" fontId="0" fillId="0" borderId="0" xfId="1" applyFont="1" applyBorder="1" applyAlignment="1" applyProtection="1">
      <alignment vertical="center"/>
      <protection hidden="1"/>
    </xf>
    <xf numFmtId="0" fontId="13" fillId="0" borderId="0" xfId="0" applyFont="1" applyBorder="1" applyAlignment="1" applyProtection="1">
      <alignment vertical="center"/>
      <protection hidden="1"/>
    </xf>
    <xf numFmtId="168" fontId="10" fillId="0" borderId="0" xfId="2" applyNumberFormat="1" applyFont="1" applyBorder="1" applyAlignment="1" applyProtection="1">
      <alignment vertical="center"/>
      <protection hidden="1"/>
    </xf>
    <xf numFmtId="44" fontId="0" fillId="0" borderId="0" xfId="0" applyNumberFormat="1" applyBorder="1" applyAlignment="1" applyProtection="1">
      <alignment vertical="center"/>
      <protection hidden="1"/>
    </xf>
    <xf numFmtId="0" fontId="0" fillId="0" borderId="2" xfId="0" applyBorder="1" applyAlignment="1" applyProtection="1">
      <alignment vertical="center"/>
      <protection hidden="1"/>
    </xf>
    <xf numFmtId="0" fontId="0" fillId="0" borderId="2" xfId="0" applyBorder="1" applyAlignment="1" applyProtection="1">
      <alignment horizontal="right" vertical="center"/>
      <protection hidden="1"/>
    </xf>
    <xf numFmtId="44" fontId="0" fillId="0" borderId="2" xfId="0" applyNumberFormat="1" applyBorder="1" applyAlignment="1" applyProtection="1">
      <alignment vertical="center"/>
      <protection hidden="1"/>
    </xf>
    <xf numFmtId="0" fontId="0" fillId="0" borderId="9" xfId="0" applyBorder="1" applyAlignment="1" applyProtection="1">
      <alignment vertical="center"/>
      <protection hidden="1"/>
    </xf>
    <xf numFmtId="0" fontId="0" fillId="0" borderId="9" xfId="0" applyBorder="1" applyAlignment="1" applyProtection="1">
      <alignment horizontal="right" vertical="center"/>
      <protection hidden="1"/>
    </xf>
    <xf numFmtId="44" fontId="4" fillId="0" borderId="9" xfId="0" applyNumberFormat="1" applyFont="1" applyBorder="1" applyAlignment="1" applyProtection="1">
      <alignment vertical="center"/>
      <protection hidden="1"/>
    </xf>
    <xf numFmtId="0" fontId="14" fillId="0" borderId="0" xfId="0" applyFont="1" applyBorder="1" applyAlignment="1" applyProtection="1">
      <alignment vertical="center"/>
      <protection hidden="1"/>
    </xf>
    <xf numFmtId="0" fontId="10" fillId="0" borderId="0" xfId="0" applyFont="1" applyBorder="1" applyAlignment="1" applyProtection="1">
      <alignment horizontal="right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0" fillId="3" borderId="13" xfId="0" applyFill="1" applyBorder="1" applyAlignment="1" applyProtection="1">
      <alignment vertical="center"/>
      <protection hidden="1"/>
    </xf>
    <xf numFmtId="0" fontId="4" fillId="3" borderId="0" xfId="0" applyFont="1" applyFill="1" applyBorder="1" applyAlignment="1" applyProtection="1">
      <alignment vertical="center"/>
      <protection hidden="1"/>
    </xf>
    <xf numFmtId="0" fontId="15" fillId="3" borderId="0" xfId="0" applyFont="1" applyFill="1" applyBorder="1" applyAlignment="1" applyProtection="1">
      <alignment horizontal="right" vertical="center"/>
      <protection hidden="1"/>
    </xf>
    <xf numFmtId="0" fontId="0" fillId="3" borderId="0" xfId="0" applyFill="1" applyBorder="1" applyAlignment="1" applyProtection="1">
      <alignment vertical="center"/>
      <protection hidden="1"/>
    </xf>
    <xf numFmtId="0" fontId="0" fillId="0" borderId="15" xfId="0" applyBorder="1" applyAlignment="1" applyProtection="1">
      <alignment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17" xfId="0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4" fillId="0" borderId="0" xfId="0" applyFont="1" applyAlignment="1" applyProtection="1">
      <alignment horizontal="left" indent="1"/>
      <protection hidden="1"/>
    </xf>
    <xf numFmtId="166" fontId="4" fillId="2" borderId="0" xfId="0" applyNumberFormat="1" applyFont="1" applyFill="1" applyAlignment="1" applyProtection="1">
      <alignment horizontal="left" indent="1"/>
      <protection locked="0" hidden="1"/>
    </xf>
    <xf numFmtId="0" fontId="8" fillId="0" borderId="0" xfId="0" applyFont="1" applyProtection="1">
      <protection hidden="1"/>
    </xf>
    <xf numFmtId="0" fontId="4" fillId="2" borderId="0" xfId="0" applyFont="1" applyFill="1" applyAlignment="1" applyProtection="1">
      <alignment horizontal="left" indent="1"/>
      <protection locked="0" hidden="1"/>
    </xf>
    <xf numFmtId="0" fontId="7" fillId="2" borderId="3" xfId="3" applyFont="1" applyFill="1" applyBorder="1" applyAlignment="1" applyProtection="1">
      <alignment horizontal="center"/>
      <protection locked="0" hidden="1"/>
    </xf>
    <xf numFmtId="0" fontId="0" fillId="0" borderId="0" xfId="0" applyAlignment="1" applyProtection="1">
      <alignment horizontal="left" indent="1"/>
      <protection hidden="1"/>
    </xf>
    <xf numFmtId="0" fontId="0" fillId="0" borderId="0" xfId="0" applyFont="1" applyProtection="1">
      <protection hidden="1"/>
    </xf>
    <xf numFmtId="44" fontId="0" fillId="2" borderId="0" xfId="1" applyFont="1" applyFill="1" applyProtection="1">
      <protection locked="0" hidden="1"/>
    </xf>
    <xf numFmtId="0" fontId="4" fillId="0" borderId="0" xfId="0" applyFont="1" applyAlignment="1" applyProtection="1">
      <alignment horizontal="left"/>
      <protection hidden="1"/>
    </xf>
    <xf numFmtId="165" fontId="4" fillId="2" borderId="0" xfId="0" applyNumberFormat="1" applyFont="1" applyFill="1" applyProtection="1">
      <protection locked="0" hidden="1"/>
    </xf>
    <xf numFmtId="0" fontId="0" fillId="0" borderId="0" xfId="0" applyAlignment="1" applyProtection="1">
      <protection hidden="1"/>
    </xf>
    <xf numFmtId="0" fontId="4" fillId="0" borderId="0" xfId="0" applyFont="1" applyAlignment="1" applyProtection="1">
      <protection hidden="1"/>
    </xf>
    <xf numFmtId="44" fontId="4" fillId="0" borderId="0" xfId="1" applyFont="1" applyProtection="1">
      <protection locked="0" hidden="1"/>
    </xf>
    <xf numFmtId="0" fontId="8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44" fontId="4" fillId="0" borderId="0" xfId="1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2" fillId="0" borderId="1" xfId="3" applyAlignment="1" applyProtection="1">
      <alignment vertical="center"/>
      <protection hidden="1"/>
    </xf>
    <xf numFmtId="0" fontId="20" fillId="0" borderId="0" xfId="0" applyFont="1" applyProtection="1"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0" fontId="12" fillId="0" borderId="0" xfId="0" applyFont="1" applyProtection="1">
      <protection hidden="1"/>
    </xf>
    <xf numFmtId="0" fontId="16" fillId="0" borderId="0" xfId="0" applyFont="1" applyProtection="1">
      <protection hidden="1"/>
    </xf>
    <xf numFmtId="44" fontId="12" fillId="0" borderId="0" xfId="1" applyFont="1" applyAlignment="1" applyProtection="1">
      <alignment horizontal="center"/>
      <protection hidden="1"/>
    </xf>
    <xf numFmtId="0" fontId="2" fillId="0" borderId="1" xfId="3" applyAlignment="1">
      <alignment vertical="center"/>
    </xf>
    <xf numFmtId="0" fontId="9" fillId="0" borderId="0" xfId="4" applyAlignment="1" applyProtection="1">
      <alignment vertical="center"/>
    </xf>
    <xf numFmtId="0" fontId="4" fillId="0" borderId="0" xfId="0" applyFont="1" applyAlignment="1" applyProtection="1">
      <alignment horizontal="right" vertical="center"/>
      <protection hidden="1"/>
    </xf>
    <xf numFmtId="167" fontId="0" fillId="0" borderId="0" xfId="0" applyNumberFormat="1" applyAlignment="1" applyProtection="1">
      <alignment vertical="center"/>
      <protection hidden="1"/>
    </xf>
    <xf numFmtId="0" fontId="24" fillId="0" borderId="0" xfId="0" applyFont="1" applyAlignment="1">
      <alignment vertical="center"/>
    </xf>
    <xf numFmtId="0" fontId="25" fillId="0" borderId="0" xfId="4" applyFont="1" applyAlignment="1" applyProtection="1">
      <alignment vertical="top"/>
    </xf>
    <xf numFmtId="0" fontId="3" fillId="4" borderId="34" xfId="0" applyFont="1" applyFill="1" applyBorder="1" applyAlignment="1" applyProtection="1">
      <alignment horizontal="center" vertical="center" wrapText="1"/>
      <protection hidden="1"/>
    </xf>
    <xf numFmtId="0" fontId="3" fillId="4" borderId="35" xfId="0" applyFont="1" applyFill="1" applyBorder="1" applyAlignment="1" applyProtection="1">
      <alignment horizontal="center" vertical="center" wrapText="1"/>
      <protection hidden="1"/>
    </xf>
    <xf numFmtId="0" fontId="0" fillId="5" borderId="32" xfId="0" applyFont="1" applyFill="1" applyBorder="1" applyAlignment="1" applyProtection="1">
      <alignment horizontal="center" vertical="center"/>
      <protection locked="0" hidden="1"/>
    </xf>
    <xf numFmtId="0" fontId="0" fillId="5" borderId="36" xfId="0" applyFont="1" applyFill="1" applyBorder="1" applyAlignment="1" applyProtection="1">
      <alignment horizontal="center" vertical="center"/>
      <protection locked="0" hidden="1"/>
    </xf>
    <xf numFmtId="0" fontId="0" fillId="6" borderId="32" xfId="0" applyFont="1" applyFill="1" applyBorder="1" applyAlignment="1" applyProtection="1">
      <alignment horizontal="center" vertical="center"/>
      <protection locked="0" hidden="1"/>
    </xf>
    <xf numFmtId="0" fontId="0" fillId="6" borderId="36" xfId="0" applyFont="1" applyFill="1" applyBorder="1" applyAlignment="1" applyProtection="1">
      <alignment horizontal="center" vertical="center"/>
      <protection locked="0" hidden="1"/>
    </xf>
    <xf numFmtId="0" fontId="10" fillId="0" borderId="0" xfId="0" applyFont="1" applyBorder="1" applyAlignment="1" applyProtection="1">
      <alignment horizontal="center" vertical="center"/>
      <protection locked="0" hidden="1"/>
    </xf>
    <xf numFmtId="0" fontId="16" fillId="2" borderId="0" xfId="0" applyFont="1" applyFill="1" applyAlignment="1" applyProtection="1">
      <alignment horizontal="center" vertical="center"/>
      <protection locked="0" hidden="1"/>
    </xf>
    <xf numFmtId="0" fontId="0" fillId="5" borderId="27" xfId="0" applyFont="1" applyFill="1" applyBorder="1" applyAlignment="1" applyProtection="1">
      <alignment horizontal="left" vertical="center" indent="1"/>
      <protection hidden="1"/>
    </xf>
    <xf numFmtId="0" fontId="0" fillId="0" borderId="0" xfId="0" applyAlignment="1" applyProtection="1">
      <alignment horizontal="left"/>
      <protection hidden="1"/>
    </xf>
    <xf numFmtId="0" fontId="4" fillId="2" borderId="0" xfId="0" applyFont="1" applyFill="1" applyAlignment="1" applyProtection="1">
      <alignment horizontal="left" indent="1"/>
      <protection locked="0" hidden="1"/>
    </xf>
    <xf numFmtId="0" fontId="4" fillId="0" borderId="0" xfId="0" applyFont="1" applyAlignment="1" applyProtection="1">
      <alignment horizontal="left" indent="1"/>
      <protection locked="0" hidden="1"/>
    </xf>
    <xf numFmtId="14" fontId="0" fillId="2" borderId="0" xfId="0" applyNumberFormat="1" applyFill="1" applyAlignment="1" applyProtection="1">
      <alignment horizontal="center" vertical="center"/>
      <protection locked="0" hidden="1"/>
    </xf>
    <xf numFmtId="167" fontId="4" fillId="2" borderId="0" xfId="0" applyNumberFormat="1" applyFont="1" applyFill="1" applyAlignment="1" applyProtection="1">
      <alignment horizontal="left" indent="1"/>
      <protection locked="0" hidden="1"/>
    </xf>
    <xf numFmtId="0" fontId="9" fillId="2" borderId="0" xfId="4" applyFill="1" applyAlignment="1" applyProtection="1">
      <alignment horizontal="left" indent="1"/>
      <protection locked="0" hidden="1"/>
    </xf>
    <xf numFmtId="0" fontId="2" fillId="0" borderId="1" xfId="3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 indent="1"/>
      <protection hidden="1"/>
    </xf>
    <xf numFmtId="0" fontId="0" fillId="0" borderId="0" xfId="0" applyAlignment="1" applyProtection="1">
      <alignment horizontal="left" indent="1"/>
      <protection hidden="1"/>
    </xf>
    <xf numFmtId="0" fontId="4" fillId="2" borderId="0" xfId="0" applyFont="1" applyFill="1" applyAlignment="1" applyProtection="1">
      <alignment horizontal="left"/>
      <protection locked="0" hidden="1"/>
    </xf>
    <xf numFmtId="0" fontId="0" fillId="3" borderId="0" xfId="0" applyFill="1" applyBorder="1" applyAlignment="1" applyProtection="1">
      <alignment horizontal="left" vertical="center"/>
      <protection hidden="1"/>
    </xf>
    <xf numFmtId="0" fontId="4" fillId="0" borderId="0" xfId="0" applyFont="1" applyBorder="1" applyAlignment="1" applyProtection="1">
      <alignment horizontal="left" vertical="center"/>
      <protection hidden="1"/>
    </xf>
    <xf numFmtId="0" fontId="4" fillId="0" borderId="18" xfId="0" applyFont="1" applyBorder="1" applyAlignment="1" applyProtection="1">
      <alignment horizontal="center" vertical="center"/>
      <protection hidden="1"/>
    </xf>
    <xf numFmtId="0" fontId="4" fillId="0" borderId="20" xfId="0" applyFont="1" applyBorder="1" applyAlignment="1" applyProtection="1">
      <alignment horizontal="center" vertical="center"/>
      <protection hidden="1"/>
    </xf>
    <xf numFmtId="0" fontId="4" fillId="0" borderId="19" xfId="0" applyFont="1" applyBorder="1" applyAlignment="1" applyProtection="1">
      <alignment horizontal="center" vertical="center"/>
      <protection hidden="1"/>
    </xf>
    <xf numFmtId="14" fontId="12" fillId="0" borderId="21" xfId="0" applyNumberFormat="1" applyFont="1" applyBorder="1" applyAlignment="1" applyProtection="1">
      <alignment horizontal="center" vertical="center"/>
      <protection hidden="1"/>
    </xf>
    <xf numFmtId="14" fontId="12" fillId="0" borderId="23" xfId="0" applyNumberFormat="1" applyFont="1" applyBorder="1" applyAlignment="1" applyProtection="1">
      <alignment horizontal="center" vertical="center"/>
      <protection hidden="1"/>
    </xf>
    <xf numFmtId="14" fontId="12" fillId="0" borderId="22" xfId="0" applyNumberFormat="1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left" vertical="center"/>
      <protection hidden="1"/>
    </xf>
    <xf numFmtId="0" fontId="11" fillId="0" borderId="0" xfId="0" applyFont="1" applyBorder="1" applyAlignment="1" applyProtection="1">
      <alignment horizontal="left" vertical="center"/>
      <protection hidden="1"/>
    </xf>
    <xf numFmtId="0" fontId="13" fillId="0" borderId="0" xfId="0" applyFont="1" applyBorder="1" applyAlignment="1" applyProtection="1">
      <alignment horizontal="left" vertical="center"/>
      <protection hidden="1"/>
    </xf>
    <xf numFmtId="0" fontId="14" fillId="0" borderId="0" xfId="0" applyFont="1" applyBorder="1" applyAlignment="1" applyProtection="1">
      <alignment horizontal="left" vertical="center"/>
      <protection hidden="1"/>
    </xf>
    <xf numFmtId="0" fontId="10" fillId="0" borderId="0" xfId="0" applyFont="1" applyBorder="1" applyAlignment="1" applyProtection="1">
      <alignment horizontal="right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right" vertical="center"/>
      <protection hidden="1"/>
    </xf>
    <xf numFmtId="0" fontId="0" fillId="0" borderId="9" xfId="0" applyBorder="1" applyAlignment="1" applyProtection="1">
      <alignment horizontal="right" vertical="center"/>
      <protection hidden="1"/>
    </xf>
    <xf numFmtId="169" fontId="15" fillId="3" borderId="0" xfId="0" applyNumberFormat="1" applyFont="1" applyFill="1" applyBorder="1" applyAlignment="1" applyProtection="1">
      <alignment horizontal="center" vertical="center"/>
      <protection hidden="1"/>
    </xf>
    <xf numFmtId="169" fontId="15" fillId="3" borderId="0" xfId="0" applyNumberFormat="1" applyFont="1" applyFill="1" applyBorder="1" applyAlignment="1" applyProtection="1">
      <alignment horizontal="right" vertical="center"/>
      <protection hidden="1"/>
    </xf>
    <xf numFmtId="169" fontId="15" fillId="3" borderId="0" xfId="0" applyNumberFormat="1" applyFont="1" applyFill="1" applyBorder="1" applyAlignment="1" applyProtection="1">
      <alignment horizontal="left" vertical="center" indent="1"/>
      <protection hidden="1"/>
    </xf>
    <xf numFmtId="164" fontId="6" fillId="0" borderId="8" xfId="0" applyNumberFormat="1" applyFont="1" applyBorder="1" applyAlignment="1" applyProtection="1">
      <alignment horizontal="center" vertical="center"/>
      <protection hidden="1"/>
    </xf>
    <xf numFmtId="165" fontId="12" fillId="0" borderId="8" xfId="0" applyNumberFormat="1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left" vertical="center"/>
      <protection hidden="1"/>
    </xf>
    <xf numFmtId="167" fontId="0" fillId="0" borderId="0" xfId="0" applyNumberFormat="1" applyAlignment="1" applyProtection="1">
      <alignment horizontal="center" vertical="center"/>
      <protection hidden="1"/>
    </xf>
    <xf numFmtId="0" fontId="0" fillId="5" borderId="29" xfId="0" applyFont="1" applyFill="1" applyBorder="1" applyAlignment="1" applyProtection="1">
      <alignment horizontal="left" vertical="center" indent="1"/>
      <protection hidden="1"/>
    </xf>
    <xf numFmtId="0" fontId="0" fillId="5" borderId="28" xfId="0" applyFont="1" applyFill="1" applyBorder="1" applyAlignment="1" applyProtection="1">
      <alignment horizontal="left" vertical="center" indent="1"/>
      <protection hidden="1"/>
    </xf>
    <xf numFmtId="0" fontId="0" fillId="5" borderId="27" xfId="0" applyFont="1" applyFill="1" applyBorder="1" applyAlignment="1" applyProtection="1">
      <alignment horizontal="left" vertical="center" indent="1"/>
      <protection hidden="1"/>
    </xf>
    <xf numFmtId="14" fontId="0" fillId="5" borderId="30" xfId="0" applyNumberFormat="1" applyFont="1" applyFill="1" applyBorder="1" applyAlignment="1" applyProtection="1">
      <alignment horizontal="center" vertical="center"/>
      <protection hidden="1"/>
    </xf>
    <xf numFmtId="14" fontId="0" fillId="5" borderId="31" xfId="0" applyNumberFormat="1" applyFont="1" applyFill="1" applyBorder="1" applyAlignment="1" applyProtection="1">
      <alignment horizontal="center" vertical="center"/>
      <protection hidden="1"/>
    </xf>
    <xf numFmtId="14" fontId="0" fillId="5" borderId="32" xfId="0" applyNumberFormat="1" applyFont="1" applyFill="1" applyBorder="1" applyAlignment="1" applyProtection="1">
      <alignment horizontal="center" vertical="center"/>
      <protection hidden="1"/>
    </xf>
    <xf numFmtId="0" fontId="17" fillId="4" borderId="25" xfId="0" applyFont="1" applyFill="1" applyBorder="1" applyAlignment="1" applyProtection="1">
      <alignment horizontal="right" vertical="center"/>
      <protection hidden="1"/>
    </xf>
    <xf numFmtId="0" fontId="17" fillId="4" borderId="0" xfId="0" applyFont="1" applyFill="1" applyBorder="1" applyAlignment="1" applyProtection="1">
      <alignment horizontal="right" vertic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22" fillId="0" borderId="0" xfId="0" applyFont="1" applyAlignment="1" applyProtection="1">
      <alignment horizontal="center"/>
      <protection hidden="1"/>
    </xf>
    <xf numFmtId="0" fontId="13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left"/>
      <protection hidden="1"/>
    </xf>
    <xf numFmtId="165" fontId="19" fillId="0" borderId="0" xfId="0" applyNumberFormat="1" applyFont="1" applyAlignment="1" applyProtection="1">
      <alignment horizontal="left"/>
      <protection hidden="1"/>
    </xf>
    <xf numFmtId="0" fontId="21" fillId="0" borderId="33" xfId="0" applyFont="1" applyBorder="1" applyAlignment="1" applyProtection="1">
      <alignment horizontal="center"/>
      <protection hidden="1"/>
    </xf>
    <xf numFmtId="44" fontId="12" fillId="0" borderId="0" xfId="1" applyFont="1" applyAlignment="1" applyProtection="1">
      <alignment horizontal="center"/>
      <protection hidden="1"/>
    </xf>
    <xf numFmtId="49" fontId="0" fillId="2" borderId="5" xfId="0" applyNumberFormat="1" applyFill="1" applyBorder="1" applyAlignment="1" applyProtection="1">
      <alignment horizontal="center"/>
      <protection locked="0" hidden="1"/>
    </xf>
    <xf numFmtId="49" fontId="0" fillId="2" borderId="6" xfId="0" applyNumberFormat="1" applyFill="1" applyBorder="1" applyAlignment="1" applyProtection="1">
      <alignment horizontal="center"/>
      <protection locked="0" hidden="1"/>
    </xf>
    <xf numFmtId="49" fontId="4" fillId="2" borderId="3" xfId="0" applyNumberFormat="1" applyFont="1" applyFill="1" applyBorder="1" applyAlignment="1" applyProtection="1">
      <alignment horizontal="center"/>
      <protection locked="0" hidden="1"/>
    </xf>
    <xf numFmtId="49" fontId="4" fillId="2" borderId="3" xfId="0" applyNumberFormat="1" applyFont="1" applyFill="1" applyBorder="1" applyAlignment="1" applyProtection="1">
      <alignment horizontal="left" indent="1"/>
      <protection locked="0" hidden="1"/>
    </xf>
    <xf numFmtId="0" fontId="24" fillId="0" borderId="0" xfId="0" applyFont="1" applyAlignment="1" applyProtection="1">
      <alignment horizontal="left" vertical="center" wrapText="1"/>
      <protection hidden="1"/>
    </xf>
    <xf numFmtId="0" fontId="24" fillId="0" borderId="37" xfId="0" applyFont="1" applyBorder="1" applyAlignment="1" applyProtection="1">
      <alignment horizontal="left" vertical="center" wrapText="1"/>
      <protection hidden="1"/>
    </xf>
    <xf numFmtId="0" fontId="24" fillId="0" borderId="0" xfId="0" applyFont="1" applyAlignment="1" applyProtection="1">
      <alignment horizontal="left" vertical="center" wrapText="1" indent="5"/>
      <protection hidden="1"/>
    </xf>
    <xf numFmtId="0" fontId="24" fillId="0" borderId="37" xfId="0" applyFont="1" applyBorder="1" applyAlignment="1" applyProtection="1">
      <alignment horizontal="left" vertical="center" wrapText="1" indent="5"/>
      <protection hidden="1"/>
    </xf>
    <xf numFmtId="0" fontId="13" fillId="0" borderId="0" xfId="0" applyFont="1" applyAlignment="1" applyProtection="1">
      <alignment horizontal="left" vertical="center" indent="5"/>
      <protection hidden="1"/>
    </xf>
    <xf numFmtId="0" fontId="0" fillId="0" borderId="0" xfId="0" applyAlignment="1" applyProtection="1">
      <alignment horizontal="left" vertical="center" indent="5"/>
      <protection hidden="1"/>
    </xf>
    <xf numFmtId="172" fontId="0" fillId="2" borderId="5" xfId="2" applyNumberFormat="1" applyFont="1" applyFill="1" applyBorder="1" applyAlignment="1" applyProtection="1">
      <alignment horizontal="center" vertical="center"/>
      <protection locked="0" hidden="1"/>
    </xf>
    <xf numFmtId="172" fontId="0" fillId="2" borderId="6" xfId="2" applyNumberFormat="1" applyFont="1" applyFill="1" applyBorder="1" applyAlignment="1" applyProtection="1">
      <alignment horizontal="center" vertical="center"/>
      <protection locked="0" hidden="1"/>
    </xf>
    <xf numFmtId="0" fontId="26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44" fontId="0" fillId="0" borderId="0" xfId="0" applyNumberFormat="1" applyAlignment="1" applyProtection="1">
      <alignment vertical="center"/>
      <protection hidden="1"/>
    </xf>
    <xf numFmtId="172" fontId="15" fillId="2" borderId="3" xfId="2" applyNumberFormat="1" applyFont="1" applyFill="1" applyBorder="1" applyProtection="1">
      <protection locked="0" hidden="1"/>
    </xf>
  </cellXfs>
  <cellStyles count="5">
    <cellStyle name="Currency" xfId="1" builtinId="4"/>
    <cellStyle name="Heading 1" xfId="3" builtinId="16"/>
    <cellStyle name="Hyperlink" xfId="4" builtinId="8"/>
    <cellStyle name="Normal" xfId="0" builtinId="0"/>
    <cellStyle name="Percent" xfId="2" builtinId="5"/>
  </cellStyles>
  <dxfs count="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123825</xdr:rowOff>
    </xdr:from>
    <xdr:to>
      <xdr:col>0</xdr:col>
      <xdr:colOff>390525</xdr:colOff>
      <xdr:row>7</xdr:row>
      <xdr:rowOff>123825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95250" y="123825"/>
          <a:ext cx="295275" cy="12573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PT" sz="1100" b="1"/>
            <a:t>Í</a:t>
          </a:r>
          <a:r>
            <a:rPr lang="pt-PT" sz="1100" b="1" baseline="0"/>
            <a:t> ND I  C E</a:t>
          </a:r>
          <a:endParaRPr lang="pt-PT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152402</xdr:rowOff>
    </xdr:from>
    <xdr:to>
      <xdr:col>0</xdr:col>
      <xdr:colOff>361950</xdr:colOff>
      <xdr:row>6</xdr:row>
      <xdr:rowOff>114301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6675" y="152402"/>
          <a:ext cx="295275" cy="1171574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PT" sz="1100" b="1"/>
            <a:t>Í</a:t>
          </a:r>
          <a:r>
            <a:rPr lang="pt-PT" sz="1100" b="1" baseline="0"/>
            <a:t> ND I  C E</a:t>
          </a:r>
          <a:endParaRPr lang="pt-PT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19050</xdr:rowOff>
    </xdr:from>
    <xdr:to>
      <xdr:col>0</xdr:col>
      <xdr:colOff>381000</xdr:colOff>
      <xdr:row>7</xdr:row>
      <xdr:rowOff>66675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85725" y="19050"/>
          <a:ext cx="295275" cy="12573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PT" sz="1100" b="1"/>
            <a:t>Í</a:t>
          </a:r>
          <a:r>
            <a:rPr lang="pt-PT" sz="1100" b="1" baseline="0"/>
            <a:t> ND I  C E</a:t>
          </a:r>
          <a:endParaRPr lang="pt-PT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19050</xdr:rowOff>
    </xdr:from>
    <xdr:to>
      <xdr:col>0</xdr:col>
      <xdr:colOff>438150</xdr:colOff>
      <xdr:row>6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42875" y="19050"/>
          <a:ext cx="295275" cy="12573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PT" sz="1100" b="1"/>
            <a:t>Í</a:t>
          </a:r>
          <a:r>
            <a:rPr lang="pt-PT" sz="1100" b="1" baseline="0"/>
            <a:t> ND I  C E</a:t>
          </a:r>
          <a:endParaRPr lang="pt-PT" sz="1100" b="1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B4:C8" totalsRowShown="0" headerRowDxfId="10" dataDxfId="9">
  <tableColumns count="2">
    <tableColumn id="1" name="Nome da Folha" dataDxfId="8"/>
    <tableColumn id="2" name="Descrição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rtlCol="0" anchor="ctr"/>
      <a:lstStyle>
        <a:defPPr algn="ctr">
          <a:defRPr sz="1100" b="1"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riaproie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ariaproiet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ariaproiete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mariaproiet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mariaproie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showGridLines="0" tabSelected="1" workbookViewId="0">
      <selection activeCell="B6" sqref="B6"/>
    </sheetView>
  </sheetViews>
  <sheetFormatPr defaultRowHeight="15" x14ac:dyDescent="0.25"/>
  <cols>
    <col min="1" max="1" width="9.140625" style="1"/>
    <col min="2" max="2" width="18.85546875" style="1" customWidth="1"/>
    <col min="3" max="3" width="134.42578125" style="1" bestFit="1" customWidth="1"/>
    <col min="4" max="16384" width="9.140625" style="1"/>
  </cols>
  <sheetData>
    <row r="1" spans="2:4" x14ac:dyDescent="0.25">
      <c r="D1" s="81" t="s">
        <v>106</v>
      </c>
    </row>
    <row r="2" spans="2:4" ht="20.25" thickBot="1" x14ac:dyDescent="0.3">
      <c r="B2" s="77" t="s">
        <v>105</v>
      </c>
      <c r="D2" s="82" t="s">
        <v>107</v>
      </c>
    </row>
    <row r="3" spans="2:4" ht="15.75" thickTop="1" x14ac:dyDescent="0.25"/>
    <row r="4" spans="2:4" ht="18.75" customHeight="1" x14ac:dyDescent="0.25">
      <c r="B4" s="1" t="s">
        <v>64</v>
      </c>
      <c r="C4" s="1" t="s">
        <v>16</v>
      </c>
    </row>
    <row r="5" spans="2:4" ht="36.75" customHeight="1" x14ac:dyDescent="0.25">
      <c r="B5" s="78" t="s">
        <v>14</v>
      </c>
      <c r="C5" s="1" t="s">
        <v>15</v>
      </c>
    </row>
    <row r="6" spans="2:4" ht="36.75" customHeight="1" x14ac:dyDescent="0.25">
      <c r="B6" s="78" t="s">
        <v>24</v>
      </c>
      <c r="C6" s="1" t="s">
        <v>58</v>
      </c>
    </row>
    <row r="7" spans="2:4" ht="36.75" customHeight="1" x14ac:dyDescent="0.25">
      <c r="B7" s="78" t="s">
        <v>59</v>
      </c>
      <c r="C7" s="1" t="s">
        <v>95</v>
      </c>
    </row>
    <row r="8" spans="2:4" ht="36.75" customHeight="1" x14ac:dyDescent="0.25">
      <c r="B8" s="78" t="s">
        <v>62</v>
      </c>
      <c r="C8" s="1" t="s">
        <v>63</v>
      </c>
    </row>
  </sheetData>
  <sheetProtection password="A081" sheet="1" objects="1" scenarios="1"/>
  <hyperlinks>
    <hyperlink ref="B5" location="'Dados a Colocar'!A1" display="Dados a Colocar"/>
    <hyperlink ref="B6" location="Recibo!A1" display="Recibo"/>
    <hyperlink ref="B7" location="'Conta-Corrente'!A1" display="Conta-Corrente"/>
    <hyperlink ref="B8" location="'Declaração para IRS'!A1" display="Declaração para IRS"/>
    <hyperlink ref="D2" r:id="rId1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4"/>
  <sheetViews>
    <sheetView showGridLines="0" workbookViewId="0">
      <selection activeCell="D4" sqref="D4:N4"/>
    </sheetView>
  </sheetViews>
  <sheetFormatPr defaultRowHeight="15" x14ac:dyDescent="0.25"/>
  <cols>
    <col min="1" max="1" width="9.140625" style="52"/>
    <col min="2" max="2" width="3.85546875" style="52" customWidth="1"/>
    <col min="3" max="3" width="4" style="52" customWidth="1"/>
    <col min="4" max="4" width="3.28515625" style="52" customWidth="1"/>
    <col min="5" max="5" width="5.85546875" style="52" customWidth="1"/>
    <col min="6" max="6" width="14.7109375" style="52" customWidth="1"/>
    <col min="7" max="7" width="3.85546875" style="52" customWidth="1"/>
    <col min="8" max="8" width="6.85546875" style="52" customWidth="1"/>
    <col min="9" max="9" width="7.140625" style="52" customWidth="1"/>
    <col min="10" max="10" width="8" style="52" customWidth="1"/>
    <col min="11" max="11" width="7.7109375" style="52" customWidth="1"/>
    <col min="12" max="12" width="9.140625" style="52"/>
    <col min="13" max="13" width="11" style="52" bestFit="1" customWidth="1"/>
    <col min="14" max="16384" width="9.140625" style="52"/>
  </cols>
  <sheetData>
    <row r="1" spans="2:16" x14ac:dyDescent="0.25">
      <c r="P1" s="81" t="s">
        <v>106</v>
      </c>
    </row>
    <row r="2" spans="2:16" ht="20.25" thickBot="1" x14ac:dyDescent="0.35">
      <c r="B2" s="98" t="s">
        <v>17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P2" s="82" t="s">
        <v>107</v>
      </c>
    </row>
    <row r="3" spans="2:16" ht="15.75" thickTop="1" x14ac:dyDescent="0.25"/>
    <row r="4" spans="2:16" x14ac:dyDescent="0.25">
      <c r="B4" s="92" t="s">
        <v>9</v>
      </c>
      <c r="C4" s="92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</row>
    <row r="5" spans="2:16" ht="9" customHeight="1" x14ac:dyDescent="0.25"/>
    <row r="6" spans="2:16" x14ac:dyDescent="0.25">
      <c r="B6" s="92" t="s">
        <v>10</v>
      </c>
      <c r="C6" s="92"/>
      <c r="D6" s="92"/>
      <c r="E6" s="93"/>
      <c r="F6" s="93"/>
      <c r="G6" s="93"/>
      <c r="H6" s="93"/>
      <c r="I6" s="93"/>
      <c r="J6" s="93"/>
      <c r="K6" s="53"/>
    </row>
    <row r="7" spans="2:16" ht="9" customHeight="1" x14ac:dyDescent="0.25"/>
    <row r="8" spans="2:16" x14ac:dyDescent="0.25">
      <c r="B8" s="92" t="s">
        <v>12</v>
      </c>
      <c r="C8" s="92"/>
      <c r="D8" s="92"/>
      <c r="E8" s="92"/>
      <c r="F8" s="54"/>
    </row>
    <row r="9" spans="2:16" ht="9" customHeight="1" x14ac:dyDescent="0.25"/>
    <row r="10" spans="2:16" x14ac:dyDescent="0.25">
      <c r="B10" s="55" t="s">
        <v>19</v>
      </c>
    </row>
    <row r="11" spans="2:16" ht="9" customHeight="1" x14ac:dyDescent="0.25"/>
    <row r="12" spans="2:16" x14ac:dyDescent="0.25">
      <c r="B12" s="92" t="s">
        <v>18</v>
      </c>
      <c r="C12" s="92"/>
      <c r="D12" s="92"/>
      <c r="E12" s="93"/>
      <c r="F12" s="93"/>
      <c r="H12" s="52" t="s">
        <v>20</v>
      </c>
      <c r="I12" s="56"/>
      <c r="J12" s="52" t="s">
        <v>21</v>
      </c>
      <c r="K12" s="56"/>
    </row>
    <row r="14" spans="2:16" x14ac:dyDescent="0.25">
      <c r="B14" s="57"/>
      <c r="C14" s="99" t="s">
        <v>22</v>
      </c>
      <c r="D14" s="100"/>
      <c r="E14" s="100"/>
      <c r="F14" s="100"/>
      <c r="G14" s="57"/>
      <c r="H14" s="58" t="s">
        <v>23</v>
      </c>
    </row>
    <row r="15" spans="2:16" ht="9" customHeight="1" x14ac:dyDescent="0.25"/>
    <row r="16" spans="2:16" x14ac:dyDescent="0.25">
      <c r="B16" s="59" t="s">
        <v>0</v>
      </c>
      <c r="F16" s="60"/>
      <c r="H16" s="52" t="s">
        <v>73</v>
      </c>
      <c r="L16" s="95"/>
      <c r="M16" s="95"/>
    </row>
    <row r="17" spans="2:14" ht="9" customHeight="1" x14ac:dyDescent="0.25"/>
    <row r="18" spans="2:14" x14ac:dyDescent="0.25">
      <c r="B18" s="52" t="s">
        <v>76</v>
      </c>
      <c r="G18" s="16"/>
      <c r="J18" s="59" t="s">
        <v>112</v>
      </c>
      <c r="M18" s="60"/>
    </row>
    <row r="20" spans="2:14" x14ac:dyDescent="0.25">
      <c r="B20" s="52" t="s">
        <v>115</v>
      </c>
      <c r="G20" s="16"/>
      <c r="K20" s="155" t="s">
        <v>121</v>
      </c>
      <c r="L20" s="155"/>
      <c r="M20" s="155"/>
      <c r="N20" s="155"/>
    </row>
    <row r="21" spans="2:14" x14ac:dyDescent="0.25">
      <c r="J21" s="154" t="s">
        <v>117</v>
      </c>
      <c r="K21" s="154" t="s">
        <v>118</v>
      </c>
      <c r="L21" s="154" t="s">
        <v>119</v>
      </c>
      <c r="M21" s="154" t="s">
        <v>120</v>
      </c>
      <c r="N21" s="154" t="s">
        <v>180</v>
      </c>
    </row>
    <row r="22" spans="2:14" x14ac:dyDescent="0.25">
      <c r="J22" s="157"/>
      <c r="K22" s="157"/>
      <c r="L22" s="157"/>
      <c r="M22" s="157"/>
      <c r="N22" s="157"/>
    </row>
    <row r="24" spans="2:14" ht="20.25" thickBot="1" x14ac:dyDescent="0.35">
      <c r="B24" s="98" t="s">
        <v>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</row>
    <row r="25" spans="2:14" ht="15.75" thickTop="1" x14ac:dyDescent="0.25"/>
    <row r="26" spans="2:14" x14ac:dyDescent="0.25">
      <c r="B26" s="57"/>
      <c r="C26" s="99" t="s">
        <v>7</v>
      </c>
      <c r="D26" s="100"/>
      <c r="E26" s="100"/>
      <c r="G26" s="57"/>
      <c r="H26" s="99" t="s">
        <v>8</v>
      </c>
      <c r="I26" s="100"/>
    </row>
    <row r="27" spans="2:14" ht="9" customHeight="1" x14ac:dyDescent="0.25"/>
    <row r="28" spans="2:14" x14ac:dyDescent="0.25">
      <c r="B28" s="92" t="s">
        <v>6</v>
      </c>
      <c r="C28" s="92"/>
      <c r="D28" s="101"/>
      <c r="E28" s="101"/>
      <c r="F28" s="101"/>
      <c r="G28" s="101"/>
      <c r="H28" s="101"/>
      <c r="I28" s="101"/>
      <c r="J28" s="101"/>
      <c r="K28" s="61"/>
    </row>
    <row r="29" spans="2:14" ht="9" customHeight="1" x14ac:dyDescent="0.25"/>
    <row r="30" spans="2:14" x14ac:dyDescent="0.25">
      <c r="B30" s="92" t="s">
        <v>9</v>
      </c>
      <c r="C30" s="92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</row>
    <row r="31" spans="2:14" ht="9" customHeight="1" x14ac:dyDescent="0.25"/>
    <row r="32" spans="2:14" x14ac:dyDescent="0.25">
      <c r="B32" s="92" t="s">
        <v>10</v>
      </c>
      <c r="C32" s="92"/>
      <c r="D32" s="92"/>
      <c r="E32" s="93"/>
      <c r="F32" s="93"/>
      <c r="G32" s="93"/>
      <c r="H32" s="93"/>
      <c r="I32" s="93"/>
      <c r="J32" s="93"/>
      <c r="K32" s="53"/>
    </row>
    <row r="33" spans="2:15" ht="9" customHeight="1" x14ac:dyDescent="0.25"/>
    <row r="34" spans="2:15" x14ac:dyDescent="0.25">
      <c r="B34" s="92" t="s">
        <v>12</v>
      </c>
      <c r="C34" s="92"/>
      <c r="D34" s="92"/>
      <c r="E34" s="92"/>
      <c r="F34" s="54"/>
    </row>
    <row r="35" spans="2:15" ht="9" customHeight="1" x14ac:dyDescent="0.25"/>
    <row r="36" spans="2:15" x14ac:dyDescent="0.25">
      <c r="B36" s="92" t="s">
        <v>11</v>
      </c>
      <c r="C36" s="92"/>
      <c r="D36" s="92"/>
      <c r="E36" s="92"/>
      <c r="F36" s="62"/>
    </row>
    <row r="37" spans="2:15" ht="9" customHeight="1" x14ac:dyDescent="0.25"/>
    <row r="38" spans="2:15" x14ac:dyDescent="0.25">
      <c r="B38" s="63" t="str">
        <f>IF(G26="X","Matriculada na Conservatória do Registo Comercial de:","")</f>
        <v/>
      </c>
      <c r="C38" s="63"/>
      <c r="D38" s="63"/>
      <c r="E38" s="63"/>
      <c r="F38" s="63"/>
      <c r="J38" s="94"/>
      <c r="K38" s="94"/>
      <c r="L38" s="94"/>
      <c r="M38" s="94"/>
      <c r="N38" s="94"/>
      <c r="O38" s="64"/>
    </row>
    <row r="39" spans="2:15" ht="9" customHeight="1" x14ac:dyDescent="0.25"/>
    <row r="40" spans="2:15" x14ac:dyDescent="0.25">
      <c r="B40" s="92" t="str">
        <f>IF(G26="X","Capital Social:","")</f>
        <v/>
      </c>
      <c r="C40" s="92"/>
      <c r="D40" s="92"/>
      <c r="E40" s="92"/>
      <c r="F40" s="65"/>
    </row>
    <row r="41" spans="2:15" ht="9" customHeight="1" x14ac:dyDescent="0.25"/>
    <row r="42" spans="2:15" x14ac:dyDescent="0.25">
      <c r="B42" s="66" t="s">
        <v>27</v>
      </c>
      <c r="C42" s="67"/>
      <c r="D42" s="67"/>
      <c r="E42" s="67"/>
      <c r="F42" s="68"/>
    </row>
    <row r="43" spans="2:15" ht="9" customHeight="1" x14ac:dyDescent="0.25"/>
    <row r="44" spans="2:15" x14ac:dyDescent="0.25">
      <c r="B44" s="92" t="s">
        <v>26</v>
      </c>
      <c r="C44" s="92"/>
      <c r="D44" s="92"/>
      <c r="E44" s="96"/>
      <c r="F44" s="96"/>
      <c r="H44" s="67" t="s">
        <v>28</v>
      </c>
      <c r="I44" s="63"/>
      <c r="J44" s="96"/>
      <c r="K44" s="96"/>
      <c r="L44" s="96"/>
    </row>
    <row r="45" spans="2:15" ht="9" customHeight="1" x14ac:dyDescent="0.25"/>
    <row r="46" spans="2:15" x14ac:dyDescent="0.25">
      <c r="B46" s="92" t="s">
        <v>29</v>
      </c>
      <c r="C46" s="92"/>
      <c r="D46" s="97"/>
      <c r="E46" s="93"/>
      <c r="F46" s="93"/>
      <c r="G46" s="93"/>
      <c r="H46" s="93"/>
      <c r="I46" s="93"/>
      <c r="J46" s="93"/>
      <c r="K46" s="93"/>
      <c r="L46" s="93"/>
      <c r="M46" s="93"/>
      <c r="N46" s="93"/>
    </row>
    <row r="47" spans="2:15" ht="9" customHeight="1" x14ac:dyDescent="0.25"/>
    <row r="48" spans="2:15" x14ac:dyDescent="0.25">
      <c r="B48" s="66" t="s">
        <v>30</v>
      </c>
      <c r="C48" s="67"/>
      <c r="E48" s="53"/>
      <c r="F48" s="53"/>
      <c r="G48" s="53"/>
      <c r="H48" s="53"/>
      <c r="I48" s="53"/>
      <c r="J48" s="53"/>
      <c r="K48" s="53"/>
      <c r="L48" s="53"/>
      <c r="M48" s="53"/>
      <c r="N48" s="53"/>
    </row>
    <row r="49" spans="2:14" ht="9" customHeight="1" x14ac:dyDescent="0.25"/>
    <row r="50" spans="2:14" x14ac:dyDescent="0.25">
      <c r="B50" s="69" t="s">
        <v>31</v>
      </c>
      <c r="C50" s="142"/>
      <c r="D50" s="143"/>
      <c r="E50" s="144"/>
      <c r="F50" s="145"/>
      <c r="G50" s="145"/>
      <c r="H50" s="53"/>
      <c r="I50" s="53"/>
      <c r="J50" s="53"/>
      <c r="K50" s="53"/>
      <c r="L50" s="53"/>
      <c r="M50" s="53"/>
      <c r="N50" s="53"/>
    </row>
    <row r="52" spans="2:14" ht="20.25" thickBot="1" x14ac:dyDescent="0.35">
      <c r="B52" s="98" t="s">
        <v>13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</row>
    <row r="53" spans="2:14" ht="15.75" thickTop="1" x14ac:dyDescent="0.25"/>
    <row r="54" spans="2:14" x14ac:dyDescent="0.25">
      <c r="B54" s="57"/>
      <c r="C54" s="58" t="s">
        <v>7</v>
      </c>
      <c r="D54" s="58"/>
      <c r="E54" s="58"/>
      <c r="G54" s="57"/>
      <c r="H54" s="58" t="s">
        <v>8</v>
      </c>
      <c r="I54" s="58"/>
    </row>
    <row r="55" spans="2:14" ht="9" customHeight="1" x14ac:dyDescent="0.25"/>
    <row r="56" spans="2:14" x14ac:dyDescent="0.25">
      <c r="B56" s="92" t="s">
        <v>6</v>
      </c>
      <c r="C56" s="92"/>
      <c r="D56" s="101"/>
      <c r="E56" s="101"/>
      <c r="F56" s="101"/>
      <c r="G56" s="101"/>
      <c r="H56" s="101"/>
      <c r="I56" s="101"/>
      <c r="J56" s="101"/>
      <c r="K56" s="61"/>
    </row>
    <row r="57" spans="2:14" ht="9" customHeight="1" x14ac:dyDescent="0.25"/>
    <row r="58" spans="2:14" x14ac:dyDescent="0.25">
      <c r="B58" s="92" t="s">
        <v>9</v>
      </c>
      <c r="C58" s="92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</row>
    <row r="59" spans="2:14" ht="9" customHeight="1" x14ac:dyDescent="0.25"/>
    <row r="60" spans="2:14" x14ac:dyDescent="0.25">
      <c r="B60" s="92" t="s">
        <v>10</v>
      </c>
      <c r="C60" s="92"/>
      <c r="D60" s="92"/>
      <c r="E60" s="93"/>
      <c r="F60" s="93"/>
      <c r="G60" s="93"/>
      <c r="H60" s="93"/>
      <c r="I60" s="93"/>
      <c r="J60" s="93"/>
      <c r="K60" s="53"/>
    </row>
    <row r="61" spans="2:14" ht="9" customHeight="1" x14ac:dyDescent="0.25"/>
    <row r="62" spans="2:14" x14ac:dyDescent="0.25">
      <c r="B62" s="92" t="s">
        <v>12</v>
      </c>
      <c r="C62" s="92"/>
      <c r="D62" s="92"/>
      <c r="E62" s="92"/>
      <c r="F62" s="54"/>
    </row>
    <row r="63" spans="2:14" ht="9" customHeight="1" x14ac:dyDescent="0.25"/>
    <row r="64" spans="2:14" x14ac:dyDescent="0.25">
      <c r="B64" s="92" t="s">
        <v>11</v>
      </c>
      <c r="C64" s="92"/>
      <c r="D64" s="92"/>
      <c r="E64" s="92"/>
      <c r="F64" s="62"/>
    </row>
    <row r="65" spans="2:15" ht="9" customHeight="1" x14ac:dyDescent="0.25"/>
    <row r="66" spans="2:15" x14ac:dyDescent="0.25">
      <c r="B66" s="63" t="str">
        <f>IF(G54="X","Matriculada na Conservatória do Registo Comercial de:","")</f>
        <v/>
      </c>
      <c r="C66" s="63"/>
      <c r="D66" s="63"/>
      <c r="E66" s="63"/>
      <c r="F66" s="63"/>
      <c r="J66" s="94"/>
      <c r="K66" s="94"/>
      <c r="L66" s="94"/>
      <c r="M66" s="94"/>
      <c r="N66" s="94"/>
      <c r="O66" s="64"/>
    </row>
    <row r="67" spans="2:15" ht="9" customHeight="1" x14ac:dyDescent="0.25"/>
    <row r="68" spans="2:15" x14ac:dyDescent="0.25">
      <c r="B68" s="92" t="str">
        <f>IF(G54="X","Capital Social:","")</f>
        <v/>
      </c>
      <c r="C68" s="92"/>
      <c r="D68" s="92"/>
      <c r="E68" s="92"/>
      <c r="F68" s="65"/>
    </row>
    <row r="69" spans="2:15" ht="9" customHeight="1" x14ac:dyDescent="0.25"/>
    <row r="70" spans="2:15" x14ac:dyDescent="0.25">
      <c r="B70" s="66" t="s">
        <v>27</v>
      </c>
      <c r="C70" s="67"/>
      <c r="D70" s="67"/>
      <c r="E70" s="67"/>
      <c r="F70" s="68"/>
    </row>
    <row r="71" spans="2:15" ht="9" customHeight="1" x14ac:dyDescent="0.25"/>
    <row r="72" spans="2:15" x14ac:dyDescent="0.25">
      <c r="B72" s="92" t="s">
        <v>26</v>
      </c>
      <c r="C72" s="92"/>
      <c r="D72" s="92"/>
      <c r="E72" s="96"/>
      <c r="F72" s="96"/>
      <c r="H72" s="67" t="s">
        <v>28</v>
      </c>
      <c r="I72" s="63"/>
      <c r="J72" s="96"/>
      <c r="K72" s="96"/>
      <c r="L72" s="96"/>
    </row>
    <row r="73" spans="2:15" ht="9" customHeight="1" x14ac:dyDescent="0.25"/>
    <row r="74" spans="2:15" x14ac:dyDescent="0.25">
      <c r="B74" s="92" t="s">
        <v>29</v>
      </c>
      <c r="C74" s="92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</row>
  </sheetData>
  <sheetProtection password="A081" sheet="1" objects="1" scenarios="1" insertHyperlinks="0" selectLockedCells="1"/>
  <mergeCells count="46">
    <mergeCell ref="B68:E68"/>
    <mergeCell ref="B40:E40"/>
    <mergeCell ref="D28:J28"/>
    <mergeCell ref="B56:C56"/>
    <mergeCell ref="D56:J56"/>
    <mergeCell ref="B58:C58"/>
    <mergeCell ref="D30:N30"/>
    <mergeCell ref="D58:N58"/>
    <mergeCell ref="E32:J32"/>
    <mergeCell ref="B28:C28"/>
    <mergeCell ref="B30:C30"/>
    <mergeCell ref="B32:D32"/>
    <mergeCell ref="B34:E34"/>
    <mergeCell ref="B36:E36"/>
    <mergeCell ref="B2:N2"/>
    <mergeCell ref="B60:D60"/>
    <mergeCell ref="E60:J60"/>
    <mergeCell ref="B62:E62"/>
    <mergeCell ref="B64:E64"/>
    <mergeCell ref="B4:C4"/>
    <mergeCell ref="B6:D6"/>
    <mergeCell ref="E6:J6"/>
    <mergeCell ref="B8:E8"/>
    <mergeCell ref="D4:N4"/>
    <mergeCell ref="B12:D12"/>
    <mergeCell ref="E12:F12"/>
    <mergeCell ref="C26:E26"/>
    <mergeCell ref="H26:I26"/>
    <mergeCell ref="C14:F14"/>
    <mergeCell ref="K20:N20"/>
    <mergeCell ref="B74:C74"/>
    <mergeCell ref="D74:N74"/>
    <mergeCell ref="J38:N38"/>
    <mergeCell ref="J66:N66"/>
    <mergeCell ref="L16:M16"/>
    <mergeCell ref="J44:L44"/>
    <mergeCell ref="B46:C46"/>
    <mergeCell ref="D46:N46"/>
    <mergeCell ref="C50:D50"/>
    <mergeCell ref="B72:D72"/>
    <mergeCell ref="E72:F72"/>
    <mergeCell ref="J72:L72"/>
    <mergeCell ref="B24:N24"/>
    <mergeCell ref="B52:N52"/>
    <mergeCell ref="E44:F44"/>
    <mergeCell ref="B44:D44"/>
  </mergeCells>
  <conditionalFormatting sqref="J38:N38">
    <cfRule type="expression" dxfId="6" priority="4">
      <formula>B38&lt;&gt;""</formula>
    </cfRule>
  </conditionalFormatting>
  <conditionalFormatting sqref="J66:N66">
    <cfRule type="expression" dxfId="5" priority="3">
      <formula>$B66&lt;&gt;""</formula>
    </cfRule>
  </conditionalFormatting>
  <conditionalFormatting sqref="F68">
    <cfRule type="expression" dxfId="4" priority="2">
      <formula>$B68&lt;&gt;""</formula>
    </cfRule>
  </conditionalFormatting>
  <conditionalFormatting sqref="F40">
    <cfRule type="expression" dxfId="3" priority="1">
      <formula>$B40&lt;&gt;""</formula>
    </cfRule>
  </conditionalFormatting>
  <dataValidations count="16">
    <dataValidation type="textLength" allowBlank="1" showInputMessage="1" showErrorMessage="1" errorTitle="Atenção" error="os primeiros 2 dígitos do IBAN são do País" sqref="B50">
      <formula1>2</formula1>
      <formula2>2</formula2>
    </dataValidation>
    <dataValidation type="list" allowBlank="1" showInputMessage="1" showErrorMessage="1" sqref="B26 G14 B54 G54 G26 B14">
      <formula1>"X"</formula1>
    </dataValidation>
    <dataValidation type="textLength" allowBlank="1" showInputMessage="1" showErrorMessage="1" errorTitle="PARAR" error="O comprimento do texto é superior ao Código Postal Português, veja que n.º colocou a mais, ou se não falta um espaço ou &quot;-&quot; entre os 4 primeiros n.º e os 3 últimos." sqref="F34 F62 F8 F15">
      <formula1>8</formula1>
      <formula2>8</formula2>
    </dataValidation>
    <dataValidation type="textLength" errorStyle="warning" allowBlank="1" showInputMessage="1" showErrorMessage="1" errorTitle="Atenção:" error="O comprimento do texto é superior ao planeado para este campo, se optar por continuar, poderá não aparecer na totalidade no Recibo de Renda." sqref="D30 D58 D4">
      <formula1>0</formula1>
      <formula2>75</formula2>
    </dataValidation>
    <dataValidation type="textLength" errorStyle="warning" allowBlank="1" showInputMessage="1" showErrorMessage="1" errorTitle="Atenção" error="O comprimento do texto é superior ao planeado para este campo, se optar por continuar, poderá não aparecer na totalidade no Recibo de Renda." sqref="E32 E60 E6">
      <formula1>0</formula1>
      <formula2>50</formula2>
    </dataValidation>
    <dataValidation type="textLength" allowBlank="1" showInputMessage="1" showErrorMessage="1" error="O n.º de contribuinte Português tem 9 dígitos, veja se o número que colocou tem exactamente 9." sqref="F36 F64">
      <formula1>9</formula1>
      <formula2>9</formula2>
    </dataValidation>
    <dataValidation type="whole" allowBlank="1" showInputMessage="1" showErrorMessage="1" errorTitle="Atenção:" error="Aqui deve colocar o número da freguesia, tal como preenche o seu IRS/IRC (não é texto)" sqref="E12:F12">
      <formula1>0</formula1>
      <formula2>9999999</formula2>
    </dataValidation>
    <dataValidation type="textLength" allowBlank="1" showInputMessage="1" showErrorMessage="1" errorTitle="Atenção" error="É para colocar o tipo, por exemplo: U é de Urbano " sqref="I12">
      <formula1>1</formula1>
      <formula2>1</formula2>
    </dataValidation>
    <dataValidation type="textLength" allowBlank="1" showInputMessage="1" showErrorMessage="1" errorTitle="Atenção" error="Coloque o n.º da fracção (por exemplo AM" sqref="K12">
      <formula1>1</formula1>
      <formula2>3</formula2>
    </dataValidation>
    <dataValidation type="textLength" allowBlank="1" showInputMessage="1" showErrorMessage="1" errorTitle="Atenção:" error="Verifique se o n.º de telefone tem o n.º de dígitos correctos. Não coloque +, nem parêntesis, nem espaços, apenas os n.º do indicativo e do telefone." sqref="J44 E72:F72 J72 E44:F44">
      <formula1>9</formula1>
      <formula2>12</formula2>
    </dataValidation>
    <dataValidation type="textLength" operator="equal" showInputMessage="1" showErrorMessage="1" errorTitle="Atenção:" error="Os primeiros 4 dígitos do NIB são do Banco" sqref="C50:D50">
      <formula1>4</formula1>
    </dataValidation>
    <dataValidation type="textLength" allowBlank="1" showInputMessage="1" showErrorMessage="1" errorTitle="Atenção:" error="Os terceiros 11 dígitos do NIB são do n.º da conta" sqref="F50">
      <formula1>11</formula1>
      <formula2>11</formula2>
    </dataValidation>
    <dataValidation type="textLength" allowBlank="1" showInputMessage="1" showErrorMessage="1" errorTitle="Atenção" error="Os quartos últimos 2 dígitos do NIB são de controlo" sqref="G50">
      <formula1>2</formula1>
      <formula2>2</formula2>
    </dataValidation>
    <dataValidation type="textLength" allowBlank="1" showInputMessage="1" showErrorMessage="1" errorTitle="Atenção:" error="Os segundos 4 dígitos do NIB são da Agência do banco (ou 0000, se o banco não utiliza esta codificação)" sqref="E50">
      <formula1>4</formula1>
      <formula2>4</formula2>
    </dataValidation>
    <dataValidation type="decimal" allowBlank="1" showInputMessage="1" showErrorMessage="1" errorTitle="Erro" error="Tem que ser um numero - não coloque simbolos como o €" sqref="F16 M18">
      <formula1>0</formula1>
      <formula2>50000000000000</formula2>
    </dataValidation>
    <dataValidation type="list" allowBlank="1" showInputMessage="1" showErrorMessage="1" sqref="G18 G20">
      <formula1>"sim, não"</formula1>
    </dataValidation>
  </dataValidations>
  <hyperlinks>
    <hyperlink ref="P2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X68"/>
  <sheetViews>
    <sheetView showGridLines="0" workbookViewId="0">
      <selection activeCell="Q6" sqref="Q6:R6"/>
    </sheetView>
  </sheetViews>
  <sheetFormatPr defaultRowHeight="15" x14ac:dyDescent="0.25"/>
  <cols>
    <col min="1" max="1" width="9.140625" style="2"/>
    <col min="2" max="2" width="2.85546875" style="2" customWidth="1"/>
    <col min="3" max="3" width="10.85546875" style="2" customWidth="1"/>
    <col min="4" max="4" width="12" style="2" bestFit="1" customWidth="1"/>
    <col min="5" max="5" width="10.85546875" style="2" bestFit="1" customWidth="1"/>
    <col min="6" max="8" width="9.140625" style="2"/>
    <col min="9" max="10" width="3.7109375" style="2" customWidth="1"/>
    <col min="11" max="15" width="9.140625" style="2"/>
    <col min="16" max="16" width="10" style="2" customWidth="1"/>
    <col min="17" max="17" width="4.5703125" style="2" customWidth="1"/>
    <col min="18" max="18" width="11" style="2" bestFit="1" customWidth="1"/>
    <col min="19" max="19" width="3" style="2" customWidth="1"/>
    <col min="20" max="16384" width="9.140625" style="2"/>
  </cols>
  <sheetData>
    <row r="1" spans="2:258" x14ac:dyDescent="0.25">
      <c r="U1" s="81" t="s">
        <v>106</v>
      </c>
    </row>
    <row r="2" spans="2:258" ht="19.5" customHeight="1" x14ac:dyDescent="0.25">
      <c r="B2" s="146" t="s">
        <v>92</v>
      </c>
      <c r="C2" s="146"/>
      <c r="D2" s="146"/>
      <c r="E2" s="146"/>
      <c r="F2" s="146"/>
      <c r="G2" s="146"/>
      <c r="H2" s="147"/>
      <c r="I2" s="16"/>
      <c r="K2" s="148" t="s">
        <v>111</v>
      </c>
      <c r="L2" s="148"/>
      <c r="M2" s="148"/>
      <c r="N2" s="148"/>
      <c r="O2" s="148"/>
      <c r="P2" s="149"/>
      <c r="Q2" s="16"/>
      <c r="U2" s="82" t="s">
        <v>107</v>
      </c>
    </row>
    <row r="3" spans="2:258" ht="11.25" customHeight="1" x14ac:dyDescent="0.25">
      <c r="B3" s="15"/>
      <c r="K3" s="150"/>
      <c r="L3" s="151"/>
      <c r="M3" s="151"/>
      <c r="N3" s="151"/>
      <c r="O3" s="151"/>
      <c r="P3" s="151"/>
    </row>
    <row r="4" spans="2:258" ht="19.5" customHeight="1" x14ac:dyDescent="0.25">
      <c r="B4" s="146" t="s">
        <v>113</v>
      </c>
      <c r="C4" s="146"/>
      <c r="D4" s="146"/>
      <c r="E4" s="146"/>
      <c r="F4" s="146"/>
      <c r="G4" s="146"/>
      <c r="H4" s="147"/>
      <c r="I4" s="16"/>
      <c r="K4" s="148" t="s">
        <v>114</v>
      </c>
      <c r="L4" s="148"/>
      <c r="M4" s="148"/>
      <c r="N4" s="148"/>
      <c r="O4" s="148"/>
      <c r="P4" s="149"/>
      <c r="Q4" s="16"/>
    </row>
    <row r="5" spans="2:258" x14ac:dyDescent="0.25">
      <c r="B5" s="15"/>
      <c r="K5" s="15"/>
    </row>
    <row r="6" spans="2:258" x14ac:dyDescent="0.25">
      <c r="B6" s="15" t="s">
        <v>57</v>
      </c>
      <c r="D6" s="17">
        <v>40210</v>
      </c>
      <c r="F6" s="15" t="s">
        <v>61</v>
      </c>
      <c r="H6" s="18" t="s">
        <v>110</v>
      </c>
      <c r="K6" s="146" t="s">
        <v>116</v>
      </c>
      <c r="L6" s="146"/>
      <c r="M6" s="146"/>
      <c r="N6" s="146"/>
      <c r="O6" s="146"/>
      <c r="P6" s="147"/>
      <c r="Q6" s="152">
        <v>0</v>
      </c>
      <c r="R6" s="153"/>
    </row>
    <row r="7" spans="2:258" ht="15.75" thickBot="1" x14ac:dyDescent="0.3">
      <c r="IW7" s="19" t="s">
        <v>39</v>
      </c>
    </row>
    <row r="8" spans="2:258" ht="9.75" customHeight="1" x14ac:dyDescent="0.25"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2"/>
      <c r="IW8" s="19"/>
    </row>
    <row r="9" spans="2:258" ht="17.25" customHeight="1" x14ac:dyDescent="0.25">
      <c r="B9" s="23"/>
      <c r="C9" s="24" t="str">
        <f>IF('Dados a Colocar'!D28="","",'Dados a Colocar'!D28)</f>
        <v/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6"/>
      <c r="IW9" s="2">
        <v>1</v>
      </c>
      <c r="IX9" s="2" t="s">
        <v>40</v>
      </c>
    </row>
    <row r="10" spans="2:258" ht="17.25" customHeight="1" x14ac:dyDescent="0.25">
      <c r="B10" s="23"/>
      <c r="C10" s="110" t="str">
        <f>IF('Dados a Colocar'!D30="","",'Dados a Colocar'!D30)</f>
        <v/>
      </c>
      <c r="D10" s="110"/>
      <c r="E10" s="110"/>
      <c r="F10" s="110"/>
      <c r="G10" s="110"/>
      <c r="H10" s="110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6"/>
      <c r="IW10" s="2">
        <v>2</v>
      </c>
      <c r="IX10" s="2" t="s">
        <v>41</v>
      </c>
    </row>
    <row r="11" spans="2:258" ht="17.25" customHeight="1" x14ac:dyDescent="0.25">
      <c r="B11" s="23"/>
      <c r="C11" s="25" t="str">
        <f>IF('Dados a Colocar'!F34="","",'Dados a Colocar'!F34)</f>
        <v/>
      </c>
      <c r="D11" s="110" t="str">
        <f>IF('Dados a Colocar'!E32="","",'Dados a Colocar'!E32)</f>
        <v/>
      </c>
      <c r="E11" s="110"/>
      <c r="F11" s="110"/>
      <c r="G11" s="110"/>
      <c r="H11" s="110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6"/>
      <c r="IW11" s="2">
        <v>3</v>
      </c>
      <c r="IX11" s="2" t="s">
        <v>42</v>
      </c>
    </row>
    <row r="12" spans="2:258" ht="17.25" customHeight="1" x14ac:dyDescent="0.25">
      <c r="B12" s="23"/>
      <c r="C12" s="110" t="str">
        <f>IF('Dados a Colocar'!F36="","",'Dados a Colocar'!B36)</f>
        <v/>
      </c>
      <c r="D12" s="110"/>
      <c r="E12" s="27" t="str">
        <f>IF('Dados a Colocar'!F36="","",'Dados a Colocar'!F36)</f>
        <v/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IW12" s="2">
        <v>4</v>
      </c>
      <c r="IX12" s="2" t="s">
        <v>43</v>
      </c>
    </row>
    <row r="13" spans="2:258" ht="17.25" customHeight="1" x14ac:dyDescent="0.25">
      <c r="B13" s="23"/>
      <c r="C13" s="28" t="str">
        <f>IF('Dados a Colocar'!J38="","",'Dados a Colocar'!B38)</f>
        <v/>
      </c>
      <c r="D13" s="25"/>
      <c r="E13" s="25"/>
      <c r="F13" s="25"/>
      <c r="G13" s="125" t="str">
        <f>IF('Dados a Colocar'!J38="","",'Dados a Colocar'!J38)</f>
        <v/>
      </c>
      <c r="H13" s="1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6"/>
      <c r="IW13" s="2">
        <v>5</v>
      </c>
      <c r="IX13" s="2" t="s">
        <v>44</v>
      </c>
    </row>
    <row r="14" spans="2:258" ht="17.25" customHeight="1" x14ac:dyDescent="0.25">
      <c r="B14" s="23"/>
      <c r="C14" s="28" t="str">
        <f>IF('Dados a Colocar'!F40="","",'Dados a Colocar'!B40)</f>
        <v/>
      </c>
      <c r="D14" s="29" t="str">
        <f>IF('Dados a Colocar'!F40="","",'Dados a Colocar'!F40)</f>
        <v/>
      </c>
      <c r="E14" s="25"/>
      <c r="F14" s="25"/>
      <c r="G14" s="28"/>
      <c r="H14" s="25"/>
      <c r="I14" s="25"/>
      <c r="J14" s="25"/>
      <c r="K14" s="25"/>
      <c r="L14" s="30" t="s">
        <v>32</v>
      </c>
      <c r="M14" s="25"/>
      <c r="N14" s="25"/>
      <c r="O14" s="25"/>
      <c r="P14" s="25"/>
      <c r="Q14" s="25"/>
      <c r="R14" s="25"/>
      <c r="S14" s="26"/>
      <c r="IW14" s="2">
        <v>6</v>
      </c>
      <c r="IX14" s="2" t="s">
        <v>45</v>
      </c>
    </row>
    <row r="15" spans="2:258" ht="17.25" customHeight="1" x14ac:dyDescent="0.25">
      <c r="B15" s="23"/>
      <c r="C15" s="28"/>
      <c r="D15" s="29"/>
      <c r="E15" s="25"/>
      <c r="F15" s="25"/>
      <c r="G15" s="28"/>
      <c r="H15" s="25"/>
      <c r="I15" s="25"/>
      <c r="J15" s="25"/>
      <c r="K15" s="25"/>
      <c r="L15" s="103" t="str">
        <f>IF('Dados a Colocar'!D56="","",'Dados a Colocar'!D56)</f>
        <v/>
      </c>
      <c r="M15" s="103"/>
      <c r="N15" s="103"/>
      <c r="O15" s="103"/>
      <c r="P15" s="103"/>
      <c r="Q15" s="103"/>
      <c r="R15" s="103"/>
      <c r="S15" s="26"/>
      <c r="IW15" s="2">
        <v>7</v>
      </c>
      <c r="IX15" s="2" t="s">
        <v>46</v>
      </c>
    </row>
    <row r="16" spans="2:258" ht="17.25" customHeight="1" x14ac:dyDescent="0.25">
      <c r="B16" s="23"/>
      <c r="C16" s="28"/>
      <c r="D16" s="29"/>
      <c r="E16" s="25"/>
      <c r="F16" s="25"/>
      <c r="G16" s="28"/>
      <c r="H16" s="25"/>
      <c r="I16" s="25"/>
      <c r="J16" s="25"/>
      <c r="K16" s="25"/>
      <c r="L16" s="110" t="str">
        <f>IF('Dados a Colocar'!D58="","",'Dados a Colocar'!D58)</f>
        <v/>
      </c>
      <c r="M16" s="110"/>
      <c r="N16" s="110"/>
      <c r="O16" s="110"/>
      <c r="P16" s="110"/>
      <c r="Q16" s="110"/>
      <c r="R16" s="110"/>
      <c r="S16" s="26"/>
      <c r="IW16" s="2">
        <v>8</v>
      </c>
      <c r="IX16" s="2" t="s">
        <v>47</v>
      </c>
    </row>
    <row r="17" spans="2:258" ht="17.25" customHeight="1" x14ac:dyDescent="0.25">
      <c r="B17" s="23"/>
      <c r="C17" s="28"/>
      <c r="D17" s="29"/>
      <c r="E17" s="25"/>
      <c r="F17" s="25"/>
      <c r="G17" s="28"/>
      <c r="H17" s="25"/>
      <c r="I17" s="25"/>
      <c r="J17" s="25"/>
      <c r="K17" s="25"/>
      <c r="L17" s="25" t="str">
        <f>IF('Dados a Colocar'!F62="","",'Dados a Colocar'!F62)</f>
        <v/>
      </c>
      <c r="M17" s="110" t="str">
        <f>IF('Dados a Colocar'!E60="","",'Dados a Colocar'!E60)</f>
        <v/>
      </c>
      <c r="N17" s="110"/>
      <c r="O17" s="110"/>
      <c r="P17" s="110"/>
      <c r="Q17" s="110"/>
      <c r="R17" s="110"/>
      <c r="S17" s="26"/>
      <c r="IW17" s="2">
        <v>9</v>
      </c>
      <c r="IX17" s="2" t="s">
        <v>48</v>
      </c>
    </row>
    <row r="18" spans="2:258" ht="15.75" thickBot="1" x14ac:dyDescent="0.3">
      <c r="B18" s="23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6"/>
      <c r="IW18" s="2">
        <v>10</v>
      </c>
      <c r="IX18" s="2" t="s">
        <v>49</v>
      </c>
    </row>
    <row r="19" spans="2:258" ht="18" customHeight="1" x14ac:dyDescent="0.25">
      <c r="B19" s="23"/>
      <c r="C19" s="123" t="s">
        <v>33</v>
      </c>
      <c r="D19" s="123"/>
      <c r="E19" s="104" t="s">
        <v>34</v>
      </c>
      <c r="F19" s="105"/>
      <c r="G19" s="105"/>
      <c r="H19" s="106"/>
      <c r="I19" s="123" t="s">
        <v>35</v>
      </c>
      <c r="J19" s="123"/>
      <c r="K19" s="123"/>
      <c r="L19" s="123" t="s">
        <v>37</v>
      </c>
      <c r="M19" s="123"/>
      <c r="N19" s="123"/>
      <c r="O19" s="123"/>
      <c r="P19" s="123"/>
      <c r="Q19" s="123"/>
      <c r="R19" s="123"/>
      <c r="S19" s="26"/>
      <c r="IW19" s="2">
        <v>11</v>
      </c>
      <c r="IX19" s="2" t="s">
        <v>50</v>
      </c>
    </row>
    <row r="20" spans="2:258" ht="20.25" thickBot="1" x14ac:dyDescent="0.3">
      <c r="B20" s="23"/>
      <c r="C20" s="122" t="str">
        <f>IF('Dados a Colocar'!F64="","",'Dados a Colocar'!F64)</f>
        <v/>
      </c>
      <c r="D20" s="122"/>
      <c r="E20" s="107">
        <f>IF(D6="","",D6)</f>
        <v>40210</v>
      </c>
      <c r="F20" s="108"/>
      <c r="G20" s="108"/>
      <c r="H20" s="109"/>
      <c r="I20" s="124" t="s">
        <v>36</v>
      </c>
      <c r="J20" s="124"/>
      <c r="K20" s="124"/>
      <c r="L20" s="121" t="str">
        <f>IF(H6="","",H6&amp;"/"&amp;YEAR(D6))</f>
        <v>01/2010</v>
      </c>
      <c r="M20" s="121"/>
      <c r="N20" s="121"/>
      <c r="O20" s="121"/>
      <c r="P20" s="121"/>
      <c r="Q20" s="121"/>
      <c r="R20" s="121"/>
      <c r="S20" s="26"/>
      <c r="IW20" s="2">
        <v>12</v>
      </c>
      <c r="IX20" s="2" t="s">
        <v>51</v>
      </c>
    </row>
    <row r="21" spans="2:258" x14ac:dyDescent="0.25">
      <c r="B21" s="23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6"/>
    </row>
    <row r="22" spans="2:258" x14ac:dyDescent="0.25">
      <c r="B22" s="23"/>
      <c r="C22" s="24" t="s">
        <v>53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31" t="str">
        <f>IF(OR(I2="sim",I4="sim"),"Valor da Caução:","")</f>
        <v/>
      </c>
      <c r="Q22" s="25"/>
      <c r="R22" s="32" t="str">
        <f>IF(OR(I2="sim",I4="sim"),'Dados a Colocar'!M18,"")</f>
        <v/>
      </c>
      <c r="S22" s="26"/>
    </row>
    <row r="23" spans="2:258" ht="23.25" customHeight="1" x14ac:dyDescent="0.25">
      <c r="B23" s="23"/>
      <c r="C23" s="33" t="s">
        <v>38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31" t="s">
        <v>0</v>
      </c>
      <c r="Q23" s="25"/>
      <c r="R23" s="32">
        <f>IF(I2="sim",'Dados a Colocar'!F16*2,IF(I4="sim",'Dados a Colocar'!F16,IF(Q2="sim",'Dados a Colocar'!F16*2,IF(Q4="sim",'Dados a Colocar'!F16,'Dados a Colocar'!F16+ROUND('Dados a Colocar'!F16*Recibo!Q6,2)))))</f>
        <v>0</v>
      </c>
      <c r="S23" s="26"/>
    </row>
    <row r="24" spans="2:258" ht="23.25" customHeight="1" x14ac:dyDescent="0.25">
      <c r="B24" s="23"/>
      <c r="C24" s="110" t="str">
        <f>IF('Dados a Colocar'!D4="","",'Dados a Colocar'!D4)</f>
        <v/>
      </c>
      <c r="D24" s="110"/>
      <c r="E24" s="110"/>
      <c r="F24" s="110"/>
      <c r="G24" s="110"/>
      <c r="H24" s="110"/>
      <c r="I24" s="110"/>
      <c r="J24" s="110"/>
      <c r="K24" s="110"/>
      <c r="L24" s="25"/>
      <c r="M24" s="25"/>
      <c r="N24" s="25"/>
      <c r="O24" s="25"/>
      <c r="P24" s="31" t="s">
        <v>1</v>
      </c>
      <c r="Q24" s="34">
        <f>IF(Q30="X",0,15%)</f>
        <v>0</v>
      </c>
      <c r="R24" s="35">
        <f>-ROUND(R23*Q24,2)</f>
        <v>0</v>
      </c>
      <c r="S24" s="26"/>
    </row>
    <row r="25" spans="2:258" ht="23.25" customHeight="1" x14ac:dyDescent="0.25">
      <c r="B25" s="23"/>
      <c r="C25" s="33" t="str">
        <f>IF(D6="","",IF(I2="Sim","Pela caução e as rendas dos meses de "&amp;VLOOKUP(MONTH('Dados a Colocar'!L16),$IW$9:$IX$20,2,FALSE)&amp;" e de "&amp;VLOOKUP(MONTH('Dados a Colocar'!L16)+1,$IW$9:$IX$20,2,FALSE),IF(I4="Sim","Pela caução e a renda do mês de "&amp;VLOOKUP(MONTH('Dados a Colocar'!L16),$IW$9:$IX$20,2,FALSE),IF(Q2="Sim","Pelas rendas dos meses de "&amp;VLOOKUP(MONTH('Dados a Colocar'!L16),$IW$9:$IX$20,2,FALSE)&amp;" e de "&amp;VLOOKUP(MONTH('Dados a Colocar'!L16)+1,$IW$9:$IX$20,2,FALSE),IF(Q4="Sim","Pela renda do mês de "&amp;VLOOKUP(MONTH('Dados a Colocar'!L16),$IW$9:$IX$20,2,FALSE),"Pela renda do mês de "&amp;VLOOKUP(MONTH(D6),$IW$9:$IX$20,2,FALSE))))))</f>
        <v>Pela renda do mês de Fevereiro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36"/>
      <c r="P25" s="37" t="s">
        <v>2</v>
      </c>
      <c r="Q25" s="36"/>
      <c r="R25" s="38">
        <f>SUM(R22:R24)</f>
        <v>0</v>
      </c>
      <c r="S25" s="26"/>
    </row>
    <row r="26" spans="2:258" ht="23.25" customHeight="1" x14ac:dyDescent="0.25">
      <c r="B26" s="23"/>
      <c r="C26" s="33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31" t="s">
        <v>3</v>
      </c>
      <c r="Q26" s="34">
        <f>IF(Q32="X",20%,0%)</f>
        <v>0</v>
      </c>
      <c r="R26" s="35">
        <f>R23*Q26</f>
        <v>0</v>
      </c>
      <c r="S26" s="26"/>
    </row>
    <row r="27" spans="2:258" ht="23.25" customHeight="1" thickBot="1" x14ac:dyDescent="0.3">
      <c r="B27" s="23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39"/>
      <c r="P27" s="40" t="s">
        <v>4</v>
      </c>
      <c r="Q27" s="39"/>
      <c r="R27" s="41">
        <f>SUM(R25:R26)</f>
        <v>0</v>
      </c>
      <c r="S27" s="26"/>
    </row>
    <row r="28" spans="2:258" ht="15.75" thickTop="1" x14ac:dyDescent="0.25">
      <c r="B28" s="23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6"/>
    </row>
    <row r="29" spans="2:258" x14ac:dyDescent="0.25">
      <c r="B29" s="23"/>
      <c r="C29" s="25"/>
      <c r="D29" s="25"/>
      <c r="E29" s="25"/>
      <c r="F29" s="25"/>
      <c r="G29" s="25"/>
      <c r="H29" s="25"/>
      <c r="I29" s="25"/>
      <c r="J29" s="42" t="s">
        <v>52</v>
      </c>
      <c r="K29" s="25"/>
      <c r="L29" s="25"/>
      <c r="M29" s="25"/>
      <c r="N29" s="25"/>
      <c r="O29" s="25"/>
      <c r="P29" s="25"/>
      <c r="Q29" s="25"/>
      <c r="R29" s="25"/>
      <c r="S29" s="26"/>
    </row>
    <row r="30" spans="2:258" x14ac:dyDescent="0.25">
      <c r="B30" s="23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43" t="str">
        <f>IF('Dados a Colocar'!B26="X","Sem retenção de IRS ao abrigo do n.º1 do art. 9º do Dec. Lei 42/91 de 22 de Janeiro","")</f>
        <v/>
      </c>
      <c r="Q30" s="89" t="s">
        <v>109</v>
      </c>
      <c r="R30" s="25"/>
      <c r="S30" s="26"/>
    </row>
    <row r="31" spans="2:258" ht="6" customHeight="1" x14ac:dyDescent="0.25">
      <c r="B31" s="23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6"/>
    </row>
    <row r="32" spans="2:258" x14ac:dyDescent="0.25">
      <c r="B32" s="23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43" t="str">
        <f>IF('Dados a Colocar'!G26="X","Tem que liquidar IVA? (por ser uma sociedade gestora de fundos ou solicitação do levantamento de isenção)","")</f>
        <v/>
      </c>
      <c r="Q32" s="89"/>
      <c r="R32" s="25"/>
      <c r="S32" s="26"/>
    </row>
    <row r="33" spans="2:258" ht="13.5" customHeight="1" x14ac:dyDescent="0.25">
      <c r="B33" s="23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6"/>
    </row>
    <row r="34" spans="2:258" x14ac:dyDescent="0.25">
      <c r="B34" s="45"/>
      <c r="C34" s="46" t="s">
        <v>54</v>
      </c>
      <c r="D34" s="47" t="str">
        <f>IF('Dados a Colocar'!E44="","",'Dados a Colocar'!B44)</f>
        <v/>
      </c>
      <c r="E34" s="118" t="str">
        <f>IF('Dados a Colocar'!E44="","",'Dados a Colocar'!E44)</f>
        <v/>
      </c>
      <c r="F34" s="118"/>
      <c r="G34" s="119" t="str">
        <f>IF('Dados a Colocar'!J44="","",'Dados a Colocar'!H44)</f>
        <v/>
      </c>
      <c r="H34" s="119"/>
      <c r="I34" s="118" t="str">
        <f>IF('Dados a Colocar'!J44="","",'Dados a Colocar'!J44)</f>
        <v/>
      </c>
      <c r="J34" s="118"/>
      <c r="K34" s="118"/>
      <c r="L34" s="118"/>
      <c r="M34" s="47" t="str">
        <f>IF('Dados a Colocar'!D46="","",'Dados a Colocar'!B46)</f>
        <v/>
      </c>
      <c r="N34" s="120" t="str">
        <f>IF('Dados a Colocar'!D46="","",'Dados a Colocar'!D46)</f>
        <v/>
      </c>
      <c r="O34" s="120"/>
      <c r="P34" s="120"/>
      <c r="Q34" s="120"/>
      <c r="R34" s="120"/>
      <c r="S34" s="26"/>
    </row>
    <row r="35" spans="2:258" ht="6" customHeight="1" x14ac:dyDescent="0.25">
      <c r="B35" s="45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26"/>
    </row>
    <row r="36" spans="2:258" x14ac:dyDescent="0.25">
      <c r="B36" s="45"/>
      <c r="C36" s="46" t="s">
        <v>55</v>
      </c>
      <c r="D36" s="48" t="str">
        <f>IF('Dados a Colocar'!C50="","",'Dados a Colocar'!B50&amp;" "&amp;'Dados a Colocar'!C50&amp;"-"&amp;'Dados a Colocar'!E50&amp;"-"&amp;'Dados a Colocar'!F50&amp;"-"&amp;'Dados a Colocar'!G50)</f>
        <v/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26"/>
    </row>
    <row r="37" spans="2:258" ht="9" customHeight="1" thickBot="1" x14ac:dyDescent="0.3"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1"/>
    </row>
    <row r="38" spans="2:258" ht="113.25" customHeight="1" thickBot="1" x14ac:dyDescent="0.3"/>
    <row r="39" spans="2:258" ht="9.75" customHeight="1" x14ac:dyDescent="0.25">
      <c r="B39" s="20" t="str">
        <f>IF(B8="","",B8)</f>
        <v/>
      </c>
      <c r="C39" s="21" t="str">
        <f t="shared" ref="C39:S39" si="0">IF(C8="","",C8)</f>
        <v/>
      </c>
      <c r="D39" s="21" t="str">
        <f t="shared" si="0"/>
        <v/>
      </c>
      <c r="E39" s="21" t="str">
        <f t="shared" si="0"/>
        <v/>
      </c>
      <c r="F39" s="21" t="str">
        <f t="shared" si="0"/>
        <v/>
      </c>
      <c r="G39" s="21" t="str">
        <f t="shared" si="0"/>
        <v/>
      </c>
      <c r="H39" s="21" t="str">
        <f t="shared" si="0"/>
        <v/>
      </c>
      <c r="I39" s="21" t="str">
        <f t="shared" si="0"/>
        <v/>
      </c>
      <c r="J39" s="21" t="str">
        <f t="shared" si="0"/>
        <v/>
      </c>
      <c r="K39" s="21" t="str">
        <f t="shared" si="0"/>
        <v/>
      </c>
      <c r="L39" s="21" t="str">
        <f t="shared" si="0"/>
        <v/>
      </c>
      <c r="M39" s="21" t="str">
        <f t="shared" si="0"/>
        <v/>
      </c>
      <c r="N39" s="21" t="str">
        <f t="shared" si="0"/>
        <v/>
      </c>
      <c r="O39" s="21" t="str">
        <f t="shared" si="0"/>
        <v/>
      </c>
      <c r="P39" s="21" t="str">
        <f t="shared" si="0"/>
        <v/>
      </c>
      <c r="Q39" s="21" t="str">
        <f t="shared" si="0"/>
        <v/>
      </c>
      <c r="R39" s="21" t="str">
        <f t="shared" si="0"/>
        <v/>
      </c>
      <c r="S39" s="22" t="str">
        <f t="shared" si="0"/>
        <v/>
      </c>
      <c r="IW39" s="19"/>
    </row>
    <row r="40" spans="2:258" ht="17.25" customHeight="1" x14ac:dyDescent="0.25">
      <c r="B40" s="23" t="str">
        <f t="shared" ref="B40:S40" si="1">IF(B9="","",B9)</f>
        <v/>
      </c>
      <c r="C40" s="103" t="str">
        <f t="shared" si="1"/>
        <v/>
      </c>
      <c r="D40" s="103"/>
      <c r="E40" s="103"/>
      <c r="F40" s="103"/>
      <c r="G40" s="103"/>
      <c r="H40" s="103"/>
      <c r="I40" s="25" t="str">
        <f t="shared" si="1"/>
        <v/>
      </c>
      <c r="J40" s="25" t="str">
        <f t="shared" si="1"/>
        <v/>
      </c>
      <c r="K40" s="25" t="str">
        <f t="shared" si="1"/>
        <v/>
      </c>
      <c r="L40" s="25" t="str">
        <f t="shared" si="1"/>
        <v/>
      </c>
      <c r="M40" s="25" t="str">
        <f t="shared" si="1"/>
        <v/>
      </c>
      <c r="N40" s="25" t="str">
        <f t="shared" si="1"/>
        <v/>
      </c>
      <c r="O40" s="25" t="str">
        <f t="shared" si="1"/>
        <v/>
      </c>
      <c r="P40" s="25" t="str">
        <f t="shared" si="1"/>
        <v/>
      </c>
      <c r="Q40" s="25" t="str">
        <f t="shared" si="1"/>
        <v/>
      </c>
      <c r="R40" s="25" t="str">
        <f t="shared" si="1"/>
        <v/>
      </c>
      <c r="S40" s="26" t="str">
        <f t="shared" si="1"/>
        <v/>
      </c>
      <c r="IW40" s="2">
        <v>1</v>
      </c>
      <c r="IX40" s="2" t="s">
        <v>40</v>
      </c>
    </row>
    <row r="41" spans="2:258" ht="17.25" customHeight="1" x14ac:dyDescent="0.25">
      <c r="B41" s="23" t="str">
        <f t="shared" ref="B41:S41" si="2">IF(B10="","",B10)</f>
        <v/>
      </c>
      <c r="C41" s="110" t="str">
        <f t="shared" si="2"/>
        <v/>
      </c>
      <c r="D41" s="110" t="str">
        <f t="shared" si="2"/>
        <v/>
      </c>
      <c r="E41" s="110" t="str">
        <f t="shared" si="2"/>
        <v/>
      </c>
      <c r="F41" s="110" t="str">
        <f t="shared" si="2"/>
        <v/>
      </c>
      <c r="G41" s="110" t="str">
        <f t="shared" si="2"/>
        <v/>
      </c>
      <c r="H41" s="110" t="str">
        <f t="shared" si="2"/>
        <v/>
      </c>
      <c r="I41" s="25" t="str">
        <f t="shared" si="2"/>
        <v/>
      </c>
      <c r="J41" s="25" t="str">
        <f t="shared" si="2"/>
        <v/>
      </c>
      <c r="K41" s="25" t="str">
        <f t="shared" si="2"/>
        <v/>
      </c>
      <c r="L41" s="25" t="str">
        <f t="shared" si="2"/>
        <v/>
      </c>
      <c r="M41" s="25" t="str">
        <f t="shared" si="2"/>
        <v/>
      </c>
      <c r="N41" s="25" t="str">
        <f t="shared" si="2"/>
        <v/>
      </c>
      <c r="O41" s="25" t="str">
        <f t="shared" si="2"/>
        <v/>
      </c>
      <c r="P41" s="25" t="str">
        <f t="shared" si="2"/>
        <v/>
      </c>
      <c r="Q41" s="25" t="str">
        <f t="shared" si="2"/>
        <v/>
      </c>
      <c r="R41" s="25" t="str">
        <f t="shared" si="2"/>
        <v/>
      </c>
      <c r="S41" s="26" t="str">
        <f t="shared" si="2"/>
        <v/>
      </c>
      <c r="IW41" s="2">
        <v>2</v>
      </c>
      <c r="IX41" s="2" t="s">
        <v>41</v>
      </c>
    </row>
    <row r="42" spans="2:258" ht="17.25" customHeight="1" x14ac:dyDescent="0.25">
      <c r="B42" s="23" t="str">
        <f t="shared" ref="B42:S42" si="3">IF(B11="","",B11)</f>
        <v/>
      </c>
      <c r="C42" s="25" t="str">
        <f t="shared" si="3"/>
        <v/>
      </c>
      <c r="D42" s="110" t="str">
        <f t="shared" si="3"/>
        <v/>
      </c>
      <c r="E42" s="110" t="str">
        <f t="shared" si="3"/>
        <v/>
      </c>
      <c r="F42" s="110" t="str">
        <f t="shared" si="3"/>
        <v/>
      </c>
      <c r="G42" s="110" t="str">
        <f t="shared" si="3"/>
        <v/>
      </c>
      <c r="H42" s="110" t="str">
        <f t="shared" si="3"/>
        <v/>
      </c>
      <c r="I42" s="25" t="str">
        <f t="shared" si="3"/>
        <v/>
      </c>
      <c r="J42" s="25" t="str">
        <f t="shared" si="3"/>
        <v/>
      </c>
      <c r="K42" s="25" t="str">
        <f t="shared" si="3"/>
        <v/>
      </c>
      <c r="L42" s="25" t="str">
        <f t="shared" si="3"/>
        <v/>
      </c>
      <c r="M42" s="25" t="str">
        <f t="shared" si="3"/>
        <v/>
      </c>
      <c r="N42" s="25" t="str">
        <f t="shared" si="3"/>
        <v/>
      </c>
      <c r="O42" s="25" t="str">
        <f t="shared" si="3"/>
        <v/>
      </c>
      <c r="P42" s="25" t="str">
        <f t="shared" si="3"/>
        <v/>
      </c>
      <c r="Q42" s="25" t="str">
        <f t="shared" si="3"/>
        <v/>
      </c>
      <c r="R42" s="25" t="str">
        <f t="shared" si="3"/>
        <v/>
      </c>
      <c r="S42" s="26" t="str">
        <f t="shared" si="3"/>
        <v/>
      </c>
      <c r="IW42" s="2">
        <v>3</v>
      </c>
      <c r="IX42" s="2" t="s">
        <v>42</v>
      </c>
    </row>
    <row r="43" spans="2:258" ht="17.25" customHeight="1" x14ac:dyDescent="0.25">
      <c r="B43" s="23" t="str">
        <f t="shared" ref="B43:S43" si="4">IF(B12="","",B12)</f>
        <v/>
      </c>
      <c r="C43" s="110" t="str">
        <f t="shared" si="4"/>
        <v/>
      </c>
      <c r="D43" s="110"/>
      <c r="E43" s="27" t="str">
        <f t="shared" si="4"/>
        <v/>
      </c>
      <c r="F43" s="25" t="str">
        <f t="shared" si="4"/>
        <v/>
      </c>
      <c r="G43" s="25" t="str">
        <f t="shared" si="4"/>
        <v/>
      </c>
      <c r="H43" s="25" t="str">
        <f t="shared" si="4"/>
        <v/>
      </c>
      <c r="I43" s="25" t="str">
        <f t="shared" si="4"/>
        <v/>
      </c>
      <c r="J43" s="25" t="str">
        <f t="shared" si="4"/>
        <v/>
      </c>
      <c r="K43" s="25" t="str">
        <f t="shared" si="4"/>
        <v/>
      </c>
      <c r="L43" s="25" t="str">
        <f t="shared" si="4"/>
        <v/>
      </c>
      <c r="M43" s="25" t="str">
        <f t="shared" si="4"/>
        <v/>
      </c>
      <c r="N43" s="25" t="str">
        <f t="shared" si="4"/>
        <v/>
      </c>
      <c r="O43" s="25" t="str">
        <f t="shared" si="4"/>
        <v/>
      </c>
      <c r="P43" s="25" t="str">
        <f t="shared" si="4"/>
        <v/>
      </c>
      <c r="Q43" s="25" t="str">
        <f t="shared" si="4"/>
        <v/>
      </c>
      <c r="R43" s="25" t="str">
        <f t="shared" si="4"/>
        <v/>
      </c>
      <c r="S43" s="26" t="str">
        <f t="shared" si="4"/>
        <v/>
      </c>
      <c r="IW43" s="2">
        <v>4</v>
      </c>
      <c r="IX43" s="2" t="s">
        <v>43</v>
      </c>
    </row>
    <row r="44" spans="2:258" ht="17.25" customHeight="1" x14ac:dyDescent="0.25">
      <c r="B44" s="23" t="str">
        <f t="shared" ref="B44:S44" si="5">IF(B13="","",B13)</f>
        <v/>
      </c>
      <c r="C44" s="28" t="str">
        <f t="shared" si="5"/>
        <v/>
      </c>
      <c r="D44" s="25" t="str">
        <f t="shared" si="5"/>
        <v/>
      </c>
      <c r="E44" s="25" t="str">
        <f t="shared" si="5"/>
        <v/>
      </c>
      <c r="F44" s="25" t="str">
        <f t="shared" si="5"/>
        <v/>
      </c>
      <c r="G44" s="125" t="str">
        <f t="shared" si="5"/>
        <v/>
      </c>
      <c r="H44" s="125" t="str">
        <f t="shared" si="5"/>
        <v/>
      </c>
      <c r="I44" s="25" t="str">
        <f t="shared" si="5"/>
        <v/>
      </c>
      <c r="J44" s="25" t="str">
        <f t="shared" si="5"/>
        <v/>
      </c>
      <c r="K44" s="25" t="str">
        <f t="shared" si="5"/>
        <v/>
      </c>
      <c r="L44" s="25" t="str">
        <f t="shared" si="5"/>
        <v/>
      </c>
      <c r="M44" s="25" t="str">
        <f t="shared" si="5"/>
        <v/>
      </c>
      <c r="N44" s="25" t="str">
        <f t="shared" si="5"/>
        <v/>
      </c>
      <c r="O44" s="25" t="str">
        <f t="shared" si="5"/>
        <v/>
      </c>
      <c r="P44" s="25" t="str">
        <f t="shared" si="5"/>
        <v/>
      </c>
      <c r="Q44" s="25" t="str">
        <f t="shared" si="5"/>
        <v/>
      </c>
      <c r="R44" s="25" t="str">
        <f t="shared" si="5"/>
        <v/>
      </c>
      <c r="S44" s="26" t="str">
        <f t="shared" si="5"/>
        <v/>
      </c>
      <c r="IW44" s="2">
        <v>5</v>
      </c>
      <c r="IX44" s="2" t="s">
        <v>44</v>
      </c>
    </row>
    <row r="45" spans="2:258" ht="17.25" customHeight="1" x14ac:dyDescent="0.25">
      <c r="B45" s="23" t="str">
        <f t="shared" ref="B45:S45" si="6">IF(B14="","",B14)</f>
        <v/>
      </c>
      <c r="C45" s="28" t="str">
        <f t="shared" si="6"/>
        <v/>
      </c>
      <c r="D45" s="29" t="str">
        <f t="shared" si="6"/>
        <v/>
      </c>
      <c r="E45" s="25" t="str">
        <f t="shared" si="6"/>
        <v/>
      </c>
      <c r="F45" s="25" t="str">
        <f t="shared" si="6"/>
        <v/>
      </c>
      <c r="G45" s="28" t="str">
        <f t="shared" si="6"/>
        <v/>
      </c>
      <c r="H45" s="25" t="str">
        <f t="shared" si="6"/>
        <v/>
      </c>
      <c r="I45" s="25" t="str">
        <f t="shared" si="6"/>
        <v/>
      </c>
      <c r="J45" s="25" t="str">
        <f t="shared" si="6"/>
        <v/>
      </c>
      <c r="K45" s="25" t="str">
        <f t="shared" si="6"/>
        <v/>
      </c>
      <c r="L45" s="111" t="str">
        <f t="shared" si="6"/>
        <v>Exmos.(s) Senhor(es)</v>
      </c>
      <c r="M45" s="111"/>
      <c r="N45" s="25" t="str">
        <f t="shared" si="6"/>
        <v/>
      </c>
      <c r="O45" s="25" t="str">
        <f t="shared" si="6"/>
        <v/>
      </c>
      <c r="P45" s="25" t="str">
        <f t="shared" si="6"/>
        <v/>
      </c>
      <c r="Q45" s="25" t="str">
        <f t="shared" si="6"/>
        <v/>
      </c>
      <c r="R45" s="25" t="str">
        <f t="shared" si="6"/>
        <v/>
      </c>
      <c r="S45" s="26" t="str">
        <f t="shared" si="6"/>
        <v/>
      </c>
      <c r="IW45" s="2">
        <v>6</v>
      </c>
      <c r="IX45" s="2" t="s">
        <v>45</v>
      </c>
    </row>
    <row r="46" spans="2:258" ht="17.25" customHeight="1" x14ac:dyDescent="0.25">
      <c r="B46" s="23" t="str">
        <f t="shared" ref="B46:S46" si="7">IF(B15="","",B15)</f>
        <v/>
      </c>
      <c r="C46" s="28" t="str">
        <f t="shared" si="7"/>
        <v/>
      </c>
      <c r="D46" s="29" t="str">
        <f t="shared" si="7"/>
        <v/>
      </c>
      <c r="E46" s="25" t="str">
        <f t="shared" si="7"/>
        <v/>
      </c>
      <c r="F46" s="25" t="str">
        <f t="shared" si="7"/>
        <v/>
      </c>
      <c r="G46" s="28" t="str">
        <f t="shared" si="7"/>
        <v/>
      </c>
      <c r="H46" s="25" t="str">
        <f t="shared" si="7"/>
        <v/>
      </c>
      <c r="I46" s="25" t="str">
        <f t="shared" si="7"/>
        <v/>
      </c>
      <c r="J46" s="25" t="str">
        <f t="shared" si="7"/>
        <v/>
      </c>
      <c r="K46" s="25" t="str">
        <f t="shared" si="7"/>
        <v/>
      </c>
      <c r="L46" s="103" t="str">
        <f t="shared" si="7"/>
        <v/>
      </c>
      <c r="M46" s="103"/>
      <c r="N46" s="103"/>
      <c r="O46" s="103"/>
      <c r="P46" s="103"/>
      <c r="Q46" s="103"/>
      <c r="R46" s="103"/>
      <c r="S46" s="26" t="str">
        <f t="shared" si="7"/>
        <v/>
      </c>
      <c r="IW46" s="2">
        <v>7</v>
      </c>
      <c r="IX46" s="2" t="s">
        <v>46</v>
      </c>
    </row>
    <row r="47" spans="2:258" ht="17.25" customHeight="1" x14ac:dyDescent="0.25">
      <c r="B47" s="23" t="str">
        <f t="shared" ref="B47:S47" si="8">IF(B16="","",B16)</f>
        <v/>
      </c>
      <c r="C47" s="28" t="str">
        <f t="shared" si="8"/>
        <v/>
      </c>
      <c r="D47" s="29" t="str">
        <f t="shared" si="8"/>
        <v/>
      </c>
      <c r="E47" s="25" t="str">
        <f t="shared" si="8"/>
        <v/>
      </c>
      <c r="F47" s="25" t="str">
        <f t="shared" si="8"/>
        <v/>
      </c>
      <c r="G47" s="28" t="str">
        <f t="shared" si="8"/>
        <v/>
      </c>
      <c r="H47" s="25" t="str">
        <f t="shared" si="8"/>
        <v/>
      </c>
      <c r="I47" s="25" t="str">
        <f t="shared" si="8"/>
        <v/>
      </c>
      <c r="J47" s="25" t="str">
        <f t="shared" si="8"/>
        <v/>
      </c>
      <c r="K47" s="25" t="str">
        <f t="shared" si="8"/>
        <v/>
      </c>
      <c r="L47" s="110" t="str">
        <f t="shared" si="8"/>
        <v/>
      </c>
      <c r="M47" s="110" t="str">
        <f t="shared" si="8"/>
        <v/>
      </c>
      <c r="N47" s="110" t="str">
        <f t="shared" si="8"/>
        <v/>
      </c>
      <c r="O47" s="110" t="str">
        <f t="shared" si="8"/>
        <v/>
      </c>
      <c r="P47" s="110" t="str">
        <f t="shared" si="8"/>
        <v/>
      </c>
      <c r="Q47" s="110" t="str">
        <f t="shared" si="8"/>
        <v/>
      </c>
      <c r="R47" s="110" t="str">
        <f t="shared" si="8"/>
        <v/>
      </c>
      <c r="S47" s="26" t="str">
        <f t="shared" si="8"/>
        <v/>
      </c>
      <c r="IW47" s="2">
        <v>8</v>
      </c>
      <c r="IX47" s="2" t="s">
        <v>47</v>
      </c>
    </row>
    <row r="48" spans="2:258" ht="17.25" customHeight="1" x14ac:dyDescent="0.25">
      <c r="B48" s="23" t="str">
        <f t="shared" ref="B48:S48" si="9">IF(B17="","",B17)</f>
        <v/>
      </c>
      <c r="C48" s="28" t="str">
        <f t="shared" si="9"/>
        <v/>
      </c>
      <c r="D48" s="29" t="str">
        <f t="shared" si="9"/>
        <v/>
      </c>
      <c r="E48" s="25" t="str">
        <f t="shared" si="9"/>
        <v/>
      </c>
      <c r="F48" s="25" t="str">
        <f t="shared" si="9"/>
        <v/>
      </c>
      <c r="G48" s="28" t="str">
        <f t="shared" si="9"/>
        <v/>
      </c>
      <c r="H48" s="25" t="str">
        <f t="shared" si="9"/>
        <v/>
      </c>
      <c r="I48" s="25" t="str">
        <f t="shared" si="9"/>
        <v/>
      </c>
      <c r="J48" s="25" t="str">
        <f t="shared" si="9"/>
        <v/>
      </c>
      <c r="K48" s="25" t="str">
        <f t="shared" si="9"/>
        <v/>
      </c>
      <c r="L48" s="25" t="str">
        <f t="shared" si="9"/>
        <v/>
      </c>
      <c r="M48" s="110" t="str">
        <f t="shared" si="9"/>
        <v/>
      </c>
      <c r="N48" s="110" t="str">
        <f t="shared" si="9"/>
        <v/>
      </c>
      <c r="O48" s="110" t="str">
        <f t="shared" si="9"/>
        <v/>
      </c>
      <c r="P48" s="110" t="str">
        <f t="shared" si="9"/>
        <v/>
      </c>
      <c r="Q48" s="110" t="str">
        <f t="shared" si="9"/>
        <v/>
      </c>
      <c r="R48" s="110" t="str">
        <f t="shared" si="9"/>
        <v/>
      </c>
      <c r="S48" s="26" t="str">
        <f t="shared" si="9"/>
        <v/>
      </c>
      <c r="IW48" s="2">
        <v>9</v>
      </c>
      <c r="IX48" s="2" t="s">
        <v>48</v>
      </c>
    </row>
    <row r="49" spans="2:258" ht="15.75" thickBot="1" x14ac:dyDescent="0.3">
      <c r="B49" s="23" t="str">
        <f t="shared" ref="B49:S49" si="10">IF(B18="","",B18)</f>
        <v/>
      </c>
      <c r="C49" s="25" t="str">
        <f t="shared" si="10"/>
        <v/>
      </c>
      <c r="D49" s="25" t="str">
        <f t="shared" si="10"/>
        <v/>
      </c>
      <c r="E49" s="25" t="str">
        <f t="shared" si="10"/>
        <v/>
      </c>
      <c r="F49" s="25" t="str">
        <f t="shared" si="10"/>
        <v/>
      </c>
      <c r="G49" s="25" t="str">
        <f t="shared" si="10"/>
        <v/>
      </c>
      <c r="H49" s="25" t="str">
        <f t="shared" si="10"/>
        <v/>
      </c>
      <c r="I49" s="25" t="str">
        <f t="shared" si="10"/>
        <v/>
      </c>
      <c r="J49" s="25" t="str">
        <f t="shared" si="10"/>
        <v/>
      </c>
      <c r="K49" s="25" t="str">
        <f t="shared" si="10"/>
        <v/>
      </c>
      <c r="L49" s="25" t="str">
        <f t="shared" si="10"/>
        <v/>
      </c>
      <c r="M49" s="25" t="str">
        <f t="shared" si="10"/>
        <v/>
      </c>
      <c r="N49" s="25" t="str">
        <f t="shared" si="10"/>
        <v/>
      </c>
      <c r="O49" s="25" t="str">
        <f t="shared" si="10"/>
        <v/>
      </c>
      <c r="P49" s="25" t="str">
        <f t="shared" si="10"/>
        <v/>
      </c>
      <c r="Q49" s="25" t="str">
        <f t="shared" si="10"/>
        <v/>
      </c>
      <c r="R49" s="25" t="str">
        <f t="shared" si="10"/>
        <v/>
      </c>
      <c r="S49" s="26" t="str">
        <f t="shared" si="10"/>
        <v/>
      </c>
      <c r="IW49" s="2">
        <v>10</v>
      </c>
      <c r="IX49" s="2" t="s">
        <v>49</v>
      </c>
    </row>
    <row r="50" spans="2:258" ht="18" customHeight="1" x14ac:dyDescent="0.25">
      <c r="B50" s="23" t="str">
        <f t="shared" ref="B50:S50" si="11">IF(B19="","",B19)</f>
        <v/>
      </c>
      <c r="C50" s="123" t="str">
        <f t="shared" si="11"/>
        <v>V/ N.º Contribuinte</v>
      </c>
      <c r="D50" s="123" t="str">
        <f t="shared" si="11"/>
        <v/>
      </c>
      <c r="E50" s="104" t="str">
        <f t="shared" si="11"/>
        <v>Data do Recibo</v>
      </c>
      <c r="F50" s="105"/>
      <c r="G50" s="105"/>
      <c r="H50" s="106"/>
      <c r="I50" s="123" t="str">
        <f t="shared" si="11"/>
        <v>Documento</v>
      </c>
      <c r="J50" s="123" t="str">
        <f t="shared" si="11"/>
        <v/>
      </c>
      <c r="K50" s="123" t="str">
        <f t="shared" si="11"/>
        <v/>
      </c>
      <c r="L50" s="123" t="str">
        <f t="shared" si="11"/>
        <v>Número do Recibo</v>
      </c>
      <c r="M50" s="123" t="str">
        <f t="shared" si="11"/>
        <v/>
      </c>
      <c r="N50" s="123" t="str">
        <f t="shared" si="11"/>
        <v/>
      </c>
      <c r="O50" s="123" t="str">
        <f t="shared" si="11"/>
        <v/>
      </c>
      <c r="P50" s="123" t="str">
        <f t="shared" si="11"/>
        <v/>
      </c>
      <c r="Q50" s="123" t="str">
        <f t="shared" si="11"/>
        <v/>
      </c>
      <c r="R50" s="123" t="str">
        <f t="shared" si="11"/>
        <v/>
      </c>
      <c r="S50" s="26" t="str">
        <f t="shared" si="11"/>
        <v/>
      </c>
      <c r="IW50" s="2">
        <v>11</v>
      </c>
      <c r="IX50" s="2" t="s">
        <v>50</v>
      </c>
    </row>
    <row r="51" spans="2:258" ht="20.25" thickBot="1" x14ac:dyDescent="0.3">
      <c r="B51" s="23" t="str">
        <f t="shared" ref="B51:S51" si="12">IF(B20="","",B20)</f>
        <v/>
      </c>
      <c r="C51" s="122" t="str">
        <f t="shared" si="12"/>
        <v/>
      </c>
      <c r="D51" s="122" t="str">
        <f t="shared" si="12"/>
        <v/>
      </c>
      <c r="E51" s="107">
        <f t="shared" si="12"/>
        <v>40210</v>
      </c>
      <c r="F51" s="108"/>
      <c r="G51" s="108"/>
      <c r="H51" s="109"/>
      <c r="I51" s="124" t="s">
        <v>56</v>
      </c>
      <c r="J51" s="124" t="str">
        <f t="shared" si="12"/>
        <v/>
      </c>
      <c r="K51" s="124" t="str">
        <f t="shared" si="12"/>
        <v/>
      </c>
      <c r="L51" s="121" t="str">
        <f t="shared" si="12"/>
        <v>01/2010</v>
      </c>
      <c r="M51" s="121" t="str">
        <f t="shared" si="12"/>
        <v/>
      </c>
      <c r="N51" s="121" t="str">
        <f t="shared" si="12"/>
        <v/>
      </c>
      <c r="O51" s="121" t="str">
        <f t="shared" si="12"/>
        <v/>
      </c>
      <c r="P51" s="121" t="str">
        <f t="shared" si="12"/>
        <v/>
      </c>
      <c r="Q51" s="121" t="str">
        <f t="shared" si="12"/>
        <v/>
      </c>
      <c r="R51" s="121" t="str">
        <f t="shared" si="12"/>
        <v/>
      </c>
      <c r="S51" s="26" t="str">
        <f t="shared" si="12"/>
        <v/>
      </c>
      <c r="IW51" s="2">
        <v>12</v>
      </c>
      <c r="IX51" s="2" t="s">
        <v>51</v>
      </c>
    </row>
    <row r="52" spans="2:258" x14ac:dyDescent="0.25">
      <c r="B52" s="23" t="str">
        <f t="shared" ref="B52:S52" si="13">IF(B21="","",B21)</f>
        <v/>
      </c>
      <c r="C52" s="25" t="str">
        <f t="shared" si="13"/>
        <v/>
      </c>
      <c r="D52" s="25" t="str">
        <f t="shared" si="13"/>
        <v/>
      </c>
      <c r="E52" s="25" t="str">
        <f t="shared" si="13"/>
        <v/>
      </c>
      <c r="F52" s="25" t="str">
        <f t="shared" si="13"/>
        <v/>
      </c>
      <c r="G52" s="25" t="str">
        <f t="shared" si="13"/>
        <v/>
      </c>
      <c r="H52" s="25" t="str">
        <f t="shared" si="13"/>
        <v/>
      </c>
      <c r="I52" s="25" t="str">
        <f t="shared" si="13"/>
        <v/>
      </c>
      <c r="J52" s="25" t="str">
        <f t="shared" si="13"/>
        <v/>
      </c>
      <c r="K52" s="25" t="str">
        <f t="shared" si="13"/>
        <v/>
      </c>
      <c r="L52" s="25" t="str">
        <f t="shared" si="13"/>
        <v/>
      </c>
      <c r="M52" s="25" t="str">
        <f t="shared" si="13"/>
        <v/>
      </c>
      <c r="N52" s="25" t="str">
        <f t="shared" si="13"/>
        <v/>
      </c>
      <c r="O52" s="25" t="str">
        <f t="shared" si="13"/>
        <v/>
      </c>
      <c r="P52" s="25" t="str">
        <f t="shared" si="13"/>
        <v/>
      </c>
      <c r="Q52" s="25" t="str">
        <f t="shared" si="13"/>
        <v/>
      </c>
      <c r="R52" s="25" t="str">
        <f t="shared" si="13"/>
        <v/>
      </c>
      <c r="S52" s="26" t="str">
        <f t="shared" si="13"/>
        <v/>
      </c>
    </row>
    <row r="53" spans="2:258" x14ac:dyDescent="0.25">
      <c r="B53" s="23" t="str">
        <f t="shared" ref="B53:S53" si="14">IF(B22="","",B22)</f>
        <v/>
      </c>
      <c r="C53" s="24" t="str">
        <f t="shared" si="14"/>
        <v>Descritivo:</v>
      </c>
      <c r="D53" s="25" t="str">
        <f t="shared" si="14"/>
        <v/>
      </c>
      <c r="E53" s="25" t="str">
        <f t="shared" si="14"/>
        <v/>
      </c>
      <c r="F53" s="25" t="str">
        <f t="shared" si="14"/>
        <v/>
      </c>
      <c r="G53" s="25" t="str">
        <f t="shared" si="14"/>
        <v/>
      </c>
      <c r="H53" s="25" t="str">
        <f t="shared" si="14"/>
        <v/>
      </c>
      <c r="I53" s="25" t="str">
        <f t="shared" si="14"/>
        <v/>
      </c>
      <c r="J53" s="25" t="str">
        <f t="shared" si="14"/>
        <v/>
      </c>
      <c r="K53" s="25" t="str">
        <f t="shared" si="14"/>
        <v/>
      </c>
      <c r="L53" s="25" t="str">
        <f t="shared" si="14"/>
        <v/>
      </c>
      <c r="M53" s="25" t="str">
        <f t="shared" si="14"/>
        <v/>
      </c>
      <c r="N53" s="25" t="str">
        <f t="shared" si="14"/>
        <v/>
      </c>
      <c r="O53" s="25" t="str">
        <f t="shared" si="14"/>
        <v/>
      </c>
      <c r="P53" s="31" t="str">
        <f t="shared" si="14"/>
        <v/>
      </c>
      <c r="Q53" s="25" t="str">
        <f t="shared" si="14"/>
        <v/>
      </c>
      <c r="R53" s="32" t="str">
        <f t="shared" si="14"/>
        <v/>
      </c>
      <c r="S53" s="26" t="str">
        <f t="shared" si="14"/>
        <v/>
      </c>
    </row>
    <row r="54" spans="2:258" ht="23.25" customHeight="1" x14ac:dyDescent="0.25">
      <c r="B54" s="23" t="str">
        <f t="shared" ref="B54:S54" si="15">IF(B23="","",B23)</f>
        <v/>
      </c>
      <c r="C54" s="112" t="str">
        <f t="shared" si="15"/>
        <v>Arrendamento da propriedade sita em:</v>
      </c>
      <c r="D54" s="112"/>
      <c r="E54" s="112"/>
      <c r="F54" s="112"/>
      <c r="G54" s="112"/>
      <c r="H54" s="112"/>
      <c r="I54" s="112"/>
      <c r="J54" s="112"/>
      <c r="K54" s="112"/>
      <c r="L54" s="25" t="str">
        <f t="shared" si="15"/>
        <v/>
      </c>
      <c r="M54" s="25" t="str">
        <f t="shared" si="15"/>
        <v/>
      </c>
      <c r="N54" s="25" t="str">
        <f t="shared" si="15"/>
        <v/>
      </c>
      <c r="O54" s="115" t="str">
        <f>IF(P23="","",P23)</f>
        <v>Valor da Renda:</v>
      </c>
      <c r="P54" s="115"/>
      <c r="Q54" s="25" t="str">
        <f t="shared" si="15"/>
        <v/>
      </c>
      <c r="R54" s="32">
        <f t="shared" si="15"/>
        <v>0</v>
      </c>
      <c r="S54" s="26" t="str">
        <f t="shared" si="15"/>
        <v/>
      </c>
    </row>
    <row r="55" spans="2:258" ht="23.25" customHeight="1" x14ac:dyDescent="0.25">
      <c r="B55" s="23" t="str">
        <f t="shared" ref="B55:S55" si="16">IF(B24="","",B24)</f>
        <v/>
      </c>
      <c r="C55" s="110" t="str">
        <f t="shared" si="16"/>
        <v/>
      </c>
      <c r="D55" s="110" t="str">
        <f t="shared" si="16"/>
        <v/>
      </c>
      <c r="E55" s="110" t="str">
        <f t="shared" si="16"/>
        <v/>
      </c>
      <c r="F55" s="110" t="str">
        <f t="shared" si="16"/>
        <v/>
      </c>
      <c r="G55" s="110" t="str">
        <f t="shared" si="16"/>
        <v/>
      </c>
      <c r="H55" s="110" t="str">
        <f t="shared" si="16"/>
        <v/>
      </c>
      <c r="I55" s="110" t="str">
        <f t="shared" si="16"/>
        <v/>
      </c>
      <c r="J55" s="110" t="str">
        <f t="shared" si="16"/>
        <v/>
      </c>
      <c r="K55" s="110" t="str">
        <f t="shared" si="16"/>
        <v/>
      </c>
      <c r="L55" s="25" t="str">
        <f t="shared" si="16"/>
        <v/>
      </c>
      <c r="M55" s="25" t="str">
        <f t="shared" si="16"/>
        <v/>
      </c>
      <c r="N55" s="25" t="str">
        <f t="shared" si="16"/>
        <v/>
      </c>
      <c r="O55" s="116" t="str">
        <f>IF(P24="","",P24)</f>
        <v>Retenção na Fonte:</v>
      </c>
      <c r="P55" s="116"/>
      <c r="Q55" s="34">
        <f t="shared" si="16"/>
        <v>0</v>
      </c>
      <c r="R55" s="35">
        <f t="shared" si="16"/>
        <v>0</v>
      </c>
      <c r="S55" s="26" t="str">
        <f t="shared" si="16"/>
        <v/>
      </c>
    </row>
    <row r="56" spans="2:258" ht="23.25" customHeight="1" x14ac:dyDescent="0.25">
      <c r="B56" s="23" t="str">
        <f t="shared" ref="B56:S56" si="17">IF(B25="","",B25)</f>
        <v/>
      </c>
      <c r="C56" s="112" t="str">
        <f t="shared" si="17"/>
        <v>Pela renda do mês de Fevereiro</v>
      </c>
      <c r="D56" s="112"/>
      <c r="E56" s="112"/>
      <c r="F56" s="112"/>
      <c r="G56" s="112"/>
      <c r="H56" s="112"/>
      <c r="I56" s="112"/>
      <c r="J56" s="112"/>
      <c r="K56" s="112"/>
      <c r="L56" s="25" t="str">
        <f t="shared" si="17"/>
        <v/>
      </c>
      <c r="M56" s="25" t="str">
        <f t="shared" si="17"/>
        <v/>
      </c>
      <c r="N56" s="25" t="str">
        <f t="shared" si="17"/>
        <v/>
      </c>
      <c r="O56" s="36" t="str">
        <f t="shared" si="17"/>
        <v/>
      </c>
      <c r="P56" s="37" t="str">
        <f t="shared" si="17"/>
        <v>Subtotal:</v>
      </c>
      <c r="Q56" s="36" t="str">
        <f t="shared" si="17"/>
        <v/>
      </c>
      <c r="R56" s="38">
        <f t="shared" si="17"/>
        <v>0</v>
      </c>
      <c r="S56" s="26" t="str">
        <f t="shared" si="17"/>
        <v/>
      </c>
    </row>
    <row r="57" spans="2:258" ht="23.25" customHeight="1" x14ac:dyDescent="0.25">
      <c r="B57" s="23" t="str">
        <f t="shared" ref="B57:S57" si="18">IF(B26="","",B26)</f>
        <v/>
      </c>
      <c r="C57" s="33" t="str">
        <f t="shared" si="18"/>
        <v/>
      </c>
      <c r="D57" s="25" t="str">
        <f t="shared" si="18"/>
        <v/>
      </c>
      <c r="E57" s="25" t="str">
        <f t="shared" si="18"/>
        <v/>
      </c>
      <c r="F57" s="25" t="str">
        <f t="shared" si="18"/>
        <v/>
      </c>
      <c r="G57" s="25" t="str">
        <f t="shared" si="18"/>
        <v/>
      </c>
      <c r="H57" s="25" t="str">
        <f t="shared" si="18"/>
        <v/>
      </c>
      <c r="I57" s="25" t="str">
        <f t="shared" si="18"/>
        <v/>
      </c>
      <c r="J57" s="25" t="str">
        <f t="shared" si="18"/>
        <v/>
      </c>
      <c r="K57" s="25" t="str">
        <f t="shared" si="18"/>
        <v/>
      </c>
      <c r="L57" s="25" t="str">
        <f t="shared" si="18"/>
        <v/>
      </c>
      <c r="M57" s="25" t="str">
        <f t="shared" si="18"/>
        <v/>
      </c>
      <c r="N57" s="25" t="str">
        <f t="shared" si="18"/>
        <v/>
      </c>
      <c r="O57" s="25" t="str">
        <f t="shared" si="18"/>
        <v/>
      </c>
      <c r="P57" s="31" t="str">
        <f t="shared" si="18"/>
        <v>IVA:</v>
      </c>
      <c r="Q57" s="34">
        <f t="shared" si="18"/>
        <v>0</v>
      </c>
      <c r="R57" s="35">
        <f t="shared" si="18"/>
        <v>0</v>
      </c>
      <c r="S57" s="26" t="str">
        <f t="shared" si="18"/>
        <v/>
      </c>
    </row>
    <row r="58" spans="2:258" ht="23.25" customHeight="1" thickBot="1" x14ac:dyDescent="0.3">
      <c r="B58" s="23" t="str">
        <f t="shared" ref="B58:S58" si="19">IF(B27="","",B27)</f>
        <v/>
      </c>
      <c r="C58" s="25" t="str">
        <f t="shared" si="19"/>
        <v/>
      </c>
      <c r="D58" s="25" t="str">
        <f t="shared" si="19"/>
        <v/>
      </c>
      <c r="E58" s="25" t="str">
        <f t="shared" si="19"/>
        <v/>
      </c>
      <c r="F58" s="25" t="str">
        <f t="shared" si="19"/>
        <v/>
      </c>
      <c r="G58" s="25" t="str">
        <f t="shared" si="19"/>
        <v/>
      </c>
      <c r="H58" s="25" t="str">
        <f t="shared" si="19"/>
        <v/>
      </c>
      <c r="I58" s="25" t="str">
        <f t="shared" si="19"/>
        <v/>
      </c>
      <c r="J58" s="25" t="str">
        <f t="shared" si="19"/>
        <v/>
      </c>
      <c r="K58" s="25" t="str">
        <f t="shared" si="19"/>
        <v/>
      </c>
      <c r="L58" s="25" t="str">
        <f t="shared" si="19"/>
        <v/>
      </c>
      <c r="M58" s="25" t="str">
        <f t="shared" si="19"/>
        <v/>
      </c>
      <c r="N58" s="25" t="str">
        <f t="shared" si="19"/>
        <v/>
      </c>
      <c r="O58" s="117" t="str">
        <f>IF(P27="","",P27)</f>
        <v>Total a Pagar:</v>
      </c>
      <c r="P58" s="117"/>
      <c r="Q58" s="39" t="str">
        <f t="shared" si="19"/>
        <v/>
      </c>
      <c r="R58" s="41">
        <f t="shared" si="19"/>
        <v>0</v>
      </c>
      <c r="S58" s="26" t="str">
        <f t="shared" si="19"/>
        <v/>
      </c>
    </row>
    <row r="59" spans="2:258" ht="15.75" thickTop="1" x14ac:dyDescent="0.25">
      <c r="B59" s="23" t="str">
        <f t="shared" ref="B59:S59" si="20">IF(B28="","",B28)</f>
        <v/>
      </c>
      <c r="C59" s="25" t="str">
        <f t="shared" si="20"/>
        <v/>
      </c>
      <c r="D59" s="25" t="str">
        <f t="shared" si="20"/>
        <v/>
      </c>
      <c r="E59" s="25" t="str">
        <f t="shared" si="20"/>
        <v/>
      </c>
      <c r="F59" s="25" t="str">
        <f t="shared" si="20"/>
        <v/>
      </c>
      <c r="G59" s="25" t="str">
        <f t="shared" si="20"/>
        <v/>
      </c>
      <c r="H59" s="25" t="str">
        <f t="shared" si="20"/>
        <v/>
      </c>
      <c r="I59" s="25" t="str">
        <f t="shared" si="20"/>
        <v/>
      </c>
      <c r="J59" s="25" t="str">
        <f t="shared" si="20"/>
        <v/>
      </c>
      <c r="K59" s="25" t="str">
        <f t="shared" si="20"/>
        <v/>
      </c>
      <c r="L59" s="25" t="str">
        <f t="shared" si="20"/>
        <v/>
      </c>
      <c r="M59" s="25" t="str">
        <f t="shared" si="20"/>
        <v/>
      </c>
      <c r="N59" s="25" t="str">
        <f t="shared" si="20"/>
        <v/>
      </c>
      <c r="O59" s="25" t="str">
        <f t="shared" si="20"/>
        <v/>
      </c>
      <c r="P59" s="25" t="str">
        <f t="shared" si="20"/>
        <v/>
      </c>
      <c r="Q59" s="25" t="str">
        <f t="shared" si="20"/>
        <v/>
      </c>
      <c r="R59" s="25" t="str">
        <f t="shared" si="20"/>
        <v/>
      </c>
      <c r="S59" s="26" t="str">
        <f t="shared" si="20"/>
        <v/>
      </c>
    </row>
    <row r="60" spans="2:258" x14ac:dyDescent="0.25">
      <c r="B60" s="23" t="str">
        <f t="shared" ref="B60:S60" si="21">IF(B29="","",B29)</f>
        <v/>
      </c>
      <c r="C60" s="25" t="str">
        <f t="shared" si="21"/>
        <v/>
      </c>
      <c r="D60" s="25" t="str">
        <f t="shared" si="21"/>
        <v/>
      </c>
      <c r="E60" s="25" t="str">
        <f t="shared" si="21"/>
        <v/>
      </c>
      <c r="F60" s="25" t="str">
        <f t="shared" si="21"/>
        <v/>
      </c>
      <c r="G60" s="25" t="str">
        <f t="shared" si="21"/>
        <v/>
      </c>
      <c r="H60" s="25" t="str">
        <f t="shared" si="21"/>
        <v/>
      </c>
      <c r="I60" s="25" t="str">
        <f t="shared" si="21"/>
        <v/>
      </c>
      <c r="J60" s="113" t="str">
        <f t="shared" si="21"/>
        <v>Questões fiscais:</v>
      </c>
      <c r="K60" s="113"/>
      <c r="L60" s="25" t="str">
        <f t="shared" si="21"/>
        <v/>
      </c>
      <c r="M60" s="25" t="str">
        <f t="shared" si="21"/>
        <v/>
      </c>
      <c r="N60" s="25" t="str">
        <f t="shared" si="21"/>
        <v/>
      </c>
      <c r="O60" s="25" t="str">
        <f t="shared" si="21"/>
        <v/>
      </c>
      <c r="P60" s="25" t="str">
        <f t="shared" si="21"/>
        <v/>
      </c>
      <c r="Q60" s="25" t="str">
        <f t="shared" si="21"/>
        <v/>
      </c>
      <c r="R60" s="25" t="str">
        <f t="shared" si="21"/>
        <v/>
      </c>
      <c r="S60" s="26" t="str">
        <f t="shared" si="21"/>
        <v/>
      </c>
    </row>
    <row r="61" spans="2:258" x14ac:dyDescent="0.25">
      <c r="B61" s="23" t="str">
        <f t="shared" ref="B61:S61" si="22">IF(B30="","",B30)</f>
        <v/>
      </c>
      <c r="C61" s="25" t="str">
        <f t="shared" si="22"/>
        <v/>
      </c>
      <c r="D61" s="25" t="str">
        <f t="shared" si="22"/>
        <v/>
      </c>
      <c r="E61" s="25" t="str">
        <f t="shared" si="22"/>
        <v/>
      </c>
      <c r="F61" s="25" t="str">
        <f t="shared" si="22"/>
        <v/>
      </c>
      <c r="G61" s="25" t="str">
        <f t="shared" si="22"/>
        <v/>
      </c>
      <c r="H61" s="25" t="str">
        <f t="shared" si="22"/>
        <v/>
      </c>
      <c r="I61" s="25" t="str">
        <f t="shared" si="22"/>
        <v/>
      </c>
      <c r="J61" s="114" t="str">
        <f>IF(P30="","",P30)</f>
        <v/>
      </c>
      <c r="K61" s="114"/>
      <c r="L61" s="114"/>
      <c r="M61" s="114"/>
      <c r="N61" s="114"/>
      <c r="O61" s="114"/>
      <c r="P61" s="114"/>
      <c r="Q61" s="44" t="str">
        <f t="shared" si="22"/>
        <v>X</v>
      </c>
      <c r="R61" s="25" t="str">
        <f t="shared" si="22"/>
        <v/>
      </c>
      <c r="S61" s="26" t="str">
        <f t="shared" si="22"/>
        <v/>
      </c>
    </row>
    <row r="62" spans="2:258" ht="6" customHeight="1" x14ac:dyDescent="0.25">
      <c r="B62" s="23" t="str">
        <f t="shared" ref="B62:S62" si="23">IF(B31="","",B31)</f>
        <v/>
      </c>
      <c r="C62" s="25" t="str">
        <f t="shared" si="23"/>
        <v/>
      </c>
      <c r="D62" s="25" t="str">
        <f t="shared" si="23"/>
        <v/>
      </c>
      <c r="E62" s="25" t="str">
        <f t="shared" si="23"/>
        <v/>
      </c>
      <c r="F62" s="25" t="str">
        <f t="shared" si="23"/>
        <v/>
      </c>
      <c r="G62" s="25" t="str">
        <f t="shared" si="23"/>
        <v/>
      </c>
      <c r="H62" s="25" t="str">
        <f t="shared" si="23"/>
        <v/>
      </c>
      <c r="I62" s="25" t="str">
        <f t="shared" si="23"/>
        <v/>
      </c>
      <c r="J62" s="25" t="str">
        <f t="shared" si="23"/>
        <v/>
      </c>
      <c r="K62" s="25" t="str">
        <f t="shared" si="23"/>
        <v/>
      </c>
      <c r="L62" s="25" t="str">
        <f t="shared" si="23"/>
        <v/>
      </c>
      <c r="M62" s="25" t="str">
        <f t="shared" si="23"/>
        <v/>
      </c>
      <c r="N62" s="25" t="str">
        <f t="shared" si="23"/>
        <v/>
      </c>
      <c r="O62" s="25" t="str">
        <f t="shared" si="23"/>
        <v/>
      </c>
      <c r="P62" s="25" t="str">
        <f t="shared" si="23"/>
        <v/>
      </c>
      <c r="Q62" s="25" t="str">
        <f t="shared" si="23"/>
        <v/>
      </c>
      <c r="R62" s="25" t="str">
        <f t="shared" si="23"/>
        <v/>
      </c>
      <c r="S62" s="26" t="str">
        <f t="shared" si="23"/>
        <v/>
      </c>
    </row>
    <row r="63" spans="2:258" x14ac:dyDescent="0.25">
      <c r="B63" s="23" t="str">
        <f t="shared" ref="B63:S63" si="24">IF(B32="","",B32)</f>
        <v/>
      </c>
      <c r="C63" s="25" t="str">
        <f t="shared" si="24"/>
        <v/>
      </c>
      <c r="D63" s="25" t="str">
        <f t="shared" si="24"/>
        <v/>
      </c>
      <c r="E63" s="25" t="str">
        <f t="shared" si="24"/>
        <v/>
      </c>
      <c r="F63" s="25" t="str">
        <f t="shared" si="24"/>
        <v/>
      </c>
      <c r="G63" s="25" t="str">
        <f t="shared" si="24"/>
        <v/>
      </c>
      <c r="H63" s="25" t="str">
        <f t="shared" si="24"/>
        <v/>
      </c>
      <c r="I63" s="25" t="str">
        <f t="shared" si="24"/>
        <v/>
      </c>
      <c r="J63" s="114" t="str">
        <f>IF(P32="","",P32)</f>
        <v/>
      </c>
      <c r="K63" s="114"/>
      <c r="L63" s="114"/>
      <c r="M63" s="114"/>
      <c r="N63" s="114"/>
      <c r="O63" s="114"/>
      <c r="P63" s="114"/>
      <c r="Q63" s="44" t="str">
        <f t="shared" si="24"/>
        <v/>
      </c>
      <c r="R63" s="25" t="str">
        <f t="shared" si="24"/>
        <v/>
      </c>
      <c r="S63" s="26" t="str">
        <f t="shared" si="24"/>
        <v/>
      </c>
    </row>
    <row r="64" spans="2:258" ht="13.5" customHeight="1" x14ac:dyDescent="0.25">
      <c r="B64" s="23" t="str">
        <f t="shared" ref="B64:S64" si="25">IF(B33="","",B33)</f>
        <v/>
      </c>
      <c r="C64" s="25" t="str">
        <f t="shared" si="25"/>
        <v/>
      </c>
      <c r="D64" s="25" t="str">
        <f t="shared" si="25"/>
        <v/>
      </c>
      <c r="E64" s="25" t="str">
        <f t="shared" si="25"/>
        <v/>
      </c>
      <c r="F64" s="25" t="str">
        <f t="shared" si="25"/>
        <v/>
      </c>
      <c r="G64" s="25" t="str">
        <f t="shared" si="25"/>
        <v/>
      </c>
      <c r="H64" s="25" t="str">
        <f t="shared" si="25"/>
        <v/>
      </c>
      <c r="I64" s="25" t="str">
        <f t="shared" si="25"/>
        <v/>
      </c>
      <c r="J64" s="25" t="str">
        <f t="shared" si="25"/>
        <v/>
      </c>
      <c r="K64" s="25" t="str">
        <f t="shared" si="25"/>
        <v/>
      </c>
      <c r="L64" s="25" t="str">
        <f t="shared" si="25"/>
        <v/>
      </c>
      <c r="M64" s="25" t="str">
        <f t="shared" si="25"/>
        <v/>
      </c>
      <c r="N64" s="25" t="str">
        <f t="shared" si="25"/>
        <v/>
      </c>
      <c r="O64" s="25" t="str">
        <f t="shared" si="25"/>
        <v/>
      </c>
      <c r="P64" s="25" t="str">
        <f t="shared" si="25"/>
        <v/>
      </c>
      <c r="Q64" s="25" t="str">
        <f t="shared" si="25"/>
        <v/>
      </c>
      <c r="R64" s="25" t="str">
        <f t="shared" si="25"/>
        <v/>
      </c>
      <c r="S64" s="26" t="str">
        <f t="shared" si="25"/>
        <v/>
      </c>
    </row>
    <row r="65" spans="2:19" x14ac:dyDescent="0.25">
      <c r="B65" s="45" t="str">
        <f t="shared" ref="B65:S65" si="26">IF(B34="","",B34)</f>
        <v/>
      </c>
      <c r="C65" s="46" t="str">
        <f t="shared" si="26"/>
        <v>Contactos:</v>
      </c>
      <c r="D65" s="47" t="str">
        <f t="shared" si="26"/>
        <v/>
      </c>
      <c r="E65" s="118" t="str">
        <f t="shared" si="26"/>
        <v/>
      </c>
      <c r="F65" s="118" t="str">
        <f t="shared" si="26"/>
        <v/>
      </c>
      <c r="G65" s="119" t="str">
        <f t="shared" si="26"/>
        <v/>
      </c>
      <c r="H65" s="119" t="str">
        <f t="shared" si="26"/>
        <v/>
      </c>
      <c r="I65" s="118" t="str">
        <f t="shared" si="26"/>
        <v/>
      </c>
      <c r="J65" s="118" t="str">
        <f t="shared" si="26"/>
        <v/>
      </c>
      <c r="K65" s="118" t="str">
        <f t="shared" si="26"/>
        <v/>
      </c>
      <c r="L65" s="118" t="str">
        <f t="shared" si="26"/>
        <v/>
      </c>
      <c r="M65" s="47" t="str">
        <f t="shared" si="26"/>
        <v/>
      </c>
      <c r="N65" s="120" t="str">
        <f t="shared" si="26"/>
        <v/>
      </c>
      <c r="O65" s="120" t="str">
        <f t="shared" si="26"/>
        <v/>
      </c>
      <c r="P65" s="120" t="str">
        <f t="shared" si="26"/>
        <v/>
      </c>
      <c r="Q65" s="120" t="str">
        <f t="shared" si="26"/>
        <v/>
      </c>
      <c r="R65" s="120" t="str">
        <f t="shared" si="26"/>
        <v/>
      </c>
      <c r="S65" s="26" t="str">
        <f t="shared" si="26"/>
        <v/>
      </c>
    </row>
    <row r="66" spans="2:19" ht="6" customHeight="1" x14ac:dyDescent="0.25">
      <c r="B66" s="45" t="str">
        <f t="shared" ref="B66:S66" si="27">IF(B35="","",B35)</f>
        <v/>
      </c>
      <c r="C66" s="48" t="str">
        <f t="shared" si="27"/>
        <v/>
      </c>
      <c r="D66" s="48" t="str">
        <f t="shared" si="27"/>
        <v/>
      </c>
      <c r="E66" s="48" t="str">
        <f t="shared" si="27"/>
        <v/>
      </c>
      <c r="F66" s="48" t="str">
        <f t="shared" si="27"/>
        <v/>
      </c>
      <c r="G66" s="48" t="str">
        <f t="shared" si="27"/>
        <v/>
      </c>
      <c r="H66" s="48" t="str">
        <f t="shared" si="27"/>
        <v/>
      </c>
      <c r="I66" s="48" t="str">
        <f t="shared" si="27"/>
        <v/>
      </c>
      <c r="J66" s="48" t="str">
        <f t="shared" si="27"/>
        <v/>
      </c>
      <c r="K66" s="48" t="str">
        <f t="shared" si="27"/>
        <v/>
      </c>
      <c r="L66" s="48" t="str">
        <f t="shared" si="27"/>
        <v/>
      </c>
      <c r="M66" s="48" t="str">
        <f t="shared" si="27"/>
        <v/>
      </c>
      <c r="N66" s="48" t="str">
        <f t="shared" si="27"/>
        <v/>
      </c>
      <c r="O66" s="48" t="str">
        <f t="shared" si="27"/>
        <v/>
      </c>
      <c r="P66" s="48" t="str">
        <f t="shared" si="27"/>
        <v/>
      </c>
      <c r="Q66" s="48" t="str">
        <f t="shared" si="27"/>
        <v/>
      </c>
      <c r="R66" s="48" t="str">
        <f t="shared" si="27"/>
        <v/>
      </c>
      <c r="S66" s="26" t="str">
        <f t="shared" si="27"/>
        <v/>
      </c>
    </row>
    <row r="67" spans="2:19" x14ac:dyDescent="0.25">
      <c r="B67" s="45" t="str">
        <f t="shared" ref="B67:S67" si="28">IF(B36="","",B36)</f>
        <v/>
      </c>
      <c r="C67" s="46" t="str">
        <f t="shared" si="28"/>
        <v>N/ IBAN:</v>
      </c>
      <c r="D67" s="102" t="str">
        <f t="shared" si="28"/>
        <v/>
      </c>
      <c r="E67" s="102"/>
      <c r="F67" s="102"/>
      <c r="G67" s="102"/>
      <c r="H67" s="102"/>
      <c r="I67" s="102"/>
      <c r="J67" s="102"/>
      <c r="K67" s="102"/>
      <c r="L67" s="102"/>
      <c r="M67" s="48" t="str">
        <f t="shared" si="28"/>
        <v/>
      </c>
      <c r="N67" s="48" t="str">
        <f t="shared" si="28"/>
        <v/>
      </c>
      <c r="O67" s="48" t="str">
        <f t="shared" si="28"/>
        <v/>
      </c>
      <c r="P67" s="48" t="str">
        <f t="shared" si="28"/>
        <v/>
      </c>
      <c r="Q67" s="48" t="str">
        <f t="shared" si="28"/>
        <v/>
      </c>
      <c r="R67" s="48" t="str">
        <f t="shared" si="28"/>
        <v/>
      </c>
      <c r="S67" s="26" t="str">
        <f t="shared" si="28"/>
        <v/>
      </c>
    </row>
    <row r="68" spans="2:19" ht="9" customHeight="1" thickBot="1" x14ac:dyDescent="0.3">
      <c r="B68" s="49" t="str">
        <f t="shared" ref="B68:S68" si="29">IF(B37="","",B37)</f>
        <v/>
      </c>
      <c r="C68" s="50" t="str">
        <f t="shared" si="29"/>
        <v/>
      </c>
      <c r="D68" s="50" t="str">
        <f t="shared" si="29"/>
        <v/>
      </c>
      <c r="E68" s="50" t="str">
        <f t="shared" si="29"/>
        <v/>
      </c>
      <c r="F68" s="50" t="str">
        <f t="shared" si="29"/>
        <v/>
      </c>
      <c r="G68" s="50" t="str">
        <f t="shared" si="29"/>
        <v/>
      </c>
      <c r="H68" s="50" t="str">
        <f t="shared" si="29"/>
        <v/>
      </c>
      <c r="I68" s="50" t="str">
        <f t="shared" si="29"/>
        <v/>
      </c>
      <c r="J68" s="50" t="str">
        <f t="shared" si="29"/>
        <v/>
      </c>
      <c r="K68" s="50" t="str">
        <f t="shared" si="29"/>
        <v/>
      </c>
      <c r="L68" s="50" t="str">
        <f t="shared" si="29"/>
        <v/>
      </c>
      <c r="M68" s="50" t="str">
        <f t="shared" si="29"/>
        <v/>
      </c>
      <c r="N68" s="50" t="str">
        <f t="shared" si="29"/>
        <v/>
      </c>
      <c r="O68" s="50" t="str">
        <f t="shared" si="29"/>
        <v/>
      </c>
      <c r="P68" s="50" t="str">
        <f t="shared" si="29"/>
        <v/>
      </c>
      <c r="Q68" s="50" t="str">
        <f t="shared" si="29"/>
        <v/>
      </c>
      <c r="R68" s="50" t="str">
        <f t="shared" si="29"/>
        <v/>
      </c>
      <c r="S68" s="51" t="str">
        <f t="shared" si="29"/>
        <v/>
      </c>
    </row>
  </sheetData>
  <sheetProtection password="A081" sheet="1" objects="1" scenarios="1" selectLockedCells="1"/>
  <mergeCells count="57">
    <mergeCell ref="Q6:R6"/>
    <mergeCell ref="B2:H2"/>
    <mergeCell ref="B4:H4"/>
    <mergeCell ref="K2:P2"/>
    <mergeCell ref="K4:P4"/>
    <mergeCell ref="K6:P6"/>
    <mergeCell ref="L19:R19"/>
    <mergeCell ref="C12:D12"/>
    <mergeCell ref="D11:H11"/>
    <mergeCell ref="C10:H10"/>
    <mergeCell ref="G13:H13"/>
    <mergeCell ref="L16:R16"/>
    <mergeCell ref="M17:R17"/>
    <mergeCell ref="C51:D51"/>
    <mergeCell ref="I51:K51"/>
    <mergeCell ref="L51:R51"/>
    <mergeCell ref="C55:K55"/>
    <mergeCell ref="C41:H41"/>
    <mergeCell ref="D42:H42"/>
    <mergeCell ref="G44:H44"/>
    <mergeCell ref="L47:R47"/>
    <mergeCell ref="M48:R48"/>
    <mergeCell ref="C50:D50"/>
    <mergeCell ref="I50:K50"/>
    <mergeCell ref="L50:R50"/>
    <mergeCell ref="G65:H65"/>
    <mergeCell ref="I65:L65"/>
    <mergeCell ref="N65:R65"/>
    <mergeCell ref="L15:R15"/>
    <mergeCell ref="L46:R46"/>
    <mergeCell ref="J63:P63"/>
    <mergeCell ref="L20:R20"/>
    <mergeCell ref="C24:K24"/>
    <mergeCell ref="E34:F34"/>
    <mergeCell ref="G34:H34"/>
    <mergeCell ref="I34:L34"/>
    <mergeCell ref="N34:R34"/>
    <mergeCell ref="C20:D20"/>
    <mergeCell ref="I19:K19"/>
    <mergeCell ref="I20:K20"/>
    <mergeCell ref="C19:D19"/>
    <mergeCell ref="D67:L67"/>
    <mergeCell ref="C40:H40"/>
    <mergeCell ref="E19:H19"/>
    <mergeCell ref="E20:H20"/>
    <mergeCell ref="E50:H50"/>
    <mergeCell ref="E51:H51"/>
    <mergeCell ref="C43:D43"/>
    <mergeCell ref="L45:M45"/>
    <mergeCell ref="C54:K54"/>
    <mergeCell ref="C56:K56"/>
    <mergeCell ref="J60:K60"/>
    <mergeCell ref="J61:P61"/>
    <mergeCell ref="O54:P54"/>
    <mergeCell ref="O55:P55"/>
    <mergeCell ref="O58:P58"/>
    <mergeCell ref="E65:F65"/>
  </mergeCells>
  <conditionalFormatting sqref="Q30">
    <cfRule type="expression" dxfId="2" priority="6">
      <formula>$P30&lt;&gt;""</formula>
    </cfRule>
  </conditionalFormatting>
  <conditionalFormatting sqref="Q32">
    <cfRule type="expression" dxfId="1" priority="5">
      <formula>$P32&lt;&gt;""</formula>
    </cfRule>
  </conditionalFormatting>
  <conditionalFormatting sqref="Q61 Q63">
    <cfRule type="expression" dxfId="0" priority="7">
      <formula>$J61&lt;&gt;""</formula>
    </cfRule>
  </conditionalFormatting>
  <dataValidations count="3">
    <dataValidation type="list" allowBlank="1" showInputMessage="1" showErrorMessage="1" sqref="I2 Q2 I4 Q4">
      <formula1>"sim, não"</formula1>
    </dataValidation>
    <dataValidation type="list" allowBlank="1" showInputMessage="1" showErrorMessage="1" sqref="Q30 Q63 Q61 Q32">
      <formula1>"X"</formula1>
    </dataValidation>
    <dataValidation type="textLength" allowBlank="1" showInputMessage="1" showErrorMessage="1" errorTitle="Erro" error="o n.º do recibo pode ter letras e números, mas não pode ter mais do que 4 caracteres." promptTitle="Informação" prompt="O n.º do recibo tem que ser sequêncial e por ordem cronológica (por ex. Começou a arrendar em Março, o n.º001 é do mês de Março, e o 002 é do mês de Abril, e o 003 é do mês de Maio)." sqref="H6">
      <formula1>0</formula1>
      <formula2>4</formula2>
    </dataValidation>
  </dataValidations>
  <hyperlinks>
    <hyperlink ref="U2" r:id="rId1"/>
  </hyperlinks>
  <printOptions horizontalCentered="1" verticalCentered="1"/>
  <pageMargins left="0.15748031496062992" right="0.19685039370078741" top="0.31496062992125984" bottom="0.19685039370078741" header="0.31496062992125984" footer="0.19685039370078741"/>
  <pageSetup paperSize="9" scale="68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87"/>
  <sheetViews>
    <sheetView showGridLines="0" workbookViewId="0">
      <pane ySplit="10" topLeftCell="A11" activePane="bottomLeft" state="frozen"/>
      <selection pane="bottomLeft" activeCell="G12" sqref="G12"/>
    </sheetView>
  </sheetViews>
  <sheetFormatPr defaultRowHeight="15" x14ac:dyDescent="0.25"/>
  <cols>
    <col min="1" max="1" width="9.140625" style="2"/>
    <col min="2" max="2" width="17.42578125" style="2" customWidth="1"/>
    <col min="3" max="3" width="13.28515625" style="2" customWidth="1"/>
    <col min="4" max="4" width="18.5703125" style="2" customWidth="1"/>
    <col min="5" max="5" width="19" style="2" customWidth="1"/>
    <col min="6" max="6" width="13.85546875" style="2" customWidth="1"/>
    <col min="7" max="7" width="13.5703125" style="2" customWidth="1"/>
    <col min="8" max="8" width="13.7109375" style="2" customWidth="1"/>
    <col min="9" max="16379" width="9.140625" style="2"/>
    <col min="16380" max="16380" width="9.42578125" style="2" customWidth="1"/>
    <col min="16381" max="16381" width="18.42578125" style="2" bestFit="1" customWidth="1"/>
    <col min="16382" max="16382" width="18.28515625" style="2" bestFit="1" customWidth="1"/>
    <col min="16383" max="16384" width="18.28515625" style="2" customWidth="1"/>
  </cols>
  <sheetData>
    <row r="1" spans="1:10 16381:16383" x14ac:dyDescent="0.25">
      <c r="J1" s="81" t="s">
        <v>106</v>
      </c>
    </row>
    <row r="2" spans="1:10 16381:16383" ht="20.25" thickBot="1" x14ac:dyDescent="0.3">
      <c r="B2" s="70" t="str">
        <f>"Conta-Corrente do Inquilino "&amp;'Dados a Colocar'!D56</f>
        <v xml:space="preserve">Conta-Corrente do Inquilino </v>
      </c>
      <c r="C2" s="70"/>
      <c r="D2" s="70"/>
      <c r="E2" s="70"/>
      <c r="F2" s="70"/>
      <c r="G2" s="70"/>
      <c r="H2" s="70"/>
      <c r="J2" s="82" t="s">
        <v>107</v>
      </c>
    </row>
    <row r="3" spans="1:10 16381:16383" ht="15.75" thickTop="1" x14ac:dyDescent="0.25"/>
    <row r="4" spans="1:10 16381:16383" ht="15.75" x14ac:dyDescent="0.25">
      <c r="B4" s="19" t="s">
        <v>72</v>
      </c>
      <c r="C4" s="90">
        <v>2010</v>
      </c>
      <c r="E4" s="79" t="s">
        <v>25</v>
      </c>
      <c r="F4" s="80" t="str">
        <f>IF('Dados a Colocar'!E72="","",'Dados a Colocar'!E72)</f>
        <v/>
      </c>
      <c r="G4" s="126" t="str">
        <f>IF('Dados a Colocar'!J72="","",'Dados a Colocar'!J72)</f>
        <v/>
      </c>
      <c r="H4" s="126"/>
    </row>
    <row r="6" spans="1:10 16381:16383" ht="15.75" x14ac:dyDescent="0.25">
      <c r="B6" s="133" t="str">
        <f>"Valor total de recibos de rendas emitidos no ano de "&amp;C4&amp;":"</f>
        <v>Valor total de recibos de rendas emitidos no ano de 2010:</v>
      </c>
      <c r="C6" s="134"/>
      <c r="D6" s="134"/>
      <c r="E6" s="134"/>
      <c r="F6" s="14">
        <f>SUMIFS($F$11:$F$83,$A$11:$A$83,$C$4,$G$11:$G$83,"Sim")</f>
        <v>0</v>
      </c>
    </row>
    <row r="8" spans="1:10 16381:16383" ht="15.75" x14ac:dyDescent="0.25">
      <c r="B8" s="133" t="str">
        <f>"Valor total de rendas pagas pelo inquilino no ano de "&amp;C4&amp;":"</f>
        <v>Valor total de rendas pagas pelo inquilino no ano de 2010:</v>
      </c>
      <c r="C8" s="134"/>
      <c r="D8" s="134"/>
      <c r="E8" s="134"/>
      <c r="F8" s="14">
        <f>SUMIF($H$11:$H$24,"sim",$F$11:$F$24)</f>
        <v>0</v>
      </c>
    </row>
    <row r="10" spans="1:10 16381:16383" ht="30.75" thickBot="1" x14ac:dyDescent="0.3">
      <c r="B10" s="3" t="s">
        <v>60</v>
      </c>
      <c r="C10" s="3" t="s">
        <v>74</v>
      </c>
      <c r="D10" s="3" t="s">
        <v>16</v>
      </c>
      <c r="E10" s="3" t="s">
        <v>91</v>
      </c>
      <c r="F10" s="3" t="s">
        <v>75</v>
      </c>
      <c r="G10" s="83" t="s">
        <v>96</v>
      </c>
      <c r="H10" s="84" t="s">
        <v>94</v>
      </c>
    </row>
    <row r="11" spans="1:10 16381:16383" ht="15.75" thickTop="1" x14ac:dyDescent="0.25">
      <c r="A11" s="4">
        <f>YEAR(C11)</f>
        <v>1900</v>
      </c>
      <c r="B11" s="127" t="str">
        <f>"001/"&amp;YEAR(C11)</f>
        <v>001/1900</v>
      </c>
      <c r="C11" s="130">
        <f>'Dados a Colocar'!L16</f>
        <v>0</v>
      </c>
      <c r="D11" s="5" t="s">
        <v>77</v>
      </c>
      <c r="E11" s="5"/>
      <c r="F11" s="6">
        <f>IF('Dados a Colocar'!G18="Sim",'Dados a Colocar'!M18,0)</f>
        <v>0</v>
      </c>
      <c r="G11" s="85"/>
      <c r="H11" s="86"/>
    </row>
    <row r="12" spans="1:10 16381:16383" x14ac:dyDescent="0.25">
      <c r="A12" s="4">
        <f>YEAR(C11)</f>
        <v>1900</v>
      </c>
      <c r="B12" s="128"/>
      <c r="C12" s="131"/>
      <c r="D12" s="7" t="str">
        <f>IF('Dados a Colocar'!$G$20="sim",'Conta-Corrente'!XFA12,"")</f>
        <v/>
      </c>
      <c r="E12" s="7" t="str">
        <f>IF('Dados a Colocar'!$G$20="sim",'Conta-Corrente'!XFB12,"")</f>
        <v/>
      </c>
      <c r="F12" s="8" t="str">
        <f>IF('Dados a Colocar'!$G$20="sim",'Conta-Corrente'!XFC12,"")</f>
        <v/>
      </c>
      <c r="G12" s="87"/>
      <c r="H12" s="88"/>
      <c r="XFA12" s="7" t="s">
        <v>78</v>
      </c>
      <c r="XFB12" s="7" t="str">
        <f>VLOOKUP(MONTH(C11),Recibo!$IW$9:$IX$20,2,FALSE)&amp;" de "&amp;$C$4</f>
        <v>Janeiro de 2010</v>
      </c>
      <c r="XFC12" s="156">
        <f>'Dados a Colocar'!$F$16</f>
        <v>0</v>
      </c>
    </row>
    <row r="13" spans="1:10 16381:16383" x14ac:dyDescent="0.25">
      <c r="A13" s="4">
        <f>YEAR(C11)</f>
        <v>1900</v>
      </c>
      <c r="B13" s="129"/>
      <c r="C13" s="132"/>
      <c r="D13" s="5" t="str">
        <f>IF('Dados a Colocar'!$G$20="sim",'Conta-Corrente'!XFA13,'Conta-Corrente'!XFA12)</f>
        <v>1.º mês de renda</v>
      </c>
      <c r="E13" s="5" t="str">
        <f>IF('Dados a Colocar'!$G$20="sim",'Conta-Corrente'!XFB13,'Conta-Corrente'!XFB12)</f>
        <v>Janeiro de 2010</v>
      </c>
      <c r="F13" s="6">
        <f>IF('Dados a Colocar'!$G$20="sim",'Conta-Corrente'!XFC13,'Conta-Corrente'!XFC12)</f>
        <v>0</v>
      </c>
      <c r="G13" s="85"/>
      <c r="H13" s="86"/>
      <c r="XFA13" s="91" t="s">
        <v>79</v>
      </c>
      <c r="XFB13" s="91" t="str">
        <f>IFERROR(VLOOKUP(MONTH(C11)+1,Recibo!$IW$9:$IX$20,2,FALSE)&amp;" de "&amp;$C$4,VLOOKUP(MONTH(C11)-11,Recibo!$IW$9:$IX$20,2,FALSE)&amp;" de "&amp;($C$4+1))</f>
        <v>Fevereiro de 2010</v>
      </c>
      <c r="XFC13" s="156">
        <f>'Dados a Colocar'!$F$16</f>
        <v>0</v>
      </c>
    </row>
    <row r="14" spans="1:10 16381:16383" x14ac:dyDescent="0.25">
      <c r="A14" s="4">
        <f>YEAR(C14)</f>
        <v>1900</v>
      </c>
      <c r="B14" s="7" t="str">
        <f>"002/"&amp;YEAR(C14)</f>
        <v>002/1900</v>
      </c>
      <c r="C14" s="10">
        <f>EDATE(C11,1)</f>
        <v>31</v>
      </c>
      <c r="D14" s="7" t="str">
        <f>IF('Dados a Colocar'!$G$20="sim",'Conta-Corrente'!XFA14,'Conta-Corrente'!XFA13)</f>
        <v>2.º mês de renda</v>
      </c>
      <c r="E14" s="7" t="str">
        <f>IF('Dados a Colocar'!$G$20="sim",'Conta-Corrente'!XFB14,'Conta-Corrente'!XFB13)</f>
        <v>Fevereiro de 2010</v>
      </c>
      <c r="F14" s="8">
        <f>IF('Dados a Colocar'!$G$20="sim",'Conta-Corrente'!XFC14,'Conta-Corrente'!XFC13)</f>
        <v>0</v>
      </c>
      <c r="G14" s="87"/>
      <c r="H14" s="88"/>
      <c r="XFA14" s="7" t="s">
        <v>80</v>
      </c>
      <c r="XFB14" s="7" t="str">
        <f>IFERROR(VLOOKUP(MONTH(C14)+1,Recibo!$IW$9:$IX$20,2,FALSE)&amp;" de "&amp;YEAR(C14),VLOOKUP(MONTH(C14)-11,Recibo!$IW$9:$IX$20,2,FALSE)&amp;" de "&amp;(YEAR(C14)+1))</f>
        <v>Fevereiro de 1900</v>
      </c>
      <c r="XFC14" s="156">
        <f>'Dados a Colocar'!$F$16</f>
        <v>0</v>
      </c>
    </row>
    <row r="15" spans="1:10 16381:16383" x14ac:dyDescent="0.25">
      <c r="A15" s="4">
        <f t="shared" ref="A15:A25" si="0">YEAR(C15)</f>
        <v>1900</v>
      </c>
      <c r="B15" s="5" t="str">
        <f>"003/"&amp;YEAR(C15)</f>
        <v>003/1900</v>
      </c>
      <c r="C15" s="11">
        <f>EDATE(C14,1)</f>
        <v>59</v>
      </c>
      <c r="D15" s="5" t="str">
        <f>IF('Dados a Colocar'!$G$20="sim",'Conta-Corrente'!XFA15,'Conta-Corrente'!XFA14)</f>
        <v>3.º mês de renda</v>
      </c>
      <c r="E15" s="5" t="str">
        <f>IF('Dados a Colocar'!$G$20="sim",'Conta-Corrente'!XFB15,'Conta-Corrente'!XFB14)</f>
        <v>Fevereiro de 1900</v>
      </c>
      <c r="F15" s="6">
        <f>IF('Dados a Colocar'!$G$20="sim",'Conta-Corrente'!XFC15,'Conta-Corrente'!XFC14)</f>
        <v>0</v>
      </c>
      <c r="G15" s="85"/>
      <c r="H15" s="86"/>
      <c r="XFA15" s="91" t="s">
        <v>81</v>
      </c>
      <c r="XFB15" s="91" t="str">
        <f>IFERROR(VLOOKUP(MONTH(C15)+1,Recibo!$IW$9:$IX$20,2,FALSE)&amp;" de "&amp;YEAR(C15),VLOOKUP(MONTH(C15)-11,Recibo!$IW$9:$IX$20,2,FALSE)&amp;" de "&amp;(YEAR(C15)+1))</f>
        <v>Março de 1900</v>
      </c>
      <c r="XFC15" s="156">
        <f>'Dados a Colocar'!$F$16</f>
        <v>0</v>
      </c>
    </row>
    <row r="16" spans="1:10 16381:16383" x14ac:dyDescent="0.25">
      <c r="A16" s="4">
        <f t="shared" si="0"/>
        <v>1900</v>
      </c>
      <c r="B16" s="7" t="str">
        <f>"004/"&amp;YEAR(C16)</f>
        <v>004/1900</v>
      </c>
      <c r="C16" s="10">
        <f t="shared" ref="C16:C80" si="1">EDATE(C15,1)</f>
        <v>88</v>
      </c>
      <c r="D16" s="7" t="str">
        <f>IF('Dados a Colocar'!$G$20="sim",'Conta-Corrente'!XFA16,'Conta-Corrente'!XFA15)</f>
        <v>4.º mês de renda</v>
      </c>
      <c r="E16" s="7" t="str">
        <f>IF('Dados a Colocar'!$G$20="sim",'Conta-Corrente'!XFB16,'Conta-Corrente'!XFB15)</f>
        <v>Março de 1900</v>
      </c>
      <c r="F16" s="8">
        <f>IF('Dados a Colocar'!$G$20="sim",'Conta-Corrente'!XFC16,'Conta-Corrente'!XFC15)</f>
        <v>0</v>
      </c>
      <c r="G16" s="87"/>
      <c r="H16" s="88"/>
      <c r="XFA16" s="7" t="s">
        <v>82</v>
      </c>
      <c r="XFB16" s="7" t="str">
        <f>IFERROR(VLOOKUP(MONTH(C16)+1,Recibo!$IW$9:$IX$20,2,FALSE)&amp;" de "&amp;YEAR(C16),VLOOKUP(MONTH(C16)-11,Recibo!$IW$9:$IX$20,2,FALSE)&amp;" de "&amp;(YEAR(C16)+1))</f>
        <v>Abril de 1900</v>
      </c>
      <c r="XFC16" s="156">
        <f>'Dados a Colocar'!$F$16</f>
        <v>0</v>
      </c>
    </row>
    <row r="17" spans="1:8 16381:16383" x14ac:dyDescent="0.25">
      <c r="A17" s="4">
        <f t="shared" si="0"/>
        <v>1900</v>
      </c>
      <c r="B17" s="5" t="str">
        <f>"005/"&amp;YEAR(C17)</f>
        <v>005/1900</v>
      </c>
      <c r="C17" s="11">
        <f t="shared" si="1"/>
        <v>119</v>
      </c>
      <c r="D17" s="5" t="str">
        <f>IF('Dados a Colocar'!$G$20="sim",'Conta-Corrente'!XFA17,'Conta-Corrente'!XFA16)</f>
        <v>5.º mês de renda</v>
      </c>
      <c r="E17" s="5" t="str">
        <f>IF('Dados a Colocar'!$G$20="sim",'Conta-Corrente'!XFB17,'Conta-Corrente'!XFB16)</f>
        <v>Abril de 1900</v>
      </c>
      <c r="F17" s="6">
        <f>IF('Dados a Colocar'!$G$20="sim",'Conta-Corrente'!XFC17,'Conta-Corrente'!XFC16)</f>
        <v>0</v>
      </c>
      <c r="G17" s="85"/>
      <c r="H17" s="86"/>
      <c r="XFA17" s="91" t="s">
        <v>83</v>
      </c>
      <c r="XFB17" s="91" t="str">
        <f>IFERROR(VLOOKUP(MONTH(C17)+1,Recibo!$IW$9:$IX$20,2,FALSE)&amp;" de "&amp;YEAR(C17),VLOOKUP(MONTH(C17)-11,Recibo!$IW$9:$IX$20,2,FALSE)&amp;" de "&amp;(YEAR(C17)+1))</f>
        <v>Maio de 1900</v>
      </c>
      <c r="XFC17" s="156">
        <f>'Dados a Colocar'!$F$16</f>
        <v>0</v>
      </c>
    </row>
    <row r="18" spans="1:8 16381:16383" x14ac:dyDescent="0.25">
      <c r="A18" s="4">
        <f t="shared" si="0"/>
        <v>1900</v>
      </c>
      <c r="B18" s="7" t="str">
        <f>"006/"&amp;YEAR(C18)</f>
        <v>006/1900</v>
      </c>
      <c r="C18" s="10">
        <f t="shared" si="1"/>
        <v>149</v>
      </c>
      <c r="D18" s="7" t="str">
        <f>IF('Dados a Colocar'!$G$20="sim",'Conta-Corrente'!XFA18,'Conta-Corrente'!XFA17)</f>
        <v>6.º mês de renda</v>
      </c>
      <c r="E18" s="7" t="str">
        <f>IF('Dados a Colocar'!$G$20="sim",'Conta-Corrente'!XFB18,'Conta-Corrente'!XFB17)</f>
        <v>Maio de 1900</v>
      </c>
      <c r="F18" s="8">
        <f>IF('Dados a Colocar'!$G$20="sim",'Conta-Corrente'!XFC18,'Conta-Corrente'!XFC17)</f>
        <v>0</v>
      </c>
      <c r="G18" s="87"/>
      <c r="H18" s="88"/>
      <c r="XFA18" s="7" t="s">
        <v>84</v>
      </c>
      <c r="XFB18" s="7" t="str">
        <f>IFERROR(VLOOKUP(MONTH(C18)+1,Recibo!$IW$9:$IX$20,2,FALSE)&amp;" de "&amp;YEAR(C18),VLOOKUP(MONTH(C18)-11,Recibo!$IW$9:$IX$20,2,FALSE)&amp;" de "&amp;(YEAR(C18)+1))</f>
        <v>Junho de 1900</v>
      </c>
      <c r="XFC18" s="156">
        <f>'Dados a Colocar'!$F$16</f>
        <v>0</v>
      </c>
    </row>
    <row r="19" spans="1:8 16381:16383" x14ac:dyDescent="0.25">
      <c r="A19" s="4">
        <f t="shared" si="0"/>
        <v>1900</v>
      </c>
      <c r="B19" s="5" t="str">
        <f>"007/"&amp;YEAR(C19)</f>
        <v>007/1900</v>
      </c>
      <c r="C19" s="11">
        <f t="shared" si="1"/>
        <v>180</v>
      </c>
      <c r="D19" s="5" t="str">
        <f>IF('Dados a Colocar'!$G$20="sim",'Conta-Corrente'!XFA19,'Conta-Corrente'!XFA18)</f>
        <v>7.º mês de renda</v>
      </c>
      <c r="E19" s="5" t="str">
        <f>IF('Dados a Colocar'!$G$20="sim",'Conta-Corrente'!XFB19,'Conta-Corrente'!XFB18)</f>
        <v>Junho de 1900</v>
      </c>
      <c r="F19" s="6">
        <f>IF('Dados a Colocar'!$G$20="sim",'Conta-Corrente'!XFC19,'Conta-Corrente'!XFC18)</f>
        <v>0</v>
      </c>
      <c r="G19" s="85"/>
      <c r="H19" s="86"/>
      <c r="XFA19" s="91" t="s">
        <v>85</v>
      </c>
      <c r="XFB19" s="91" t="str">
        <f>IFERROR(VLOOKUP(MONTH(C19)+1,Recibo!$IW$9:$IX$20,2,FALSE)&amp;" de "&amp;YEAR(C19),VLOOKUP(MONTH(C19)-11,Recibo!$IW$9:$IX$20,2,FALSE)&amp;" de "&amp;(YEAR(C19)+1))</f>
        <v>Julho de 1900</v>
      </c>
      <c r="XFC19" s="156">
        <f>'Dados a Colocar'!$F$16</f>
        <v>0</v>
      </c>
    </row>
    <row r="20" spans="1:8 16381:16383" x14ac:dyDescent="0.25">
      <c r="A20" s="4">
        <f t="shared" si="0"/>
        <v>1900</v>
      </c>
      <c r="B20" s="7" t="str">
        <f>"008/"&amp;YEAR(C20)</f>
        <v>008/1900</v>
      </c>
      <c r="C20" s="10">
        <f t="shared" si="1"/>
        <v>210</v>
      </c>
      <c r="D20" s="7" t="str">
        <f>IF('Dados a Colocar'!$G$20="sim",'Conta-Corrente'!XFA20,'Conta-Corrente'!XFA19)</f>
        <v>8.º mês de renda</v>
      </c>
      <c r="E20" s="7" t="str">
        <f>IF('Dados a Colocar'!$G$20="sim",'Conta-Corrente'!XFB20,'Conta-Corrente'!XFB19)</f>
        <v>Julho de 1900</v>
      </c>
      <c r="F20" s="8">
        <f>IF('Dados a Colocar'!$G$20="sim",'Conta-Corrente'!XFC20,'Conta-Corrente'!XFC19)</f>
        <v>0</v>
      </c>
      <c r="G20" s="87"/>
      <c r="H20" s="88"/>
      <c r="XFA20" s="7" t="s">
        <v>86</v>
      </c>
      <c r="XFB20" s="7" t="str">
        <f>IFERROR(VLOOKUP(MONTH(C20)+1,Recibo!$IW$9:$IX$20,2,FALSE)&amp;" de "&amp;YEAR(C20),VLOOKUP(MONTH(C20)-11,Recibo!$IW$9:$IX$20,2,FALSE)&amp;" de "&amp;(YEAR(C20)+1))</f>
        <v>Agosto de 1900</v>
      </c>
      <c r="XFC20" s="156">
        <f>'Dados a Colocar'!$F$16</f>
        <v>0</v>
      </c>
    </row>
    <row r="21" spans="1:8 16381:16383" x14ac:dyDescent="0.25">
      <c r="A21" s="4">
        <f t="shared" si="0"/>
        <v>1900</v>
      </c>
      <c r="B21" s="5" t="str">
        <f>"009/"&amp;YEAR(C21)</f>
        <v>009/1900</v>
      </c>
      <c r="C21" s="11">
        <f t="shared" si="1"/>
        <v>241</v>
      </c>
      <c r="D21" s="5" t="str">
        <f>IF('Dados a Colocar'!$G$20="sim",'Conta-Corrente'!XFA21,'Conta-Corrente'!XFA20)</f>
        <v>9.º mês de renda</v>
      </c>
      <c r="E21" s="5" t="str">
        <f>IF('Dados a Colocar'!$G$20="sim",'Conta-Corrente'!XFB21,'Conta-Corrente'!XFB20)</f>
        <v>Agosto de 1900</v>
      </c>
      <c r="F21" s="6">
        <f>IF('Dados a Colocar'!$G$20="sim",'Conta-Corrente'!XFC21,'Conta-Corrente'!XFC20)</f>
        <v>0</v>
      </c>
      <c r="G21" s="85"/>
      <c r="H21" s="86"/>
      <c r="XFA21" s="91" t="s">
        <v>87</v>
      </c>
      <c r="XFB21" s="91" t="str">
        <f>IFERROR(VLOOKUP(MONTH(C21)+1,Recibo!$IW$9:$IX$20,2,FALSE)&amp;" de "&amp;YEAR(C21),VLOOKUP(MONTH(C21)-11,Recibo!$IW$9:$IX$20,2,FALSE)&amp;" de "&amp;(YEAR(C21)+1))</f>
        <v>Setembro de 1900</v>
      </c>
      <c r="XFC21" s="156">
        <f>'Dados a Colocar'!$F$16</f>
        <v>0</v>
      </c>
    </row>
    <row r="22" spans="1:8 16381:16383" x14ac:dyDescent="0.25">
      <c r="A22" s="4">
        <f t="shared" si="0"/>
        <v>1900</v>
      </c>
      <c r="B22" s="7" t="str">
        <f>"010/"&amp;YEAR(C22)</f>
        <v>010/1900</v>
      </c>
      <c r="C22" s="10">
        <f t="shared" si="1"/>
        <v>272</v>
      </c>
      <c r="D22" s="7" t="str">
        <f>IF('Dados a Colocar'!$G$20="sim",'Conta-Corrente'!XFA22,'Conta-Corrente'!XFA21)</f>
        <v>10.º mês de renda</v>
      </c>
      <c r="E22" s="7" t="str">
        <f>IF('Dados a Colocar'!$G$20="sim",'Conta-Corrente'!XFB22,'Conta-Corrente'!XFB21)</f>
        <v>Setembro de 1900</v>
      </c>
      <c r="F22" s="8">
        <f>IF('Dados a Colocar'!$G$20="sim",'Conta-Corrente'!XFC22,'Conta-Corrente'!XFC21)</f>
        <v>0</v>
      </c>
      <c r="G22" s="87"/>
      <c r="H22" s="88"/>
      <c r="XFA22" s="7" t="s">
        <v>88</v>
      </c>
      <c r="XFB22" s="7" t="str">
        <f>IFERROR(VLOOKUP(MONTH(C22)+1,Recibo!$IW$9:$IX$20,2,FALSE)&amp;" de "&amp;YEAR(C22),VLOOKUP(MONTH(C22)-11,Recibo!$IW$9:$IX$20,2,FALSE)&amp;" de "&amp;(YEAR(C22)+1))</f>
        <v>Outubro de 1900</v>
      </c>
      <c r="XFC22" s="156">
        <f>'Dados a Colocar'!$F$16</f>
        <v>0</v>
      </c>
    </row>
    <row r="23" spans="1:8 16381:16383" x14ac:dyDescent="0.25">
      <c r="A23" s="4">
        <f t="shared" si="0"/>
        <v>1900</v>
      </c>
      <c r="B23" s="5" t="str">
        <f>"011/"&amp;YEAR(C23)</f>
        <v>011/1900</v>
      </c>
      <c r="C23" s="11">
        <f t="shared" si="1"/>
        <v>302</v>
      </c>
      <c r="D23" s="5" t="str">
        <f>IF('Dados a Colocar'!$G$20="sim",'Conta-Corrente'!XFA23,'Conta-Corrente'!XFA22)</f>
        <v>11.º mês de renda</v>
      </c>
      <c r="E23" s="5" t="str">
        <f>IF('Dados a Colocar'!$G$20="sim",'Conta-Corrente'!XFB23,'Conta-Corrente'!XFB22)</f>
        <v>Outubro de 1900</v>
      </c>
      <c r="F23" s="6">
        <f>IF('Dados a Colocar'!$G$20="sim",'Conta-Corrente'!XFC23,'Conta-Corrente'!XFC22)</f>
        <v>0</v>
      </c>
      <c r="G23" s="85"/>
      <c r="H23" s="86"/>
      <c r="XFA23" s="91" t="s">
        <v>89</v>
      </c>
      <c r="XFB23" s="91" t="str">
        <f>IFERROR(VLOOKUP(MONTH(C23)+1,Recibo!$IW$9:$IX$20,2,FALSE)&amp;" de "&amp;YEAR(C23),VLOOKUP(MONTH(C23)-11,Recibo!$IW$9:$IX$20,2,FALSE)&amp;" de "&amp;(YEAR(C23)+1))</f>
        <v>Novembro de 1900</v>
      </c>
      <c r="XFC23" s="156">
        <f>'Dados a Colocar'!$F$16</f>
        <v>0</v>
      </c>
    </row>
    <row r="24" spans="1:8 16381:16383" x14ac:dyDescent="0.25">
      <c r="A24" s="4">
        <f t="shared" si="0"/>
        <v>1900</v>
      </c>
      <c r="B24" s="7" t="str">
        <f>"012/"&amp;YEAR(C24)</f>
        <v>012/1900</v>
      </c>
      <c r="C24" s="10">
        <f t="shared" si="1"/>
        <v>333</v>
      </c>
      <c r="D24" s="7" t="str">
        <f>IF('Dados a Colocar'!$G$20="sim",'Conta-Corrente'!XFA24,'Conta-Corrente'!XFA23)</f>
        <v>12.º mês de renda</v>
      </c>
      <c r="E24" s="7" t="str">
        <f>IF('Dados a Colocar'!$G$20="sim",'Conta-Corrente'!XFB24,'Conta-Corrente'!XFB23)</f>
        <v>Novembro de 1900</v>
      </c>
      <c r="F24" s="8">
        <f>IF('Dados a Colocar'!$G$20="sim",'Conta-Corrente'!XFC24,'Conta-Corrente'!XFC23)</f>
        <v>0</v>
      </c>
      <c r="G24" s="87"/>
      <c r="H24" s="88"/>
      <c r="XFA24" s="7" t="s">
        <v>90</v>
      </c>
      <c r="XFB24" s="7" t="str">
        <f>IFERROR(VLOOKUP(MONTH(C24)+1,Recibo!$IW$9:$IX$20,2,FALSE)&amp;" de "&amp;YEAR(C24),VLOOKUP(MONTH(C24)-11,Recibo!$IW$9:$IX$20,2,FALSE)&amp;" de "&amp;(YEAR(C24)+1))</f>
        <v>Dezembro de 1900</v>
      </c>
      <c r="XFC24" s="156">
        <f>ROUND('Dados a Colocar'!$F$16+'Dados a Colocar'!$F$16*'Dados a Colocar'!$J$22,2)</f>
        <v>0</v>
      </c>
    </row>
    <row r="25" spans="1:8 16381:16383" x14ac:dyDescent="0.25">
      <c r="A25" s="4">
        <f t="shared" si="0"/>
        <v>1900</v>
      </c>
      <c r="B25" s="9" t="str">
        <f>"013/"&amp;YEAR(C25)</f>
        <v>013/1900</v>
      </c>
      <c r="C25" s="11">
        <f t="shared" si="1"/>
        <v>363</v>
      </c>
      <c r="D25" s="9" t="str">
        <f>IF('Dados a Colocar'!$G$20="sim",'Conta-Corrente'!XFA25,'Conta-Corrente'!XFA24)</f>
        <v>13.º mês de renda</v>
      </c>
      <c r="E25" s="9" t="str">
        <f>IF('Dados a Colocar'!$G$20="sim",'Conta-Corrente'!XFB25,'Conta-Corrente'!XFB24)</f>
        <v>Dezembro de 1900</v>
      </c>
      <c r="F25" s="6">
        <f>IF('Dados a Colocar'!$G$20="sim",'Conta-Corrente'!XFC25,'Conta-Corrente'!XFC24)</f>
        <v>0</v>
      </c>
      <c r="G25" s="85"/>
      <c r="H25" s="86"/>
      <c r="XFA25" s="91" t="s">
        <v>108</v>
      </c>
      <c r="XFB25" s="91" t="str">
        <f>IFERROR(VLOOKUP(MONTH(C25)+1,Recibo!$IW$9:$IX$20,2,FALSE)&amp;" de "&amp;YEAR(C25),VLOOKUP(MONTH(C25)-11,Recibo!$IW$9:$IX$20,2,FALSE)&amp;" de "&amp;(YEAR(C25)+1))</f>
        <v>Janeiro de 1901</v>
      </c>
      <c r="XFC25" s="156">
        <f>ROUND('Dados a Colocar'!$F$16+'Dados a Colocar'!$F$16*'Dados a Colocar'!$J$22,2)</f>
        <v>0</v>
      </c>
    </row>
    <row r="26" spans="1:8 16381:16383" x14ac:dyDescent="0.25">
      <c r="A26" s="4">
        <f t="shared" ref="A26:A79" si="2">YEAR(C26)</f>
        <v>1901</v>
      </c>
      <c r="B26" s="7" t="str">
        <f>"014/"&amp;YEAR(C26)</f>
        <v>014/1901</v>
      </c>
      <c r="C26" s="10">
        <f t="shared" si="1"/>
        <v>394</v>
      </c>
      <c r="D26" s="7" t="str">
        <f>IF('Dados a Colocar'!$G$20="sim",'Conta-Corrente'!XFA26,'Conta-Corrente'!XFA25)</f>
        <v>14.º mês de renda</v>
      </c>
      <c r="E26" s="7" t="str">
        <f>IF('Dados a Colocar'!$G$20="sim",'Conta-Corrente'!XFB26,'Conta-Corrente'!XFB25)</f>
        <v>Janeiro de 1901</v>
      </c>
      <c r="F26" s="8">
        <f>IF('Dados a Colocar'!$G$20="sim",'Conta-Corrente'!XFC26,'Conta-Corrente'!XFC25)</f>
        <v>0</v>
      </c>
      <c r="G26" s="87"/>
      <c r="H26" s="88"/>
      <c r="XFA26" s="7" t="s">
        <v>122</v>
      </c>
      <c r="XFB26" s="7" t="str">
        <f>IFERROR(VLOOKUP(MONTH(C26)+1,Recibo!$IW$9:$IX$20,2,FALSE)&amp;" de "&amp;YEAR(C26),VLOOKUP(MONTH(C26)-11,Recibo!$IW$9:$IX$20,2,FALSE)&amp;" de "&amp;(YEAR(C26)+1))</f>
        <v>Fevereiro de 1901</v>
      </c>
      <c r="XFC26" s="156">
        <f>ROUND('Dados a Colocar'!$F$16+'Dados a Colocar'!$F$16*'Dados a Colocar'!$J$22,2)</f>
        <v>0</v>
      </c>
    </row>
    <row r="27" spans="1:8 16381:16383" x14ac:dyDescent="0.25">
      <c r="A27" s="4">
        <f t="shared" si="2"/>
        <v>1901</v>
      </c>
      <c r="B27" s="9" t="str">
        <f>"015/"&amp;YEAR(C27)</f>
        <v>015/1901</v>
      </c>
      <c r="C27" s="11">
        <f t="shared" si="1"/>
        <v>425</v>
      </c>
      <c r="D27" s="9" t="str">
        <f>IF('Dados a Colocar'!$G$20="sim",'Conta-Corrente'!XFA27,'Conta-Corrente'!XFA26)</f>
        <v>15.º mês de renda</v>
      </c>
      <c r="E27" s="9" t="str">
        <f>IF('Dados a Colocar'!$G$20="sim",'Conta-Corrente'!XFB27,'Conta-Corrente'!XFB26)</f>
        <v>Fevereiro de 1901</v>
      </c>
      <c r="F27" s="6">
        <f>IF('Dados a Colocar'!$G$20="sim",'Conta-Corrente'!XFC27,'Conta-Corrente'!XFC26)</f>
        <v>0</v>
      </c>
      <c r="G27" s="85"/>
      <c r="H27" s="86"/>
      <c r="XFA27" s="91" t="s">
        <v>123</v>
      </c>
      <c r="XFB27" s="91" t="str">
        <f>IFERROR(VLOOKUP(MONTH(C27)+1,Recibo!$IW$9:$IX$20,2,FALSE)&amp;" de "&amp;YEAR(C27),VLOOKUP(MONTH(C27)-11,Recibo!$IW$9:$IX$20,2,FALSE)&amp;" de "&amp;(YEAR(C27)+1))</f>
        <v>Março de 1901</v>
      </c>
      <c r="XFC27" s="156">
        <f>ROUND('Dados a Colocar'!$F$16+'Dados a Colocar'!$F$16*'Dados a Colocar'!$J$22,2)</f>
        <v>0</v>
      </c>
    </row>
    <row r="28" spans="1:8 16381:16383" x14ac:dyDescent="0.25">
      <c r="A28" s="4">
        <f t="shared" si="2"/>
        <v>1901</v>
      </c>
      <c r="B28" s="7" t="str">
        <f>"016/"&amp;YEAR(C28)</f>
        <v>016/1901</v>
      </c>
      <c r="C28" s="10">
        <f t="shared" si="1"/>
        <v>453</v>
      </c>
      <c r="D28" s="7" t="str">
        <f>IF('Dados a Colocar'!$G$20="sim",'Conta-Corrente'!XFA28,'Conta-Corrente'!XFA27)</f>
        <v>16.º mês de renda</v>
      </c>
      <c r="E28" s="7" t="str">
        <f>IF('Dados a Colocar'!$G$20="sim",'Conta-Corrente'!XFB28,'Conta-Corrente'!XFB27)</f>
        <v>Março de 1901</v>
      </c>
      <c r="F28" s="8">
        <f>IF('Dados a Colocar'!$G$20="sim",'Conta-Corrente'!XFC28,'Conta-Corrente'!XFC27)</f>
        <v>0</v>
      </c>
      <c r="G28" s="87"/>
      <c r="H28" s="88"/>
      <c r="XFA28" s="7" t="s">
        <v>124</v>
      </c>
      <c r="XFB28" s="7" t="str">
        <f>IFERROR(VLOOKUP(MONTH(C28)+1,Recibo!$IW$9:$IX$20,2,FALSE)&amp;" de "&amp;YEAR(C28),VLOOKUP(MONTH(C28)-11,Recibo!$IW$9:$IX$20,2,FALSE)&amp;" de "&amp;(YEAR(C28)+1))</f>
        <v>Abril de 1901</v>
      </c>
      <c r="XFC28" s="156">
        <f>ROUND('Dados a Colocar'!$F$16+'Dados a Colocar'!$F$16*'Dados a Colocar'!$J$22,2)</f>
        <v>0</v>
      </c>
    </row>
    <row r="29" spans="1:8 16381:16383" x14ac:dyDescent="0.25">
      <c r="A29" s="4">
        <f t="shared" si="2"/>
        <v>1901</v>
      </c>
      <c r="B29" s="9" t="str">
        <f>"017/"&amp;YEAR(C29)</f>
        <v>017/1901</v>
      </c>
      <c r="C29" s="11">
        <f t="shared" si="1"/>
        <v>484</v>
      </c>
      <c r="D29" s="9" t="str">
        <f>IF('Dados a Colocar'!$G$20="sim",'Conta-Corrente'!XFA29,'Conta-Corrente'!XFA28)</f>
        <v>17.º mês de renda</v>
      </c>
      <c r="E29" s="9" t="str">
        <f>IF('Dados a Colocar'!$G$20="sim",'Conta-Corrente'!XFB29,'Conta-Corrente'!XFB28)</f>
        <v>Abril de 1901</v>
      </c>
      <c r="F29" s="6">
        <f>IF('Dados a Colocar'!$G$20="sim",'Conta-Corrente'!XFC29,'Conta-Corrente'!XFC28)</f>
        <v>0</v>
      </c>
      <c r="G29" s="85"/>
      <c r="H29" s="86"/>
      <c r="XFA29" s="91" t="s">
        <v>125</v>
      </c>
      <c r="XFB29" s="91" t="str">
        <f>IFERROR(VLOOKUP(MONTH(C29)+1,Recibo!$IW$9:$IX$20,2,FALSE)&amp;" de "&amp;YEAR(C29),VLOOKUP(MONTH(C29)-11,Recibo!$IW$9:$IX$20,2,FALSE)&amp;" de "&amp;(YEAR(C29)+1))</f>
        <v>Maio de 1901</v>
      </c>
      <c r="XFC29" s="156">
        <f>ROUND('Dados a Colocar'!$F$16+'Dados a Colocar'!$F$16*'Dados a Colocar'!$J$22,2)</f>
        <v>0</v>
      </c>
    </row>
    <row r="30" spans="1:8 16381:16383" x14ac:dyDescent="0.25">
      <c r="A30" s="4">
        <f t="shared" si="2"/>
        <v>1901</v>
      </c>
      <c r="B30" s="7" t="str">
        <f>"018/"&amp;YEAR(C30)</f>
        <v>018/1901</v>
      </c>
      <c r="C30" s="10">
        <f t="shared" si="1"/>
        <v>514</v>
      </c>
      <c r="D30" s="7" t="str">
        <f>IF('Dados a Colocar'!$G$20="sim",'Conta-Corrente'!XFA30,'Conta-Corrente'!XFA29)</f>
        <v>18.º mês de renda</v>
      </c>
      <c r="E30" s="7" t="str">
        <f>IF('Dados a Colocar'!$G$20="sim",'Conta-Corrente'!XFB30,'Conta-Corrente'!XFB29)</f>
        <v>Maio de 1901</v>
      </c>
      <c r="F30" s="8">
        <f>IF('Dados a Colocar'!$G$20="sim",'Conta-Corrente'!XFC30,'Conta-Corrente'!XFC29)</f>
        <v>0</v>
      </c>
      <c r="G30" s="87"/>
      <c r="H30" s="88"/>
      <c r="XFA30" s="7" t="s">
        <v>126</v>
      </c>
      <c r="XFB30" s="7" t="str">
        <f>IFERROR(VLOOKUP(MONTH(C30)+1,Recibo!$IW$9:$IX$20,2,FALSE)&amp;" de "&amp;YEAR(C30),VLOOKUP(MONTH(C30)-11,Recibo!$IW$9:$IX$20,2,FALSE)&amp;" de "&amp;(YEAR(C30)+1))</f>
        <v>Junho de 1901</v>
      </c>
      <c r="XFC30" s="156">
        <f>ROUND('Dados a Colocar'!$F$16+'Dados a Colocar'!$F$16*'Dados a Colocar'!$J$22,2)</f>
        <v>0</v>
      </c>
    </row>
    <row r="31" spans="1:8 16381:16383" x14ac:dyDescent="0.25">
      <c r="A31" s="4">
        <f t="shared" si="2"/>
        <v>1901</v>
      </c>
      <c r="B31" s="9" t="str">
        <f>"019/"&amp;YEAR(C31)</f>
        <v>019/1901</v>
      </c>
      <c r="C31" s="11">
        <f t="shared" si="1"/>
        <v>545</v>
      </c>
      <c r="D31" s="9" t="str">
        <f>IF('Dados a Colocar'!$G$20="sim",'Conta-Corrente'!XFA31,'Conta-Corrente'!XFA30)</f>
        <v>19.º mês de renda</v>
      </c>
      <c r="E31" s="9" t="str">
        <f>IF('Dados a Colocar'!$G$20="sim",'Conta-Corrente'!XFB31,'Conta-Corrente'!XFB30)</f>
        <v>Junho de 1901</v>
      </c>
      <c r="F31" s="6">
        <f>IF('Dados a Colocar'!$G$20="sim",'Conta-Corrente'!XFC31,'Conta-Corrente'!XFC30)</f>
        <v>0</v>
      </c>
      <c r="G31" s="85"/>
      <c r="H31" s="86"/>
      <c r="XFA31" s="91" t="s">
        <v>127</v>
      </c>
      <c r="XFB31" s="91" t="str">
        <f>IFERROR(VLOOKUP(MONTH(C31)+1,Recibo!$IW$9:$IX$20,2,FALSE)&amp;" de "&amp;YEAR(C31),VLOOKUP(MONTH(C31)-11,Recibo!$IW$9:$IX$20,2,FALSE)&amp;" de "&amp;(YEAR(C31)+1))</f>
        <v>Julho de 1901</v>
      </c>
      <c r="XFC31" s="156">
        <f>ROUND('Dados a Colocar'!$F$16+'Dados a Colocar'!$F$16*'Dados a Colocar'!$J$22,2)</f>
        <v>0</v>
      </c>
    </row>
    <row r="32" spans="1:8 16381:16383" x14ac:dyDescent="0.25">
      <c r="A32" s="4">
        <f t="shared" si="2"/>
        <v>1901</v>
      </c>
      <c r="B32" s="7" t="str">
        <f>"020/"&amp;YEAR(C32)</f>
        <v>020/1901</v>
      </c>
      <c r="C32" s="10">
        <f t="shared" si="1"/>
        <v>575</v>
      </c>
      <c r="D32" s="7" t="str">
        <f>IF('Dados a Colocar'!$G$20="sim",'Conta-Corrente'!XFA32,'Conta-Corrente'!XFA31)</f>
        <v>20.º mês de renda</v>
      </c>
      <c r="E32" s="7" t="str">
        <f>IF('Dados a Colocar'!$G$20="sim",'Conta-Corrente'!XFB32,'Conta-Corrente'!XFB31)</f>
        <v>Julho de 1901</v>
      </c>
      <c r="F32" s="8">
        <f>IF('Dados a Colocar'!$G$20="sim",'Conta-Corrente'!XFC32,'Conta-Corrente'!XFC31)</f>
        <v>0</v>
      </c>
      <c r="G32" s="87"/>
      <c r="H32" s="88"/>
      <c r="XFA32" s="7" t="s">
        <v>128</v>
      </c>
      <c r="XFB32" s="7" t="str">
        <f>IFERROR(VLOOKUP(MONTH(C32)+1,Recibo!$IW$9:$IX$20,2,FALSE)&amp;" de "&amp;YEAR(C32),VLOOKUP(MONTH(C32)-11,Recibo!$IW$9:$IX$20,2,FALSE)&amp;" de "&amp;(YEAR(C32)+1))</f>
        <v>Agosto de 1901</v>
      </c>
      <c r="XFC32" s="156">
        <f>ROUND('Dados a Colocar'!$F$16+'Dados a Colocar'!$F$16*'Dados a Colocar'!$J$22,2)</f>
        <v>0</v>
      </c>
    </row>
    <row r="33" spans="1:8 16381:16383" x14ac:dyDescent="0.25">
      <c r="A33" s="4">
        <f t="shared" si="2"/>
        <v>1901</v>
      </c>
      <c r="B33" s="9" t="str">
        <f>"021/"&amp;YEAR(C33)</f>
        <v>021/1901</v>
      </c>
      <c r="C33" s="11">
        <f t="shared" si="1"/>
        <v>606</v>
      </c>
      <c r="D33" s="9" t="str">
        <f>IF('Dados a Colocar'!$G$20="sim",'Conta-Corrente'!XFA33,'Conta-Corrente'!XFA32)</f>
        <v>21.º mês de renda</v>
      </c>
      <c r="E33" s="9" t="str">
        <f>IF('Dados a Colocar'!$G$20="sim",'Conta-Corrente'!XFB33,'Conta-Corrente'!XFB32)</f>
        <v>Agosto de 1901</v>
      </c>
      <c r="F33" s="6">
        <f>IF('Dados a Colocar'!$G$20="sim",'Conta-Corrente'!XFC33,'Conta-Corrente'!XFC32)</f>
        <v>0</v>
      </c>
      <c r="G33" s="85"/>
      <c r="H33" s="86"/>
      <c r="XFA33" s="91" t="s">
        <v>129</v>
      </c>
      <c r="XFB33" s="91" t="str">
        <f>IFERROR(VLOOKUP(MONTH(C33)+1,Recibo!$IW$9:$IX$20,2,FALSE)&amp;" de "&amp;YEAR(C33),VLOOKUP(MONTH(C33)-11,Recibo!$IW$9:$IX$20,2,FALSE)&amp;" de "&amp;(YEAR(C33)+1))</f>
        <v>Setembro de 1901</v>
      </c>
      <c r="XFC33" s="156">
        <f>ROUND('Dados a Colocar'!$F$16+'Dados a Colocar'!$F$16*'Dados a Colocar'!$J$22,2)</f>
        <v>0</v>
      </c>
    </row>
    <row r="34" spans="1:8 16381:16383" x14ac:dyDescent="0.25">
      <c r="A34" s="4">
        <f t="shared" si="2"/>
        <v>1901</v>
      </c>
      <c r="B34" s="7" t="str">
        <f>"022/"&amp;YEAR(C34)</f>
        <v>022/1901</v>
      </c>
      <c r="C34" s="10">
        <f t="shared" si="1"/>
        <v>637</v>
      </c>
      <c r="D34" s="7" t="str">
        <f>IF('Dados a Colocar'!$G$20="sim",'Conta-Corrente'!XFA34,'Conta-Corrente'!XFA33)</f>
        <v>22.º mês de renda</v>
      </c>
      <c r="E34" s="7" t="str">
        <f>IF('Dados a Colocar'!$G$20="sim",'Conta-Corrente'!XFB34,'Conta-Corrente'!XFB33)</f>
        <v>Setembro de 1901</v>
      </c>
      <c r="F34" s="8">
        <f>IF('Dados a Colocar'!$G$20="sim",'Conta-Corrente'!XFC34,'Conta-Corrente'!XFC33)</f>
        <v>0</v>
      </c>
      <c r="G34" s="87"/>
      <c r="H34" s="88"/>
      <c r="XFA34" s="7" t="s">
        <v>130</v>
      </c>
      <c r="XFB34" s="7" t="str">
        <f>IFERROR(VLOOKUP(MONTH(C34)+1,Recibo!$IW$9:$IX$20,2,FALSE)&amp;" de "&amp;YEAR(C34),VLOOKUP(MONTH(C34)-11,Recibo!$IW$9:$IX$20,2,FALSE)&amp;" de "&amp;(YEAR(C34)+1))</f>
        <v>Outubro de 1901</v>
      </c>
      <c r="XFC34" s="156">
        <f>ROUND('Dados a Colocar'!$F$16+'Dados a Colocar'!$F$16*'Dados a Colocar'!$J$22,2)</f>
        <v>0</v>
      </c>
    </row>
    <row r="35" spans="1:8 16381:16383" x14ac:dyDescent="0.25">
      <c r="A35" s="4">
        <f t="shared" si="2"/>
        <v>1901</v>
      </c>
      <c r="B35" s="9" t="str">
        <f>"023/"&amp;YEAR(C35)</f>
        <v>023/1901</v>
      </c>
      <c r="C35" s="11">
        <f t="shared" si="1"/>
        <v>667</v>
      </c>
      <c r="D35" s="9" t="str">
        <f>IF('Dados a Colocar'!$G$20="sim",'Conta-Corrente'!XFA35,'Conta-Corrente'!XFA34)</f>
        <v>23.º mês de renda</v>
      </c>
      <c r="E35" s="9" t="str">
        <f>IF('Dados a Colocar'!$G$20="sim",'Conta-Corrente'!XFB35,'Conta-Corrente'!XFB34)</f>
        <v>Outubro de 1901</v>
      </c>
      <c r="F35" s="6">
        <f>IF('Dados a Colocar'!$G$20="sim",'Conta-Corrente'!XFC35,'Conta-Corrente'!XFC34)</f>
        <v>0</v>
      </c>
      <c r="G35" s="85"/>
      <c r="H35" s="86"/>
      <c r="XFA35" s="91" t="s">
        <v>131</v>
      </c>
      <c r="XFB35" s="91" t="str">
        <f>IFERROR(VLOOKUP(MONTH(C35)+1,Recibo!$IW$9:$IX$20,2,FALSE)&amp;" de "&amp;YEAR(C35),VLOOKUP(MONTH(C35)-11,Recibo!$IW$9:$IX$20,2,FALSE)&amp;" de "&amp;(YEAR(C35)+1))</f>
        <v>Novembro de 1901</v>
      </c>
      <c r="XFC35" s="156">
        <f>ROUND('Dados a Colocar'!$F$16+'Dados a Colocar'!$F$16*'Dados a Colocar'!$J$22,2)</f>
        <v>0</v>
      </c>
    </row>
    <row r="36" spans="1:8 16381:16383" x14ac:dyDescent="0.25">
      <c r="A36" s="4">
        <f t="shared" si="2"/>
        <v>1901</v>
      </c>
      <c r="B36" s="7" t="str">
        <f>"024/"&amp;YEAR(C36)</f>
        <v>024/1901</v>
      </c>
      <c r="C36" s="10">
        <f t="shared" si="1"/>
        <v>698</v>
      </c>
      <c r="D36" s="7" t="str">
        <f>IF('Dados a Colocar'!$G$20="sim",'Conta-Corrente'!XFA36,'Conta-Corrente'!XFA35)</f>
        <v>24.º mês de renda</v>
      </c>
      <c r="E36" s="7" t="str">
        <f>IF('Dados a Colocar'!$G$20="sim",'Conta-Corrente'!XFB36,'Conta-Corrente'!XFB35)</f>
        <v>Novembro de 1901</v>
      </c>
      <c r="F36" s="8">
        <f>IF('Dados a Colocar'!$G$20="sim",'Conta-Corrente'!XFC36,'Conta-Corrente'!XFC35)</f>
        <v>0</v>
      </c>
      <c r="G36" s="87"/>
      <c r="H36" s="88"/>
      <c r="XFA36" s="7" t="s">
        <v>132</v>
      </c>
      <c r="XFB36" s="7" t="str">
        <f>IFERROR(VLOOKUP(MONTH(C36)+1,Recibo!$IW$9:$IX$20,2,FALSE)&amp;" de "&amp;YEAR(C36),VLOOKUP(MONTH(C36)-11,Recibo!$IW$9:$IX$20,2,FALSE)&amp;" de "&amp;(YEAR(C36)+1))</f>
        <v>Dezembro de 1901</v>
      </c>
      <c r="XFC36" s="156">
        <f>ROUND('Dados a Colocar'!$F$16+'Dados a Colocar'!$F$16*('Dados a Colocar'!$J$22+'Dados a Colocar'!$K$22),2)</f>
        <v>0</v>
      </c>
    </row>
    <row r="37" spans="1:8 16381:16383" x14ac:dyDescent="0.25">
      <c r="A37" s="4">
        <f t="shared" si="2"/>
        <v>1901</v>
      </c>
      <c r="B37" s="9" t="str">
        <f>"025/"&amp;YEAR(C37)</f>
        <v>025/1901</v>
      </c>
      <c r="C37" s="11">
        <f t="shared" si="1"/>
        <v>728</v>
      </c>
      <c r="D37" s="9" t="str">
        <f>IF('Dados a Colocar'!$G$20="sim",'Conta-Corrente'!XFA37,'Conta-Corrente'!XFA36)</f>
        <v>25.º mês de renda</v>
      </c>
      <c r="E37" s="9" t="str">
        <f>IF('Dados a Colocar'!$G$20="sim",'Conta-Corrente'!XFB37,'Conta-Corrente'!XFB36)</f>
        <v>Dezembro de 1901</v>
      </c>
      <c r="F37" s="6">
        <f>IF('Dados a Colocar'!$G$20="sim",'Conta-Corrente'!XFC37,'Conta-Corrente'!XFC36)</f>
        <v>0</v>
      </c>
      <c r="G37" s="85"/>
      <c r="H37" s="86"/>
      <c r="XFA37" s="91" t="s">
        <v>133</v>
      </c>
      <c r="XFB37" s="91" t="str">
        <f>IFERROR(VLOOKUP(MONTH(C37)+1,Recibo!$IW$9:$IX$20,2,FALSE)&amp;" de "&amp;YEAR(C37),VLOOKUP(MONTH(C37)-11,Recibo!$IW$9:$IX$20,2,FALSE)&amp;" de "&amp;(YEAR(C37)+1))</f>
        <v>Janeiro de 1902</v>
      </c>
      <c r="XFC37" s="156">
        <f>ROUND('Dados a Colocar'!$F$16+'Dados a Colocar'!$F$16*('Dados a Colocar'!$J$22+'Dados a Colocar'!$K$22),2)</f>
        <v>0</v>
      </c>
    </row>
    <row r="38" spans="1:8 16381:16383" x14ac:dyDescent="0.25">
      <c r="A38" s="4">
        <f t="shared" si="2"/>
        <v>1902</v>
      </c>
      <c r="B38" s="7" t="str">
        <f>"026/"&amp;YEAR(C38)</f>
        <v>026/1902</v>
      </c>
      <c r="C38" s="10">
        <f t="shared" si="1"/>
        <v>759</v>
      </c>
      <c r="D38" s="7" t="str">
        <f>IF('Dados a Colocar'!$G$20="sim",'Conta-Corrente'!XFA38,'Conta-Corrente'!XFA37)</f>
        <v>26.º mês de renda</v>
      </c>
      <c r="E38" s="7" t="str">
        <f>IF('Dados a Colocar'!$G$20="sim",'Conta-Corrente'!XFB38,'Conta-Corrente'!XFB37)</f>
        <v>Janeiro de 1902</v>
      </c>
      <c r="F38" s="8">
        <f>IF('Dados a Colocar'!$G$20="sim",'Conta-Corrente'!XFC38,'Conta-Corrente'!XFC37)</f>
        <v>0</v>
      </c>
      <c r="G38" s="87"/>
      <c r="H38" s="88"/>
      <c r="XFA38" s="7" t="s">
        <v>134</v>
      </c>
      <c r="XFB38" s="7" t="str">
        <f>IFERROR(VLOOKUP(MONTH(C38)+1,Recibo!$IW$9:$IX$20,2,FALSE)&amp;" de "&amp;YEAR(C38),VLOOKUP(MONTH(C38)-11,Recibo!$IW$9:$IX$20,2,FALSE)&amp;" de "&amp;(YEAR(C38)+1))</f>
        <v>Fevereiro de 1902</v>
      </c>
      <c r="XFC38" s="156">
        <f>ROUND('Dados a Colocar'!$F$16+'Dados a Colocar'!$F$16*('Dados a Colocar'!$J$22+'Dados a Colocar'!$K$22),2)</f>
        <v>0</v>
      </c>
    </row>
    <row r="39" spans="1:8 16381:16383" x14ac:dyDescent="0.25">
      <c r="A39" s="4">
        <f t="shared" si="2"/>
        <v>1902</v>
      </c>
      <c r="B39" s="9" t="str">
        <f>"027/"&amp;YEAR(C39)</f>
        <v>027/1902</v>
      </c>
      <c r="C39" s="11">
        <f t="shared" si="1"/>
        <v>790</v>
      </c>
      <c r="D39" s="9" t="str">
        <f>IF('Dados a Colocar'!$G$20="sim",'Conta-Corrente'!XFA39,'Conta-Corrente'!XFA38)</f>
        <v>27.º mês de renda</v>
      </c>
      <c r="E39" s="9" t="str">
        <f>IF('Dados a Colocar'!$G$20="sim",'Conta-Corrente'!XFB39,'Conta-Corrente'!XFB38)</f>
        <v>Fevereiro de 1902</v>
      </c>
      <c r="F39" s="6">
        <f>IF('Dados a Colocar'!$G$20="sim",'Conta-Corrente'!XFC39,'Conta-Corrente'!XFC38)</f>
        <v>0</v>
      </c>
      <c r="G39" s="85"/>
      <c r="H39" s="86"/>
      <c r="XFA39" s="91" t="s">
        <v>135</v>
      </c>
      <c r="XFB39" s="91" t="str">
        <f>IFERROR(VLOOKUP(MONTH(C39)+1,Recibo!$IW$9:$IX$20,2,FALSE)&amp;" de "&amp;YEAR(C39),VLOOKUP(MONTH(C39)-11,Recibo!$IW$9:$IX$20,2,FALSE)&amp;" de "&amp;(YEAR(C39)+1))</f>
        <v>Março de 1902</v>
      </c>
      <c r="XFC39" s="156">
        <f>ROUND('Dados a Colocar'!$F$16+'Dados a Colocar'!$F$16*('Dados a Colocar'!$J$22+'Dados a Colocar'!$K$22),2)</f>
        <v>0</v>
      </c>
    </row>
    <row r="40" spans="1:8 16381:16383" x14ac:dyDescent="0.25">
      <c r="A40" s="4">
        <f t="shared" si="2"/>
        <v>1902</v>
      </c>
      <c r="B40" s="7" t="str">
        <f>"028/"&amp;YEAR(C40)</f>
        <v>028/1902</v>
      </c>
      <c r="C40" s="10">
        <f t="shared" si="1"/>
        <v>818</v>
      </c>
      <c r="D40" s="7" t="str">
        <f>IF('Dados a Colocar'!$G$20="sim",'Conta-Corrente'!XFA40,'Conta-Corrente'!XFA39)</f>
        <v>28.º mês de renda</v>
      </c>
      <c r="E40" s="7" t="str">
        <f>IF('Dados a Colocar'!$G$20="sim",'Conta-Corrente'!XFB40,'Conta-Corrente'!XFB39)</f>
        <v>Março de 1902</v>
      </c>
      <c r="F40" s="8">
        <f>IF('Dados a Colocar'!$G$20="sim",'Conta-Corrente'!XFC40,'Conta-Corrente'!XFC39)</f>
        <v>0</v>
      </c>
      <c r="G40" s="87"/>
      <c r="H40" s="88"/>
      <c r="XFA40" s="7" t="s">
        <v>136</v>
      </c>
      <c r="XFB40" s="7" t="str">
        <f>IFERROR(VLOOKUP(MONTH(C40)+1,Recibo!$IW$9:$IX$20,2,FALSE)&amp;" de "&amp;YEAR(C40),VLOOKUP(MONTH(C40)-11,Recibo!$IW$9:$IX$20,2,FALSE)&amp;" de "&amp;(YEAR(C40)+1))</f>
        <v>Abril de 1902</v>
      </c>
      <c r="XFC40" s="156">
        <f>ROUND('Dados a Colocar'!$F$16+'Dados a Colocar'!$F$16*('Dados a Colocar'!$J$22+'Dados a Colocar'!$K$22),2)</f>
        <v>0</v>
      </c>
    </row>
    <row r="41" spans="1:8 16381:16383" x14ac:dyDescent="0.25">
      <c r="A41" s="4">
        <f t="shared" si="2"/>
        <v>1902</v>
      </c>
      <c r="B41" s="9" t="str">
        <f>"029/"&amp;YEAR(C41)</f>
        <v>029/1902</v>
      </c>
      <c r="C41" s="11">
        <f t="shared" si="1"/>
        <v>849</v>
      </c>
      <c r="D41" s="9" t="str">
        <f>IF('Dados a Colocar'!$G$20="sim",'Conta-Corrente'!XFA41,'Conta-Corrente'!XFA40)</f>
        <v>29.º mês de renda</v>
      </c>
      <c r="E41" s="9" t="str">
        <f>IF('Dados a Colocar'!$G$20="sim",'Conta-Corrente'!XFB41,'Conta-Corrente'!XFB40)</f>
        <v>Abril de 1902</v>
      </c>
      <c r="F41" s="6">
        <f>IF('Dados a Colocar'!$G$20="sim",'Conta-Corrente'!XFC41,'Conta-Corrente'!XFC40)</f>
        <v>0</v>
      </c>
      <c r="G41" s="85"/>
      <c r="H41" s="86"/>
      <c r="XFA41" s="91" t="s">
        <v>137</v>
      </c>
      <c r="XFB41" s="91" t="str">
        <f>IFERROR(VLOOKUP(MONTH(C41)+1,Recibo!$IW$9:$IX$20,2,FALSE)&amp;" de "&amp;YEAR(C41),VLOOKUP(MONTH(C41)-11,Recibo!$IW$9:$IX$20,2,FALSE)&amp;" de "&amp;(YEAR(C41)+1))</f>
        <v>Maio de 1902</v>
      </c>
      <c r="XFC41" s="156">
        <f>ROUND('Dados a Colocar'!$F$16+'Dados a Colocar'!$F$16*('Dados a Colocar'!$J$22+'Dados a Colocar'!$K$22),2)</f>
        <v>0</v>
      </c>
    </row>
    <row r="42" spans="1:8 16381:16383" x14ac:dyDescent="0.25">
      <c r="A42" s="4">
        <f t="shared" si="2"/>
        <v>1902</v>
      </c>
      <c r="B42" s="7" t="str">
        <f>"030/"&amp;YEAR(C42)</f>
        <v>030/1902</v>
      </c>
      <c r="C42" s="10">
        <f t="shared" si="1"/>
        <v>879</v>
      </c>
      <c r="D42" s="7" t="str">
        <f>IF('Dados a Colocar'!$G$20="sim",'Conta-Corrente'!XFA42,'Conta-Corrente'!XFA41)</f>
        <v>30.º mês de renda</v>
      </c>
      <c r="E42" s="7" t="str">
        <f>IF('Dados a Colocar'!$G$20="sim",'Conta-Corrente'!XFB42,'Conta-Corrente'!XFB41)</f>
        <v>Maio de 1902</v>
      </c>
      <c r="F42" s="8">
        <f>IF('Dados a Colocar'!$G$20="sim",'Conta-Corrente'!XFC42,'Conta-Corrente'!XFC41)</f>
        <v>0</v>
      </c>
      <c r="G42" s="87"/>
      <c r="H42" s="88"/>
      <c r="XFA42" s="7" t="s">
        <v>138</v>
      </c>
      <c r="XFB42" s="7" t="str">
        <f>IFERROR(VLOOKUP(MONTH(C42)+1,Recibo!$IW$9:$IX$20,2,FALSE)&amp;" de "&amp;YEAR(C42),VLOOKUP(MONTH(C42)-11,Recibo!$IW$9:$IX$20,2,FALSE)&amp;" de "&amp;(YEAR(C42)+1))</f>
        <v>Junho de 1902</v>
      </c>
      <c r="XFC42" s="156">
        <f>ROUND('Dados a Colocar'!$F$16+'Dados a Colocar'!$F$16*('Dados a Colocar'!$J$22+'Dados a Colocar'!$K$22),2)</f>
        <v>0</v>
      </c>
    </row>
    <row r="43" spans="1:8 16381:16383" x14ac:dyDescent="0.25">
      <c r="A43" s="4">
        <f t="shared" si="2"/>
        <v>1902</v>
      </c>
      <c r="B43" s="9" t="str">
        <f>"031/"&amp;YEAR(C43)</f>
        <v>031/1902</v>
      </c>
      <c r="C43" s="11">
        <f t="shared" si="1"/>
        <v>910</v>
      </c>
      <c r="D43" s="9" t="str">
        <f>IF('Dados a Colocar'!$G$20="sim",'Conta-Corrente'!XFA43,'Conta-Corrente'!XFA42)</f>
        <v>31.º mês de renda</v>
      </c>
      <c r="E43" s="9" t="str">
        <f>IF('Dados a Colocar'!$G$20="sim",'Conta-Corrente'!XFB43,'Conta-Corrente'!XFB42)</f>
        <v>Junho de 1902</v>
      </c>
      <c r="F43" s="6">
        <f>IF('Dados a Colocar'!$G$20="sim",'Conta-Corrente'!XFC43,'Conta-Corrente'!XFC42)</f>
        <v>0</v>
      </c>
      <c r="G43" s="85"/>
      <c r="H43" s="86"/>
      <c r="XFA43" s="91" t="s">
        <v>139</v>
      </c>
      <c r="XFB43" s="91" t="str">
        <f>IFERROR(VLOOKUP(MONTH(C43)+1,Recibo!$IW$9:$IX$20,2,FALSE)&amp;" de "&amp;YEAR(C43),VLOOKUP(MONTH(C43)-11,Recibo!$IW$9:$IX$20,2,FALSE)&amp;" de "&amp;(YEAR(C43)+1))</f>
        <v>Julho de 1902</v>
      </c>
      <c r="XFC43" s="156">
        <f>ROUND('Dados a Colocar'!$F$16+'Dados a Colocar'!$F$16*('Dados a Colocar'!$J$22+'Dados a Colocar'!$K$22),2)</f>
        <v>0</v>
      </c>
    </row>
    <row r="44" spans="1:8 16381:16383" x14ac:dyDescent="0.25">
      <c r="A44" s="4">
        <f t="shared" si="2"/>
        <v>1902</v>
      </c>
      <c r="B44" s="7" t="str">
        <f>"032/"&amp;YEAR(C44)</f>
        <v>032/1902</v>
      </c>
      <c r="C44" s="10">
        <f t="shared" si="1"/>
        <v>940</v>
      </c>
      <c r="D44" s="7" t="str">
        <f>IF('Dados a Colocar'!$G$20="sim",'Conta-Corrente'!XFA44,'Conta-Corrente'!XFA43)</f>
        <v>32.º mês de renda</v>
      </c>
      <c r="E44" s="7" t="str">
        <f>IF('Dados a Colocar'!$G$20="sim",'Conta-Corrente'!XFB44,'Conta-Corrente'!XFB43)</f>
        <v>Julho de 1902</v>
      </c>
      <c r="F44" s="8">
        <f>IF('Dados a Colocar'!$G$20="sim",'Conta-Corrente'!XFC44,'Conta-Corrente'!XFC43)</f>
        <v>0</v>
      </c>
      <c r="G44" s="87"/>
      <c r="H44" s="88"/>
      <c r="XFA44" s="7" t="s">
        <v>140</v>
      </c>
      <c r="XFB44" s="7" t="str">
        <f>IFERROR(VLOOKUP(MONTH(C44)+1,Recibo!$IW$9:$IX$20,2,FALSE)&amp;" de "&amp;YEAR(C44),VLOOKUP(MONTH(C44)-11,Recibo!$IW$9:$IX$20,2,FALSE)&amp;" de "&amp;(YEAR(C44)+1))</f>
        <v>Agosto de 1902</v>
      </c>
      <c r="XFC44" s="156">
        <f>ROUND('Dados a Colocar'!$F$16+'Dados a Colocar'!$F$16*('Dados a Colocar'!$J$22+'Dados a Colocar'!$K$22),2)</f>
        <v>0</v>
      </c>
    </row>
    <row r="45" spans="1:8 16381:16383" x14ac:dyDescent="0.25">
      <c r="A45" s="4">
        <f t="shared" si="2"/>
        <v>1902</v>
      </c>
      <c r="B45" s="9" t="str">
        <f>"033/"&amp;YEAR(C45)</f>
        <v>033/1902</v>
      </c>
      <c r="C45" s="11">
        <f t="shared" si="1"/>
        <v>971</v>
      </c>
      <c r="D45" s="9" t="str">
        <f>IF('Dados a Colocar'!$G$20="sim",'Conta-Corrente'!XFA45,'Conta-Corrente'!XFA44)</f>
        <v>33.º mês de renda</v>
      </c>
      <c r="E45" s="9" t="str">
        <f>IF('Dados a Colocar'!$G$20="sim",'Conta-Corrente'!XFB45,'Conta-Corrente'!XFB44)</f>
        <v>Agosto de 1902</v>
      </c>
      <c r="F45" s="6">
        <f>IF('Dados a Colocar'!$G$20="sim",'Conta-Corrente'!XFC45,'Conta-Corrente'!XFC44)</f>
        <v>0</v>
      </c>
      <c r="G45" s="85"/>
      <c r="H45" s="86"/>
      <c r="XFA45" s="91" t="s">
        <v>141</v>
      </c>
      <c r="XFB45" s="91" t="str">
        <f>IFERROR(VLOOKUP(MONTH(C45)+1,Recibo!$IW$9:$IX$20,2,FALSE)&amp;" de "&amp;YEAR(C45),VLOOKUP(MONTH(C45)-11,Recibo!$IW$9:$IX$20,2,FALSE)&amp;" de "&amp;(YEAR(C45)+1))</f>
        <v>Setembro de 1902</v>
      </c>
      <c r="XFC45" s="156">
        <f>ROUND('Dados a Colocar'!$F$16+'Dados a Colocar'!$F$16*('Dados a Colocar'!$J$22+'Dados a Colocar'!$K$22),2)</f>
        <v>0</v>
      </c>
    </row>
    <row r="46" spans="1:8 16381:16383" x14ac:dyDescent="0.25">
      <c r="A46" s="4">
        <f t="shared" si="2"/>
        <v>1902</v>
      </c>
      <c r="B46" s="7" t="str">
        <f>"034/"&amp;YEAR(C46)</f>
        <v>034/1902</v>
      </c>
      <c r="C46" s="10">
        <f t="shared" si="1"/>
        <v>1002</v>
      </c>
      <c r="D46" s="7" t="str">
        <f>IF('Dados a Colocar'!$G$20="sim",'Conta-Corrente'!XFA46,'Conta-Corrente'!XFA45)</f>
        <v>34.º mês de renda</v>
      </c>
      <c r="E46" s="7" t="str">
        <f>IF('Dados a Colocar'!$G$20="sim",'Conta-Corrente'!XFB46,'Conta-Corrente'!XFB45)</f>
        <v>Setembro de 1902</v>
      </c>
      <c r="F46" s="8">
        <f>IF('Dados a Colocar'!$G$20="sim",'Conta-Corrente'!XFC46,'Conta-Corrente'!XFC45)</f>
        <v>0</v>
      </c>
      <c r="G46" s="87"/>
      <c r="H46" s="88"/>
      <c r="XFA46" s="7" t="s">
        <v>142</v>
      </c>
      <c r="XFB46" s="7" t="str">
        <f>IFERROR(VLOOKUP(MONTH(C46)+1,Recibo!$IW$9:$IX$20,2,FALSE)&amp;" de "&amp;YEAR(C46),VLOOKUP(MONTH(C46)-11,Recibo!$IW$9:$IX$20,2,FALSE)&amp;" de "&amp;(YEAR(C46)+1))</f>
        <v>Outubro de 1902</v>
      </c>
      <c r="XFC46" s="156">
        <f>ROUND('Dados a Colocar'!$F$16+'Dados a Colocar'!$F$16*('Dados a Colocar'!$J$22+'Dados a Colocar'!$K$22),2)</f>
        <v>0</v>
      </c>
    </row>
    <row r="47" spans="1:8 16381:16383" x14ac:dyDescent="0.25">
      <c r="A47" s="4">
        <f t="shared" si="2"/>
        <v>1902</v>
      </c>
      <c r="B47" s="9" t="str">
        <f>"035/"&amp;YEAR(C47)</f>
        <v>035/1902</v>
      </c>
      <c r="C47" s="11">
        <f t="shared" si="1"/>
        <v>1032</v>
      </c>
      <c r="D47" s="9" t="str">
        <f>IF('Dados a Colocar'!$G$20="sim",'Conta-Corrente'!XFA47,'Conta-Corrente'!XFA46)</f>
        <v>35.º mês de renda</v>
      </c>
      <c r="E47" s="9" t="str">
        <f>IF('Dados a Colocar'!$G$20="sim",'Conta-Corrente'!XFB47,'Conta-Corrente'!XFB46)</f>
        <v>Outubro de 1902</v>
      </c>
      <c r="F47" s="6">
        <f>IF('Dados a Colocar'!$G$20="sim",'Conta-Corrente'!XFC47,'Conta-Corrente'!XFC46)</f>
        <v>0</v>
      </c>
      <c r="G47" s="85"/>
      <c r="H47" s="86"/>
      <c r="XFA47" s="91" t="s">
        <v>143</v>
      </c>
      <c r="XFB47" s="91" t="str">
        <f>IFERROR(VLOOKUP(MONTH(C47)+1,Recibo!$IW$9:$IX$20,2,FALSE)&amp;" de "&amp;YEAR(C47),VLOOKUP(MONTH(C47)-11,Recibo!$IW$9:$IX$20,2,FALSE)&amp;" de "&amp;(YEAR(C47)+1))</f>
        <v>Novembro de 1902</v>
      </c>
      <c r="XFC47" s="156">
        <f>ROUND('Dados a Colocar'!$F$16+'Dados a Colocar'!$F$16*('Dados a Colocar'!$J$22+'Dados a Colocar'!$K$22),2)</f>
        <v>0</v>
      </c>
    </row>
    <row r="48" spans="1:8 16381:16383" x14ac:dyDescent="0.25">
      <c r="A48" s="4">
        <f t="shared" si="2"/>
        <v>1902</v>
      </c>
      <c r="B48" s="7" t="str">
        <f>"036/"&amp;YEAR(C48)</f>
        <v>036/1902</v>
      </c>
      <c r="C48" s="10">
        <f t="shared" si="1"/>
        <v>1063</v>
      </c>
      <c r="D48" s="7" t="str">
        <f>IF('Dados a Colocar'!$G$20="sim",'Conta-Corrente'!XFA48,'Conta-Corrente'!XFA47)</f>
        <v>36.º mês de renda</v>
      </c>
      <c r="E48" s="7" t="str">
        <f>IF('Dados a Colocar'!$G$20="sim",'Conta-Corrente'!XFB48,'Conta-Corrente'!XFB47)</f>
        <v>Novembro de 1902</v>
      </c>
      <c r="F48" s="8">
        <f>IF('Dados a Colocar'!$G$20="sim",'Conta-Corrente'!XFC48,'Conta-Corrente'!XFC47)</f>
        <v>0</v>
      </c>
      <c r="G48" s="87"/>
      <c r="H48" s="88"/>
      <c r="XFA48" s="7" t="s">
        <v>144</v>
      </c>
      <c r="XFB48" s="7" t="str">
        <f>IFERROR(VLOOKUP(MONTH(C48)+1,Recibo!$IW$9:$IX$20,2,FALSE)&amp;" de "&amp;YEAR(C48),VLOOKUP(MONTH(C48)-11,Recibo!$IW$9:$IX$20,2,FALSE)&amp;" de "&amp;(YEAR(C48)+1))</f>
        <v>Dezembro de 1902</v>
      </c>
      <c r="XFC48" s="156">
        <f>ROUND('Dados a Colocar'!$F$16+'Dados a Colocar'!$F$16*('Dados a Colocar'!$J$22+'Dados a Colocar'!$K$22+'Dados a Colocar'!$L$22),2)</f>
        <v>0</v>
      </c>
    </row>
    <row r="49" spans="1:8 16381:16383" x14ac:dyDescent="0.25">
      <c r="A49" s="4">
        <f t="shared" si="2"/>
        <v>1902</v>
      </c>
      <c r="B49" s="9" t="str">
        <f>"037/"&amp;YEAR(C49)</f>
        <v>037/1902</v>
      </c>
      <c r="C49" s="11">
        <f t="shared" si="1"/>
        <v>1093</v>
      </c>
      <c r="D49" s="9" t="str">
        <f>IF('Dados a Colocar'!$G$20="sim",'Conta-Corrente'!XFA49,'Conta-Corrente'!XFA48)</f>
        <v>37.º mês de renda</v>
      </c>
      <c r="E49" s="9" t="str">
        <f>IF('Dados a Colocar'!$G$20="sim",'Conta-Corrente'!XFB49,'Conta-Corrente'!XFB48)</f>
        <v>Dezembro de 1902</v>
      </c>
      <c r="F49" s="6">
        <f>IF('Dados a Colocar'!$G$20="sim",'Conta-Corrente'!XFC49,'Conta-Corrente'!XFC48)</f>
        <v>0</v>
      </c>
      <c r="G49" s="85"/>
      <c r="H49" s="86"/>
      <c r="XFA49" s="91" t="s">
        <v>145</v>
      </c>
      <c r="XFB49" s="91" t="str">
        <f>IFERROR(VLOOKUP(MONTH(C49)+1,Recibo!$IW$9:$IX$20,2,FALSE)&amp;" de "&amp;YEAR(C49),VLOOKUP(MONTH(C49)-11,Recibo!$IW$9:$IX$20,2,FALSE)&amp;" de "&amp;(YEAR(C49)+1))</f>
        <v>Janeiro de 1903</v>
      </c>
      <c r="XFC49" s="156">
        <f>ROUND('Dados a Colocar'!$F$16+'Dados a Colocar'!$F$16*('Dados a Colocar'!$J$22+'Dados a Colocar'!$K$22+'Dados a Colocar'!$L$22),2)</f>
        <v>0</v>
      </c>
    </row>
    <row r="50" spans="1:8 16381:16383" x14ac:dyDescent="0.25">
      <c r="A50" s="4">
        <f t="shared" si="2"/>
        <v>1903</v>
      </c>
      <c r="B50" s="7" t="str">
        <f>"038/"&amp;YEAR(C50)</f>
        <v>038/1903</v>
      </c>
      <c r="C50" s="10">
        <f t="shared" si="1"/>
        <v>1124</v>
      </c>
      <c r="D50" s="7" t="str">
        <f>IF('Dados a Colocar'!$G$20="sim",'Conta-Corrente'!XFA50,'Conta-Corrente'!XFA49)</f>
        <v>38.º mês de renda</v>
      </c>
      <c r="E50" s="7" t="str">
        <f>IF('Dados a Colocar'!$G$20="sim",'Conta-Corrente'!XFB50,'Conta-Corrente'!XFB49)</f>
        <v>Janeiro de 1903</v>
      </c>
      <c r="F50" s="8">
        <f>IF('Dados a Colocar'!$G$20="sim",'Conta-Corrente'!XFC50,'Conta-Corrente'!XFC49)</f>
        <v>0</v>
      </c>
      <c r="G50" s="87"/>
      <c r="H50" s="88"/>
      <c r="XFA50" s="7" t="s">
        <v>146</v>
      </c>
      <c r="XFB50" s="7" t="str">
        <f>IFERROR(VLOOKUP(MONTH(C50)+1,Recibo!$IW$9:$IX$20,2,FALSE)&amp;" de "&amp;YEAR(C50),VLOOKUP(MONTH(C50)-11,Recibo!$IW$9:$IX$20,2,FALSE)&amp;" de "&amp;(YEAR(C50)+1))</f>
        <v>Fevereiro de 1903</v>
      </c>
      <c r="XFC50" s="156">
        <f>ROUND('Dados a Colocar'!$F$16+'Dados a Colocar'!$F$16*('Dados a Colocar'!$J$22+'Dados a Colocar'!$K$22+'Dados a Colocar'!$L$22),2)</f>
        <v>0</v>
      </c>
    </row>
    <row r="51" spans="1:8 16381:16383" x14ac:dyDescent="0.25">
      <c r="A51" s="4">
        <f t="shared" si="2"/>
        <v>1903</v>
      </c>
      <c r="B51" s="9" t="str">
        <f>"039/"&amp;YEAR(C51)</f>
        <v>039/1903</v>
      </c>
      <c r="C51" s="11">
        <f t="shared" si="1"/>
        <v>1155</v>
      </c>
      <c r="D51" s="9" t="str">
        <f>IF('Dados a Colocar'!$G$20="sim",'Conta-Corrente'!XFA51,'Conta-Corrente'!XFA50)</f>
        <v>39.º mês de renda</v>
      </c>
      <c r="E51" s="9" t="str">
        <f>IF('Dados a Colocar'!$G$20="sim",'Conta-Corrente'!XFB51,'Conta-Corrente'!XFB50)</f>
        <v>Fevereiro de 1903</v>
      </c>
      <c r="F51" s="6">
        <f>IF('Dados a Colocar'!$G$20="sim",'Conta-Corrente'!XFC51,'Conta-Corrente'!XFC50)</f>
        <v>0</v>
      </c>
      <c r="G51" s="85"/>
      <c r="H51" s="86"/>
      <c r="XFA51" s="91" t="s">
        <v>147</v>
      </c>
      <c r="XFB51" s="91" t="str">
        <f>IFERROR(VLOOKUP(MONTH(C51)+1,Recibo!$IW$9:$IX$20,2,FALSE)&amp;" de "&amp;YEAR(C51),VLOOKUP(MONTH(C51)-11,Recibo!$IW$9:$IX$20,2,FALSE)&amp;" de "&amp;(YEAR(C51)+1))</f>
        <v>Março de 1903</v>
      </c>
      <c r="XFC51" s="156">
        <f>ROUND('Dados a Colocar'!$F$16+'Dados a Colocar'!$F$16*('Dados a Colocar'!$J$22+'Dados a Colocar'!$K$22+'Dados a Colocar'!$L$22),2)</f>
        <v>0</v>
      </c>
    </row>
    <row r="52" spans="1:8 16381:16383" x14ac:dyDescent="0.25">
      <c r="A52" s="4">
        <f t="shared" si="2"/>
        <v>1903</v>
      </c>
      <c r="B52" s="7" t="str">
        <f>"040/"&amp;YEAR(C52)</f>
        <v>040/1903</v>
      </c>
      <c r="C52" s="10">
        <f t="shared" si="1"/>
        <v>1183</v>
      </c>
      <c r="D52" s="7" t="str">
        <f>IF('Dados a Colocar'!$G$20="sim",'Conta-Corrente'!XFA52,'Conta-Corrente'!XFA51)</f>
        <v>40.º mês de renda</v>
      </c>
      <c r="E52" s="7" t="str">
        <f>IF('Dados a Colocar'!$G$20="sim",'Conta-Corrente'!XFB52,'Conta-Corrente'!XFB51)</f>
        <v>Março de 1903</v>
      </c>
      <c r="F52" s="8">
        <f>IF('Dados a Colocar'!$G$20="sim",'Conta-Corrente'!XFC52,'Conta-Corrente'!XFC51)</f>
        <v>0</v>
      </c>
      <c r="G52" s="87"/>
      <c r="H52" s="88"/>
      <c r="XFA52" s="7" t="s">
        <v>148</v>
      </c>
      <c r="XFB52" s="7" t="str">
        <f>IFERROR(VLOOKUP(MONTH(C52)+1,Recibo!$IW$9:$IX$20,2,FALSE)&amp;" de "&amp;YEAR(C52),VLOOKUP(MONTH(C52)-11,Recibo!$IW$9:$IX$20,2,FALSE)&amp;" de "&amp;(YEAR(C52)+1))</f>
        <v>Abril de 1903</v>
      </c>
      <c r="XFC52" s="156">
        <f>ROUND('Dados a Colocar'!$F$16+'Dados a Colocar'!$F$16*('Dados a Colocar'!$J$22+'Dados a Colocar'!$K$22+'Dados a Colocar'!$L$22),2)</f>
        <v>0</v>
      </c>
    </row>
    <row r="53" spans="1:8 16381:16383" x14ac:dyDescent="0.25">
      <c r="A53" s="4">
        <f t="shared" si="2"/>
        <v>1903</v>
      </c>
      <c r="B53" s="9" t="str">
        <f>"041/"&amp;YEAR(C53)</f>
        <v>041/1903</v>
      </c>
      <c r="C53" s="11">
        <f t="shared" si="1"/>
        <v>1214</v>
      </c>
      <c r="D53" s="9" t="str">
        <f>IF('Dados a Colocar'!$G$20="sim",'Conta-Corrente'!XFA53,'Conta-Corrente'!XFA52)</f>
        <v>41.º mês de renda</v>
      </c>
      <c r="E53" s="9" t="str">
        <f>IF('Dados a Colocar'!$G$20="sim",'Conta-Corrente'!XFB53,'Conta-Corrente'!XFB52)</f>
        <v>Abril de 1903</v>
      </c>
      <c r="F53" s="6">
        <f>IF('Dados a Colocar'!$G$20="sim",'Conta-Corrente'!XFC53,'Conta-Corrente'!XFC52)</f>
        <v>0</v>
      </c>
      <c r="G53" s="85"/>
      <c r="H53" s="86"/>
      <c r="XFA53" s="91" t="s">
        <v>149</v>
      </c>
      <c r="XFB53" s="91" t="str">
        <f>IFERROR(VLOOKUP(MONTH(C53)+1,Recibo!$IW$9:$IX$20,2,FALSE)&amp;" de "&amp;YEAR(C53),VLOOKUP(MONTH(C53)-11,Recibo!$IW$9:$IX$20,2,FALSE)&amp;" de "&amp;(YEAR(C53)+1))</f>
        <v>Maio de 1903</v>
      </c>
      <c r="XFC53" s="156">
        <f>ROUND('Dados a Colocar'!$F$16+'Dados a Colocar'!$F$16*('Dados a Colocar'!$J$22+'Dados a Colocar'!$K$22+'Dados a Colocar'!$L$22),2)</f>
        <v>0</v>
      </c>
    </row>
    <row r="54" spans="1:8 16381:16383" x14ac:dyDescent="0.25">
      <c r="A54" s="4">
        <f t="shared" si="2"/>
        <v>1903</v>
      </c>
      <c r="B54" s="7" t="str">
        <f>"042/"&amp;YEAR(C54)</f>
        <v>042/1903</v>
      </c>
      <c r="C54" s="10">
        <f t="shared" si="1"/>
        <v>1244</v>
      </c>
      <c r="D54" s="7" t="str">
        <f>IF('Dados a Colocar'!$G$20="sim",'Conta-Corrente'!XFA54,'Conta-Corrente'!XFA53)</f>
        <v>42.º mês de renda</v>
      </c>
      <c r="E54" s="7" t="str">
        <f>IF('Dados a Colocar'!$G$20="sim",'Conta-Corrente'!XFB54,'Conta-Corrente'!XFB53)</f>
        <v>Maio de 1903</v>
      </c>
      <c r="F54" s="8">
        <f>IF('Dados a Colocar'!$G$20="sim",'Conta-Corrente'!XFC54,'Conta-Corrente'!XFC53)</f>
        <v>0</v>
      </c>
      <c r="G54" s="87"/>
      <c r="H54" s="88"/>
      <c r="XFA54" s="7" t="s">
        <v>150</v>
      </c>
      <c r="XFB54" s="7" t="str">
        <f>IFERROR(VLOOKUP(MONTH(C54)+1,Recibo!$IW$9:$IX$20,2,FALSE)&amp;" de "&amp;YEAR(C54),VLOOKUP(MONTH(C54)-11,Recibo!$IW$9:$IX$20,2,FALSE)&amp;" de "&amp;(YEAR(C54)+1))</f>
        <v>Junho de 1903</v>
      </c>
      <c r="XFC54" s="156">
        <f>ROUND('Dados a Colocar'!$F$16+'Dados a Colocar'!$F$16*('Dados a Colocar'!$J$22+'Dados a Colocar'!$K$22+'Dados a Colocar'!$L$22),2)</f>
        <v>0</v>
      </c>
    </row>
    <row r="55" spans="1:8 16381:16383" x14ac:dyDescent="0.25">
      <c r="A55" s="4">
        <f t="shared" si="2"/>
        <v>1903</v>
      </c>
      <c r="B55" s="9" t="str">
        <f>"043/"&amp;YEAR(C55)</f>
        <v>043/1903</v>
      </c>
      <c r="C55" s="11">
        <f t="shared" si="1"/>
        <v>1275</v>
      </c>
      <c r="D55" s="9" t="str">
        <f>IF('Dados a Colocar'!$G$20="sim",'Conta-Corrente'!XFA55,'Conta-Corrente'!XFA54)</f>
        <v>43.º mês de renda</v>
      </c>
      <c r="E55" s="9" t="str">
        <f>IF('Dados a Colocar'!$G$20="sim",'Conta-Corrente'!XFB55,'Conta-Corrente'!XFB54)</f>
        <v>Junho de 1903</v>
      </c>
      <c r="F55" s="6">
        <f>IF('Dados a Colocar'!$G$20="sim",'Conta-Corrente'!XFC55,'Conta-Corrente'!XFC54)</f>
        <v>0</v>
      </c>
      <c r="G55" s="85"/>
      <c r="H55" s="86"/>
      <c r="XFA55" s="91" t="s">
        <v>151</v>
      </c>
      <c r="XFB55" s="91" t="str">
        <f>IFERROR(VLOOKUP(MONTH(C55)+1,Recibo!$IW$9:$IX$20,2,FALSE)&amp;" de "&amp;YEAR(C55),VLOOKUP(MONTH(C55)-11,Recibo!$IW$9:$IX$20,2,FALSE)&amp;" de "&amp;(YEAR(C55)+1))</f>
        <v>Julho de 1903</v>
      </c>
      <c r="XFC55" s="156">
        <f>ROUND('Dados a Colocar'!$F$16+'Dados a Colocar'!$F$16*('Dados a Colocar'!$J$22+'Dados a Colocar'!$K$22+'Dados a Colocar'!$L$22),2)</f>
        <v>0</v>
      </c>
    </row>
    <row r="56" spans="1:8 16381:16383" x14ac:dyDescent="0.25">
      <c r="A56" s="4">
        <f t="shared" si="2"/>
        <v>1903</v>
      </c>
      <c r="B56" s="7" t="str">
        <f>"044/"&amp;YEAR(C56)</f>
        <v>044/1903</v>
      </c>
      <c r="C56" s="10">
        <f t="shared" si="1"/>
        <v>1305</v>
      </c>
      <c r="D56" s="7" t="str">
        <f>IF('Dados a Colocar'!$G$20="sim",'Conta-Corrente'!XFA56,'Conta-Corrente'!XFA55)</f>
        <v>44.º mês de renda</v>
      </c>
      <c r="E56" s="7" t="str">
        <f>IF('Dados a Colocar'!$G$20="sim",'Conta-Corrente'!XFB56,'Conta-Corrente'!XFB55)</f>
        <v>Julho de 1903</v>
      </c>
      <c r="F56" s="8">
        <f>IF('Dados a Colocar'!$G$20="sim",'Conta-Corrente'!XFC56,'Conta-Corrente'!XFC55)</f>
        <v>0</v>
      </c>
      <c r="G56" s="87"/>
      <c r="H56" s="88"/>
      <c r="XFA56" s="7" t="s">
        <v>152</v>
      </c>
      <c r="XFB56" s="7" t="str">
        <f>IFERROR(VLOOKUP(MONTH(C56)+1,Recibo!$IW$9:$IX$20,2,FALSE)&amp;" de "&amp;YEAR(C56),VLOOKUP(MONTH(C56)-11,Recibo!$IW$9:$IX$20,2,FALSE)&amp;" de "&amp;(YEAR(C56)+1))</f>
        <v>Agosto de 1903</v>
      </c>
      <c r="XFC56" s="156">
        <f>ROUND('Dados a Colocar'!$F$16+'Dados a Colocar'!$F$16*('Dados a Colocar'!$J$22+'Dados a Colocar'!$K$22+'Dados a Colocar'!$L$22),2)</f>
        <v>0</v>
      </c>
    </row>
    <row r="57" spans="1:8 16381:16383" x14ac:dyDescent="0.25">
      <c r="A57" s="4">
        <f t="shared" si="2"/>
        <v>1903</v>
      </c>
      <c r="B57" s="9" t="str">
        <f>"045/"&amp;YEAR(C57)</f>
        <v>045/1903</v>
      </c>
      <c r="C57" s="11">
        <f t="shared" si="1"/>
        <v>1336</v>
      </c>
      <c r="D57" s="9" t="str">
        <f>IF('Dados a Colocar'!$G$20="sim",'Conta-Corrente'!XFA57,'Conta-Corrente'!XFA56)</f>
        <v>45.º mês de renda</v>
      </c>
      <c r="E57" s="9" t="str">
        <f>IF('Dados a Colocar'!$G$20="sim",'Conta-Corrente'!XFB57,'Conta-Corrente'!XFB56)</f>
        <v>Agosto de 1903</v>
      </c>
      <c r="F57" s="6">
        <f>IF('Dados a Colocar'!$G$20="sim",'Conta-Corrente'!XFC57,'Conta-Corrente'!XFC56)</f>
        <v>0</v>
      </c>
      <c r="G57" s="85"/>
      <c r="H57" s="86"/>
      <c r="XFA57" s="91" t="s">
        <v>153</v>
      </c>
      <c r="XFB57" s="91" t="str">
        <f>IFERROR(VLOOKUP(MONTH(C57)+1,Recibo!$IW$9:$IX$20,2,FALSE)&amp;" de "&amp;YEAR(C57),VLOOKUP(MONTH(C57)-11,Recibo!$IW$9:$IX$20,2,FALSE)&amp;" de "&amp;(YEAR(C57)+1))</f>
        <v>Setembro de 1903</v>
      </c>
      <c r="XFC57" s="156">
        <f>ROUND('Dados a Colocar'!$F$16+'Dados a Colocar'!$F$16*('Dados a Colocar'!$J$22+'Dados a Colocar'!$K$22+'Dados a Colocar'!$L$22),2)</f>
        <v>0</v>
      </c>
    </row>
    <row r="58" spans="1:8 16381:16383" x14ac:dyDescent="0.25">
      <c r="A58" s="4">
        <f t="shared" si="2"/>
        <v>1903</v>
      </c>
      <c r="B58" s="7" t="str">
        <f>"046/"&amp;YEAR(C58)</f>
        <v>046/1903</v>
      </c>
      <c r="C58" s="10">
        <f t="shared" si="1"/>
        <v>1367</v>
      </c>
      <c r="D58" s="7" t="str">
        <f>IF('Dados a Colocar'!$G$20="sim",'Conta-Corrente'!XFA58,'Conta-Corrente'!XFA57)</f>
        <v>46.º mês de renda</v>
      </c>
      <c r="E58" s="7" t="str">
        <f>IF('Dados a Colocar'!$G$20="sim",'Conta-Corrente'!XFB58,'Conta-Corrente'!XFB57)</f>
        <v>Setembro de 1903</v>
      </c>
      <c r="F58" s="8">
        <f>IF('Dados a Colocar'!$G$20="sim",'Conta-Corrente'!XFC58,'Conta-Corrente'!XFC57)</f>
        <v>0</v>
      </c>
      <c r="G58" s="87"/>
      <c r="H58" s="88"/>
      <c r="XFA58" s="7" t="s">
        <v>154</v>
      </c>
      <c r="XFB58" s="7" t="str">
        <f>IFERROR(VLOOKUP(MONTH(C58)+1,Recibo!$IW$9:$IX$20,2,FALSE)&amp;" de "&amp;YEAR(C58),VLOOKUP(MONTH(C58)-11,Recibo!$IW$9:$IX$20,2,FALSE)&amp;" de "&amp;(YEAR(C58)+1))</f>
        <v>Outubro de 1903</v>
      </c>
      <c r="XFC58" s="156">
        <f>ROUND('Dados a Colocar'!$F$16+'Dados a Colocar'!$F$16*('Dados a Colocar'!$J$22+'Dados a Colocar'!$K$22+'Dados a Colocar'!$L$22),2)</f>
        <v>0</v>
      </c>
    </row>
    <row r="59" spans="1:8 16381:16383" x14ac:dyDescent="0.25">
      <c r="A59" s="4">
        <f t="shared" si="2"/>
        <v>1903</v>
      </c>
      <c r="B59" s="9" t="str">
        <f>"047/"&amp;YEAR(C59)</f>
        <v>047/1903</v>
      </c>
      <c r="C59" s="11">
        <f t="shared" si="1"/>
        <v>1397</v>
      </c>
      <c r="D59" s="9" t="str">
        <f>IF('Dados a Colocar'!$G$20="sim",'Conta-Corrente'!XFA59,'Conta-Corrente'!XFA58)</f>
        <v>47.º mês de renda</v>
      </c>
      <c r="E59" s="9" t="str">
        <f>IF('Dados a Colocar'!$G$20="sim",'Conta-Corrente'!XFB59,'Conta-Corrente'!XFB58)</f>
        <v>Outubro de 1903</v>
      </c>
      <c r="F59" s="6">
        <f>IF('Dados a Colocar'!$G$20="sim",'Conta-Corrente'!XFC59,'Conta-Corrente'!XFC58)</f>
        <v>0</v>
      </c>
      <c r="G59" s="85"/>
      <c r="H59" s="86"/>
      <c r="XFA59" s="91" t="s">
        <v>155</v>
      </c>
      <c r="XFB59" s="91" t="str">
        <f>IFERROR(VLOOKUP(MONTH(C59)+1,Recibo!$IW$9:$IX$20,2,FALSE)&amp;" de "&amp;YEAR(C59),VLOOKUP(MONTH(C59)-11,Recibo!$IW$9:$IX$20,2,FALSE)&amp;" de "&amp;(YEAR(C59)+1))</f>
        <v>Novembro de 1903</v>
      </c>
      <c r="XFC59" s="156">
        <f>ROUND('Dados a Colocar'!$F$16+'Dados a Colocar'!$F$16*('Dados a Colocar'!$J$22+'Dados a Colocar'!$K$22+'Dados a Colocar'!$L$22),2)</f>
        <v>0</v>
      </c>
    </row>
    <row r="60" spans="1:8 16381:16383" x14ac:dyDescent="0.25">
      <c r="A60" s="4">
        <f t="shared" si="2"/>
        <v>1903</v>
      </c>
      <c r="B60" s="7" t="str">
        <f>"048/"&amp;YEAR(C60)</f>
        <v>048/1903</v>
      </c>
      <c r="C60" s="10">
        <f t="shared" si="1"/>
        <v>1428</v>
      </c>
      <c r="D60" s="7" t="str">
        <f>IF('Dados a Colocar'!$G$20="sim",'Conta-Corrente'!XFA60,'Conta-Corrente'!XFA59)</f>
        <v>48.º mês de renda</v>
      </c>
      <c r="E60" s="7" t="str">
        <f>IF('Dados a Colocar'!$G$20="sim",'Conta-Corrente'!XFB60,'Conta-Corrente'!XFB59)</f>
        <v>Novembro de 1903</v>
      </c>
      <c r="F60" s="8">
        <f>IF('Dados a Colocar'!$G$20="sim",'Conta-Corrente'!XFC60,'Conta-Corrente'!XFC59)</f>
        <v>0</v>
      </c>
      <c r="G60" s="87"/>
      <c r="H60" s="88"/>
      <c r="XFA60" s="7" t="s">
        <v>156</v>
      </c>
      <c r="XFB60" s="7" t="str">
        <f>IFERROR(VLOOKUP(MONTH(C60)+1,Recibo!$IW$9:$IX$20,2,FALSE)&amp;" de "&amp;YEAR(C60),VLOOKUP(MONTH(C60)-11,Recibo!$IW$9:$IX$20,2,FALSE)&amp;" de "&amp;(YEAR(C60)+1))</f>
        <v>Dezembro de 1903</v>
      </c>
      <c r="XFC60" s="156">
        <f>ROUND('Dados a Colocar'!$F$16+'Dados a Colocar'!$F$16*('Dados a Colocar'!$J$22+'Dados a Colocar'!$K$22+'Dados a Colocar'!$L$22+'Dados a Colocar'!$M$22),2)</f>
        <v>0</v>
      </c>
    </row>
    <row r="61" spans="1:8 16381:16383" x14ac:dyDescent="0.25">
      <c r="A61" s="4">
        <f t="shared" si="2"/>
        <v>1903</v>
      </c>
      <c r="B61" s="9" t="str">
        <f>"049/"&amp;YEAR(C61)</f>
        <v>049/1903</v>
      </c>
      <c r="C61" s="11">
        <f t="shared" si="1"/>
        <v>1458</v>
      </c>
      <c r="D61" s="9" t="str">
        <f>IF('Dados a Colocar'!$G$20="sim",'Conta-Corrente'!XFA61,'Conta-Corrente'!XFA60)</f>
        <v>49.º mês de renda</v>
      </c>
      <c r="E61" s="9" t="str">
        <f>IF('Dados a Colocar'!$G$20="sim",'Conta-Corrente'!XFB61,'Conta-Corrente'!XFB60)</f>
        <v>Dezembro de 1903</v>
      </c>
      <c r="F61" s="6">
        <f>IF('Dados a Colocar'!$G$20="sim",'Conta-Corrente'!XFC61,'Conta-Corrente'!XFC60)</f>
        <v>0</v>
      </c>
      <c r="G61" s="85"/>
      <c r="H61" s="86"/>
      <c r="XFA61" s="91" t="s">
        <v>157</v>
      </c>
      <c r="XFB61" s="91" t="str">
        <f>IFERROR(VLOOKUP(MONTH(C61)+1,Recibo!$IW$9:$IX$20,2,FALSE)&amp;" de "&amp;YEAR(C61),VLOOKUP(MONTH(C61)-11,Recibo!$IW$9:$IX$20,2,FALSE)&amp;" de "&amp;(YEAR(C61)+1))</f>
        <v>Janeiro de 1904</v>
      </c>
      <c r="XFC61" s="156">
        <f>ROUND('Dados a Colocar'!$F$16+'Dados a Colocar'!$F$16*('Dados a Colocar'!$J$22+'Dados a Colocar'!$K$22+'Dados a Colocar'!$L$22+'Dados a Colocar'!$M$22),2)</f>
        <v>0</v>
      </c>
    </row>
    <row r="62" spans="1:8 16381:16383" x14ac:dyDescent="0.25">
      <c r="A62" s="4">
        <f t="shared" si="2"/>
        <v>1904</v>
      </c>
      <c r="B62" s="7" t="str">
        <f>"050/"&amp;YEAR(C62)</f>
        <v>050/1904</v>
      </c>
      <c r="C62" s="10">
        <f t="shared" si="1"/>
        <v>1489</v>
      </c>
      <c r="D62" s="7" t="str">
        <f>IF('Dados a Colocar'!$G$20="sim",'Conta-Corrente'!XFA62,'Conta-Corrente'!XFA61)</f>
        <v>50.º mês de renda</v>
      </c>
      <c r="E62" s="7" t="str">
        <f>IF('Dados a Colocar'!$G$20="sim",'Conta-Corrente'!XFB62,'Conta-Corrente'!XFB61)</f>
        <v>Janeiro de 1904</v>
      </c>
      <c r="F62" s="8">
        <f>IF('Dados a Colocar'!$G$20="sim",'Conta-Corrente'!XFC62,'Conta-Corrente'!XFC61)</f>
        <v>0</v>
      </c>
      <c r="G62" s="87"/>
      <c r="H62" s="88"/>
      <c r="XFA62" s="7" t="s">
        <v>158</v>
      </c>
      <c r="XFB62" s="7" t="str">
        <f>IFERROR(VLOOKUP(MONTH(C62)+1,Recibo!$IW$9:$IX$20,2,FALSE)&amp;" de "&amp;YEAR(C62),VLOOKUP(MONTH(C62)-11,Recibo!$IW$9:$IX$20,2,FALSE)&amp;" de "&amp;(YEAR(C62)+1))</f>
        <v>Fevereiro de 1904</v>
      </c>
      <c r="XFC62" s="156">
        <f>ROUND('Dados a Colocar'!$F$16+'Dados a Colocar'!$F$16*('Dados a Colocar'!$J$22+'Dados a Colocar'!$K$22+'Dados a Colocar'!$L$22+'Dados a Colocar'!$M$22),2)</f>
        <v>0</v>
      </c>
    </row>
    <row r="63" spans="1:8 16381:16383" x14ac:dyDescent="0.25">
      <c r="A63" s="4">
        <f t="shared" si="2"/>
        <v>1904</v>
      </c>
      <c r="B63" s="9" t="str">
        <f>"051/"&amp;YEAR(C63)</f>
        <v>051/1904</v>
      </c>
      <c r="C63" s="11">
        <f t="shared" si="1"/>
        <v>1520</v>
      </c>
      <c r="D63" s="9" t="str">
        <f>IF('Dados a Colocar'!$G$20="sim",'Conta-Corrente'!XFA63,'Conta-Corrente'!XFA62)</f>
        <v>51.º mês de renda</v>
      </c>
      <c r="E63" s="9" t="str">
        <f>IF('Dados a Colocar'!$G$20="sim",'Conta-Corrente'!XFB63,'Conta-Corrente'!XFB62)</f>
        <v>Fevereiro de 1904</v>
      </c>
      <c r="F63" s="6">
        <f>IF('Dados a Colocar'!$G$20="sim",'Conta-Corrente'!XFC63,'Conta-Corrente'!XFC62)</f>
        <v>0</v>
      </c>
      <c r="G63" s="85"/>
      <c r="H63" s="86"/>
      <c r="XFA63" s="91" t="s">
        <v>159</v>
      </c>
      <c r="XFB63" s="91" t="str">
        <f>IFERROR(VLOOKUP(MONTH(C63)+1,Recibo!$IW$9:$IX$20,2,FALSE)&amp;" de "&amp;YEAR(C63),VLOOKUP(MONTH(C63)-11,Recibo!$IW$9:$IX$20,2,FALSE)&amp;" de "&amp;(YEAR(C63)+1))</f>
        <v>Março de 1904</v>
      </c>
      <c r="XFC63" s="156">
        <f>ROUND('Dados a Colocar'!$F$16+'Dados a Colocar'!$F$16*('Dados a Colocar'!$J$22+'Dados a Colocar'!$K$22+'Dados a Colocar'!$L$22+'Dados a Colocar'!$M$22),2)</f>
        <v>0</v>
      </c>
    </row>
    <row r="64" spans="1:8 16381:16383" x14ac:dyDescent="0.25">
      <c r="A64" s="4">
        <f t="shared" si="2"/>
        <v>1904</v>
      </c>
      <c r="B64" s="7" t="str">
        <f>"052/"&amp;YEAR(C64)</f>
        <v>052/1904</v>
      </c>
      <c r="C64" s="10">
        <f t="shared" si="1"/>
        <v>1549</v>
      </c>
      <c r="D64" s="7" t="str">
        <f>IF('Dados a Colocar'!$G$20="sim",'Conta-Corrente'!XFA64,'Conta-Corrente'!XFA63)</f>
        <v>52.º mês de renda</v>
      </c>
      <c r="E64" s="7" t="str">
        <f>IF('Dados a Colocar'!$G$20="sim",'Conta-Corrente'!XFB64,'Conta-Corrente'!XFB63)</f>
        <v>Março de 1904</v>
      </c>
      <c r="F64" s="8">
        <f>IF('Dados a Colocar'!$G$20="sim",'Conta-Corrente'!XFC64,'Conta-Corrente'!XFC63)</f>
        <v>0</v>
      </c>
      <c r="G64" s="87"/>
      <c r="H64" s="88"/>
      <c r="XFA64" s="7" t="s">
        <v>160</v>
      </c>
      <c r="XFB64" s="7" t="str">
        <f>IFERROR(VLOOKUP(MONTH(C64)+1,Recibo!$IW$9:$IX$20,2,FALSE)&amp;" de "&amp;YEAR(C64),VLOOKUP(MONTH(C64)-11,Recibo!$IW$9:$IX$20,2,FALSE)&amp;" de "&amp;(YEAR(C64)+1))</f>
        <v>Abril de 1904</v>
      </c>
      <c r="XFC64" s="156">
        <f>ROUND('Dados a Colocar'!$F$16+'Dados a Colocar'!$F$16*('Dados a Colocar'!$J$22+'Dados a Colocar'!$K$22+'Dados a Colocar'!$L$22+'Dados a Colocar'!$M$22),2)</f>
        <v>0</v>
      </c>
    </row>
    <row r="65" spans="1:8 16381:16383" x14ac:dyDescent="0.25">
      <c r="A65" s="4">
        <f t="shared" si="2"/>
        <v>1904</v>
      </c>
      <c r="B65" s="9" t="str">
        <f>"053/"&amp;YEAR(C65)</f>
        <v>053/1904</v>
      </c>
      <c r="C65" s="11">
        <f t="shared" si="1"/>
        <v>1580</v>
      </c>
      <c r="D65" s="9" t="str">
        <f>IF('Dados a Colocar'!$G$20="sim",'Conta-Corrente'!XFA65,'Conta-Corrente'!XFA64)</f>
        <v>53.º mês de renda</v>
      </c>
      <c r="E65" s="9" t="str">
        <f>IF('Dados a Colocar'!$G$20="sim",'Conta-Corrente'!XFB65,'Conta-Corrente'!XFB64)</f>
        <v>Abril de 1904</v>
      </c>
      <c r="F65" s="6">
        <f>IF('Dados a Colocar'!$G$20="sim",'Conta-Corrente'!XFC65,'Conta-Corrente'!XFC64)</f>
        <v>0</v>
      </c>
      <c r="G65" s="85"/>
      <c r="H65" s="86"/>
      <c r="XFA65" s="91" t="s">
        <v>161</v>
      </c>
      <c r="XFB65" s="91" t="str">
        <f>IFERROR(VLOOKUP(MONTH(C65)+1,Recibo!$IW$9:$IX$20,2,FALSE)&amp;" de "&amp;YEAR(C65),VLOOKUP(MONTH(C65)-11,Recibo!$IW$9:$IX$20,2,FALSE)&amp;" de "&amp;(YEAR(C65)+1))</f>
        <v>Maio de 1904</v>
      </c>
      <c r="XFC65" s="156">
        <f>ROUND('Dados a Colocar'!$F$16+'Dados a Colocar'!$F$16*('Dados a Colocar'!$J$22+'Dados a Colocar'!$K$22+'Dados a Colocar'!$L$22+'Dados a Colocar'!$M$22),2)</f>
        <v>0</v>
      </c>
    </row>
    <row r="66" spans="1:8 16381:16383" x14ac:dyDescent="0.25">
      <c r="A66" s="4">
        <f t="shared" si="2"/>
        <v>1904</v>
      </c>
      <c r="B66" s="7" t="str">
        <f>"054/"&amp;YEAR(C66)</f>
        <v>054/1904</v>
      </c>
      <c r="C66" s="10">
        <f t="shared" si="1"/>
        <v>1610</v>
      </c>
      <c r="D66" s="7" t="str">
        <f>IF('Dados a Colocar'!$G$20="sim",'Conta-Corrente'!XFA66,'Conta-Corrente'!XFA65)</f>
        <v>54.º mês de renda</v>
      </c>
      <c r="E66" s="7" t="str">
        <f>IF('Dados a Colocar'!$G$20="sim",'Conta-Corrente'!XFB66,'Conta-Corrente'!XFB65)</f>
        <v>Maio de 1904</v>
      </c>
      <c r="F66" s="8">
        <f>IF('Dados a Colocar'!$G$20="sim",'Conta-Corrente'!XFC66,'Conta-Corrente'!XFC65)</f>
        <v>0</v>
      </c>
      <c r="G66" s="87"/>
      <c r="H66" s="88"/>
      <c r="XFA66" s="7" t="s">
        <v>162</v>
      </c>
      <c r="XFB66" s="7" t="str">
        <f>IFERROR(VLOOKUP(MONTH(C66)+1,Recibo!$IW$9:$IX$20,2,FALSE)&amp;" de "&amp;YEAR(C66),VLOOKUP(MONTH(C66)-11,Recibo!$IW$9:$IX$20,2,FALSE)&amp;" de "&amp;(YEAR(C66)+1))</f>
        <v>Junho de 1904</v>
      </c>
      <c r="XFC66" s="156">
        <f>ROUND('Dados a Colocar'!$F$16+'Dados a Colocar'!$F$16*('Dados a Colocar'!$J$22+'Dados a Colocar'!$K$22+'Dados a Colocar'!$L$22+'Dados a Colocar'!$M$22),2)</f>
        <v>0</v>
      </c>
    </row>
    <row r="67" spans="1:8 16381:16383" x14ac:dyDescent="0.25">
      <c r="A67" s="4">
        <f t="shared" si="2"/>
        <v>1904</v>
      </c>
      <c r="B67" s="9" t="str">
        <f>"055/"&amp;YEAR(C67)</f>
        <v>055/1904</v>
      </c>
      <c r="C67" s="11">
        <f t="shared" si="1"/>
        <v>1641</v>
      </c>
      <c r="D67" s="9" t="str">
        <f>IF('Dados a Colocar'!$G$20="sim",'Conta-Corrente'!XFA67,'Conta-Corrente'!XFA66)</f>
        <v>55.º mês de renda</v>
      </c>
      <c r="E67" s="9" t="str">
        <f>IF('Dados a Colocar'!$G$20="sim",'Conta-Corrente'!XFB67,'Conta-Corrente'!XFB66)</f>
        <v>Junho de 1904</v>
      </c>
      <c r="F67" s="6">
        <f>IF('Dados a Colocar'!$G$20="sim",'Conta-Corrente'!XFC67,'Conta-Corrente'!XFC66)</f>
        <v>0</v>
      </c>
      <c r="G67" s="85"/>
      <c r="H67" s="86"/>
      <c r="XFA67" s="91" t="s">
        <v>163</v>
      </c>
      <c r="XFB67" s="91" t="str">
        <f>IFERROR(VLOOKUP(MONTH(C67)+1,Recibo!$IW$9:$IX$20,2,FALSE)&amp;" de "&amp;YEAR(C67),VLOOKUP(MONTH(C67)-11,Recibo!$IW$9:$IX$20,2,FALSE)&amp;" de "&amp;(YEAR(C67)+1))</f>
        <v>Julho de 1904</v>
      </c>
      <c r="XFC67" s="156">
        <f>ROUND('Dados a Colocar'!$F$16+'Dados a Colocar'!$F$16*('Dados a Colocar'!$J$22+'Dados a Colocar'!$K$22+'Dados a Colocar'!$L$22+'Dados a Colocar'!$M$22),2)</f>
        <v>0</v>
      </c>
    </row>
    <row r="68" spans="1:8 16381:16383" x14ac:dyDescent="0.25">
      <c r="A68" s="4">
        <f t="shared" si="2"/>
        <v>1904</v>
      </c>
      <c r="B68" s="7" t="str">
        <f>"056/"&amp;YEAR(C68)</f>
        <v>056/1904</v>
      </c>
      <c r="C68" s="10">
        <f t="shared" si="1"/>
        <v>1671</v>
      </c>
      <c r="D68" s="7" t="str">
        <f>IF('Dados a Colocar'!$G$20="sim",'Conta-Corrente'!XFA68,'Conta-Corrente'!XFA67)</f>
        <v>56.º mês de renda</v>
      </c>
      <c r="E68" s="7" t="str">
        <f>IF('Dados a Colocar'!$G$20="sim",'Conta-Corrente'!XFB68,'Conta-Corrente'!XFB67)</f>
        <v>Julho de 1904</v>
      </c>
      <c r="F68" s="8">
        <f>IF('Dados a Colocar'!$G$20="sim",'Conta-Corrente'!XFC68,'Conta-Corrente'!XFC67)</f>
        <v>0</v>
      </c>
      <c r="G68" s="87"/>
      <c r="H68" s="88"/>
      <c r="XFA68" s="7" t="s">
        <v>164</v>
      </c>
      <c r="XFB68" s="7" t="str">
        <f>IFERROR(VLOOKUP(MONTH(C68)+1,Recibo!$IW$9:$IX$20,2,FALSE)&amp;" de "&amp;YEAR(C68),VLOOKUP(MONTH(C68)-11,Recibo!$IW$9:$IX$20,2,FALSE)&amp;" de "&amp;(YEAR(C68)+1))</f>
        <v>Agosto de 1904</v>
      </c>
      <c r="XFC68" s="156">
        <f>ROUND('Dados a Colocar'!$F$16+'Dados a Colocar'!$F$16*('Dados a Colocar'!$J$22+'Dados a Colocar'!$K$22+'Dados a Colocar'!$L$22+'Dados a Colocar'!$M$22),2)</f>
        <v>0</v>
      </c>
    </row>
    <row r="69" spans="1:8 16381:16383" x14ac:dyDescent="0.25">
      <c r="A69" s="4">
        <f t="shared" si="2"/>
        <v>1904</v>
      </c>
      <c r="B69" s="9" t="str">
        <f>"057/"&amp;YEAR(C69)</f>
        <v>057/1904</v>
      </c>
      <c r="C69" s="11">
        <f t="shared" si="1"/>
        <v>1702</v>
      </c>
      <c r="D69" s="9" t="str">
        <f>IF('Dados a Colocar'!$G$20="sim",'Conta-Corrente'!XFA69,'Conta-Corrente'!XFA68)</f>
        <v>57.º mês de renda</v>
      </c>
      <c r="E69" s="9" t="str">
        <f>IF('Dados a Colocar'!$G$20="sim",'Conta-Corrente'!XFB69,'Conta-Corrente'!XFB68)</f>
        <v>Agosto de 1904</v>
      </c>
      <c r="F69" s="6">
        <f>IF('Dados a Colocar'!$G$20="sim",'Conta-Corrente'!XFC69,'Conta-Corrente'!XFC68)</f>
        <v>0</v>
      </c>
      <c r="G69" s="85"/>
      <c r="H69" s="86"/>
      <c r="XFA69" s="91" t="s">
        <v>165</v>
      </c>
      <c r="XFB69" s="91" t="str">
        <f>IFERROR(VLOOKUP(MONTH(C69)+1,Recibo!$IW$9:$IX$20,2,FALSE)&amp;" de "&amp;YEAR(C69),VLOOKUP(MONTH(C69)-11,Recibo!$IW$9:$IX$20,2,FALSE)&amp;" de "&amp;(YEAR(C69)+1))</f>
        <v>Setembro de 1904</v>
      </c>
      <c r="XFC69" s="156">
        <f>ROUND('Dados a Colocar'!$F$16+'Dados a Colocar'!$F$16*('Dados a Colocar'!$J$22+'Dados a Colocar'!$K$22+'Dados a Colocar'!$L$22+'Dados a Colocar'!$M$22),2)</f>
        <v>0</v>
      </c>
    </row>
    <row r="70" spans="1:8 16381:16383" x14ac:dyDescent="0.25">
      <c r="A70" s="4">
        <f t="shared" si="2"/>
        <v>1904</v>
      </c>
      <c r="B70" s="7" t="str">
        <f>"058/"&amp;YEAR(C70)</f>
        <v>058/1904</v>
      </c>
      <c r="C70" s="10">
        <f t="shared" si="1"/>
        <v>1733</v>
      </c>
      <c r="D70" s="7" t="str">
        <f>IF('Dados a Colocar'!$G$20="sim",'Conta-Corrente'!XFA70,'Conta-Corrente'!XFA69)</f>
        <v>58.º mês de renda</v>
      </c>
      <c r="E70" s="7" t="str">
        <f>IF('Dados a Colocar'!$G$20="sim",'Conta-Corrente'!XFB70,'Conta-Corrente'!XFB69)</f>
        <v>Setembro de 1904</v>
      </c>
      <c r="F70" s="8">
        <f>IF('Dados a Colocar'!$G$20="sim",'Conta-Corrente'!XFC70,'Conta-Corrente'!XFC69)</f>
        <v>0</v>
      </c>
      <c r="G70" s="87"/>
      <c r="H70" s="88"/>
      <c r="XFA70" s="7" t="s">
        <v>166</v>
      </c>
      <c r="XFB70" s="7" t="str">
        <f>IFERROR(VLOOKUP(MONTH(C70)+1,Recibo!$IW$9:$IX$20,2,FALSE)&amp;" de "&amp;YEAR(C70),VLOOKUP(MONTH(C70)-11,Recibo!$IW$9:$IX$20,2,FALSE)&amp;" de "&amp;(YEAR(C70)+1))</f>
        <v>Outubro de 1904</v>
      </c>
      <c r="XFC70" s="156">
        <f>ROUND('Dados a Colocar'!$F$16+'Dados a Colocar'!$F$16*('Dados a Colocar'!$J$22+'Dados a Colocar'!$K$22+'Dados a Colocar'!$L$22+'Dados a Colocar'!$M$22),2)</f>
        <v>0</v>
      </c>
    </row>
    <row r="71" spans="1:8 16381:16383" x14ac:dyDescent="0.25">
      <c r="A71" s="4">
        <f t="shared" si="2"/>
        <v>1904</v>
      </c>
      <c r="B71" s="9" t="str">
        <f>"059/"&amp;YEAR(C71)</f>
        <v>059/1904</v>
      </c>
      <c r="C71" s="11">
        <f t="shared" si="1"/>
        <v>1763</v>
      </c>
      <c r="D71" s="9" t="str">
        <f>IF('Dados a Colocar'!$G$20="sim",'Conta-Corrente'!XFA71,'Conta-Corrente'!XFA70)</f>
        <v>59.º mês de renda</v>
      </c>
      <c r="E71" s="9" t="str">
        <f>IF('Dados a Colocar'!$G$20="sim",'Conta-Corrente'!XFB71,'Conta-Corrente'!XFB70)</f>
        <v>Outubro de 1904</v>
      </c>
      <c r="F71" s="6">
        <f>IF('Dados a Colocar'!$G$20="sim",'Conta-Corrente'!XFC71,'Conta-Corrente'!XFC70)</f>
        <v>0</v>
      </c>
      <c r="G71" s="85"/>
      <c r="H71" s="86"/>
      <c r="XFA71" s="91" t="s">
        <v>167</v>
      </c>
      <c r="XFB71" s="91" t="str">
        <f>IFERROR(VLOOKUP(MONTH(C71)+1,Recibo!$IW$9:$IX$20,2,FALSE)&amp;" de "&amp;YEAR(C71),VLOOKUP(MONTH(C71)-11,Recibo!$IW$9:$IX$20,2,FALSE)&amp;" de "&amp;(YEAR(C71)+1))</f>
        <v>Novembro de 1904</v>
      </c>
      <c r="XFC71" s="156">
        <f>ROUND('Dados a Colocar'!$F$16+'Dados a Colocar'!$F$16*('Dados a Colocar'!$J$22+'Dados a Colocar'!$K$22+'Dados a Colocar'!$L$22+'Dados a Colocar'!$M$22),2)</f>
        <v>0</v>
      </c>
    </row>
    <row r="72" spans="1:8 16381:16383" x14ac:dyDescent="0.25">
      <c r="A72" s="4">
        <f t="shared" si="2"/>
        <v>1904</v>
      </c>
      <c r="B72" s="7" t="str">
        <f>"060/"&amp;YEAR(C72)</f>
        <v>060/1904</v>
      </c>
      <c r="C72" s="10">
        <f t="shared" si="1"/>
        <v>1794</v>
      </c>
      <c r="D72" s="7" t="str">
        <f>IF('Dados a Colocar'!$G$20="sim",'Conta-Corrente'!XFA72,'Conta-Corrente'!XFA71)</f>
        <v>60.º mês de renda</v>
      </c>
      <c r="E72" s="7" t="str">
        <f>IF('Dados a Colocar'!$G$20="sim",'Conta-Corrente'!XFB72,'Conta-Corrente'!XFB71)</f>
        <v>Novembro de 1904</v>
      </c>
      <c r="F72" s="8">
        <f>IF('Dados a Colocar'!$G$20="sim",'Conta-Corrente'!XFC72,'Conta-Corrente'!XFC71)</f>
        <v>0</v>
      </c>
      <c r="G72" s="87"/>
      <c r="H72" s="88"/>
      <c r="XFA72" s="7" t="s">
        <v>168</v>
      </c>
      <c r="XFB72" s="7" t="str">
        <f>IFERROR(VLOOKUP(MONTH(C72)+1,Recibo!$IW$9:$IX$20,2,FALSE)&amp;" de "&amp;YEAR(C72),VLOOKUP(MONTH(C72)-11,Recibo!$IW$9:$IX$20,2,FALSE)&amp;" de "&amp;(YEAR(C72)+1))</f>
        <v>Dezembro de 1904</v>
      </c>
      <c r="XFC72" s="156">
        <f>ROUND('Dados a Colocar'!$F$16+'Dados a Colocar'!$F$16*('Dados a Colocar'!$J$22+'Dados a Colocar'!$K$22+'Dados a Colocar'!$L$22+'Dados a Colocar'!$M$22+'Dados a Colocar'!$N$22),2)</f>
        <v>0</v>
      </c>
    </row>
    <row r="73" spans="1:8 16381:16383" x14ac:dyDescent="0.25">
      <c r="A73" s="4">
        <f t="shared" si="2"/>
        <v>1904</v>
      </c>
      <c r="B73" s="9" t="str">
        <f>"061/"&amp;YEAR(C73)</f>
        <v>061/1904</v>
      </c>
      <c r="C73" s="11">
        <f t="shared" si="1"/>
        <v>1824</v>
      </c>
      <c r="D73" s="9" t="str">
        <f>IF('Dados a Colocar'!$G$20="sim",'Conta-Corrente'!XFA73,'Conta-Corrente'!XFA72)</f>
        <v>61.º mês de renda</v>
      </c>
      <c r="E73" s="9" t="str">
        <f>IF('Dados a Colocar'!$G$20="sim",'Conta-Corrente'!XFB73,'Conta-Corrente'!XFB72)</f>
        <v>Dezembro de 1904</v>
      </c>
      <c r="F73" s="6">
        <f>IF('Dados a Colocar'!$G$20="sim",'Conta-Corrente'!XFC73,'Conta-Corrente'!XFC72)</f>
        <v>0</v>
      </c>
      <c r="G73" s="85"/>
      <c r="H73" s="86"/>
      <c r="XFA73" s="91" t="s">
        <v>169</v>
      </c>
      <c r="XFB73" s="91" t="str">
        <f>IFERROR(VLOOKUP(MONTH(C73)+1,Recibo!$IW$9:$IX$20,2,FALSE)&amp;" de "&amp;YEAR(C73),VLOOKUP(MONTH(C73)-11,Recibo!$IW$9:$IX$20,2,FALSE)&amp;" de "&amp;(YEAR(C73)+1))</f>
        <v>Janeiro de 1905</v>
      </c>
      <c r="XFC73" s="156">
        <f>ROUND('Dados a Colocar'!$F$16+'Dados a Colocar'!$F$16*('Dados a Colocar'!$J$22+'Dados a Colocar'!$K$22+'Dados a Colocar'!$L$22+'Dados a Colocar'!$M$22+'Dados a Colocar'!$N$22),2)</f>
        <v>0</v>
      </c>
    </row>
    <row r="74" spans="1:8 16381:16383" x14ac:dyDescent="0.25">
      <c r="A74" s="4">
        <f t="shared" si="2"/>
        <v>1905</v>
      </c>
      <c r="B74" s="7" t="str">
        <f>"062/"&amp;YEAR(C74)</f>
        <v>062/1905</v>
      </c>
      <c r="C74" s="10">
        <f t="shared" si="1"/>
        <v>1855</v>
      </c>
      <c r="D74" s="7" t="str">
        <f>IF('Dados a Colocar'!$G$20="sim",'Conta-Corrente'!XFA74,'Conta-Corrente'!XFA73)</f>
        <v>62.º mês de renda</v>
      </c>
      <c r="E74" s="7" t="str">
        <f>IF('Dados a Colocar'!$G$20="sim",'Conta-Corrente'!XFB74,'Conta-Corrente'!XFB73)</f>
        <v>Janeiro de 1905</v>
      </c>
      <c r="F74" s="8">
        <f>IF('Dados a Colocar'!$G$20="sim",'Conta-Corrente'!XFC74,'Conta-Corrente'!XFC73)</f>
        <v>0</v>
      </c>
      <c r="G74" s="87"/>
      <c r="H74" s="88"/>
      <c r="XFA74" s="7" t="s">
        <v>170</v>
      </c>
      <c r="XFB74" s="7" t="str">
        <f>IFERROR(VLOOKUP(MONTH(C74)+1,Recibo!$IW$9:$IX$20,2,FALSE)&amp;" de "&amp;YEAR(C74),VLOOKUP(MONTH(C74)-11,Recibo!$IW$9:$IX$20,2,FALSE)&amp;" de "&amp;(YEAR(C74)+1))</f>
        <v>Fevereiro de 1905</v>
      </c>
      <c r="XFC74" s="156">
        <f>ROUND('Dados a Colocar'!$F$16+'Dados a Colocar'!$F$16*('Dados a Colocar'!$J$22+'Dados a Colocar'!$K$22+'Dados a Colocar'!$L$22+'Dados a Colocar'!$M$22+'Dados a Colocar'!$N$22),2)</f>
        <v>0</v>
      </c>
    </row>
    <row r="75" spans="1:8 16381:16383" x14ac:dyDescent="0.25">
      <c r="A75" s="4">
        <f t="shared" si="2"/>
        <v>1905</v>
      </c>
      <c r="B75" s="9" t="str">
        <f>"063/"&amp;YEAR(C75)</f>
        <v>063/1905</v>
      </c>
      <c r="C75" s="11">
        <f t="shared" si="1"/>
        <v>1886</v>
      </c>
      <c r="D75" s="9" t="str">
        <f>IF('Dados a Colocar'!$G$20="sim",'Conta-Corrente'!XFA75,'Conta-Corrente'!XFA74)</f>
        <v>63.º mês de renda</v>
      </c>
      <c r="E75" s="9" t="str">
        <f>IF('Dados a Colocar'!$G$20="sim",'Conta-Corrente'!XFB75,'Conta-Corrente'!XFB74)</f>
        <v>Fevereiro de 1905</v>
      </c>
      <c r="F75" s="6">
        <f>IF('Dados a Colocar'!$G$20="sim",'Conta-Corrente'!XFC75,'Conta-Corrente'!XFC74)</f>
        <v>0</v>
      </c>
      <c r="G75" s="85"/>
      <c r="H75" s="86"/>
      <c r="XFA75" s="91" t="s">
        <v>171</v>
      </c>
      <c r="XFB75" s="91" t="str">
        <f>IFERROR(VLOOKUP(MONTH(C75)+1,Recibo!$IW$9:$IX$20,2,FALSE)&amp;" de "&amp;YEAR(C75),VLOOKUP(MONTH(C75)-11,Recibo!$IW$9:$IX$20,2,FALSE)&amp;" de "&amp;(YEAR(C75)+1))</f>
        <v>Março de 1905</v>
      </c>
      <c r="XFC75" s="156">
        <f>ROUND('Dados a Colocar'!$F$16+'Dados a Colocar'!$F$16*('Dados a Colocar'!$J$22+'Dados a Colocar'!$K$22+'Dados a Colocar'!$L$22+'Dados a Colocar'!$M$22+'Dados a Colocar'!$N$22),2)</f>
        <v>0</v>
      </c>
    </row>
    <row r="76" spans="1:8 16381:16383" x14ac:dyDescent="0.25">
      <c r="A76" s="4">
        <f t="shared" si="2"/>
        <v>1905</v>
      </c>
      <c r="B76" s="7" t="str">
        <f>"064/"&amp;YEAR(C76)</f>
        <v>064/1905</v>
      </c>
      <c r="C76" s="10">
        <f t="shared" si="1"/>
        <v>1914</v>
      </c>
      <c r="D76" s="7" t="str">
        <f>IF('Dados a Colocar'!$G$20="sim",'Conta-Corrente'!XFA76,'Conta-Corrente'!XFA75)</f>
        <v>64.º mês de renda</v>
      </c>
      <c r="E76" s="7" t="str">
        <f>IF('Dados a Colocar'!$G$20="sim",'Conta-Corrente'!XFB76,'Conta-Corrente'!XFB75)</f>
        <v>Março de 1905</v>
      </c>
      <c r="F76" s="8">
        <f>IF('Dados a Colocar'!$G$20="sim",'Conta-Corrente'!XFC76,'Conta-Corrente'!XFC75)</f>
        <v>0</v>
      </c>
      <c r="G76" s="87"/>
      <c r="H76" s="88"/>
      <c r="XFA76" s="7" t="s">
        <v>172</v>
      </c>
      <c r="XFB76" s="7" t="str">
        <f>IFERROR(VLOOKUP(MONTH(C76)+1,Recibo!$IW$9:$IX$20,2,FALSE)&amp;" de "&amp;YEAR(C76),VLOOKUP(MONTH(C76)-11,Recibo!$IW$9:$IX$20,2,FALSE)&amp;" de "&amp;(YEAR(C76)+1))</f>
        <v>Abril de 1905</v>
      </c>
      <c r="XFC76" s="156">
        <f>ROUND('Dados a Colocar'!$F$16+'Dados a Colocar'!$F$16*('Dados a Colocar'!$J$22+'Dados a Colocar'!$K$22+'Dados a Colocar'!$L$22+'Dados a Colocar'!$M$22+'Dados a Colocar'!$N$22),2)</f>
        <v>0</v>
      </c>
    </row>
    <row r="77" spans="1:8 16381:16383" x14ac:dyDescent="0.25">
      <c r="A77" s="4">
        <f t="shared" si="2"/>
        <v>1905</v>
      </c>
      <c r="B77" s="9" t="str">
        <f>"065/"&amp;YEAR(C77)</f>
        <v>065/1905</v>
      </c>
      <c r="C77" s="11">
        <f t="shared" si="1"/>
        <v>1945</v>
      </c>
      <c r="D77" s="9" t="str">
        <f>IF('Dados a Colocar'!$G$20="sim",'Conta-Corrente'!XFA77,'Conta-Corrente'!XFA76)</f>
        <v>65.º mês de renda</v>
      </c>
      <c r="E77" s="9" t="str">
        <f>IF('Dados a Colocar'!$G$20="sim",'Conta-Corrente'!XFB77,'Conta-Corrente'!XFB76)</f>
        <v>Abril de 1905</v>
      </c>
      <c r="F77" s="6">
        <f>IF('Dados a Colocar'!$G$20="sim",'Conta-Corrente'!XFC77,'Conta-Corrente'!XFC76)</f>
        <v>0</v>
      </c>
      <c r="G77" s="85"/>
      <c r="H77" s="86"/>
      <c r="XFA77" s="91" t="s">
        <v>173</v>
      </c>
      <c r="XFB77" s="91" t="str">
        <f>IFERROR(VLOOKUP(MONTH(C77)+1,Recibo!$IW$9:$IX$20,2,FALSE)&amp;" de "&amp;YEAR(C77),VLOOKUP(MONTH(C77)-11,Recibo!$IW$9:$IX$20,2,FALSE)&amp;" de "&amp;(YEAR(C77)+1))</f>
        <v>Maio de 1905</v>
      </c>
      <c r="XFC77" s="156">
        <f>ROUND('Dados a Colocar'!$F$16+'Dados a Colocar'!$F$16*('Dados a Colocar'!$J$22+'Dados a Colocar'!$K$22+'Dados a Colocar'!$L$22+'Dados a Colocar'!$M$22+'Dados a Colocar'!$N$22),2)</f>
        <v>0</v>
      </c>
    </row>
    <row r="78" spans="1:8 16381:16383" x14ac:dyDescent="0.25">
      <c r="A78" s="4">
        <f t="shared" si="2"/>
        <v>1905</v>
      </c>
      <c r="B78" s="7" t="str">
        <f>"066/"&amp;YEAR(C78)</f>
        <v>066/1905</v>
      </c>
      <c r="C78" s="10">
        <f t="shared" si="1"/>
        <v>1975</v>
      </c>
      <c r="D78" s="7" t="str">
        <f>IF('Dados a Colocar'!$G$20="sim",'Conta-Corrente'!XFA78,'Conta-Corrente'!XFA77)</f>
        <v>66.º mês de renda</v>
      </c>
      <c r="E78" s="7" t="str">
        <f>IF('Dados a Colocar'!$G$20="sim",'Conta-Corrente'!XFB78,'Conta-Corrente'!XFB77)</f>
        <v>Maio de 1905</v>
      </c>
      <c r="F78" s="8">
        <f>IF('Dados a Colocar'!$G$20="sim",'Conta-Corrente'!XFC78,'Conta-Corrente'!XFC77)</f>
        <v>0</v>
      </c>
      <c r="G78" s="87"/>
      <c r="H78" s="88"/>
      <c r="XFA78" s="7" t="s">
        <v>174</v>
      </c>
      <c r="XFB78" s="7" t="str">
        <f>IFERROR(VLOOKUP(MONTH(C78)+1,Recibo!$IW$9:$IX$20,2,FALSE)&amp;" de "&amp;YEAR(C78),VLOOKUP(MONTH(C78)-11,Recibo!$IW$9:$IX$20,2,FALSE)&amp;" de "&amp;(YEAR(C78)+1))</f>
        <v>Junho de 1905</v>
      </c>
      <c r="XFC78" s="156">
        <f>ROUND('Dados a Colocar'!$F$16+'Dados a Colocar'!$F$16*('Dados a Colocar'!$J$22+'Dados a Colocar'!$K$22+'Dados a Colocar'!$L$22+'Dados a Colocar'!$M$22+'Dados a Colocar'!$N$22),2)</f>
        <v>0</v>
      </c>
    </row>
    <row r="79" spans="1:8 16381:16383" x14ac:dyDescent="0.25">
      <c r="A79" s="4">
        <f t="shared" si="2"/>
        <v>1905</v>
      </c>
      <c r="B79" s="9" t="str">
        <f>"067/"&amp;YEAR(C79)</f>
        <v>067/1905</v>
      </c>
      <c r="C79" s="11">
        <f t="shared" si="1"/>
        <v>2006</v>
      </c>
      <c r="D79" s="9" t="str">
        <f>IF('Dados a Colocar'!$G$20="sim",'Conta-Corrente'!XFA79,'Conta-Corrente'!XFA78)</f>
        <v>67.º mês de renda</v>
      </c>
      <c r="E79" s="9" t="str">
        <f>IF('Dados a Colocar'!$G$20="sim",'Conta-Corrente'!XFB79,'Conta-Corrente'!XFB78)</f>
        <v>Junho de 1905</v>
      </c>
      <c r="F79" s="6">
        <f>IF('Dados a Colocar'!$G$20="sim",'Conta-Corrente'!XFC79,'Conta-Corrente'!XFC78)</f>
        <v>0</v>
      </c>
      <c r="G79" s="85"/>
      <c r="H79" s="86"/>
      <c r="XFA79" s="91" t="s">
        <v>175</v>
      </c>
      <c r="XFB79" s="91" t="str">
        <f>IFERROR(VLOOKUP(MONTH(C79)+1,Recibo!$IW$9:$IX$20,2,FALSE)&amp;" de "&amp;YEAR(C79),VLOOKUP(MONTH(C79)-11,Recibo!$IW$9:$IX$20,2,FALSE)&amp;" de "&amp;(YEAR(C79)+1))</f>
        <v>Julho de 1905</v>
      </c>
      <c r="XFC79" s="156">
        <f>ROUND('Dados a Colocar'!$F$16+'Dados a Colocar'!$F$16*('Dados a Colocar'!$J$22+'Dados a Colocar'!$K$22+'Dados a Colocar'!$L$22+'Dados a Colocar'!$M$22+'Dados a Colocar'!$N$22),2)</f>
        <v>0</v>
      </c>
    </row>
    <row r="80" spans="1:8 16381:16383" x14ac:dyDescent="0.25">
      <c r="A80" s="4">
        <f t="shared" ref="A80:A83" si="3">YEAR(C80)</f>
        <v>1905</v>
      </c>
      <c r="B80" s="7" t="str">
        <f>"068/"&amp;YEAR(C80)</f>
        <v>068/1905</v>
      </c>
      <c r="C80" s="10">
        <f t="shared" si="1"/>
        <v>2036</v>
      </c>
      <c r="D80" s="7" t="str">
        <f>IF('Dados a Colocar'!$G$20="sim",'Conta-Corrente'!XFA80,'Conta-Corrente'!XFA79)</f>
        <v>68.º mês de renda</v>
      </c>
      <c r="E80" s="7" t="str">
        <f>IF('Dados a Colocar'!$G$20="sim",'Conta-Corrente'!XFB80,'Conta-Corrente'!XFB79)</f>
        <v>Julho de 1905</v>
      </c>
      <c r="F80" s="8">
        <f>IF('Dados a Colocar'!$G$20="sim",'Conta-Corrente'!XFC80,'Conta-Corrente'!XFC79)</f>
        <v>0</v>
      </c>
      <c r="G80" s="87"/>
      <c r="H80" s="88"/>
      <c r="XFA80" s="7" t="s">
        <v>176</v>
      </c>
      <c r="XFB80" s="7" t="str">
        <f>IFERROR(VLOOKUP(MONTH(C80)+1,Recibo!$IW$9:$IX$20,2,FALSE)&amp;" de "&amp;YEAR(C80),VLOOKUP(MONTH(C80)-11,Recibo!$IW$9:$IX$20,2,FALSE)&amp;" de "&amp;(YEAR(C80)+1))</f>
        <v>Agosto de 1905</v>
      </c>
      <c r="XFC80" s="156">
        <f>ROUND('Dados a Colocar'!$F$16+'Dados a Colocar'!$F$16*('Dados a Colocar'!$J$22+'Dados a Colocar'!$K$22+'Dados a Colocar'!$L$22+'Dados a Colocar'!$M$22+'Dados a Colocar'!$N$22),2)</f>
        <v>0</v>
      </c>
    </row>
    <row r="81" spans="1:8 16381:16383" x14ac:dyDescent="0.25">
      <c r="A81" s="4">
        <f t="shared" si="3"/>
        <v>1905</v>
      </c>
      <c r="B81" s="9" t="str">
        <f>"069/"&amp;YEAR(C81)</f>
        <v>069/1905</v>
      </c>
      <c r="C81" s="11">
        <f t="shared" ref="C81:C83" si="4">EDATE(C80,1)</f>
        <v>2067</v>
      </c>
      <c r="D81" s="9" t="str">
        <f>IF('Dados a Colocar'!$G$20="sim",'Conta-Corrente'!XFA81,'Conta-Corrente'!XFA80)</f>
        <v>69.º mês de renda</v>
      </c>
      <c r="E81" s="9" t="str">
        <f>IF('Dados a Colocar'!$G$20="sim",'Conta-Corrente'!XFB81,'Conta-Corrente'!XFB80)</f>
        <v>Agosto de 1905</v>
      </c>
      <c r="F81" s="6">
        <f>IF('Dados a Colocar'!$G$20="sim",'Conta-Corrente'!XFC81,'Conta-Corrente'!XFC80)</f>
        <v>0</v>
      </c>
      <c r="G81" s="85"/>
      <c r="H81" s="86"/>
      <c r="XFA81" s="91" t="s">
        <v>177</v>
      </c>
      <c r="XFB81" s="91" t="str">
        <f>IFERROR(VLOOKUP(MONTH(C81)+1,Recibo!$IW$9:$IX$20,2,FALSE)&amp;" de "&amp;YEAR(C81),VLOOKUP(MONTH(C81)-11,Recibo!$IW$9:$IX$20,2,FALSE)&amp;" de "&amp;(YEAR(C81)+1))</f>
        <v>Setembro de 1905</v>
      </c>
      <c r="XFC81" s="156">
        <f>ROUND('Dados a Colocar'!$F$16+'Dados a Colocar'!$F$16*('Dados a Colocar'!$J$22+'Dados a Colocar'!$K$22+'Dados a Colocar'!$L$22+'Dados a Colocar'!$M$22+'Dados a Colocar'!$N$22),2)</f>
        <v>0</v>
      </c>
    </row>
    <row r="82" spans="1:8 16381:16383" x14ac:dyDescent="0.25">
      <c r="A82" s="4">
        <f t="shared" si="3"/>
        <v>1905</v>
      </c>
      <c r="B82" s="7" t="str">
        <f>"070/"&amp;YEAR(C82)</f>
        <v>070/1905</v>
      </c>
      <c r="C82" s="10">
        <f t="shared" si="4"/>
        <v>2098</v>
      </c>
      <c r="D82" s="7" t="str">
        <f>IF('Dados a Colocar'!$G$20="sim",'Conta-Corrente'!XFA82,'Conta-Corrente'!XFA81)</f>
        <v>70.º mês de renda</v>
      </c>
      <c r="E82" s="7" t="str">
        <f>IF('Dados a Colocar'!$G$20="sim",'Conta-Corrente'!XFB82,'Conta-Corrente'!XFB81)</f>
        <v>Setembro de 1905</v>
      </c>
      <c r="F82" s="8">
        <f>IF('Dados a Colocar'!$G$20="sim",'Conta-Corrente'!XFC82,'Conta-Corrente'!XFC81)</f>
        <v>0</v>
      </c>
      <c r="G82" s="87"/>
      <c r="H82" s="88"/>
      <c r="XFA82" s="7" t="s">
        <v>178</v>
      </c>
      <c r="XFB82" s="7" t="str">
        <f>IFERROR(VLOOKUP(MONTH(C82)+1,Recibo!$IW$9:$IX$20,2,FALSE)&amp;" de "&amp;YEAR(C82),VLOOKUP(MONTH(C82)-11,Recibo!$IW$9:$IX$20,2,FALSE)&amp;" de "&amp;(YEAR(C82)+1))</f>
        <v>Outubro de 1905</v>
      </c>
      <c r="XFC82" s="156">
        <f>ROUND('Dados a Colocar'!$F$16+'Dados a Colocar'!$F$16*('Dados a Colocar'!$J$22+'Dados a Colocar'!$K$22+'Dados a Colocar'!$L$22+'Dados a Colocar'!$M$22+'Dados a Colocar'!$N$22),2)</f>
        <v>0</v>
      </c>
    </row>
    <row r="83" spans="1:8 16381:16383" ht="15.75" thickBot="1" x14ac:dyDescent="0.3">
      <c r="A83" s="4">
        <f t="shared" si="3"/>
        <v>1905</v>
      </c>
      <c r="B83" s="9" t="str">
        <f>"071/"&amp;YEAR(C83)</f>
        <v>071/1905</v>
      </c>
      <c r="C83" s="11">
        <f t="shared" si="4"/>
        <v>2128</v>
      </c>
      <c r="D83" s="9" t="str">
        <f>IF('Dados a Colocar'!$G$20="sim",'Conta-Corrente'!XFA83,'Conta-Corrente'!XFA82)</f>
        <v>71.º mês de renda</v>
      </c>
      <c r="E83" s="9" t="str">
        <f>IF('Dados a Colocar'!$G$20="sim",'Conta-Corrente'!XFB83,'Conta-Corrente'!XFB82)</f>
        <v>Outubro de 1905</v>
      </c>
      <c r="F83" s="6">
        <f>IF('Dados a Colocar'!$G$20="sim",'Conta-Corrente'!XFC83,'Conta-Corrente'!XFC82)</f>
        <v>0</v>
      </c>
      <c r="G83" s="85"/>
      <c r="H83" s="86"/>
      <c r="XFA83" s="91" t="s">
        <v>179</v>
      </c>
      <c r="XFB83" s="91" t="str">
        <f>IFERROR(VLOOKUP(MONTH(C83)+1,Recibo!$IW$9:$IX$20,2,FALSE)&amp;" de "&amp;YEAR(C83),VLOOKUP(MONTH(C83)-11,Recibo!$IW$9:$IX$20,2,FALSE)&amp;" de "&amp;(YEAR(C83)+1))</f>
        <v>Novembro de 1905</v>
      </c>
      <c r="XFC83" s="156">
        <f>ROUND('Dados a Colocar'!$F$16+'Dados a Colocar'!$F$16*('Dados a Colocar'!$J$22+'Dados a Colocar'!$K$22+'Dados a Colocar'!$L$22+'Dados a Colocar'!$M$22+'Dados a Colocar'!$N$22),2)</f>
        <v>0</v>
      </c>
    </row>
    <row r="84" spans="1:8 16381:16383" ht="15.75" thickTop="1" x14ac:dyDescent="0.25">
      <c r="E84" s="12" t="s">
        <v>93</v>
      </c>
      <c r="F84" s="13">
        <f>SUBTOTAL(109,'Conta-Corrente'!$F$11:$F$24)</f>
        <v>0</v>
      </c>
    </row>
    <row r="87" spans="1:8 16381:16383" ht="18.75" customHeight="1" x14ac:dyDescent="0.25"/>
  </sheetData>
  <sheetProtection password="A081" sheet="1" objects="1" scenarios="1" selectLockedCells="1" autoFilter="0"/>
  <autoFilter ref="B10:H10"/>
  <mergeCells count="5">
    <mergeCell ref="G4:H4"/>
    <mergeCell ref="B11:B13"/>
    <mergeCell ref="C11:C13"/>
    <mergeCell ref="B6:E6"/>
    <mergeCell ref="B8:E8"/>
  </mergeCells>
  <dataValidations count="2">
    <dataValidation type="list" allowBlank="1" showInputMessage="1" showErrorMessage="1" sqref="G11:H83">
      <formula1>"Sim, Não"</formula1>
    </dataValidation>
    <dataValidation allowBlank="1" showInputMessage="1" showErrorMessage="1" promptTitle="Informação" prompt="Se alterar o ano, dará o valor total de recibos emitidos, e rendas pagas, referente a esse ano." sqref="C4"/>
  </dataValidations>
  <hyperlinks>
    <hyperlink ref="J2" r:id="rId1"/>
  </hyperlinks>
  <pageMargins left="0.23622047244094491" right="0.19685039370078741" top="0.49" bottom="0.52" header="0.4" footer="0.19685039370078741"/>
  <pageSetup paperSize="9" scale="91" fitToHeight="2" orientation="portrait" verticalDpi="0" r:id="rId2"/>
  <headerFooter>
    <oddFooter>&amp;L&amp;D&amp;RPág. &amp;P de &amp;N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M49"/>
  <sheetViews>
    <sheetView showGridLines="0" workbookViewId="0">
      <selection activeCell="M1" sqref="M1:M2"/>
    </sheetView>
  </sheetViews>
  <sheetFormatPr defaultRowHeight="15" x14ac:dyDescent="0.25"/>
  <cols>
    <col min="1" max="1" width="9.140625" style="52"/>
    <col min="2" max="2" width="5" style="52" customWidth="1"/>
    <col min="3" max="3" width="19.85546875" style="52" customWidth="1"/>
    <col min="4" max="16384" width="9.140625" style="52"/>
  </cols>
  <sheetData>
    <row r="1" spans="3:13" x14ac:dyDescent="0.25">
      <c r="M1" s="81" t="s">
        <v>106</v>
      </c>
    </row>
    <row r="2" spans="3:13" ht="26.25" x14ac:dyDescent="0.4">
      <c r="C2" s="135" t="s">
        <v>65</v>
      </c>
      <c r="D2" s="135"/>
      <c r="E2" s="135"/>
      <c r="F2" s="135"/>
      <c r="G2" s="135"/>
      <c r="H2" s="135"/>
      <c r="I2" s="135"/>
      <c r="J2" s="135"/>
      <c r="M2" s="82" t="s">
        <v>107</v>
      </c>
    </row>
    <row r="3" spans="3:13" ht="18.75" x14ac:dyDescent="0.3">
      <c r="C3" s="136" t="s">
        <v>66</v>
      </c>
      <c r="D3" s="136"/>
      <c r="E3" s="136"/>
      <c r="F3" s="136"/>
      <c r="G3" s="136"/>
      <c r="H3" s="136"/>
      <c r="I3" s="136"/>
      <c r="J3" s="136"/>
    </row>
    <row r="4" spans="3:13" x14ac:dyDescent="0.25">
      <c r="C4" s="137" t="s">
        <v>104</v>
      </c>
      <c r="D4" s="137"/>
      <c r="E4" s="137"/>
      <c r="F4" s="137"/>
      <c r="G4" s="137"/>
      <c r="H4" s="137"/>
      <c r="I4" s="137"/>
      <c r="J4" s="137"/>
    </row>
    <row r="7" spans="3:13" ht="20.25" thickBot="1" x14ac:dyDescent="0.35">
      <c r="C7" s="98" t="s">
        <v>67</v>
      </c>
      <c r="D7" s="98"/>
      <c r="E7" s="98"/>
      <c r="F7" s="98"/>
      <c r="G7" s="98"/>
      <c r="H7" s="98"/>
      <c r="I7" s="98"/>
      <c r="J7" s="98"/>
    </row>
    <row r="8" spans="3:13" ht="15.75" thickTop="1" x14ac:dyDescent="0.25"/>
    <row r="9" spans="3:13" ht="18.75" x14ac:dyDescent="0.3">
      <c r="C9" s="71" t="s">
        <v>103</v>
      </c>
      <c r="D9" s="72">
        <f>'Conta-Corrente'!C4</f>
        <v>2010</v>
      </c>
    </row>
    <row r="10" spans="3:13" ht="18.75" x14ac:dyDescent="0.3">
      <c r="C10" s="71"/>
      <c r="D10" s="72"/>
    </row>
    <row r="12" spans="3:13" ht="20.25" thickBot="1" x14ac:dyDescent="0.35">
      <c r="C12" s="98" t="s">
        <v>68</v>
      </c>
      <c r="D12" s="98"/>
      <c r="E12" s="98"/>
      <c r="F12" s="98"/>
      <c r="G12" s="98"/>
      <c r="H12" s="98"/>
      <c r="I12" s="98"/>
      <c r="J12" s="98"/>
    </row>
    <row r="13" spans="3:13" ht="15.75" thickTop="1" x14ac:dyDescent="0.25"/>
    <row r="14" spans="3:13" ht="17.25" x14ac:dyDescent="0.3">
      <c r="C14" s="71" t="s">
        <v>6</v>
      </c>
      <c r="D14" s="138" t="str">
        <f>IF('Dados a Colocar'!D28="","",'Dados a Colocar'!D28)</f>
        <v/>
      </c>
      <c r="E14" s="138"/>
      <c r="F14" s="138"/>
      <c r="G14" s="138"/>
      <c r="H14" s="138"/>
      <c r="I14" s="138"/>
      <c r="J14" s="138"/>
    </row>
    <row r="15" spans="3:13" ht="17.25" x14ac:dyDescent="0.3">
      <c r="C15" s="71" t="s">
        <v>9</v>
      </c>
      <c r="D15" s="138" t="str">
        <f>IF('Dados a Colocar'!D30="","",'Dados a Colocar'!D30)</f>
        <v/>
      </c>
      <c r="E15" s="138"/>
      <c r="F15" s="138"/>
      <c r="G15" s="138"/>
      <c r="H15" s="138"/>
      <c r="I15" s="138"/>
      <c r="J15" s="138"/>
    </row>
    <row r="16" spans="3:13" ht="17.25" x14ac:dyDescent="0.3">
      <c r="C16" s="71" t="s">
        <v>12</v>
      </c>
      <c r="D16" s="73" t="str">
        <f>IF('Dados a Colocar'!F34="","",'Dados a Colocar'!F34)</f>
        <v/>
      </c>
      <c r="E16" s="138" t="str">
        <f>IF('Dados a Colocar'!E32="","",'Dados a Colocar'!E32)</f>
        <v/>
      </c>
      <c r="F16" s="138"/>
      <c r="G16" s="138"/>
      <c r="H16" s="138"/>
      <c r="I16" s="138"/>
      <c r="J16" s="138"/>
    </row>
    <row r="17" spans="3:10" ht="17.25" x14ac:dyDescent="0.3">
      <c r="C17" s="71" t="s">
        <v>97</v>
      </c>
      <c r="D17" s="139" t="str">
        <f>IF('Dados a Colocar'!F36="","",'Dados a Colocar'!F36)</f>
        <v/>
      </c>
      <c r="E17" s="139"/>
      <c r="F17" s="73"/>
      <c r="G17" s="73"/>
      <c r="H17" s="73"/>
      <c r="I17" s="73"/>
      <c r="J17" s="73"/>
    </row>
    <row r="20" spans="3:10" ht="20.25" thickBot="1" x14ac:dyDescent="0.35">
      <c r="C20" s="98" t="s">
        <v>69</v>
      </c>
      <c r="D20" s="98"/>
      <c r="E20" s="98"/>
      <c r="F20" s="98"/>
      <c r="G20" s="98"/>
      <c r="H20" s="98"/>
      <c r="I20" s="98"/>
      <c r="J20" s="98"/>
    </row>
    <row r="21" spans="3:10" ht="15.75" thickTop="1" x14ac:dyDescent="0.25"/>
    <row r="22" spans="3:10" ht="17.25" x14ac:dyDescent="0.3">
      <c r="C22" s="71" t="s">
        <v>6</v>
      </c>
      <c r="D22" s="138" t="str">
        <f>IF('Dados a Colocar'!D56="","",'Dados a Colocar'!D56)</f>
        <v/>
      </c>
      <c r="E22" s="138"/>
      <c r="F22" s="138"/>
      <c r="G22" s="138"/>
      <c r="H22" s="138"/>
      <c r="I22" s="138"/>
      <c r="J22" s="138"/>
    </row>
    <row r="23" spans="3:10" ht="17.25" x14ac:dyDescent="0.3">
      <c r="C23" s="71" t="s">
        <v>9</v>
      </c>
      <c r="D23" s="138" t="str">
        <f>IF('Dados a Colocar'!D58="","",'Dados a Colocar'!D58)</f>
        <v/>
      </c>
      <c r="E23" s="138"/>
      <c r="F23" s="138"/>
      <c r="G23" s="138"/>
      <c r="H23" s="138"/>
      <c r="I23" s="138"/>
      <c r="J23" s="138"/>
    </row>
    <row r="24" spans="3:10" ht="17.25" x14ac:dyDescent="0.3">
      <c r="C24" s="71" t="s">
        <v>12</v>
      </c>
      <c r="D24" s="73" t="str">
        <f>IF('Dados a Colocar'!F62="","",'Dados a Colocar'!F62)</f>
        <v/>
      </c>
      <c r="E24" s="138" t="str">
        <f>IF('Dados a Colocar'!E60="","",'Dados a Colocar'!E60)</f>
        <v/>
      </c>
      <c r="F24" s="138"/>
      <c r="G24" s="138"/>
      <c r="H24" s="138"/>
      <c r="I24" s="138"/>
      <c r="J24" s="138"/>
    </row>
    <row r="25" spans="3:10" ht="17.25" x14ac:dyDescent="0.3">
      <c r="C25" s="71" t="s">
        <v>97</v>
      </c>
      <c r="D25" s="139" t="str">
        <f>IF('Dados a Colocar'!F64="","",'Dados a Colocar'!F64)</f>
        <v/>
      </c>
      <c r="E25" s="139"/>
      <c r="F25" s="73"/>
      <c r="G25" s="73"/>
      <c r="H25" s="73"/>
      <c r="I25" s="73"/>
      <c r="J25" s="73"/>
    </row>
    <row r="28" spans="3:10" ht="20.25" thickBot="1" x14ac:dyDescent="0.35">
      <c r="C28" s="98" t="s">
        <v>70</v>
      </c>
      <c r="D28" s="98"/>
      <c r="E28" s="98"/>
      <c r="F28" s="98"/>
      <c r="G28" s="98"/>
      <c r="H28" s="98"/>
      <c r="I28" s="98"/>
      <c r="J28" s="98"/>
    </row>
    <row r="29" spans="3:10" ht="15.75" thickTop="1" x14ac:dyDescent="0.25"/>
    <row r="30" spans="3:10" ht="17.25" x14ac:dyDescent="0.3">
      <c r="C30" s="71" t="s">
        <v>71</v>
      </c>
      <c r="D30" s="74" t="str">
        <f>IF('Dados a Colocar'!B26="X","IRS Prediais",IF('Dados a Colocar'!G26="X","IRS Prediais","Nota: Tem que escolher na folha Dados a Colocar se o senhorio é particular ou uma empresa"))</f>
        <v>Nota: Tem que escolher na folha Dados a Colocar se o senhorio é particular ou uma empresa</v>
      </c>
    </row>
    <row r="32" spans="3:10" ht="15.75" x14ac:dyDescent="0.25">
      <c r="D32" s="75" t="s">
        <v>98</v>
      </c>
      <c r="I32" s="141">
        <f>'Conta-Corrente'!F6</f>
        <v>0</v>
      </c>
      <c r="J32" s="141"/>
    </row>
    <row r="33" spans="3:10" ht="17.25" x14ac:dyDescent="0.3">
      <c r="D33" s="71"/>
      <c r="I33" s="76"/>
      <c r="J33" s="76"/>
    </row>
    <row r="34" spans="3:10" ht="15.75" x14ac:dyDescent="0.25">
      <c r="D34" s="75" t="s">
        <v>99</v>
      </c>
      <c r="I34" s="141">
        <f>IF(Recibo!$Q$30="X",0,I32)</f>
        <v>0</v>
      </c>
      <c r="J34" s="141"/>
    </row>
    <row r="35" spans="3:10" ht="17.25" x14ac:dyDescent="0.3">
      <c r="D35" s="71"/>
      <c r="I35" s="76"/>
      <c r="J35" s="76"/>
    </row>
    <row r="36" spans="3:10" ht="15.75" x14ac:dyDescent="0.25">
      <c r="D36" s="75" t="s">
        <v>100</v>
      </c>
      <c r="I36" s="141">
        <f>IF(Recibo!$Q$30="X",0,I34*15%)</f>
        <v>0</v>
      </c>
      <c r="J36" s="141"/>
    </row>
    <row r="37" spans="3:10" ht="17.25" x14ac:dyDescent="0.3">
      <c r="D37" s="71"/>
      <c r="I37" s="76"/>
      <c r="J37" s="76"/>
    </row>
    <row r="38" spans="3:10" ht="15.75" x14ac:dyDescent="0.25">
      <c r="D38" s="75" t="s">
        <v>101</v>
      </c>
      <c r="I38" s="141">
        <f>I32-I36</f>
        <v>0</v>
      </c>
      <c r="J38" s="141"/>
    </row>
    <row r="44" spans="3:10" x14ac:dyDescent="0.25">
      <c r="C44" s="52" t="str">
        <f>'Dados a Colocar'!E32&amp;" , 20 de Janeiro de "&amp;'Conta-Corrente'!C4</f>
        <v xml:space="preserve"> , 20 de Janeiro de 2010</v>
      </c>
    </row>
    <row r="49" spans="3:6" x14ac:dyDescent="0.25">
      <c r="C49" s="140" t="s">
        <v>102</v>
      </c>
      <c r="D49" s="140"/>
      <c r="E49" s="140"/>
      <c r="F49" s="140"/>
    </row>
  </sheetData>
  <sheetProtection password="A081" sheet="1" objects="1" scenarios="1" selectLockedCells="1"/>
  <mergeCells count="20">
    <mergeCell ref="C28:J28"/>
    <mergeCell ref="C49:F49"/>
    <mergeCell ref="I32:J32"/>
    <mergeCell ref="I34:J34"/>
    <mergeCell ref="I36:J36"/>
    <mergeCell ref="I38:J38"/>
    <mergeCell ref="C2:J2"/>
    <mergeCell ref="C3:J3"/>
    <mergeCell ref="C4:J4"/>
    <mergeCell ref="E24:J24"/>
    <mergeCell ref="D25:E25"/>
    <mergeCell ref="C7:J7"/>
    <mergeCell ref="C12:J12"/>
    <mergeCell ref="C20:J20"/>
    <mergeCell ref="D14:J14"/>
    <mergeCell ref="D15:J15"/>
    <mergeCell ref="E16:J16"/>
    <mergeCell ref="D17:E17"/>
    <mergeCell ref="D22:J22"/>
    <mergeCell ref="D23:J23"/>
  </mergeCells>
  <hyperlinks>
    <hyperlink ref="M2" r:id="rId1"/>
  </hyperlinks>
  <printOptions horizontalCentered="1" verticalCentered="1"/>
  <pageMargins left="0.70866141732283472" right="0.70866141732283472" top="0.47244094488188981" bottom="0.27559055118110237" header="0.31496062992125984" footer="0.31496062992125984"/>
  <pageSetup paperSize="9" scale="98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Índice</vt:lpstr>
      <vt:lpstr>Dados a Colocar</vt:lpstr>
      <vt:lpstr>Recibo</vt:lpstr>
      <vt:lpstr>Conta-Corrente</vt:lpstr>
      <vt:lpstr>Declaração para IRS</vt:lpstr>
      <vt:lpstr>'Conta-Corrente'!Print_Area</vt:lpstr>
      <vt:lpstr>'Declaração para IRS'!Print_Area</vt:lpstr>
      <vt:lpstr>Recibo!Print_Area</vt:lpstr>
      <vt:lpstr>'Conta-Corrente'!Print_Titles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Proiete</dc:creator>
  <cp:lastModifiedBy>Maria Proiete</cp:lastModifiedBy>
  <cp:lastPrinted>2010-01-10T19:24:16Z</cp:lastPrinted>
  <dcterms:created xsi:type="dcterms:W3CDTF">2010-01-10T12:16:53Z</dcterms:created>
  <dcterms:modified xsi:type="dcterms:W3CDTF">2010-05-16T21:35:10Z</dcterms:modified>
</cp:coreProperties>
</file>