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esktop\Solar\"/>
    </mc:Choice>
  </mc:AlternateContent>
  <xr:revisionPtr revIDLastSave="0" documentId="13_ncr:1_{BD177053-EFAE-4FEB-A02C-5767D4A9DC45}" xr6:coauthVersionLast="47" xr6:coauthVersionMax="47" xr10:uidLastSave="{00000000-0000-0000-0000-000000000000}"/>
  <bookViews>
    <workbookView xWindow="-108" yWindow="-108" windowWidth="23256" windowHeight="12576" tabRatio="608" xr2:uid="{00000000-000D-0000-FFFF-FFFF00000000}"/>
  </bookViews>
  <sheets>
    <sheet name="Dashboard" sheetId="21" r:id="rId1"/>
    <sheet name="Realista" sheetId="1" r:id="rId2"/>
    <sheet name="Otimista" sheetId="12" r:id="rId3"/>
    <sheet name="Pessimista" sheetId="14" r:id="rId4"/>
    <sheet name="Investimentos" sheetId="16" r:id="rId5"/>
    <sheet name="Estrutura de Capital" sheetId="15" r:id="rId6"/>
    <sheet name="Visão Geral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1" l="1"/>
  <c r="I2" i="21" s="1"/>
  <c r="J2" i="21" s="1"/>
  <c r="K2" i="21" s="1"/>
  <c r="L2" i="21" s="1"/>
  <c r="M2" i="21" s="1"/>
  <c r="N2" i="21" s="1"/>
  <c r="O2" i="21" s="1"/>
  <c r="P2" i="21" s="1"/>
  <c r="Q2" i="21" s="1"/>
  <c r="R2" i="21" s="1"/>
  <c r="S2" i="21" s="1"/>
  <c r="T2" i="21" s="1"/>
  <c r="U2" i="21" s="1"/>
  <c r="V2" i="21" s="1"/>
  <c r="W2" i="21" s="1"/>
  <c r="X2" i="21" s="1"/>
  <c r="Y2" i="21" s="1"/>
  <c r="Z2" i="21" s="1"/>
  <c r="AA2" i="21" s="1"/>
  <c r="AB2" i="21" s="1"/>
  <c r="AC2" i="21" s="1"/>
  <c r="AD2" i="21" s="1"/>
  <c r="AE2" i="21" s="1"/>
  <c r="AF2" i="21" s="1"/>
  <c r="H16" i="21"/>
  <c r="I16" i="21" s="1"/>
  <c r="J16" i="21" s="1"/>
  <c r="K16" i="21" s="1"/>
  <c r="L16" i="21" s="1"/>
  <c r="M16" i="21" s="1"/>
  <c r="N16" i="21" s="1"/>
  <c r="O16" i="21" s="1"/>
  <c r="P16" i="21" s="1"/>
  <c r="Q16" i="21" s="1"/>
  <c r="R16" i="21" s="1"/>
  <c r="S16" i="21" s="1"/>
  <c r="T16" i="21" s="1"/>
  <c r="U16" i="21" s="1"/>
  <c r="V16" i="21" s="1"/>
  <c r="W16" i="21" s="1"/>
  <c r="X16" i="21" s="1"/>
  <c r="Y16" i="21" s="1"/>
  <c r="Z16" i="21" s="1"/>
  <c r="AA16" i="21" s="1"/>
  <c r="AB16" i="21" s="1"/>
  <c r="AC16" i="21" s="1"/>
  <c r="AD16" i="21" s="1"/>
  <c r="AE16" i="21" s="1"/>
  <c r="AF16" i="21" s="1"/>
  <c r="D5" i="11"/>
  <c r="D22" i="1"/>
  <c r="D23" i="1"/>
  <c r="D23" i="12"/>
  <c r="D22" i="12"/>
  <c r="D23" i="14"/>
  <c r="D22" i="14"/>
  <c r="C5" i="16"/>
  <c r="F38" i="15"/>
  <c r="F36" i="15"/>
  <c r="F35" i="15"/>
  <c r="C6" i="15" s="1"/>
  <c r="F34" i="15"/>
  <c r="E38" i="15"/>
  <c r="E37" i="15"/>
  <c r="F37" i="15" s="1"/>
  <c r="E36" i="15"/>
  <c r="E35" i="15"/>
  <c r="E34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C29" i="15" s="1"/>
  <c r="N26" i="15"/>
  <c r="M26" i="15"/>
  <c r="L26" i="15"/>
  <c r="K26" i="15"/>
  <c r="J26" i="15"/>
  <c r="I26" i="15"/>
  <c r="H26" i="15"/>
  <c r="G26" i="15"/>
  <c r="F26" i="15"/>
  <c r="E26" i="15"/>
  <c r="D26" i="15"/>
  <c r="C26" i="15"/>
  <c r="C27" i="15" s="1"/>
  <c r="N24" i="15"/>
  <c r="M24" i="15"/>
  <c r="L24" i="15"/>
  <c r="K24" i="15"/>
  <c r="J24" i="15"/>
  <c r="I24" i="15"/>
  <c r="H24" i="15"/>
  <c r="G24" i="15"/>
  <c r="F24" i="15"/>
  <c r="E24" i="15"/>
  <c r="D24" i="15"/>
  <c r="C24" i="15"/>
  <c r="C25" i="15" s="1"/>
  <c r="D10" i="15"/>
  <c r="C10" i="15"/>
  <c r="D14" i="15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Y14" i="15" s="1"/>
  <c r="Z14" i="15" s="1"/>
  <c r="AA14" i="15" s="1"/>
  <c r="AB14" i="15" s="1"/>
  <c r="AC14" i="15" s="1"/>
  <c r="AD14" i="15" s="1"/>
  <c r="AE14" i="15" s="1"/>
  <c r="AF14" i="15" s="1"/>
  <c r="AG14" i="15" s="1"/>
  <c r="AH14" i="15" s="1"/>
  <c r="AI14" i="15" s="1"/>
  <c r="AJ14" i="15" s="1"/>
  <c r="AK14" i="15" s="1"/>
  <c r="AL14" i="15" s="1"/>
  <c r="AM14" i="15" s="1"/>
  <c r="AN14" i="15" s="1"/>
  <c r="AO14" i="15" s="1"/>
  <c r="AP14" i="15" s="1"/>
  <c r="AQ14" i="15" s="1"/>
  <c r="AR14" i="15" s="1"/>
  <c r="AS14" i="15" s="1"/>
  <c r="AT14" i="15" s="1"/>
  <c r="AU14" i="15" s="1"/>
  <c r="AV14" i="15" s="1"/>
  <c r="AW14" i="15" s="1"/>
  <c r="AX14" i="15" s="1"/>
  <c r="AY14" i="15" s="1"/>
  <c r="AZ14" i="15" s="1"/>
  <c r="BA14" i="15" s="1"/>
  <c r="BB14" i="15" s="1"/>
  <c r="BC14" i="15" s="1"/>
  <c r="BD14" i="15" s="1"/>
  <c r="BE14" i="15" s="1"/>
  <c r="BF14" i="15" s="1"/>
  <c r="BG14" i="15" s="1"/>
  <c r="BH14" i="15" s="1"/>
  <c r="BI14" i="15" s="1"/>
  <c r="BJ14" i="15" s="1"/>
  <c r="BK14" i="15" s="1"/>
  <c r="BL14" i="15" s="1"/>
  <c r="BM14" i="15" s="1"/>
  <c r="BN14" i="15" s="1"/>
  <c r="BO14" i="15" s="1"/>
  <c r="BP14" i="15" s="1"/>
  <c r="BQ14" i="15" s="1"/>
  <c r="BR14" i="15" s="1"/>
  <c r="BS14" i="15" s="1"/>
  <c r="BT14" i="15" s="1"/>
  <c r="BU14" i="15" s="1"/>
  <c r="BV14" i="15" s="1"/>
  <c r="G17" i="21" a="1"/>
  <c r="C42" i="21"/>
  <c r="C36" i="21"/>
  <c r="C45" i="21"/>
  <c r="C38" i="21"/>
  <c r="C44" i="21"/>
  <c r="F3" i="21" a="1"/>
  <c r="C46" i="21"/>
  <c r="C37" i="21"/>
  <c r="C40" i="21"/>
  <c r="C39" i="21"/>
  <c r="C43" i="21"/>
  <c r="AC5" i="21" l="1"/>
  <c r="Y5" i="21"/>
  <c r="U5" i="21"/>
  <c r="Q5" i="21"/>
  <c r="M5" i="21"/>
  <c r="I5" i="21"/>
  <c r="AF4" i="21"/>
  <c r="AB4" i="21"/>
  <c r="X4" i="21"/>
  <c r="T4" i="21"/>
  <c r="P4" i="21"/>
  <c r="L4" i="21"/>
  <c r="H4" i="21"/>
  <c r="AE3" i="21"/>
  <c r="AA3" i="21"/>
  <c r="W3" i="21"/>
  <c r="S3" i="21"/>
  <c r="O3" i="21"/>
  <c r="K3" i="21"/>
  <c r="G3" i="21"/>
  <c r="AF5" i="21"/>
  <c r="AB5" i="21"/>
  <c r="X5" i="21"/>
  <c r="T5" i="21"/>
  <c r="P5" i="21"/>
  <c r="L5" i="21"/>
  <c r="H5" i="21"/>
  <c r="AE4" i="21"/>
  <c r="AA4" i="21"/>
  <c r="W4" i="21"/>
  <c r="S4" i="21"/>
  <c r="O4" i="21"/>
  <c r="K4" i="21"/>
  <c r="G4" i="21"/>
  <c r="AD3" i="21"/>
  <c r="Z3" i="21"/>
  <c r="V3" i="21"/>
  <c r="R3" i="21"/>
  <c r="N3" i="21"/>
  <c r="J3" i="21"/>
  <c r="F3" i="21"/>
  <c r="AE5" i="21"/>
  <c r="AA5" i="21"/>
  <c r="W5" i="21"/>
  <c r="S5" i="21"/>
  <c r="O5" i="21"/>
  <c r="K5" i="21"/>
  <c r="G5" i="21"/>
  <c r="AD4" i="21"/>
  <c r="Z4" i="21"/>
  <c r="V4" i="21"/>
  <c r="R4" i="21"/>
  <c r="N4" i="21"/>
  <c r="J4" i="21"/>
  <c r="F4" i="21"/>
  <c r="AC3" i="21"/>
  <c r="Y3" i="21"/>
  <c r="U3" i="21"/>
  <c r="Q3" i="21"/>
  <c r="M3" i="21"/>
  <c r="I3" i="21"/>
  <c r="AD5" i="21"/>
  <c r="Z5" i="21"/>
  <c r="V5" i="21"/>
  <c r="R5" i="21"/>
  <c r="AC4" i="21"/>
  <c r="M4" i="21"/>
  <c r="X3" i="21"/>
  <c r="H3" i="21"/>
  <c r="J5" i="21"/>
  <c r="U4" i="21"/>
  <c r="AF3" i="21"/>
  <c r="P3" i="21"/>
  <c r="F5" i="21"/>
  <c r="Q4" i="21"/>
  <c r="AB3" i="21"/>
  <c r="L3" i="21"/>
  <c r="N5" i="21"/>
  <c r="Y4" i="21"/>
  <c r="I4" i="21"/>
  <c r="T3" i="21"/>
  <c r="D6" i="15"/>
  <c r="D5" i="15" s="1"/>
  <c r="C5" i="15"/>
  <c r="D25" i="15"/>
  <c r="E25" i="15" s="1"/>
  <c r="F25" i="15" s="1"/>
  <c r="G25" i="15" s="1"/>
  <c r="H25" i="15" s="1"/>
  <c r="I25" i="15" s="1"/>
  <c r="J25" i="15" s="1"/>
  <c r="K25" i="15" s="1"/>
  <c r="L25" i="15" s="1"/>
  <c r="M25" i="15" s="1"/>
  <c r="N25" i="15" s="1"/>
  <c r="O25" i="15" s="1"/>
  <c r="C9" i="15" s="1"/>
  <c r="D29" i="15"/>
  <c r="E29" i="15" s="1"/>
  <c r="F29" i="15" s="1"/>
  <c r="G29" i="15" s="1"/>
  <c r="H29" i="15" s="1"/>
  <c r="I29" i="15" s="1"/>
  <c r="J29" i="15" s="1"/>
  <c r="K29" i="15" s="1"/>
  <c r="L29" i="15" s="1"/>
  <c r="M29" i="15" s="1"/>
  <c r="N29" i="15" s="1"/>
  <c r="O29" i="15" s="1"/>
  <c r="D8" i="15" s="1"/>
  <c r="D27" i="15"/>
  <c r="E27" i="15" s="1"/>
  <c r="F27" i="15" s="1"/>
  <c r="G27" i="15" s="1"/>
  <c r="H27" i="15" s="1"/>
  <c r="I27" i="15" s="1"/>
  <c r="J27" i="15" s="1"/>
  <c r="K27" i="15" s="1"/>
  <c r="L27" i="15" s="1"/>
  <c r="M27" i="15" s="1"/>
  <c r="N27" i="15" s="1"/>
  <c r="O27" i="15" s="1"/>
  <c r="D9" i="15" s="1"/>
  <c r="O20" i="16"/>
  <c r="O19" i="16"/>
  <c r="O18" i="16"/>
  <c r="O17" i="16"/>
  <c r="C7" i="16" l="1"/>
  <c r="C8" i="16" s="1"/>
  <c r="C9" i="16" s="1"/>
  <c r="C11" i="16" s="1"/>
  <c r="D7" i="15"/>
  <c r="C8" i="15"/>
  <c r="C7" i="15" s="1"/>
  <c r="F4" i="16" l="1"/>
  <c r="V27" i="11"/>
  <c r="W27" i="11" s="1"/>
  <c r="X27" i="11" s="1"/>
  <c r="Y27" i="11" s="1"/>
  <c r="Z27" i="11" s="1"/>
  <c r="AA27" i="11" s="1"/>
  <c r="AB27" i="11" s="1"/>
  <c r="AC27" i="11" s="1"/>
  <c r="H2" i="1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H16" i="1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C30" i="14"/>
  <c r="C29" i="14"/>
  <c r="C28" i="14"/>
  <c r="C15" i="14" s="1"/>
  <c r="N27" i="14"/>
  <c r="C17" i="14"/>
  <c r="C5" i="14"/>
  <c r="C6" i="14" s="1"/>
  <c r="C7" i="14" s="1"/>
  <c r="L5" i="14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C30" i="12"/>
  <c r="C29" i="12"/>
  <c r="C28" i="12"/>
  <c r="C17" i="12" s="1"/>
  <c r="N27" i="12"/>
  <c r="C15" i="12"/>
  <c r="L6" i="12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C5" i="12"/>
  <c r="C6" i="12" s="1"/>
  <c r="C7" i="12" s="1"/>
  <c r="L5" i="12"/>
  <c r="C30" i="1"/>
  <c r="C29" i="1"/>
  <c r="C28" i="1"/>
  <c r="F3" i="11" a="1"/>
  <c r="C42" i="11"/>
  <c r="C46" i="11"/>
  <c r="C49" i="11"/>
  <c r="C48" i="11"/>
  <c r="C47" i="11"/>
  <c r="C43" i="11"/>
  <c r="C45" i="11"/>
  <c r="K12" i="14" l="1"/>
  <c r="K8" i="14"/>
  <c r="K11" i="14"/>
  <c r="K7" i="14"/>
  <c r="K14" i="14"/>
  <c r="K10" i="14"/>
  <c r="K6" i="14"/>
  <c r="K13" i="14"/>
  <c r="K9" i="14"/>
  <c r="K5" i="14"/>
  <c r="H5" i="12"/>
  <c r="H6" i="12" s="1"/>
  <c r="H7" i="12" s="1"/>
  <c r="C22" i="12"/>
  <c r="H5" i="14"/>
  <c r="C22" i="14"/>
  <c r="K14" i="12"/>
  <c r="K10" i="12"/>
  <c r="K6" i="12"/>
  <c r="K13" i="12"/>
  <c r="K5" i="12"/>
  <c r="K12" i="12"/>
  <c r="K8" i="12"/>
  <c r="K9" i="12"/>
  <c r="K11" i="12"/>
  <c r="K7" i="12"/>
  <c r="K29" i="14"/>
  <c r="K25" i="14"/>
  <c r="K21" i="14"/>
  <c r="K17" i="14"/>
  <c r="K28" i="14"/>
  <c r="K24" i="14"/>
  <c r="K20" i="14"/>
  <c r="K16" i="14"/>
  <c r="K27" i="14"/>
  <c r="K23" i="14"/>
  <c r="K19" i="14"/>
  <c r="K15" i="14"/>
  <c r="K26" i="14"/>
  <c r="K22" i="14"/>
  <c r="K18" i="14"/>
  <c r="F8" i="16"/>
  <c r="F11" i="16"/>
  <c r="K29" i="12"/>
  <c r="K21" i="12"/>
  <c r="K28" i="12"/>
  <c r="K20" i="12"/>
  <c r="K27" i="12"/>
  <c r="K19" i="12"/>
  <c r="K26" i="12"/>
  <c r="K18" i="12"/>
  <c r="K25" i="12"/>
  <c r="K17" i="12"/>
  <c r="K24" i="12"/>
  <c r="K16" i="12"/>
  <c r="K23" i="12"/>
  <c r="K15" i="12"/>
  <c r="K22" i="12"/>
  <c r="H6" i="14"/>
  <c r="I5" i="14"/>
  <c r="J5" i="14" s="1"/>
  <c r="I6" i="12"/>
  <c r="I5" i="12"/>
  <c r="J5" i="12" s="1"/>
  <c r="C9" i="21"/>
  <c r="F4" i="11"/>
  <c r="F5" i="11"/>
  <c r="G3" i="11"/>
  <c r="G4" i="11"/>
  <c r="F3" i="11"/>
  <c r="G5" i="11"/>
  <c r="C23" i="14" l="1"/>
  <c r="D24" i="14"/>
  <c r="D25" i="14" s="1"/>
  <c r="C23" i="12"/>
  <c r="D24" i="12" s="1"/>
  <c r="D25" i="12" s="1"/>
  <c r="M5" i="14"/>
  <c r="I6" i="14"/>
  <c r="J6" i="14" s="1"/>
  <c r="H7" i="14"/>
  <c r="I7" i="12"/>
  <c r="H8" i="12"/>
  <c r="M5" i="12"/>
  <c r="J6" i="12"/>
  <c r="M6" i="12" s="1"/>
  <c r="C12" i="21"/>
  <c r="C10" i="21"/>
  <c r="B16" i="21" l="1"/>
  <c r="B15" i="21"/>
  <c r="B17" i="21"/>
  <c r="B18" i="21"/>
  <c r="C4" i="14"/>
  <c r="C4" i="12"/>
  <c r="I7" i="14"/>
  <c r="J7" i="14" s="1"/>
  <c r="H8" i="14"/>
  <c r="M6" i="14"/>
  <c r="H9" i="12"/>
  <c r="I8" i="12"/>
  <c r="J8" i="12" s="1"/>
  <c r="J7" i="12"/>
  <c r="M7" i="12" s="1"/>
  <c r="C5" i="21"/>
  <c r="C4" i="21" l="1"/>
  <c r="P4" i="14"/>
  <c r="Q4" i="14" s="1"/>
  <c r="R4" i="14" s="1"/>
  <c r="T4" i="14" s="1"/>
  <c r="C10" i="14"/>
  <c r="C10" i="12"/>
  <c r="O5" i="12" s="1"/>
  <c r="P4" i="12"/>
  <c r="Q4" i="12" s="1"/>
  <c r="R4" i="12" s="1"/>
  <c r="T4" i="12" s="1"/>
  <c r="H9" i="14"/>
  <c r="I8" i="14"/>
  <c r="M7" i="14"/>
  <c r="H10" i="12"/>
  <c r="I9" i="12"/>
  <c r="J9" i="12" s="1"/>
  <c r="M8" i="12"/>
  <c r="C41" i="21"/>
  <c r="O5" i="14" l="1"/>
  <c r="O6" i="12"/>
  <c r="P5" i="12"/>
  <c r="W4" i="12" s="1"/>
  <c r="H10" i="14"/>
  <c r="I9" i="14"/>
  <c r="J8" i="14"/>
  <c r="M8" i="14" s="1"/>
  <c r="I10" i="12"/>
  <c r="J10" i="12" s="1"/>
  <c r="H11" i="12"/>
  <c r="M9" i="12"/>
  <c r="O6" i="14" l="1"/>
  <c r="P5" i="14"/>
  <c r="W4" i="14" s="1"/>
  <c r="O7" i="12"/>
  <c r="P6" i="12"/>
  <c r="J9" i="14"/>
  <c r="M9" i="14" s="1"/>
  <c r="I10" i="14"/>
  <c r="J10" i="14" s="1"/>
  <c r="H11" i="14"/>
  <c r="I11" i="12"/>
  <c r="H12" i="12"/>
  <c r="M10" i="12"/>
  <c r="C30" i="21"/>
  <c r="O7" i="14" l="1"/>
  <c r="P6" i="14"/>
  <c r="O8" i="12"/>
  <c r="P7" i="12"/>
  <c r="I11" i="14"/>
  <c r="J11" i="14" s="1"/>
  <c r="H12" i="14"/>
  <c r="M10" i="14"/>
  <c r="J11" i="12"/>
  <c r="M11" i="12" s="1"/>
  <c r="H13" i="12"/>
  <c r="I12" i="12"/>
  <c r="O8" i="14" l="1"/>
  <c r="P7" i="14"/>
  <c r="O9" i="12"/>
  <c r="P8" i="12"/>
  <c r="H13" i="14"/>
  <c r="I12" i="14"/>
  <c r="M11" i="14"/>
  <c r="I13" i="12"/>
  <c r="J13" i="12" s="1"/>
  <c r="H14" i="12"/>
  <c r="J12" i="12"/>
  <c r="M12" i="12" s="1"/>
  <c r="O9" i="14" l="1"/>
  <c r="P8" i="14"/>
  <c r="O10" i="12"/>
  <c r="P9" i="12"/>
  <c r="J12" i="14"/>
  <c r="M12" i="14" s="1"/>
  <c r="H14" i="14"/>
  <c r="I13" i="14"/>
  <c r="J13" i="14"/>
  <c r="H15" i="12"/>
  <c r="I14" i="12"/>
  <c r="J14" i="12" s="1"/>
  <c r="M13" i="12"/>
  <c r="O10" i="14" l="1"/>
  <c r="P9" i="14"/>
  <c r="O11" i="12"/>
  <c r="P10" i="12"/>
  <c r="M13" i="14"/>
  <c r="H15" i="14"/>
  <c r="I14" i="14"/>
  <c r="J14" i="14" s="1"/>
  <c r="M14" i="12"/>
  <c r="I15" i="12"/>
  <c r="H16" i="12"/>
  <c r="O11" i="14" l="1"/>
  <c r="P10" i="14"/>
  <c r="O12" i="12"/>
  <c r="P11" i="12"/>
  <c r="M14" i="14"/>
  <c r="I15" i="14"/>
  <c r="H16" i="14"/>
  <c r="I16" i="12"/>
  <c r="J16" i="12" s="1"/>
  <c r="H17" i="12"/>
  <c r="J15" i="12"/>
  <c r="M15" i="12" s="1"/>
  <c r="O12" i="14" l="1"/>
  <c r="P11" i="14"/>
  <c r="O13" i="12"/>
  <c r="P12" i="12"/>
  <c r="H17" i="14"/>
  <c r="I16" i="14"/>
  <c r="J15" i="14"/>
  <c r="M15" i="14" s="1"/>
  <c r="I17" i="12"/>
  <c r="H18" i="12"/>
  <c r="M16" i="12"/>
  <c r="O13" i="14" l="1"/>
  <c r="P12" i="14"/>
  <c r="O14" i="12"/>
  <c r="P13" i="12"/>
  <c r="J16" i="14"/>
  <c r="M16" i="14" s="1"/>
  <c r="I17" i="14"/>
  <c r="J17" i="14" s="1"/>
  <c r="H18" i="14"/>
  <c r="H19" i="12"/>
  <c r="I18" i="12"/>
  <c r="J17" i="12"/>
  <c r="M17" i="12" s="1"/>
  <c r="O14" i="14" l="1"/>
  <c r="P13" i="14"/>
  <c r="O15" i="12"/>
  <c r="P14" i="12"/>
  <c r="M17" i="14"/>
  <c r="H19" i="14"/>
  <c r="I18" i="14"/>
  <c r="J18" i="14" s="1"/>
  <c r="H20" i="12"/>
  <c r="I19" i="12"/>
  <c r="J18" i="12"/>
  <c r="M18" i="12" s="1"/>
  <c r="O15" i="14" l="1"/>
  <c r="P14" i="14"/>
  <c r="O16" i="12"/>
  <c r="P15" i="12"/>
  <c r="H20" i="14"/>
  <c r="I19" i="14"/>
  <c r="M18" i="14"/>
  <c r="J19" i="12"/>
  <c r="M19" i="12" s="1"/>
  <c r="I20" i="12"/>
  <c r="J20" i="12" s="1"/>
  <c r="H21" i="12"/>
  <c r="O16" i="14" l="1"/>
  <c r="P15" i="14"/>
  <c r="O17" i="12"/>
  <c r="P16" i="12"/>
  <c r="J19" i="14"/>
  <c r="M19" i="14" s="1"/>
  <c r="I20" i="14"/>
  <c r="J20" i="14"/>
  <c r="H21" i="14"/>
  <c r="I21" i="12"/>
  <c r="J21" i="12" s="1"/>
  <c r="H22" i="12"/>
  <c r="M20" i="12"/>
  <c r="O17" i="14" l="1"/>
  <c r="P16" i="14"/>
  <c r="O18" i="12"/>
  <c r="P17" i="12"/>
  <c r="H22" i="14"/>
  <c r="I21" i="14"/>
  <c r="J21" i="14"/>
  <c r="M20" i="14"/>
  <c r="H23" i="12"/>
  <c r="I22" i="12"/>
  <c r="J22" i="12" s="1"/>
  <c r="M21" i="12"/>
  <c r="O18" i="14" l="1"/>
  <c r="P17" i="14"/>
  <c r="O19" i="12"/>
  <c r="P18" i="12"/>
  <c r="M21" i="14"/>
  <c r="H23" i="14"/>
  <c r="I22" i="14"/>
  <c r="J22" i="14" s="1"/>
  <c r="M22" i="12"/>
  <c r="H24" i="12"/>
  <c r="I23" i="12"/>
  <c r="J23" i="12" s="1"/>
  <c r="O19" i="14" l="1"/>
  <c r="P18" i="14"/>
  <c r="O20" i="12"/>
  <c r="P19" i="12"/>
  <c r="M22" i="14"/>
  <c r="H24" i="14"/>
  <c r="I23" i="14"/>
  <c r="H25" i="12"/>
  <c r="I24" i="12"/>
  <c r="M23" i="12"/>
  <c r="O20" i="14" l="1"/>
  <c r="P19" i="14"/>
  <c r="O21" i="12"/>
  <c r="P20" i="12"/>
  <c r="J23" i="14"/>
  <c r="M23" i="14" s="1"/>
  <c r="H25" i="14"/>
  <c r="I24" i="14"/>
  <c r="J24" i="12"/>
  <c r="M24" i="12" s="1"/>
  <c r="I25" i="12"/>
  <c r="H26" i="12"/>
  <c r="O21" i="14" l="1"/>
  <c r="P20" i="14"/>
  <c r="O22" i="12"/>
  <c r="P21" i="12"/>
  <c r="I25" i="14"/>
  <c r="J25" i="14" s="1"/>
  <c r="H26" i="14"/>
  <c r="J24" i="14"/>
  <c r="M24" i="14" s="1"/>
  <c r="H27" i="12"/>
  <c r="I26" i="12"/>
  <c r="J25" i="12"/>
  <c r="M25" i="12" s="1"/>
  <c r="O22" i="14" l="1"/>
  <c r="P21" i="14"/>
  <c r="O23" i="12"/>
  <c r="P22" i="12"/>
  <c r="H27" i="14"/>
  <c r="I26" i="14"/>
  <c r="M25" i="14"/>
  <c r="J26" i="12"/>
  <c r="M26" i="12" s="1"/>
  <c r="H28" i="12"/>
  <c r="I27" i="12"/>
  <c r="O23" i="14" l="1"/>
  <c r="P22" i="14"/>
  <c r="O24" i="12"/>
  <c r="P23" i="12"/>
  <c r="H28" i="14"/>
  <c r="I27" i="14"/>
  <c r="J26" i="14"/>
  <c r="M26" i="14" s="1"/>
  <c r="J27" i="12"/>
  <c r="M27" i="12" s="1"/>
  <c r="I28" i="12"/>
  <c r="H29" i="12"/>
  <c r="O24" i="14" l="1"/>
  <c r="P23" i="14"/>
  <c r="O25" i="12"/>
  <c r="P24" i="12"/>
  <c r="H29" i="14"/>
  <c r="I28" i="14"/>
  <c r="J27" i="14"/>
  <c r="M27" i="14" s="1"/>
  <c r="I29" i="12"/>
  <c r="J29" i="12" s="1"/>
  <c r="J28" i="12"/>
  <c r="M28" i="12" s="1"/>
  <c r="O25" i="14" l="1"/>
  <c r="P24" i="14"/>
  <c r="O26" i="12"/>
  <c r="P25" i="12"/>
  <c r="J28" i="14"/>
  <c r="M28" i="14" s="1"/>
  <c r="I29" i="14"/>
  <c r="M29" i="12"/>
  <c r="O26" i="14" l="1"/>
  <c r="P25" i="14"/>
  <c r="O27" i="12"/>
  <c r="P26" i="12"/>
  <c r="J29" i="14"/>
  <c r="M29" i="14" s="1"/>
  <c r="O27" i="14" l="1"/>
  <c r="P26" i="14"/>
  <c r="O28" i="12"/>
  <c r="P27" i="12"/>
  <c r="C17" i="1"/>
  <c r="C15" i="1"/>
  <c r="O28" i="14" l="1"/>
  <c r="P27" i="14"/>
  <c r="O29" i="12"/>
  <c r="P29" i="12" s="1"/>
  <c r="P28" i="12"/>
  <c r="N27" i="1"/>
  <c r="K15" i="1"/>
  <c r="O29" i="14" l="1"/>
  <c r="P29" i="14" s="1"/>
  <c r="P28" i="14"/>
  <c r="P31" i="12"/>
  <c r="W9" i="12" s="1"/>
  <c r="L5" i="1"/>
  <c r="L6" i="1" s="1"/>
  <c r="C5" i="1"/>
  <c r="K22" i="1"/>
  <c r="K6" i="1"/>
  <c r="K7" i="1"/>
  <c r="K8" i="1"/>
  <c r="K9" i="1"/>
  <c r="K10" i="1"/>
  <c r="K11" i="1"/>
  <c r="K12" i="1"/>
  <c r="K13" i="1"/>
  <c r="K14" i="1"/>
  <c r="K5" i="1"/>
  <c r="K5" i="11"/>
  <c r="R5" i="11"/>
  <c r="O5" i="11"/>
  <c r="L5" i="11"/>
  <c r="M5" i="11"/>
  <c r="Q5" i="11"/>
  <c r="N5" i="11"/>
  <c r="P5" i="11"/>
  <c r="H5" i="11"/>
  <c r="C39" i="11"/>
  <c r="I5" i="11"/>
  <c r="J5" i="11"/>
  <c r="P31" i="14" l="1"/>
  <c r="W9" i="14" s="1"/>
  <c r="C6" i="1"/>
  <c r="K21" i="1"/>
  <c r="L7" i="1"/>
  <c r="K29" i="1"/>
  <c r="K17" i="1"/>
  <c r="K23" i="1"/>
  <c r="K16" i="1"/>
  <c r="K28" i="1"/>
  <c r="K24" i="1"/>
  <c r="K20" i="1"/>
  <c r="K27" i="1"/>
  <c r="K19" i="1"/>
  <c r="K26" i="1"/>
  <c r="K18" i="1"/>
  <c r="K25" i="1"/>
  <c r="U5" i="11"/>
  <c r="AA5" i="11"/>
  <c r="T5" i="11"/>
  <c r="AC5" i="11"/>
  <c r="Y5" i="11"/>
  <c r="V5" i="11"/>
  <c r="S5" i="11"/>
  <c r="X5" i="11"/>
  <c r="C40" i="11"/>
  <c r="AF5" i="11"/>
  <c r="AE5" i="11"/>
  <c r="AD5" i="11"/>
  <c r="Z5" i="11"/>
  <c r="AB5" i="11"/>
  <c r="W5" i="11"/>
  <c r="C7" i="1" l="1"/>
  <c r="L8" i="1"/>
  <c r="C41" i="11"/>
  <c r="C22" i="1" l="1"/>
  <c r="H5" i="1"/>
  <c r="L9" i="1"/>
  <c r="C9" i="11"/>
  <c r="I5" i="1" l="1"/>
  <c r="H6" i="1"/>
  <c r="C23" i="1"/>
  <c r="D24" i="1" s="1"/>
  <c r="L10" i="1"/>
  <c r="H3" i="11"/>
  <c r="C10" i="11"/>
  <c r="D25" i="1" l="1"/>
  <c r="I6" i="1"/>
  <c r="H7" i="1"/>
  <c r="J6" i="1"/>
  <c r="J5" i="1"/>
  <c r="M5" i="1" s="1"/>
  <c r="L11" i="1"/>
  <c r="I3" i="11"/>
  <c r="H4" i="11"/>
  <c r="I4" i="11"/>
  <c r="C12" i="11"/>
  <c r="D12" i="11" l="1"/>
  <c r="D11" i="11"/>
  <c r="D10" i="11"/>
  <c r="D9" i="11"/>
  <c r="C4" i="1"/>
  <c r="I7" i="1"/>
  <c r="H8" i="1"/>
  <c r="M6" i="1"/>
  <c r="L12" i="1"/>
  <c r="E3" i="11"/>
  <c r="J3" i="11"/>
  <c r="C4" i="11" l="1"/>
  <c r="J7" i="1"/>
  <c r="C10" i="1"/>
  <c r="P4" i="1"/>
  <c r="Q4" i="1" s="1"/>
  <c r="R4" i="1" s="1"/>
  <c r="I8" i="1"/>
  <c r="H9" i="1"/>
  <c r="L13" i="1"/>
  <c r="K3" i="11"/>
  <c r="J4" i="11"/>
  <c r="C44" i="11"/>
  <c r="T4" i="1" l="1"/>
  <c r="J8" i="1"/>
  <c r="M7" i="1"/>
  <c r="O5" i="1"/>
  <c r="I9" i="1"/>
  <c r="H10" i="1"/>
  <c r="C18" i="14"/>
  <c r="W8" i="14" s="1"/>
  <c r="C18" i="12"/>
  <c r="W8" i="12" s="1"/>
  <c r="C18" i="1"/>
  <c r="W8" i="1" s="1"/>
  <c r="L14" i="1"/>
  <c r="L3" i="11"/>
  <c r="K4" i="11"/>
  <c r="J9" i="1" l="1"/>
  <c r="M9" i="1"/>
  <c r="I10" i="1"/>
  <c r="H11" i="1"/>
  <c r="O6" i="1"/>
  <c r="P5" i="1"/>
  <c r="M8" i="1"/>
  <c r="Q6" i="12"/>
  <c r="Q5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W10" i="12" s="1"/>
  <c r="W11" i="12" s="1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W10" i="14" s="1"/>
  <c r="W11" i="14" s="1"/>
  <c r="L15" i="1"/>
  <c r="M3" i="11"/>
  <c r="L4" i="11"/>
  <c r="W6" i="14" l="1"/>
  <c r="H10" i="21" s="1"/>
  <c r="Q30" i="14"/>
  <c r="P30" i="14" s="1"/>
  <c r="W7" i="14" s="1"/>
  <c r="F10" i="21" s="1"/>
  <c r="F11" i="21" s="1"/>
  <c r="W6" i="12"/>
  <c r="H14" i="21" s="1"/>
  <c r="Q30" i="12"/>
  <c r="P30" i="12" s="1"/>
  <c r="R5" i="14"/>
  <c r="T5" i="14" s="1"/>
  <c r="R5" i="12"/>
  <c r="T5" i="12" s="1"/>
  <c r="Q5" i="1"/>
  <c r="W4" i="1"/>
  <c r="O7" i="1"/>
  <c r="P6" i="1"/>
  <c r="Q6" i="1" s="1"/>
  <c r="H12" i="1"/>
  <c r="I11" i="1"/>
  <c r="J10" i="1"/>
  <c r="L16" i="1"/>
  <c r="N3" i="11"/>
  <c r="C33" i="11"/>
  <c r="H18" i="21"/>
  <c r="I18" i="21"/>
  <c r="M4" i="11"/>
  <c r="W8" i="11" l="1"/>
  <c r="W9" i="11" s="1"/>
  <c r="R5" i="1"/>
  <c r="Y12" i="11"/>
  <c r="Y8" i="11"/>
  <c r="R6" i="14"/>
  <c r="T6" i="14" s="1"/>
  <c r="W7" i="12"/>
  <c r="F14" i="21" s="1"/>
  <c r="R6" i="12"/>
  <c r="T6" i="12" s="1"/>
  <c r="H13" i="1"/>
  <c r="I12" i="1"/>
  <c r="M10" i="1"/>
  <c r="O8" i="1"/>
  <c r="P7" i="1"/>
  <c r="Q7" i="1" s="1"/>
  <c r="J11" i="1"/>
  <c r="L17" i="1"/>
  <c r="N4" i="11"/>
  <c r="O3" i="11"/>
  <c r="J18" i="21"/>
  <c r="H19" i="21"/>
  <c r="R6" i="1" l="1"/>
  <c r="T6" i="1" s="1"/>
  <c r="T5" i="1"/>
  <c r="W12" i="11"/>
  <c r="R7" i="14"/>
  <c r="T7" i="14" s="1"/>
  <c r="R7" i="12"/>
  <c r="R8" i="12" s="1"/>
  <c r="J12" i="1"/>
  <c r="M11" i="1"/>
  <c r="O9" i="1"/>
  <c r="P8" i="1"/>
  <c r="Q8" i="1" s="1"/>
  <c r="H14" i="1"/>
  <c r="I13" i="1"/>
  <c r="L18" i="1"/>
  <c r="I19" i="21"/>
  <c r="K18" i="21"/>
  <c r="P3" i="11"/>
  <c r="O4" i="11"/>
  <c r="R7" i="1" l="1"/>
  <c r="T7" i="1" s="1"/>
  <c r="R8" i="14"/>
  <c r="T8" i="14" s="1"/>
  <c r="T7" i="12"/>
  <c r="J13" i="1"/>
  <c r="M12" i="1"/>
  <c r="I14" i="1"/>
  <c r="H15" i="1"/>
  <c r="O10" i="1"/>
  <c r="P9" i="1"/>
  <c r="T8" i="12"/>
  <c r="R9" i="12"/>
  <c r="L19" i="1"/>
  <c r="J19" i="21"/>
  <c r="Q3" i="11"/>
  <c r="P4" i="11"/>
  <c r="R8" i="1" l="1"/>
  <c r="T8" i="1" s="1"/>
  <c r="R9" i="14"/>
  <c r="R10" i="14" s="1"/>
  <c r="T10" i="14" s="1"/>
  <c r="I15" i="1"/>
  <c r="J15" i="1" s="1"/>
  <c r="H16" i="1"/>
  <c r="R10" i="12"/>
  <c r="T9" i="12"/>
  <c r="O11" i="1"/>
  <c r="P10" i="1"/>
  <c r="J14" i="1"/>
  <c r="M14" i="1" s="1"/>
  <c r="M13" i="1"/>
  <c r="Q9" i="1"/>
  <c r="L20" i="1"/>
  <c r="K19" i="21"/>
  <c r="Q4" i="11"/>
  <c r="R4" i="11"/>
  <c r="L18" i="21"/>
  <c r="R3" i="11"/>
  <c r="R9" i="1" l="1"/>
  <c r="R11" i="14"/>
  <c r="T11" i="14" s="1"/>
  <c r="T9" i="14"/>
  <c r="H17" i="1"/>
  <c r="I16" i="1"/>
  <c r="J16" i="1" s="1"/>
  <c r="M15" i="1"/>
  <c r="Q10" i="1"/>
  <c r="T10" i="12"/>
  <c r="R11" i="12"/>
  <c r="O12" i="1"/>
  <c r="P11" i="1"/>
  <c r="L21" i="1"/>
  <c r="L19" i="21"/>
  <c r="S4" i="11"/>
  <c r="M18" i="21"/>
  <c r="S3" i="11"/>
  <c r="T9" i="1" l="1"/>
  <c r="R10" i="1"/>
  <c r="R12" i="14"/>
  <c r="R13" i="14" s="1"/>
  <c r="M16" i="1"/>
  <c r="Q11" i="1"/>
  <c r="R12" i="12"/>
  <c r="T11" i="12"/>
  <c r="O13" i="1"/>
  <c r="P12" i="1"/>
  <c r="H18" i="1"/>
  <c r="I17" i="1"/>
  <c r="L22" i="1"/>
  <c r="N18" i="21"/>
  <c r="M19" i="21"/>
  <c r="T3" i="11"/>
  <c r="T10" i="1" l="1"/>
  <c r="T12" i="14"/>
  <c r="T13" i="14"/>
  <c r="R14" i="14"/>
  <c r="T12" i="12"/>
  <c r="R13" i="12"/>
  <c r="J17" i="1"/>
  <c r="Q12" i="1"/>
  <c r="I18" i="1"/>
  <c r="H19" i="1"/>
  <c r="O14" i="1"/>
  <c r="P13" i="1"/>
  <c r="R11" i="1"/>
  <c r="L23" i="1"/>
  <c r="U3" i="11"/>
  <c r="T4" i="11"/>
  <c r="O18" i="21"/>
  <c r="N19" i="21"/>
  <c r="T11" i="1" l="1"/>
  <c r="T13" i="12"/>
  <c r="R14" i="12"/>
  <c r="I19" i="1"/>
  <c r="H20" i="1"/>
  <c r="M17" i="1"/>
  <c r="Q13" i="1"/>
  <c r="R12" i="1"/>
  <c r="O15" i="1"/>
  <c r="P14" i="1"/>
  <c r="T14" i="14"/>
  <c r="R15" i="14"/>
  <c r="J18" i="1"/>
  <c r="L24" i="1"/>
  <c r="U4" i="11"/>
  <c r="V3" i="11"/>
  <c r="O19" i="21"/>
  <c r="P18" i="21"/>
  <c r="J19" i="1" l="1"/>
  <c r="M19" i="1"/>
  <c r="I20" i="1"/>
  <c r="H21" i="1"/>
  <c r="T15" i="14"/>
  <c r="R16" i="14"/>
  <c r="R13" i="1"/>
  <c r="R15" i="12"/>
  <c r="T14" i="12"/>
  <c r="Q14" i="1"/>
  <c r="O16" i="1"/>
  <c r="P15" i="1"/>
  <c r="T12" i="1"/>
  <c r="M18" i="1"/>
  <c r="L25" i="1"/>
  <c r="P19" i="21"/>
  <c r="V4" i="11"/>
  <c r="Q18" i="21"/>
  <c r="W3" i="11"/>
  <c r="T13" i="1" l="1"/>
  <c r="O17" i="1"/>
  <c r="P16" i="1"/>
  <c r="Q15" i="1"/>
  <c r="J20" i="1"/>
  <c r="T16" i="14"/>
  <c r="R17" i="14"/>
  <c r="I21" i="1"/>
  <c r="H22" i="1"/>
  <c r="R14" i="1"/>
  <c r="R16" i="12"/>
  <c r="T15" i="12"/>
  <c r="L26" i="1"/>
  <c r="X3" i="11"/>
  <c r="Q19" i="21"/>
  <c r="R18" i="21"/>
  <c r="W4" i="11"/>
  <c r="T17" i="14" l="1"/>
  <c r="R18" i="14"/>
  <c r="M20" i="1"/>
  <c r="O18" i="1"/>
  <c r="P17" i="1"/>
  <c r="Q16" i="1"/>
  <c r="T16" i="12"/>
  <c r="R17" i="12"/>
  <c r="R15" i="1"/>
  <c r="T14" i="1"/>
  <c r="H23" i="1"/>
  <c r="I22" i="1"/>
  <c r="J21" i="1"/>
  <c r="L27" i="1"/>
  <c r="X4" i="11"/>
  <c r="S18" i="21"/>
  <c r="Y3" i="11"/>
  <c r="R19" i="21"/>
  <c r="T17" i="12" l="1"/>
  <c r="R18" i="12"/>
  <c r="Q17" i="1"/>
  <c r="J22" i="1"/>
  <c r="O19" i="1"/>
  <c r="P18" i="1"/>
  <c r="I23" i="1"/>
  <c r="H24" i="1"/>
  <c r="T18" i="14"/>
  <c r="R19" i="14"/>
  <c r="M21" i="1"/>
  <c r="R16" i="1"/>
  <c r="T15" i="1"/>
  <c r="L28" i="1"/>
  <c r="Y4" i="11"/>
  <c r="T18" i="21"/>
  <c r="Z3" i="11"/>
  <c r="S19" i="21"/>
  <c r="Q18" i="1" l="1"/>
  <c r="J23" i="1"/>
  <c r="T16" i="1"/>
  <c r="O20" i="1"/>
  <c r="P19" i="1"/>
  <c r="M22" i="1"/>
  <c r="T19" i="14"/>
  <c r="R20" i="14"/>
  <c r="T18" i="12"/>
  <c r="R19" i="12"/>
  <c r="I24" i="1"/>
  <c r="H25" i="1"/>
  <c r="R17" i="1"/>
  <c r="L29" i="1"/>
  <c r="Z4" i="11"/>
  <c r="AA3" i="11"/>
  <c r="T19" i="21"/>
  <c r="U18" i="21"/>
  <c r="I25" i="1" l="1"/>
  <c r="H26" i="1"/>
  <c r="T17" i="1"/>
  <c r="R18" i="1"/>
  <c r="Q19" i="1"/>
  <c r="M23" i="1"/>
  <c r="O21" i="1"/>
  <c r="P20" i="1"/>
  <c r="R20" i="12"/>
  <c r="T19" i="12"/>
  <c r="T20" i="14"/>
  <c r="R21" i="14"/>
  <c r="J24" i="1"/>
  <c r="AA4" i="11"/>
  <c r="U19" i="21"/>
  <c r="AB3" i="11"/>
  <c r="V18" i="21"/>
  <c r="O22" i="1" l="1"/>
  <c r="P21" i="1"/>
  <c r="T21" i="14"/>
  <c r="R22" i="14"/>
  <c r="T18" i="1"/>
  <c r="R19" i="1"/>
  <c r="J25" i="1"/>
  <c r="M24" i="1"/>
  <c r="I26" i="1"/>
  <c r="H27" i="1"/>
  <c r="T20" i="12"/>
  <c r="R21" i="12"/>
  <c r="Q20" i="1"/>
  <c r="AB4" i="11"/>
  <c r="AC3" i="11"/>
  <c r="V19" i="21"/>
  <c r="W18" i="21"/>
  <c r="T19" i="1" l="1"/>
  <c r="R20" i="1"/>
  <c r="T22" i="14"/>
  <c r="R23" i="14"/>
  <c r="M25" i="1"/>
  <c r="Q21" i="1"/>
  <c r="R22" i="12"/>
  <c r="T21" i="12"/>
  <c r="H28" i="1"/>
  <c r="I27" i="1"/>
  <c r="J26" i="1"/>
  <c r="M26" i="1"/>
  <c r="O23" i="1"/>
  <c r="P22" i="1"/>
  <c r="AD3" i="11"/>
  <c r="AC4" i="11"/>
  <c r="W19" i="21"/>
  <c r="X18" i="21"/>
  <c r="Q22" i="1" l="1"/>
  <c r="O24" i="1"/>
  <c r="P23" i="1"/>
  <c r="R23" i="12"/>
  <c r="T22" i="12"/>
  <c r="T23" i="14"/>
  <c r="R24" i="14"/>
  <c r="J27" i="1"/>
  <c r="T20" i="1"/>
  <c r="R21" i="1"/>
  <c r="H29" i="1"/>
  <c r="I28" i="1"/>
  <c r="Y18" i="21"/>
  <c r="AD4" i="11"/>
  <c r="X19" i="21"/>
  <c r="AE3" i="11"/>
  <c r="J28" i="1" l="1"/>
  <c r="I29" i="1"/>
  <c r="J29" i="1"/>
  <c r="T23" i="12"/>
  <c r="R24" i="12"/>
  <c r="T21" i="1"/>
  <c r="R22" i="1"/>
  <c r="Q23" i="1"/>
  <c r="M28" i="1"/>
  <c r="M27" i="1"/>
  <c r="O25" i="1"/>
  <c r="P24" i="1"/>
  <c r="T24" i="14"/>
  <c r="R25" i="14"/>
  <c r="AF4" i="11"/>
  <c r="AE4" i="11"/>
  <c r="Y19" i="21"/>
  <c r="Z18" i="21"/>
  <c r="AF3" i="11"/>
  <c r="T22" i="1" l="1"/>
  <c r="O26" i="1"/>
  <c r="P25" i="1"/>
  <c r="T25" i="14"/>
  <c r="R26" i="14"/>
  <c r="Q24" i="1"/>
  <c r="R25" i="12"/>
  <c r="T24" i="12"/>
  <c r="M29" i="1"/>
  <c r="R23" i="1"/>
  <c r="AA18" i="21"/>
  <c r="Z19" i="21"/>
  <c r="R24" i="1" l="1"/>
  <c r="T23" i="1"/>
  <c r="T26" i="14"/>
  <c r="R27" i="14"/>
  <c r="O27" i="1"/>
  <c r="P26" i="1"/>
  <c r="Q25" i="1"/>
  <c r="T25" i="12"/>
  <c r="R26" i="12"/>
  <c r="AB18" i="21"/>
  <c r="AA19" i="21"/>
  <c r="Q26" i="1" l="1"/>
  <c r="O28" i="1"/>
  <c r="P27" i="1"/>
  <c r="T27" i="14"/>
  <c r="R28" i="14"/>
  <c r="T26" i="12"/>
  <c r="R27" i="12"/>
  <c r="T24" i="1"/>
  <c r="R25" i="1"/>
  <c r="AB19" i="21"/>
  <c r="AC18" i="21"/>
  <c r="T28" i="14" l="1"/>
  <c r="R29" i="14"/>
  <c r="T29" i="14" s="1"/>
  <c r="Q27" i="1"/>
  <c r="T25" i="1"/>
  <c r="R26" i="1"/>
  <c r="O29" i="1"/>
  <c r="P29" i="1" s="1"/>
  <c r="P28" i="1"/>
  <c r="T27" i="12"/>
  <c r="R28" i="12"/>
  <c r="AC19" i="21"/>
  <c r="AD18" i="21"/>
  <c r="P31" i="1" l="1"/>
  <c r="W9" i="1" s="1"/>
  <c r="W5" i="14"/>
  <c r="Q28" i="1"/>
  <c r="Q29" i="1"/>
  <c r="R27" i="1"/>
  <c r="T26" i="1"/>
  <c r="R29" i="12"/>
  <c r="T29" i="12" s="1"/>
  <c r="T28" i="12"/>
  <c r="AD19" i="21"/>
  <c r="AE18" i="21"/>
  <c r="AF18" i="21"/>
  <c r="W10" i="1" l="1"/>
  <c r="W11" i="1" s="1"/>
  <c r="W5" i="12"/>
  <c r="R28" i="1"/>
  <c r="T27" i="1"/>
  <c r="AG18" i="21"/>
  <c r="AE19" i="21"/>
  <c r="AG18" i="11"/>
  <c r="Q30" i="1" l="1"/>
  <c r="P30" i="1" s="1"/>
  <c r="W7" i="1" s="1"/>
  <c r="W6" i="1"/>
  <c r="T28" i="1"/>
  <c r="R29" i="1"/>
  <c r="C32" i="21"/>
  <c r="C36" i="11"/>
  <c r="AF19" i="21"/>
  <c r="C33" i="21"/>
  <c r="C35" i="11"/>
  <c r="AG19" i="21" l="1"/>
  <c r="H12" i="21"/>
  <c r="F12" i="21"/>
  <c r="W10" i="11"/>
  <c r="X9" i="11" s="1"/>
  <c r="Y10" i="11"/>
  <c r="U26" i="11"/>
  <c r="T29" i="1"/>
  <c r="W5" i="1" s="1"/>
  <c r="C34" i="11"/>
  <c r="G17" i="11" a="1"/>
  <c r="C31" i="21"/>
  <c r="G11" i="21" l="1"/>
  <c r="F13" i="21"/>
  <c r="G13" i="21" s="1"/>
  <c r="W11" i="11"/>
  <c r="X11" i="11" s="1"/>
  <c r="J19" i="11"/>
  <c r="M17" i="11"/>
  <c r="M18" i="11"/>
  <c r="N19" i="11"/>
  <c r="Q17" i="11"/>
  <c r="S17" i="11"/>
  <c r="T17" i="11"/>
  <c r="T18" i="11"/>
  <c r="W17" i="11"/>
  <c r="V19" i="11"/>
  <c r="W19" i="11"/>
  <c r="AA17" i="11"/>
  <c r="AB17" i="11"/>
  <c r="AC17" i="11"/>
  <c r="AE17" i="11"/>
  <c r="AF18" i="11"/>
  <c r="AF19" i="11"/>
  <c r="AG19" i="11" s="1"/>
  <c r="H19" i="11"/>
  <c r="G18" i="11"/>
  <c r="K19" i="11"/>
  <c r="L18" i="11"/>
  <c r="O17" i="11"/>
  <c r="P17" i="11"/>
  <c r="R17" i="11"/>
  <c r="R18" i="11"/>
  <c r="R19" i="11"/>
  <c r="V17" i="11"/>
  <c r="V18" i="11"/>
  <c r="X17" i="11"/>
  <c r="Z17" i="11"/>
  <c r="Y19" i="11"/>
  <c r="AA18" i="11"/>
  <c r="AC18" i="11"/>
  <c r="AC19" i="11"/>
  <c r="AE18" i="11"/>
  <c r="I17" i="11"/>
  <c r="J17" i="11"/>
  <c r="K17" i="11"/>
  <c r="I19" i="11"/>
  <c r="L17" i="11"/>
  <c r="N17" i="11"/>
  <c r="N18" i="11"/>
  <c r="P18" i="11"/>
  <c r="P19" i="11"/>
  <c r="Q19" i="11"/>
  <c r="S19" i="11"/>
  <c r="U18" i="11"/>
  <c r="U19" i="11"/>
  <c r="X18" i="11"/>
  <c r="Y18" i="11"/>
  <c r="Z18" i="11"/>
  <c r="AB18" i="11"/>
  <c r="AD17" i="11"/>
  <c r="AD19" i="11"/>
  <c r="G19" i="11"/>
  <c r="I18" i="11"/>
  <c r="H18" i="11"/>
  <c r="AD18" i="11"/>
  <c r="K18" i="11"/>
  <c r="L19" i="11"/>
  <c r="O18" i="11"/>
  <c r="O19" i="11"/>
  <c r="Q18" i="11"/>
  <c r="S18" i="11"/>
  <c r="U17" i="11"/>
  <c r="T19" i="11"/>
  <c r="W18" i="11"/>
  <c r="Y17" i="11"/>
  <c r="X19" i="11"/>
  <c r="Z19" i="11"/>
  <c r="AA19" i="11"/>
  <c r="AB19" i="11"/>
  <c r="AF17" i="11"/>
  <c r="AE19" i="11"/>
  <c r="J18" i="11"/>
  <c r="H17" i="11"/>
  <c r="G17" i="11"/>
  <c r="M19" i="11"/>
  <c r="J17" i="21"/>
  <c r="I17" i="21"/>
  <c r="G18" i="21"/>
  <c r="S17" i="21"/>
  <c r="R17" i="21"/>
  <c r="AB17" i="21"/>
  <c r="Y17" i="21"/>
  <c r="Z17" i="21"/>
  <c r="V17" i="21"/>
  <c r="G17" i="21"/>
  <c r="AD17" i="21"/>
  <c r="U17" i="21"/>
  <c r="X17" i="21"/>
  <c r="Q17" i="21"/>
  <c r="N17" i="21"/>
  <c r="AC17" i="21"/>
  <c r="L17" i="21"/>
  <c r="K17" i="21"/>
  <c r="T17" i="21"/>
  <c r="G19" i="21"/>
  <c r="AF17" i="21"/>
  <c r="H17" i="21"/>
  <c r="M17" i="21"/>
  <c r="O17" i="21"/>
  <c r="AE17" i="21"/>
  <c r="AA17" i="21"/>
  <c r="P17" i="21"/>
  <c r="W17" i="21"/>
</calcChain>
</file>

<file path=xl/sharedStrings.xml><?xml version="1.0" encoding="utf-8"?>
<sst xmlns="http://schemas.openxmlformats.org/spreadsheetml/2006/main" count="332" uniqueCount="148">
  <si>
    <t>Preço unitário</t>
  </si>
  <si>
    <t>REN 482:</t>
  </si>
  <si>
    <t>Ano</t>
  </si>
  <si>
    <t>Alternativa 0</t>
  </si>
  <si>
    <t>Alternativa 5</t>
  </si>
  <si>
    <t>TUSD Fio B</t>
  </si>
  <si>
    <t>TUSD Fio A</t>
  </si>
  <si>
    <t>TUSD - ENCARGOS</t>
  </si>
  <si>
    <t>TUSD - PERDAS</t>
  </si>
  <si>
    <t xml:space="preserve">TE - Encargos </t>
  </si>
  <si>
    <t>Realista</t>
  </si>
  <si>
    <t>Otimista</t>
  </si>
  <si>
    <t>Pessimista</t>
  </si>
  <si>
    <t>Consumo local (kWh)</t>
  </si>
  <si>
    <t>Consumo de rede
(kWh)</t>
  </si>
  <si>
    <t xml:space="preserve"> Tarifa 
(R$/kWh)</t>
  </si>
  <si>
    <t>Compensação
(%)</t>
  </si>
  <si>
    <t>Economia 
(R$)</t>
  </si>
  <si>
    <t>Troca inversores
(R$)</t>
  </si>
  <si>
    <t>Manutençao
(R$)</t>
  </si>
  <si>
    <t>F. Caixa 
(R$)</t>
  </si>
  <si>
    <t>Investimento Inicial (R$)</t>
  </si>
  <si>
    <t>FC Ajust.
(R$)</t>
  </si>
  <si>
    <t>FC Acum. Ajus
(R$)</t>
  </si>
  <si>
    <t>1= posit
0= neg</t>
  </si>
  <si>
    <t>Premissas financeiras</t>
  </si>
  <si>
    <t>Fluxo de Caixa</t>
  </si>
  <si>
    <t>Premissas de consumo</t>
  </si>
  <si>
    <t>Auxiliar</t>
  </si>
  <si>
    <t>Consumo médio mensal (kWh)</t>
  </si>
  <si>
    <t>Geração anual (kWh)</t>
  </si>
  <si>
    <t>Consumo médio anual (kWh)</t>
  </si>
  <si>
    <t>Aproveitamento local</t>
  </si>
  <si>
    <t>Perda de eficiência</t>
  </si>
  <si>
    <t>Manutenção anual (R$)</t>
  </si>
  <si>
    <t>Reajuste anual manutenção</t>
  </si>
  <si>
    <t>Investimentos</t>
  </si>
  <si>
    <t>Premissas Gerais</t>
  </si>
  <si>
    <t>Compensação 2030-45 (%)</t>
  </si>
  <si>
    <t>Compensação até 2030  (%)</t>
  </si>
  <si>
    <t xml:space="preserve">Tipo Compensação até 2030 </t>
  </si>
  <si>
    <t>Tipo Compensação 2030-45</t>
  </si>
  <si>
    <t>Alternativa 2</t>
  </si>
  <si>
    <t>Investimentos (R$)</t>
  </si>
  <si>
    <t>Indicadores Financeiros</t>
  </si>
  <si>
    <t>Payback Simples</t>
  </si>
  <si>
    <t>Payback Desc.</t>
  </si>
  <si>
    <t>VPL</t>
  </si>
  <si>
    <t>TIR</t>
  </si>
  <si>
    <t>WACC</t>
  </si>
  <si>
    <t xml:space="preserve">Cenário </t>
  </si>
  <si>
    <t>Qntade</t>
  </si>
  <si>
    <t>Módulos (R$)</t>
  </si>
  <si>
    <t>Inversores (R$)</t>
  </si>
  <si>
    <t>Instalação (R$)</t>
  </si>
  <si>
    <t>Outros (R$)</t>
  </si>
  <si>
    <t>Parcelas</t>
  </si>
  <si>
    <t xml:space="preserve"> Energia</t>
  </si>
  <si>
    <t>VPL (R$)</t>
  </si>
  <si>
    <t>Payback simples (anos)</t>
  </si>
  <si>
    <t>Payback descontado (anos)</t>
  </si>
  <si>
    <t>Composição</t>
  </si>
  <si>
    <t>Preço</t>
  </si>
  <si>
    <t>FC</t>
  </si>
  <si>
    <t>FC Ajust</t>
  </si>
  <si>
    <t>FC Acum.</t>
  </si>
  <si>
    <t>Indicadores financeiros</t>
  </si>
  <si>
    <t>Reajuste anual tarifa</t>
  </si>
  <si>
    <t>Tarifa atual (R$/kWh)</t>
  </si>
  <si>
    <t>Consumo total 
(kWh)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</si>
  <si>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</si>
  <si>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</si>
  <si>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</si>
  <si>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</si>
  <si>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</si>
  <si>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</si>
  <si>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</si>
  <si>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</si>
  <si>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</si>
  <si>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</si>
  <si>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</si>
  <si>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</si>
  <si>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Plano Horizontal</t>
  </si>
  <si>
    <t>Ângulo igual à latitude</t>
  </si>
  <si>
    <t>Maior média anual</t>
  </si>
  <si>
    <t>Maior mínimo mensal</t>
  </si>
  <si>
    <t>Média</t>
  </si>
  <si>
    <t>Geração total 
(kWh)</t>
  </si>
  <si>
    <t>Envio para a rede
(kWh)</t>
  </si>
  <si>
    <t>ke</t>
  </si>
  <si>
    <t>rf</t>
  </si>
  <si>
    <t>E(rm)</t>
  </si>
  <si>
    <t>IBOV</t>
  </si>
  <si>
    <t>30 FIC FIA</t>
  </si>
  <si>
    <t>SELIC</t>
  </si>
  <si>
    <t>Rent.</t>
  </si>
  <si>
    <t xml:space="preserve">Beta </t>
  </si>
  <si>
    <t>FIC FIA</t>
  </si>
  <si>
    <t>Curvas Históricas</t>
  </si>
  <si>
    <t>Anualização das médias</t>
  </si>
  <si>
    <t>Kd</t>
  </si>
  <si>
    <t>Linhas de Financiamento</t>
  </si>
  <si>
    <t>Bancos Públicos</t>
  </si>
  <si>
    <t>Mín</t>
  </si>
  <si>
    <t>Máx</t>
  </si>
  <si>
    <t>Ag. Fomento</t>
  </si>
  <si>
    <t>Bancos Comerc.</t>
  </si>
  <si>
    <t>Fintechs</t>
  </si>
  <si>
    <t>Consórcios</t>
  </si>
  <si>
    <t>Anual</t>
  </si>
  <si>
    <t>Mensal</t>
  </si>
  <si>
    <t>Eficiência</t>
  </si>
  <si>
    <t>Painéis fotovoltaicos</t>
  </si>
  <si>
    <t>Largura (m)</t>
  </si>
  <si>
    <t>Comprimento (m)</t>
  </si>
  <si>
    <t>Área (m²)</t>
  </si>
  <si>
    <t>Geração máxima (kWh/m²/dia)</t>
  </si>
  <si>
    <t>Geração máxima (kWh/m²/ano)</t>
  </si>
  <si>
    <t>Geração máxima (kWh/m²/painel)</t>
  </si>
  <si>
    <t>Painéis necessários</t>
  </si>
  <si>
    <t>Energia total gerada
(MWh/ano)</t>
  </si>
  <si>
    <t>Custo/painel (R$)</t>
  </si>
  <si>
    <t>Potência Pico (W)</t>
  </si>
  <si>
    <t>Inversores</t>
  </si>
  <si>
    <t>Inversores necessários</t>
  </si>
  <si>
    <t>Potência Trabalho (kW)</t>
  </si>
  <si>
    <t>Custo/inversor (R$)</t>
  </si>
  <si>
    <t>Outros</t>
  </si>
  <si>
    <t>Instalação e engenharia</t>
  </si>
  <si>
    <t>20% do valor total</t>
  </si>
  <si>
    <t>10% do valor total</t>
  </si>
  <si>
    <t>Instalação e engenharia- 20% (R$)</t>
  </si>
  <si>
    <t>Outros - 10% (R$)</t>
  </si>
  <si>
    <t>Outros - 20% (R$)</t>
  </si>
  <si>
    <t>Outros - 30% (R$)</t>
  </si>
  <si>
    <t>Manutenção anual (R$) - 5%</t>
  </si>
  <si>
    <t>E/(D+E)</t>
  </si>
  <si>
    <t>E (R$)</t>
  </si>
  <si>
    <t>Kd'</t>
  </si>
  <si>
    <t>Crescimento Observado</t>
  </si>
  <si>
    <t>i</t>
  </si>
  <si>
    <t>g</t>
  </si>
  <si>
    <t>FC25 ajust</t>
  </si>
  <si>
    <t>VPP</t>
  </si>
  <si>
    <t>Perpetuidade</t>
  </si>
  <si>
    <t>Sim</t>
  </si>
  <si>
    <t>Coluna1</t>
  </si>
  <si>
    <t>Cenário: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</si>
</sst>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&quot;R$&quot;\ #,##0"/>
    <numFmt numFmtId="165" formatCode="0.0%"/>
    <numFmt numFmtId="166" formatCode="_-* #,##0_-;\-* #,##0_-;_-* &quot;-&quot;??_-;_-@_-"/>
    <numFmt numFmtId="167" formatCode="mm/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dashed">
        <color theme="0" tint="-0.24994659260841701"/>
      </right>
      <top/>
      <bottom style="dashed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dashed">
        <color theme="0" tint="-0.14996795556505021"/>
      </right>
      <top style="dashed">
        <color theme="0" tint="-0.14996795556505021"/>
      </top>
      <bottom style="thin">
        <color indexed="64"/>
      </bottom>
      <diagonal/>
    </border>
    <border>
      <left style="dashed">
        <color theme="0" tint="-0.14996795556505021"/>
      </left>
      <right style="thin">
        <color indexed="64"/>
      </right>
      <top style="dash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indexed="64"/>
      </right>
      <top/>
      <bottom style="dash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/>
      <bottom style="dotted">
        <color theme="0" tint="-0.14996795556505021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/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ashed">
        <color theme="0" tint="-0.24994659260841701"/>
      </left>
      <right/>
      <top/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indexed="64"/>
      </left>
      <right style="dotted">
        <color theme="0" tint="-0.24994659260841701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 style="medium">
        <color indexed="64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/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thin">
        <color indexed="64"/>
      </left>
      <right style="dotted">
        <color theme="0" tint="-0.14996795556505021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theme="0" tint="-0.24994659260841701"/>
      </right>
      <top/>
      <bottom style="dashed">
        <color theme="0" tint="-0.24994659260841701"/>
      </bottom>
      <diagonal/>
    </border>
    <border>
      <left/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3" fillId="0" borderId="24" xfId="0" applyFont="1" applyBorder="1"/>
    <xf numFmtId="43" fontId="3" fillId="0" borderId="25" xfId="1" applyFont="1" applyBorder="1" applyAlignment="1">
      <alignment horizontal="center"/>
    </xf>
    <xf numFmtId="0" fontId="3" fillId="0" borderId="20" xfId="0" applyFont="1" applyBorder="1"/>
    <xf numFmtId="43" fontId="3" fillId="0" borderId="21" xfId="1" applyFont="1" applyBorder="1" applyAlignment="1">
      <alignment horizontal="center"/>
    </xf>
    <xf numFmtId="0" fontId="3" fillId="0" borderId="22" xfId="0" applyFont="1" applyBorder="1"/>
    <xf numFmtId="0" fontId="4" fillId="0" borderId="1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43" fontId="3" fillId="0" borderId="14" xfId="1" applyFont="1" applyBorder="1"/>
    <xf numFmtId="43" fontId="3" fillId="0" borderId="14" xfId="1" applyFont="1" applyFill="1" applyBorder="1"/>
    <xf numFmtId="0" fontId="3" fillId="0" borderId="16" xfId="0" applyFont="1" applyBorder="1" applyAlignment="1">
      <alignment horizontal="center"/>
    </xf>
    <xf numFmtId="3" fontId="3" fillId="0" borderId="10" xfId="0" applyNumberFormat="1" applyFont="1" applyBorder="1"/>
    <xf numFmtId="3" fontId="3" fillId="0" borderId="10" xfId="0" applyNumberFormat="1" applyFont="1" applyBorder="1" applyAlignment="1">
      <alignment horizontal="center"/>
    </xf>
    <xf numFmtId="43" fontId="3" fillId="0" borderId="10" xfId="1" applyFont="1" applyFill="1" applyBorder="1"/>
    <xf numFmtId="0" fontId="3" fillId="0" borderId="17" xfId="0" applyFont="1" applyBorder="1" applyAlignment="1">
      <alignment horizontal="center"/>
    </xf>
    <xf numFmtId="43" fontId="3" fillId="0" borderId="11" xfId="1" applyFont="1" applyFill="1" applyBorder="1"/>
    <xf numFmtId="0" fontId="4" fillId="0" borderId="15" xfId="0" applyFont="1" applyBorder="1" applyAlignment="1">
      <alignment horizontal="center"/>
    </xf>
    <xf numFmtId="0" fontId="3" fillId="0" borderId="27" xfId="0" applyFont="1" applyBorder="1"/>
    <xf numFmtId="0" fontId="3" fillId="0" borderId="30" xfId="0" applyFont="1" applyBorder="1"/>
    <xf numFmtId="0" fontId="3" fillId="0" borderId="32" xfId="0" applyFont="1" applyBorder="1"/>
    <xf numFmtId="0" fontId="2" fillId="0" borderId="19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3" fillId="0" borderId="19" xfId="0" applyFont="1" applyBorder="1" applyAlignment="1">
      <alignment horizontal="centerContinuous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43" fontId="3" fillId="0" borderId="36" xfId="1" applyFont="1" applyFill="1" applyBorder="1"/>
    <xf numFmtId="43" fontId="3" fillId="0" borderId="12" xfId="1" applyFont="1" applyFill="1" applyBorder="1" applyAlignment="1">
      <alignment horizontal="center"/>
    </xf>
    <xf numFmtId="43" fontId="3" fillId="0" borderId="13" xfId="1" applyFont="1" applyFill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43" fontId="3" fillId="0" borderId="39" xfId="1" applyFont="1" applyBorder="1"/>
    <xf numFmtId="43" fontId="3" fillId="0" borderId="40" xfId="1" applyFont="1" applyBorder="1"/>
    <xf numFmtId="3" fontId="3" fillId="0" borderId="41" xfId="0" applyNumberFormat="1" applyFont="1" applyBorder="1" applyAlignment="1">
      <alignment horizontal="center"/>
    </xf>
    <xf numFmtId="9" fontId="3" fillId="0" borderId="42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3" fontId="3" fillId="0" borderId="44" xfId="0" applyNumberFormat="1" applyFont="1" applyBorder="1"/>
    <xf numFmtId="3" fontId="3" fillId="0" borderId="44" xfId="0" applyNumberFormat="1" applyFont="1" applyBorder="1" applyAlignment="1">
      <alignment horizontal="center"/>
    </xf>
    <xf numFmtId="9" fontId="3" fillId="0" borderId="45" xfId="0" applyNumberFormat="1" applyFont="1" applyBorder="1" applyAlignment="1">
      <alignment horizontal="center"/>
    </xf>
    <xf numFmtId="43" fontId="3" fillId="0" borderId="46" xfId="1" applyFont="1" applyFill="1" applyBorder="1"/>
    <xf numFmtId="43" fontId="3" fillId="0" borderId="47" xfId="1" applyFont="1" applyFill="1" applyBorder="1"/>
    <xf numFmtId="43" fontId="3" fillId="0" borderId="48" xfId="1" applyFont="1" applyFill="1" applyBorder="1"/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43" fontId="3" fillId="0" borderId="39" xfId="1" applyFont="1" applyFill="1" applyBorder="1"/>
    <xf numFmtId="43" fontId="3" fillId="0" borderId="40" xfId="1" applyFont="1" applyFill="1" applyBorder="1"/>
    <xf numFmtId="43" fontId="3" fillId="0" borderId="41" xfId="1" applyFont="1" applyFill="1" applyBorder="1"/>
    <xf numFmtId="43" fontId="3" fillId="0" borderId="42" xfId="1" applyFont="1" applyFill="1" applyBorder="1"/>
    <xf numFmtId="43" fontId="5" fillId="0" borderId="42" xfId="1" applyFont="1" applyFill="1" applyBorder="1"/>
    <xf numFmtId="43" fontId="3" fillId="0" borderId="43" xfId="1" applyFont="1" applyFill="1" applyBorder="1"/>
    <xf numFmtId="43" fontId="3" fillId="0" borderId="44" xfId="1" applyFont="1" applyFill="1" applyBorder="1"/>
    <xf numFmtId="43" fontId="3" fillId="0" borderId="45" xfId="1" applyFont="1" applyFill="1" applyBorder="1"/>
    <xf numFmtId="0" fontId="3" fillId="0" borderId="50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43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3" fillId="0" borderId="0" xfId="1" applyNumberFormat="1" applyFont="1" applyBorder="1" applyAlignment="1">
      <alignment horizontal="center"/>
    </xf>
    <xf numFmtId="0" fontId="3" fillId="0" borderId="0" xfId="0" applyFont="1" applyBorder="1"/>
    <xf numFmtId="0" fontId="0" fillId="0" borderId="1" xfId="0" applyBorder="1" applyAlignment="1">
      <alignment horizontal="centerContinuous"/>
    </xf>
    <xf numFmtId="43" fontId="3" fillId="0" borderId="62" xfId="1" applyFont="1" applyBorder="1" applyAlignment="1">
      <alignment horizontal="center"/>
    </xf>
    <xf numFmtId="43" fontId="3" fillId="0" borderId="28" xfId="1" applyFont="1" applyBorder="1" applyAlignment="1">
      <alignment horizontal="center"/>
    </xf>
    <xf numFmtId="43" fontId="3" fillId="0" borderId="31" xfId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ill="1" applyBorder="1" applyAlignment="1"/>
    <xf numFmtId="9" fontId="3" fillId="0" borderId="26" xfId="0" applyNumberFormat="1" applyFont="1" applyBorder="1"/>
    <xf numFmtId="9" fontId="3" fillId="0" borderId="28" xfId="0" applyNumberFormat="1" applyFont="1" applyBorder="1"/>
    <xf numFmtId="9" fontId="3" fillId="0" borderId="31" xfId="0" applyNumberFormat="1" applyFont="1" applyBorder="1"/>
    <xf numFmtId="0" fontId="3" fillId="0" borderId="65" xfId="0" applyFont="1" applyBorder="1"/>
    <xf numFmtId="9" fontId="3" fillId="0" borderId="29" xfId="0" applyNumberFormat="1" applyFont="1" applyBorder="1"/>
    <xf numFmtId="0" fontId="3" fillId="0" borderId="60" xfId="0" applyFont="1" applyBorder="1"/>
    <xf numFmtId="9" fontId="3" fillId="0" borderId="62" xfId="0" applyNumberFormat="1" applyFont="1" applyBorder="1"/>
    <xf numFmtId="0" fontId="4" fillId="0" borderId="66" xfId="0" applyFont="1" applyBorder="1" applyAlignment="1">
      <alignment horizontal="centerContinuous"/>
    </xf>
    <xf numFmtId="9" fontId="4" fillId="0" borderId="67" xfId="0" applyNumberFormat="1" applyFont="1" applyBorder="1" applyAlignment="1">
      <alignment horizontal="centerContinuous"/>
    </xf>
    <xf numFmtId="0" fontId="3" fillId="0" borderId="60" xfId="0" applyFont="1" applyFill="1" applyBorder="1"/>
    <xf numFmtId="0" fontId="3" fillId="0" borderId="27" xfId="0" applyFont="1" applyFill="1" applyBorder="1"/>
    <xf numFmtId="0" fontId="3" fillId="0" borderId="30" xfId="0" applyFont="1" applyFill="1" applyBorder="1"/>
    <xf numFmtId="0" fontId="3" fillId="0" borderId="49" xfId="0" applyFont="1" applyFill="1" applyBorder="1" applyAlignment="1">
      <alignment horizontal="center" wrapText="1"/>
    </xf>
    <xf numFmtId="166" fontId="3" fillId="0" borderId="21" xfId="1" applyNumberFormat="1" applyFont="1" applyBorder="1" applyAlignment="1">
      <alignment horizontal="center"/>
    </xf>
    <xf numFmtId="0" fontId="3" fillId="0" borderId="54" xfId="0" applyFont="1" applyBorder="1"/>
    <xf numFmtId="43" fontId="3" fillId="0" borderId="55" xfId="1" applyFont="1" applyBorder="1"/>
    <xf numFmtId="0" fontId="3" fillId="0" borderId="56" xfId="0" applyFont="1" applyBorder="1"/>
    <xf numFmtId="43" fontId="3" fillId="0" borderId="57" xfId="0" applyNumberFormat="1" applyFont="1" applyBorder="1"/>
    <xf numFmtId="43" fontId="3" fillId="0" borderId="57" xfId="1" applyFont="1" applyBorder="1"/>
    <xf numFmtId="0" fontId="3" fillId="0" borderId="58" xfId="0" applyFont="1" applyBorder="1"/>
    <xf numFmtId="0" fontId="2" fillId="0" borderId="19" xfId="0" applyFont="1" applyBorder="1" applyAlignment="1">
      <alignment horizontal="centerContinuous" vertical="center"/>
    </xf>
    <xf numFmtId="9" fontId="3" fillId="0" borderId="21" xfId="0" applyNumberFormat="1" applyFont="1" applyBorder="1" applyAlignment="1">
      <alignment horizontal="right"/>
    </xf>
    <xf numFmtId="9" fontId="3" fillId="0" borderId="8" xfId="0" applyNumberFormat="1" applyFont="1" applyBorder="1" applyAlignment="1">
      <alignment horizontal="right"/>
    </xf>
    <xf numFmtId="43" fontId="0" fillId="0" borderId="0" xfId="0" applyNumberFormat="1"/>
    <xf numFmtId="0" fontId="6" fillId="0" borderId="0" xfId="0" applyFont="1"/>
    <xf numFmtId="43" fontId="6" fillId="0" borderId="0" xfId="1" applyFont="1"/>
    <xf numFmtId="0" fontId="8" fillId="0" borderId="3" xfId="0" applyFont="1" applyBorder="1" applyAlignment="1">
      <alignment horizontal="center"/>
    </xf>
    <xf numFmtId="0" fontId="10" fillId="0" borderId="0" xfId="0" applyFont="1"/>
    <xf numFmtId="0" fontId="12" fillId="0" borderId="9" xfId="0" applyFont="1" applyBorder="1"/>
    <xf numFmtId="0" fontId="0" fillId="0" borderId="9" xfId="0" applyBorder="1"/>
    <xf numFmtId="43" fontId="0" fillId="0" borderId="0" xfId="0" applyNumberFormat="1" applyFont="1" applyBorder="1"/>
    <xf numFmtId="9" fontId="0" fillId="0" borderId="0" xfId="0" applyNumberFormat="1" applyFont="1" applyBorder="1"/>
    <xf numFmtId="0" fontId="0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indent="1"/>
    </xf>
    <xf numFmtId="43" fontId="9" fillId="0" borderId="0" xfId="0" applyNumberFormat="1" applyFont="1"/>
    <xf numFmtId="0" fontId="11" fillId="0" borderId="0" xfId="0" applyFont="1" applyAlignment="1">
      <alignment horizontal="left" indent="1"/>
    </xf>
    <xf numFmtId="166" fontId="3" fillId="0" borderId="0" xfId="1" applyNumberFormat="1" applyFont="1" applyBorder="1" applyAlignment="1">
      <alignment horizontal="center"/>
    </xf>
    <xf numFmtId="166" fontId="0" fillId="0" borderId="0" xfId="1" applyNumberFormat="1" applyFont="1"/>
    <xf numFmtId="165" fontId="3" fillId="0" borderId="21" xfId="0" applyNumberFormat="1" applyFont="1" applyBorder="1" applyAlignment="1">
      <alignment horizontal="right"/>
    </xf>
    <xf numFmtId="165" fontId="11" fillId="0" borderId="0" xfId="0" applyNumberFormat="1" applyFont="1"/>
    <xf numFmtId="167" fontId="13" fillId="0" borderId="0" xfId="0" applyNumberFormat="1" applyFont="1" applyAlignment="1">
      <alignment horizontal="right"/>
    </xf>
    <xf numFmtId="43" fontId="14" fillId="0" borderId="1" xfId="1" applyFont="1" applyFill="1" applyBorder="1" applyAlignment="1">
      <alignment horizontal="left" vertical="center" wrapText="1"/>
    </xf>
    <xf numFmtId="43" fontId="13" fillId="0" borderId="0" xfId="1" applyFont="1"/>
    <xf numFmtId="43" fontId="13" fillId="0" borderId="1" xfId="1" applyFont="1" applyBorder="1"/>
    <xf numFmtId="0" fontId="13" fillId="0" borderId="0" xfId="0" applyFont="1" applyFill="1" applyAlignment="1">
      <alignment horizontal="right" indent="1"/>
    </xf>
    <xf numFmtId="0" fontId="13" fillId="0" borderId="0" xfId="0" applyFont="1" applyAlignment="1">
      <alignment horizontal="center"/>
    </xf>
    <xf numFmtId="0" fontId="0" fillId="0" borderId="0" xfId="0" applyBorder="1"/>
    <xf numFmtId="10" fontId="14" fillId="0" borderId="1" xfId="1" applyNumberFormat="1" applyFont="1" applyFill="1" applyBorder="1" applyAlignment="1">
      <alignment horizontal="right" vertical="center" wrapText="1"/>
    </xf>
    <xf numFmtId="10" fontId="13" fillId="0" borderId="1" xfId="1" applyNumberFormat="1" applyFont="1" applyBorder="1" applyAlignment="1">
      <alignment horizontal="right"/>
    </xf>
    <xf numFmtId="165" fontId="13" fillId="0" borderId="1" xfId="1" applyNumberFormat="1" applyFont="1" applyBorder="1"/>
    <xf numFmtId="10" fontId="13" fillId="0" borderId="1" xfId="1" applyNumberFormat="1" applyFont="1" applyBorder="1"/>
    <xf numFmtId="0" fontId="0" fillId="0" borderId="0" xfId="0" applyAlignment="1">
      <alignment horizontal="right"/>
    </xf>
    <xf numFmtId="10" fontId="14" fillId="0" borderId="0" xfId="1" applyNumberFormat="1" applyFont="1" applyFill="1" applyBorder="1" applyAlignment="1">
      <alignment horizontal="right" vertical="center" wrapText="1"/>
    </xf>
    <xf numFmtId="165" fontId="13" fillId="0" borderId="0" xfId="0" applyNumberFormat="1" applyFont="1"/>
    <xf numFmtId="10" fontId="13" fillId="0" borderId="0" xfId="0" applyNumberFormat="1" applyFont="1"/>
    <xf numFmtId="43" fontId="14" fillId="0" borderId="1" xfId="1" applyFont="1" applyFill="1" applyBorder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center"/>
    </xf>
    <xf numFmtId="10" fontId="13" fillId="0" borderId="1" xfId="0" applyNumberFormat="1" applyFont="1" applyBorder="1"/>
    <xf numFmtId="0" fontId="15" fillId="0" borderId="0" xfId="0" applyFont="1"/>
    <xf numFmtId="0" fontId="13" fillId="0" borderId="1" xfId="0" applyFont="1" applyBorder="1" applyAlignment="1">
      <alignment horizontal="right"/>
    </xf>
    <xf numFmtId="0" fontId="0" fillId="0" borderId="1" xfId="0" applyBorder="1"/>
    <xf numFmtId="0" fontId="13" fillId="0" borderId="1" xfId="0" applyFont="1" applyBorder="1"/>
    <xf numFmtId="0" fontId="0" fillId="0" borderId="0" xfId="0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13" fillId="0" borderId="1" xfId="0" applyFont="1" applyFill="1" applyBorder="1" applyAlignment="1">
      <alignment horizontal="left" vertical="center" wrapText="1" indent="1"/>
    </xf>
    <xf numFmtId="43" fontId="13" fillId="0" borderId="1" xfId="1" applyFont="1" applyBorder="1" applyAlignment="1">
      <alignment vertical="center"/>
    </xf>
    <xf numFmtId="166" fontId="13" fillId="0" borderId="1" xfId="1" applyNumberFormat="1" applyFont="1" applyBorder="1"/>
    <xf numFmtId="166" fontId="13" fillId="0" borderId="1" xfId="1" applyNumberFormat="1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 indent="1"/>
    </xf>
    <xf numFmtId="9" fontId="13" fillId="0" borderId="1" xfId="0" applyNumberFormat="1" applyFont="1" applyBorder="1" applyAlignment="1">
      <alignment horizontal="left" indent="1"/>
    </xf>
    <xf numFmtId="43" fontId="3" fillId="0" borderId="0" xfId="1" applyFont="1"/>
    <xf numFmtId="166" fontId="3" fillId="0" borderId="61" xfId="1" applyNumberFormat="1" applyFont="1" applyFill="1" applyBorder="1" applyAlignment="1">
      <alignment horizontal="center"/>
    </xf>
    <xf numFmtId="166" fontId="3" fillId="0" borderId="63" xfId="1" applyNumberFormat="1" applyFont="1" applyFill="1" applyBorder="1" applyAlignment="1">
      <alignment horizontal="center"/>
    </xf>
    <xf numFmtId="166" fontId="3" fillId="0" borderId="64" xfId="1" applyNumberFormat="1" applyFont="1" applyFill="1" applyBorder="1" applyAlignment="1">
      <alignment horizontal="center"/>
    </xf>
    <xf numFmtId="43" fontId="7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 vertical="center"/>
    </xf>
    <xf numFmtId="165" fontId="3" fillId="0" borderId="21" xfId="1" applyNumberFormat="1" applyFont="1" applyBorder="1" applyAlignment="1">
      <alignment horizontal="right"/>
    </xf>
    <xf numFmtId="43" fontId="3" fillId="0" borderId="0" xfId="1" applyFont="1" applyFill="1" applyBorder="1"/>
    <xf numFmtId="10" fontId="3" fillId="0" borderId="23" xfId="1" applyNumberFormat="1" applyFont="1" applyBorder="1" applyAlignment="1">
      <alignment horizontal="right"/>
    </xf>
    <xf numFmtId="10" fontId="3" fillId="0" borderId="57" xfId="1" applyNumberFormat="1" applyFont="1" applyBorder="1"/>
    <xf numFmtId="43" fontId="3" fillId="0" borderId="59" xfId="1" applyFont="1" applyBorder="1"/>
    <xf numFmtId="0" fontId="16" fillId="0" borderId="0" xfId="0" applyFont="1" applyAlignment="1">
      <alignment horizontal="center"/>
    </xf>
    <xf numFmtId="43" fontId="13" fillId="0" borderId="5" xfId="1" applyFont="1" applyFill="1" applyBorder="1"/>
    <xf numFmtId="0" fontId="13" fillId="0" borderId="7" xfId="0" applyFont="1" applyBorder="1"/>
    <xf numFmtId="0" fontId="3" fillId="0" borderId="68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43" fontId="5" fillId="0" borderId="47" xfId="1" applyFont="1" applyFill="1" applyBorder="1"/>
    <xf numFmtId="43" fontId="3" fillId="0" borderId="71" xfId="1" applyFont="1" applyFill="1" applyBorder="1"/>
    <xf numFmtId="0" fontId="4" fillId="0" borderId="72" xfId="0" applyFont="1" applyBorder="1" applyAlignment="1">
      <alignment horizontal="centerContinuous" vertical="center"/>
    </xf>
    <xf numFmtId="0" fontId="3" fillId="0" borderId="73" xfId="0" applyFont="1" applyBorder="1" applyAlignment="1">
      <alignment horizontal="centerContinuous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indent="1"/>
    </xf>
    <xf numFmtId="43" fontId="9" fillId="3" borderId="0" xfId="0" applyNumberFormat="1" applyFont="1" applyFill="1"/>
    <xf numFmtId="0" fontId="11" fillId="3" borderId="0" xfId="0" applyFont="1" applyFill="1" applyAlignment="1">
      <alignment horizontal="left" indent="1"/>
    </xf>
    <xf numFmtId="165" fontId="11" fillId="3" borderId="0" xfId="0" applyNumberFormat="1" applyFont="1" applyFill="1"/>
    <xf numFmtId="0" fontId="3" fillId="3" borderId="0" xfId="0" applyFont="1" applyFill="1" applyBorder="1"/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ont="1" applyFill="1" applyBorder="1" applyAlignment="1">
      <alignment horizontal="left" indent="1"/>
    </xf>
    <xf numFmtId="43" fontId="0" fillId="5" borderId="0" xfId="0" applyNumberFormat="1" applyFont="1" applyFill="1" applyBorder="1"/>
    <xf numFmtId="9" fontId="0" fillId="5" borderId="0" xfId="0" applyNumberFormat="1" applyFont="1" applyFill="1" applyBorder="1"/>
    <xf numFmtId="43" fontId="3" fillId="3" borderId="0" xfId="1" applyFont="1" applyFill="1" applyAlignment="1">
      <alignment horizontal="right"/>
    </xf>
    <xf numFmtId="43" fontId="3" fillId="3" borderId="0" xfId="1" applyFont="1" applyFill="1" applyBorder="1" applyAlignment="1">
      <alignment horizontal="right"/>
    </xf>
    <xf numFmtId="9" fontId="3" fillId="3" borderId="0" xfId="1" applyNumberFormat="1" applyFont="1" applyFill="1" applyBorder="1" applyAlignment="1">
      <alignment horizontal="right"/>
    </xf>
    <xf numFmtId="166" fontId="3" fillId="3" borderId="0" xfId="1" applyNumberFormat="1" applyFont="1" applyFill="1" applyBorder="1" applyAlignment="1">
      <alignment horizontal="right"/>
    </xf>
    <xf numFmtId="9" fontId="17" fillId="0" borderId="2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0" fillId="5" borderId="74" xfId="0" applyFont="1" applyFill="1" applyBorder="1"/>
    <xf numFmtId="10" fontId="7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/>
    <xf numFmtId="0" fontId="0" fillId="0" borderId="0" xfId="0" applyFill="1" applyBorder="1"/>
    <xf numFmtId="43" fontId="0" fillId="0" borderId="0" xfId="0" applyNumberFormat="1" applyBorder="1"/>
    <xf numFmtId="43" fontId="20" fillId="5" borderId="75" xfId="1" applyFont="1" applyFill="1" applyBorder="1" applyAlignment="1">
      <alignment horizontal="center" vertical="center"/>
    </xf>
    <xf numFmtId="0" fontId="18" fillId="4" borderId="9" xfId="0" applyFont="1" applyFill="1" applyBorder="1"/>
    <xf numFmtId="0" fontId="21" fillId="4" borderId="9" xfId="0" applyFont="1" applyFill="1" applyBorder="1"/>
    <xf numFmtId="0" fontId="12" fillId="0" borderId="0" xfId="0" applyFont="1" applyBorder="1"/>
    <xf numFmtId="0" fontId="19" fillId="4" borderId="7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dotted">
          <color theme="0" tint="-0.24994659260841701"/>
        </left>
        <right style="medium">
          <color indexed="64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ashed">
          <color theme="0" tint="-0.24994659260841701"/>
        </left>
        <right/>
        <top style="dashed">
          <color theme="0" tint="-0.24994659260841701"/>
        </top>
        <bottom style="dash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dashed">
          <color theme="0" tint="-0.24994659260841701"/>
        </right>
        <top style="dashed">
          <color theme="0" tint="-0.24994659260841701"/>
        </top>
        <bottom style="dashed">
          <color theme="0" tint="-0.24994659260841701"/>
        </bottom>
        <vertical/>
        <horizontal/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Estilo de Tabela 1" pivot="0" count="0" xr9:uid="{57CF3DD2-F017-4584-8161-8D53911F2395}"/>
    <tableStyle name="Segmentação" pivot="0" table="0" count="0" xr9:uid="{41F69DE6-8BD0-44EC-AACE-F233CB6CB48C}"/>
  </tableStyles>
  <extLst>
    <ext xmlns:x14="http://schemas.microsoft.com/office/spreadsheetml/2009/9/main" uri="{EB79DEF2-80B8-43e5-95BD-54CBDDF9020C}">
      <x14:slicerStyles defaultSlicerStyle="SlicerStyleLight1">
        <x14:slicerStyle name="Segmentação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20676384263783E-2"/>
          <c:y val="0.18599253564508916"/>
          <c:w val="0.43748784785983447"/>
          <c:h val="0.66021116920860445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C2-4C83-90F7-050B1DDC3E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2-4C83-90F7-050B1DDC3E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C2-4C83-90F7-050B1DDC3E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C2-4C83-90F7-050B1DDC3E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Dashboard!$B$9:$B$12</c:f>
              <c:strCache>
                <c:ptCount val="4"/>
                <c:pt idx="0">
                  <c:v>Módulos (R$)</c:v>
                </c:pt>
                <c:pt idx="1">
                  <c:v>Inversores (R$)</c:v>
                </c:pt>
                <c:pt idx="2">
                  <c:v>Instalação (R$)</c:v>
                </c:pt>
                <c:pt idx="3">
                  <c:v>Outros (R$)</c:v>
                </c:pt>
              </c:strCache>
            </c:strRef>
          </c:cat>
          <c:val>
            <c:numRef>
              <c:f>Dashboard!$B$15:$B$18</c:f>
              <c:numCache>
                <c:formatCode>0%</c:formatCode>
                <c:ptCount val="4"/>
                <c:pt idx="0">
                  <c:v>0.5624711544801213</c:v>
                </c:pt>
                <c:pt idx="1">
                  <c:v>0.10549218698490143</c:v>
                </c:pt>
                <c:pt idx="2">
                  <c:v>0.2226544471550076</c:v>
                </c:pt>
                <c:pt idx="3">
                  <c:v>0.10938221137996967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BC2-4C83-90F7-050B1DDC3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442797754438809"/>
          <c:y val="0.15773805827413184"/>
          <c:w val="0.38705103640623467"/>
          <c:h val="0.69363597645965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2000" b="1">
                <a:solidFill>
                  <a:sysClr val="windowText" lastClr="000000"/>
                </a:solidFill>
              </a:rPr>
              <a:t>Fluxos de Caixa Acumulado</a:t>
            </a:r>
          </a:p>
        </c:rich>
      </c:tx>
      <c:layout>
        <c:manualLayout>
          <c:xMode val="edge"/>
          <c:yMode val="edge"/>
          <c:x val="0.39167340817998919"/>
          <c:y val="5.8580477893007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Dashboard!$G$19:$AG$19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-2407572.3560132082</c:v>
                </c:pt>
                <c:pt idx="2">
                  <c:v>-1828653.7366446108</c:v>
                </c:pt>
                <c:pt idx="3">
                  <c:v>-1293142.8255557157</c:v>
                </c:pt>
                <c:pt idx="4">
                  <c:v>-797798.73492694064</c:v>
                </c:pt>
                <c:pt idx="5">
                  <c:v>-339621.69130131899</c:v>
                </c:pt>
                <c:pt idx="6">
                  <c:v>84164.8496976397</c:v>
                </c:pt>
                <c:pt idx="7">
                  <c:v>476130.76526313217</c:v>
                </c:pt>
                <c:pt idx="8">
                  <c:v>838654.60163231706</c:v>
                </c:pt>
                <c:pt idx="9">
                  <c:v>1173937.7751565701</c:v>
                </c:pt>
                <c:pt idx="10">
                  <c:v>1484017.7220555884</c:v>
                </c:pt>
                <c:pt idx="11">
                  <c:v>1734233.8815925377</c:v>
                </c:pt>
                <c:pt idx="12">
                  <c:v>1869818.1353581236</c:v>
                </c:pt>
                <c:pt idx="13">
                  <c:v>2083637.9749976485</c:v>
                </c:pt>
                <c:pt idx="14">
                  <c:v>2281284.6364243282</c:v>
                </c:pt>
                <c:pt idx="15">
                  <c:v>2463974.3313714187</c:v>
                </c:pt>
                <c:pt idx="16">
                  <c:v>2632832.248921135</c:v>
                </c:pt>
                <c:pt idx="17">
                  <c:v>2788899.3409173447</c:v>
                </c:pt>
                <c:pt idx="18">
                  <c:v>2933138.6032097461</c:v>
                </c:pt>
                <c:pt idx="19">
                  <c:v>3066440.8900870727</c:v>
                </c:pt>
                <c:pt idx="20">
                  <c:v>3189630.2964952006</c:v>
                </c:pt>
                <c:pt idx="21">
                  <c:v>3303469.1400781153</c:v>
                </c:pt>
                <c:pt idx="22">
                  <c:v>3408662.5727105346</c:v>
                </c:pt>
                <c:pt idx="23">
                  <c:v>3472269.269424574</c:v>
                </c:pt>
                <c:pt idx="24">
                  <c:v>3562079.6976050921</c:v>
                </c:pt>
                <c:pt idx="25">
                  <c:v>3645058.2964321831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D-4829-816B-619B45683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/>
              <a:t>Taxas internas de retorno</a:t>
            </a:r>
            <a:r>
              <a:rPr lang="pt-BR" sz="1800" b="1" baseline="0"/>
              <a:t> e VPL (R$) para os três casos</a:t>
            </a:r>
            <a:endParaRPr lang="pt-BR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2746040896849378E-2"/>
          <c:y val="0.16623155123016736"/>
          <c:w val="0.95831335910624083"/>
          <c:h val="0.6635013873175832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20-42A3-8845-E8675CCEC8E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20-42A3-8845-E8675CCEC8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20-42A3-8845-E8675CCEC8E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20-42A3-8845-E8675CCEC8E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20-42A3-8845-E8675CCEC8E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20-42A3-8845-E8675CCEC8E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20-42A3-8845-E8675CCEC8E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20-42A3-8845-E8675CCEC8E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Dashboard!$E$10:$E$14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Dashboard!$F$10:$F$14</c:f>
              <c:numCache>
                <c:formatCode>0%</c:formatCode>
                <c:ptCount val="5"/>
                <c:pt idx="0">
                  <c:v>0.19734622949971325</c:v>
                </c:pt>
                <c:pt idx="1">
                  <c:v>0.19734622949971325</c:v>
                </c:pt>
                <c:pt idx="2">
                  <c:v>0.2398980866549254</c:v>
                </c:pt>
                <c:pt idx="3">
                  <c:v>0.2398980866549254</c:v>
                </c:pt>
                <c:pt idx="4">
                  <c:v>0.26659795079166115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20-42A3-8845-E8675CCEC8EF}"/>
            </c:ext>
          </c:extLst>
        </c:ser>
        <c:ser>
          <c:idx val="1"/>
          <c:order val="1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20-42A3-8845-E8675CCEC8E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020-42A3-8845-E8675CCEC8E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020-42A3-8845-E8675CCEC8E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Dashboard!$E$10:$E$14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Dashboard!$G$10:$G$14</c:f>
              <c:numCache>
                <c:formatCode>0%</c:formatCode>
                <c:ptCount val="5"/>
                <c:pt idx="0">
                  <c:v>0</c:v>
                </c:pt>
                <c:pt idx="1">
                  <c:v>4.2551857155212147E-2</c:v>
                </c:pt>
                <c:pt idx="2">
                  <c:v>0</c:v>
                </c:pt>
                <c:pt idx="3">
                  <c:v>2.6699864136735751E-2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20-42A3-8845-E8675CCEC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456224"/>
        <c:axId val="187647078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2.666505229954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020-42A3-8845-E8675CCEC8EF}"/>
                </c:ext>
              </c:extLst>
            </c:dLbl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Dashboard!$E$10:$E$14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Dashboard!$H$10:$H$14</c:f>
              <c:numCache>
                <c:formatCode>General</c:formatCode>
                <c:ptCount val="5"/>
                <c:pt idx="0" formatCode="_(* #,##0.00_);_(* \(#,##0.00\);_(* &quot;-&quot;??_);_(@_)">
                  <c:v>3083807.5052879606</c:v>
                </c:pt>
                <c:pt idx="2" formatCode="_(* #,##0.00_);_(* \(#,##0.00\);_(* &quot;-&quot;??_);_(@_)">
                  <c:v>4636834.9910906097</c:v>
                </c:pt>
                <c:pt idx="4" formatCode="_(* #,##0.00_);_(* \(#,##0.00\);_(* &quot;-&quot;??_);_(@_)">
                  <c:v>5865786.6765988655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VPL</c:v>
                </c15:tx>
              </c15:filteredSeriesTitle>
            </c:ext>
            <c:ext xmlns:c16="http://schemas.microsoft.com/office/drawing/2014/chart" uri="{C3380CC4-5D6E-409C-BE32-E72D297353CC}">
              <c16:uniqueId val="{0000000F-4020-42A3-8845-E8675CCEC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53728"/>
        <c:axId val="1876477024"/>
      </c:lineChart>
      <c:catAx>
        <c:axId val="18764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  <c:max val="0.4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valAx>
        <c:axId val="1876477024"/>
        <c:scaling>
          <c:orientation val="minMax"/>
          <c:min val="-1000000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3728"/>
        <c:crosses val="max"/>
        <c:crossBetween val="between"/>
      </c:valAx>
      <c:catAx>
        <c:axId val="187645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47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'Estrutura de Capital'!$B$15</c:f>
              <c:strCache>
                <c:ptCount val="1"/>
                <c:pt idx="0">
                  <c:v>30 FIC FIA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Capital'!$C$15:$BV$15</c:f>
              <c:numCache>
                <c:formatCode>0.00%</c:formatCode>
                <c:ptCount val="72"/>
                <c:pt idx="0">
                  <c:v>-9.0999999999999998E-2</c:v>
                </c:pt>
                <c:pt idx="1">
                  <c:v>-7.000000000000001E-4</c:v>
                </c:pt>
                <c:pt idx="2">
                  <c:v>3.6299999999999999E-2</c:v>
                </c:pt>
                <c:pt idx="3">
                  <c:v>2.06E-2</c:v>
                </c:pt>
                <c:pt idx="4">
                  <c:v>2.53E-2</c:v>
                </c:pt>
                <c:pt idx="5">
                  <c:v>5.1500000000000004E-2</c:v>
                </c:pt>
                <c:pt idx="6">
                  <c:v>4.8999999999999998E-3</c:v>
                </c:pt>
                <c:pt idx="7">
                  <c:v>4.1700000000000001E-2</c:v>
                </c:pt>
                <c:pt idx="8">
                  <c:v>-3.7599999999999995E-2</c:v>
                </c:pt>
                <c:pt idx="9">
                  <c:v>1.8600000000000002E-2</c:v>
                </c:pt>
                <c:pt idx="10">
                  <c:v>1.5900000000000001E-2</c:v>
                </c:pt>
                <c:pt idx="11">
                  <c:v>-3.3599999999999998E-2</c:v>
                </c:pt>
                <c:pt idx="12">
                  <c:v>-8.5600000000000009E-2</c:v>
                </c:pt>
                <c:pt idx="13">
                  <c:v>7.9000000000000008E-3</c:v>
                </c:pt>
                <c:pt idx="14">
                  <c:v>2.4199999999999999E-2</c:v>
                </c:pt>
                <c:pt idx="15">
                  <c:v>2.35E-2</c:v>
                </c:pt>
                <c:pt idx="16">
                  <c:v>7.4999999999999997E-3</c:v>
                </c:pt>
                <c:pt idx="17">
                  <c:v>1.9099999999999999E-2</c:v>
                </c:pt>
                <c:pt idx="18">
                  <c:v>-2.8399999999999998E-2</c:v>
                </c:pt>
                <c:pt idx="19">
                  <c:v>-5.7099999999999998E-2</c:v>
                </c:pt>
                <c:pt idx="20">
                  <c:v>-4.87E-2</c:v>
                </c:pt>
                <c:pt idx="21">
                  <c:v>4.99E-2</c:v>
                </c:pt>
                <c:pt idx="22">
                  <c:v>-9.7000000000000003E-3</c:v>
                </c:pt>
                <c:pt idx="23">
                  <c:v>6.3E-3</c:v>
                </c:pt>
                <c:pt idx="24">
                  <c:v>-5.5099999999999996E-2</c:v>
                </c:pt>
                <c:pt idx="25">
                  <c:v>5.8400000000000001E-2</c:v>
                </c:pt>
                <c:pt idx="26">
                  <c:v>0.10949999999999999</c:v>
                </c:pt>
                <c:pt idx="27">
                  <c:v>7.9100000000000004E-2</c:v>
                </c:pt>
                <c:pt idx="28">
                  <c:v>1.4999999999999999E-2</c:v>
                </c:pt>
                <c:pt idx="29">
                  <c:v>1.3100000000000001E-2</c:v>
                </c:pt>
                <c:pt idx="30">
                  <c:v>9.06E-2</c:v>
                </c:pt>
                <c:pt idx="31">
                  <c:v>1.3500000000000002E-2</c:v>
                </c:pt>
                <c:pt idx="32">
                  <c:v>1.2E-2</c:v>
                </c:pt>
                <c:pt idx="33">
                  <c:v>7.2599999999999998E-2</c:v>
                </c:pt>
                <c:pt idx="34">
                  <c:v>-8.6800000000000002E-2</c:v>
                </c:pt>
                <c:pt idx="35">
                  <c:v>-3.8E-3</c:v>
                </c:pt>
                <c:pt idx="36">
                  <c:v>6.3600000000000004E-2</c:v>
                </c:pt>
                <c:pt idx="37">
                  <c:v>4.1100000000000005E-2</c:v>
                </c:pt>
                <c:pt idx="38">
                  <c:v>1.26E-2</c:v>
                </c:pt>
                <c:pt idx="39">
                  <c:v>4.1999999999999997E-3</c:v>
                </c:pt>
                <c:pt idx="40">
                  <c:v>-2.6499999999999999E-2</c:v>
                </c:pt>
                <c:pt idx="41">
                  <c:v>2.2700000000000001E-2</c:v>
                </c:pt>
                <c:pt idx="42">
                  <c:v>4.2300000000000004E-2</c:v>
                </c:pt>
                <c:pt idx="43">
                  <c:v>6.5099999999999991E-2</c:v>
                </c:pt>
                <c:pt idx="44">
                  <c:v>4.3700000000000003E-2</c:v>
                </c:pt>
                <c:pt idx="45">
                  <c:v>6.1999999999999998E-3</c:v>
                </c:pt>
                <c:pt idx="46">
                  <c:v>-9.300000000000001E-3</c:v>
                </c:pt>
                <c:pt idx="47">
                  <c:v>3.95E-2</c:v>
                </c:pt>
                <c:pt idx="48">
                  <c:v>6.4600000000000005E-2</c:v>
                </c:pt>
                <c:pt idx="49">
                  <c:v>3.0999999999999999E-3</c:v>
                </c:pt>
                <c:pt idx="50">
                  <c:v>7.3000000000000001E-3</c:v>
                </c:pt>
                <c:pt idx="51">
                  <c:v>-1.55E-2</c:v>
                </c:pt>
                <c:pt idx="52">
                  <c:v>-7.8399999999999997E-2</c:v>
                </c:pt>
                <c:pt idx="53">
                  <c:v>-3.6600000000000001E-2</c:v>
                </c:pt>
                <c:pt idx="54">
                  <c:v>4.4000000000000004E-2</c:v>
                </c:pt>
                <c:pt idx="55">
                  <c:v>-3.8100000000000002E-2</c:v>
                </c:pt>
                <c:pt idx="56">
                  <c:v>8.6999999999999994E-3</c:v>
                </c:pt>
                <c:pt idx="57">
                  <c:v>0.1273</c:v>
                </c:pt>
                <c:pt idx="58">
                  <c:v>6.0100000000000001E-2</c:v>
                </c:pt>
                <c:pt idx="59">
                  <c:v>-1.6000000000000001E-3</c:v>
                </c:pt>
                <c:pt idx="60">
                  <c:v>0.1421</c:v>
                </c:pt>
                <c:pt idx="61">
                  <c:v>-1.11E-2</c:v>
                </c:pt>
                <c:pt idx="62">
                  <c:v>-8.6E-3</c:v>
                </c:pt>
                <c:pt idx="63">
                  <c:v>2.0499999999999997E-2</c:v>
                </c:pt>
                <c:pt idx="64">
                  <c:v>3.04E-2</c:v>
                </c:pt>
                <c:pt idx="65">
                  <c:v>4.4600000000000001E-2</c:v>
                </c:pt>
                <c:pt idx="66">
                  <c:v>4.3799999999999999E-2</c:v>
                </c:pt>
                <c:pt idx="67">
                  <c:v>1.6200000000000003E-2</c:v>
                </c:pt>
                <c:pt idx="68">
                  <c:v>4.0500000000000001E-2</c:v>
                </c:pt>
                <c:pt idx="69">
                  <c:v>3.3099999999999997E-2</c:v>
                </c:pt>
                <c:pt idx="70">
                  <c:v>1.6E-2</c:v>
                </c:pt>
                <c:pt idx="71">
                  <c:v>9.5399999999999985E-2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A-4226-91BE-DE6FEE5A7E14}"/>
            </c:ext>
          </c:extLst>
        </c:ser>
        <c:ser>
          <c:idx val="1"/>
          <c:order val="1"/>
          <c:tx>
            <c:strRef>
              <c:f>'Estrutura de Capital'!$B$17</c:f>
              <c:strCache>
                <c:ptCount val="1"/>
                <c:pt idx="0">
                  <c:v>IBOV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Capital'!$C$17:$BV$17</c:f>
              <c:numCache>
                <c:formatCode>0.00%</c:formatCode>
                <c:ptCount val="72"/>
                <c:pt idx="0">
                  <c:v>-7.51E-2</c:v>
                </c:pt>
                <c:pt idx="1">
                  <c:v>-1.1399999999999999E-2</c:v>
                </c:pt>
                <c:pt idx="2">
                  <c:v>7.0499999999999993E-2</c:v>
                </c:pt>
                <c:pt idx="3">
                  <c:v>2.4E-2</c:v>
                </c:pt>
                <c:pt idx="4">
                  <c:v>-7.4999999999999997E-3</c:v>
                </c:pt>
                <c:pt idx="5">
                  <c:v>3.7599999999999995E-2</c:v>
                </c:pt>
                <c:pt idx="6">
                  <c:v>0.05</c:v>
                </c:pt>
                <c:pt idx="7">
                  <c:v>9.7799999999999998E-2</c:v>
                </c:pt>
                <c:pt idx="8">
                  <c:v>-0.11699999999999999</c:v>
                </c:pt>
                <c:pt idx="9">
                  <c:v>9.4999999999999998E-3</c:v>
                </c:pt>
                <c:pt idx="10">
                  <c:v>1.8E-3</c:v>
                </c:pt>
                <c:pt idx="11">
                  <c:v>-8.6199999999999999E-2</c:v>
                </c:pt>
                <c:pt idx="12">
                  <c:v>-6.2E-2</c:v>
                </c:pt>
                <c:pt idx="13">
                  <c:v>9.9700000000000011E-2</c:v>
                </c:pt>
                <c:pt idx="14">
                  <c:v>-8.3999999999999995E-3</c:v>
                </c:pt>
                <c:pt idx="15">
                  <c:v>9.9299999999999999E-2</c:v>
                </c:pt>
                <c:pt idx="16">
                  <c:v>-6.1699999999999998E-2</c:v>
                </c:pt>
                <c:pt idx="17">
                  <c:v>6.0999999999999995E-3</c:v>
                </c:pt>
                <c:pt idx="18">
                  <c:v>-4.1700000000000001E-2</c:v>
                </c:pt>
                <c:pt idx="19">
                  <c:v>-8.3299999999999999E-2</c:v>
                </c:pt>
                <c:pt idx="20">
                  <c:v>-3.3599999999999998E-2</c:v>
                </c:pt>
                <c:pt idx="21">
                  <c:v>1.8000000000000002E-2</c:v>
                </c:pt>
                <c:pt idx="22">
                  <c:v>-1.6299999999999999E-2</c:v>
                </c:pt>
                <c:pt idx="23">
                  <c:v>-3.9300000000000002E-2</c:v>
                </c:pt>
                <c:pt idx="24">
                  <c:v>-6.7900000000000002E-2</c:v>
                </c:pt>
                <c:pt idx="25">
                  <c:v>5.91E-2</c:v>
                </c:pt>
                <c:pt idx="26">
                  <c:v>0.16969999999999999</c:v>
                </c:pt>
                <c:pt idx="27">
                  <c:v>7.6999999999999999E-2</c:v>
                </c:pt>
                <c:pt idx="28">
                  <c:v>-0.1009</c:v>
                </c:pt>
                <c:pt idx="29">
                  <c:v>6.3E-2</c:v>
                </c:pt>
                <c:pt idx="30">
                  <c:v>0.11220000000000001</c:v>
                </c:pt>
                <c:pt idx="31">
                  <c:v>1.03E-2</c:v>
                </c:pt>
                <c:pt idx="32">
                  <c:v>8.0000000000000002E-3</c:v>
                </c:pt>
                <c:pt idx="33">
                  <c:v>0.11230000000000001</c:v>
                </c:pt>
                <c:pt idx="34">
                  <c:v>-4.6500000000000007E-2</c:v>
                </c:pt>
                <c:pt idx="35">
                  <c:v>-2.7099999999999999E-2</c:v>
                </c:pt>
                <c:pt idx="36">
                  <c:v>7.3800000000000004E-2</c:v>
                </c:pt>
                <c:pt idx="37">
                  <c:v>3.0800000000000001E-2</c:v>
                </c:pt>
                <c:pt idx="38">
                  <c:v>-2.52E-2</c:v>
                </c:pt>
                <c:pt idx="39">
                  <c:v>6.4000000000000003E-3</c:v>
                </c:pt>
                <c:pt idx="40">
                  <c:v>-4.1200000000000001E-2</c:v>
                </c:pt>
                <c:pt idx="41">
                  <c:v>3.0000000000000001E-3</c:v>
                </c:pt>
                <c:pt idx="42">
                  <c:v>4.8000000000000001E-2</c:v>
                </c:pt>
                <c:pt idx="43">
                  <c:v>7.46E-2</c:v>
                </c:pt>
                <c:pt idx="44">
                  <c:v>4.8799999999999996E-2</c:v>
                </c:pt>
                <c:pt idx="45">
                  <c:v>2.0000000000000001E-4</c:v>
                </c:pt>
                <c:pt idx="46">
                  <c:v>-3.15E-2</c:v>
                </c:pt>
                <c:pt idx="47">
                  <c:v>6.1600000000000002E-2</c:v>
                </c:pt>
                <c:pt idx="48">
                  <c:v>0.1114</c:v>
                </c:pt>
                <c:pt idx="49">
                  <c:v>5.1999999999999998E-3</c:v>
                </c:pt>
                <c:pt idx="50">
                  <c:v>1E-4</c:v>
                </c:pt>
                <c:pt idx="51">
                  <c:v>8.8000000000000005E-3</c:v>
                </c:pt>
                <c:pt idx="52">
                  <c:v>-0.10869999999999999</c:v>
                </c:pt>
                <c:pt idx="53">
                  <c:v>-5.2000000000000005E-2</c:v>
                </c:pt>
                <c:pt idx="54">
                  <c:v>8.8800000000000004E-2</c:v>
                </c:pt>
                <c:pt idx="55">
                  <c:v>-3.2099999999999997E-2</c:v>
                </c:pt>
                <c:pt idx="56">
                  <c:v>3.4799999999999998E-2</c:v>
                </c:pt>
                <c:pt idx="57">
                  <c:v>0.10189999999999999</c:v>
                </c:pt>
                <c:pt idx="58">
                  <c:v>2.3799999999999998E-2</c:v>
                </c:pt>
                <c:pt idx="59">
                  <c:v>-1.8100000000000002E-2</c:v>
                </c:pt>
                <c:pt idx="60">
                  <c:v>0.1082</c:v>
                </c:pt>
                <c:pt idx="61">
                  <c:v>-1.8600000000000002E-2</c:v>
                </c:pt>
                <c:pt idx="62">
                  <c:v>-1.8E-3</c:v>
                </c:pt>
                <c:pt idx="63">
                  <c:v>9.7999999999999997E-3</c:v>
                </c:pt>
                <c:pt idx="64">
                  <c:v>6.9999999999999993E-3</c:v>
                </c:pt>
                <c:pt idx="65">
                  <c:v>4.0599999999999997E-2</c:v>
                </c:pt>
                <c:pt idx="66">
                  <c:v>8.3999999999999995E-3</c:v>
                </c:pt>
                <c:pt idx="67">
                  <c:v>-6.7000000000000002E-3</c:v>
                </c:pt>
                <c:pt idx="68">
                  <c:v>3.5699999999999996E-2</c:v>
                </c:pt>
                <c:pt idx="69">
                  <c:v>2.3599999999999999E-2</c:v>
                </c:pt>
                <c:pt idx="70">
                  <c:v>9.4999999999999998E-3</c:v>
                </c:pt>
                <c:pt idx="71">
                  <c:v>6.8499999999999991E-2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A-4226-91BE-DE6FEE5A7E14}"/>
            </c:ext>
          </c:extLst>
        </c:ser>
        <c:ser>
          <c:idx val="2"/>
          <c:order val="2"/>
          <c:tx>
            <c:strRef>
              <c:f>'Estrutura de Capital'!$B$19</c:f>
              <c:strCache>
                <c:ptCount val="1"/>
                <c:pt idx="0">
                  <c:v>SELIC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Capital'!$C$19:$BV$19</c:f>
              <c:numCache>
                <c:formatCode>0.00%</c:formatCode>
                <c:ptCount val="72"/>
                <c:pt idx="0">
                  <c:v>8.3280000000000003E-3</c:v>
                </c:pt>
                <c:pt idx="1">
                  <c:v>7.7010000000000004E-3</c:v>
                </c:pt>
                <c:pt idx="2">
                  <c:v>8.7100000000000007E-3</c:v>
                </c:pt>
                <c:pt idx="3">
                  <c:v>8.6020000000000003E-3</c:v>
                </c:pt>
                <c:pt idx="4">
                  <c:v>8.6140000000000001E-3</c:v>
                </c:pt>
                <c:pt idx="5">
                  <c:v>8.6140000000000001E-3</c:v>
                </c:pt>
                <c:pt idx="6">
                  <c:v>8.9029999999999995E-3</c:v>
                </c:pt>
                <c:pt idx="7">
                  <c:v>8.9029999999999995E-3</c:v>
                </c:pt>
                <c:pt idx="8">
                  <c:v>8.6140000000000001E-3</c:v>
                </c:pt>
                <c:pt idx="9">
                  <c:v>8.9149999999999993E-3</c:v>
                </c:pt>
                <c:pt idx="10">
                  <c:v>8.8009999999999998E-3</c:v>
                </c:pt>
                <c:pt idx="11">
                  <c:v>9.443E-3</c:v>
                </c:pt>
                <c:pt idx="12">
                  <c:v>9.6039999999999997E-3</c:v>
                </c:pt>
                <c:pt idx="13">
                  <c:v>8.9040000000000005E-3</c:v>
                </c:pt>
                <c:pt idx="14">
                  <c:v>1.0195000000000001E-2</c:v>
                </c:pt>
                <c:pt idx="15">
                  <c:v>9.9239999999999988E-3</c:v>
                </c:pt>
                <c:pt idx="16">
                  <c:v>1.0624E-2</c:v>
                </c:pt>
                <c:pt idx="17">
                  <c:v>1.0609E-2</c:v>
                </c:pt>
                <c:pt idx="18">
                  <c:v>1.1026000000000001E-2</c:v>
                </c:pt>
                <c:pt idx="19">
                  <c:v>1.1378999999999998E-2</c:v>
                </c:pt>
                <c:pt idx="20">
                  <c:v>1.1009999999999999E-2</c:v>
                </c:pt>
                <c:pt idx="21">
                  <c:v>1.1378999999999998E-2</c:v>
                </c:pt>
                <c:pt idx="22">
                  <c:v>1.1009999999999999E-2</c:v>
                </c:pt>
                <c:pt idx="23">
                  <c:v>1.1378999999999998E-2</c:v>
                </c:pt>
                <c:pt idx="24">
                  <c:v>1.0629E-2</c:v>
                </c:pt>
                <c:pt idx="25">
                  <c:v>1.0095E-2</c:v>
                </c:pt>
                <c:pt idx="26">
                  <c:v>1.1698E-2</c:v>
                </c:pt>
                <c:pt idx="27">
                  <c:v>1.0629E-2</c:v>
                </c:pt>
                <c:pt idx="28">
                  <c:v>1.1163000000000001E-2</c:v>
                </c:pt>
                <c:pt idx="29">
                  <c:v>1.1698E-2</c:v>
                </c:pt>
                <c:pt idx="30">
                  <c:v>1.1163000000000001E-2</c:v>
                </c:pt>
                <c:pt idx="31">
                  <c:v>1.2233000000000001E-2</c:v>
                </c:pt>
                <c:pt idx="32">
                  <c:v>1.1163000000000001E-2</c:v>
                </c:pt>
                <c:pt idx="33">
                  <c:v>1.1275E-2</c:v>
                </c:pt>
                <c:pt idx="34">
                  <c:v>1.0798E-2</c:v>
                </c:pt>
                <c:pt idx="35">
                  <c:v>1.1002000000000001E-2</c:v>
                </c:pt>
                <c:pt idx="36">
                  <c:v>1.0636000000000001E-2</c:v>
                </c:pt>
                <c:pt idx="37">
                  <c:v>9.3089999999999996E-3</c:v>
                </c:pt>
                <c:pt idx="38">
                  <c:v>9.8630000000000002E-3</c:v>
                </c:pt>
                <c:pt idx="39">
                  <c:v>9.0980000000000002E-3</c:v>
                </c:pt>
                <c:pt idx="40">
                  <c:v>9.0959999999999999E-3</c:v>
                </c:pt>
                <c:pt idx="41">
                  <c:v>8.0529999999999994E-3</c:v>
                </c:pt>
                <c:pt idx="42">
                  <c:v>8.1960000000000002E-3</c:v>
                </c:pt>
                <c:pt idx="43">
                  <c:v>7.5420000000000001E-3</c:v>
                </c:pt>
                <c:pt idx="44">
                  <c:v>6.4700000000000001E-3</c:v>
                </c:pt>
                <c:pt idx="45">
                  <c:v>6.6400000000000001E-3</c:v>
                </c:pt>
                <c:pt idx="46">
                  <c:v>5.9619999999999994E-3</c:v>
                </c:pt>
                <c:pt idx="47">
                  <c:v>5.8399999999999997E-3</c:v>
                </c:pt>
                <c:pt idx="48">
                  <c:v>5.7630000000000008E-3</c:v>
                </c:pt>
                <c:pt idx="49">
                  <c:v>5.0680000000000005E-3</c:v>
                </c:pt>
                <c:pt idx="50">
                  <c:v>5.4990000000000004E-3</c:v>
                </c:pt>
                <c:pt idx="51">
                  <c:v>5.189E-3</c:v>
                </c:pt>
                <c:pt idx="52">
                  <c:v>5.3629999999999997E-3</c:v>
                </c:pt>
                <c:pt idx="53">
                  <c:v>5.189E-3</c:v>
                </c:pt>
                <c:pt idx="54">
                  <c:v>5.3629999999999997E-3</c:v>
                </c:pt>
                <c:pt idx="55">
                  <c:v>5.3629999999999997E-3</c:v>
                </c:pt>
                <c:pt idx="56">
                  <c:v>5.189E-3</c:v>
                </c:pt>
                <c:pt idx="57">
                  <c:v>5.3629999999999997E-3</c:v>
                </c:pt>
                <c:pt idx="58">
                  <c:v>5.189E-3</c:v>
                </c:pt>
                <c:pt idx="59">
                  <c:v>5.3629999999999997E-3</c:v>
                </c:pt>
                <c:pt idx="60">
                  <c:v>5.3629999999999997E-3</c:v>
                </c:pt>
                <c:pt idx="61">
                  <c:v>4.8430000000000001E-3</c:v>
                </c:pt>
                <c:pt idx="62">
                  <c:v>5.3629999999999997E-3</c:v>
                </c:pt>
                <c:pt idx="63">
                  <c:v>5.189E-3</c:v>
                </c:pt>
                <c:pt idx="64">
                  <c:v>5.3629999999999997E-3</c:v>
                </c:pt>
                <c:pt idx="65">
                  <c:v>5.189E-3</c:v>
                </c:pt>
                <c:pt idx="66">
                  <c:v>5.3629999999999997E-3</c:v>
                </c:pt>
                <c:pt idx="67">
                  <c:v>4.9610000000000001E-3</c:v>
                </c:pt>
                <c:pt idx="68">
                  <c:v>4.6449999999999998E-3</c:v>
                </c:pt>
                <c:pt idx="69">
                  <c:v>4.7999999999999996E-3</c:v>
                </c:pt>
                <c:pt idx="70">
                  <c:v>3.8E-3</c:v>
                </c:pt>
                <c:pt idx="71">
                  <c:v>3.7000000000000002E-3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226-91BE-DE6FEE5A7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965584"/>
        <c:axId val="1532962256"/>
      </c:lineChart>
      <c:dateAx>
        <c:axId val="1532965584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962256"/>
        <c:crosses val="autoZero"/>
        <c:auto val="1"/>
        <c:lblOffset val="100"/>
        <c:baseTimeUnit val="months"/>
      </c:dateAx>
      <c:valAx>
        <c:axId val="153296225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9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AC-43A4-9556-897D411444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AC-43A4-9556-897D411444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AC-43A4-9556-897D411444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AC-43A4-9556-897D411444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'Visão Geral'!$B$9:$B$12</c:f>
              <c:strCache>
                <c:ptCount val="4"/>
                <c:pt idx="0">
                  <c:v>Módulos (R$)</c:v>
                </c:pt>
                <c:pt idx="1">
                  <c:v>Inversores (R$)</c:v>
                </c:pt>
                <c:pt idx="2">
                  <c:v>Instalação (R$)</c:v>
                </c:pt>
                <c:pt idx="3">
                  <c:v>Outros (R$)</c:v>
                </c:pt>
              </c:strCache>
            </c:strRef>
          </c:cat>
          <c:val>
            <c:numRef>
              <c:f>'Visão Geral'!$D$9:$D$12</c:f>
              <c:numCache>
                <c:formatCode>0%</c:formatCode>
                <c:ptCount val="4"/>
                <c:pt idx="0">
                  <c:v>0.5624711544801213</c:v>
                </c:pt>
                <c:pt idx="1">
                  <c:v>0.10549218698490143</c:v>
                </c:pt>
                <c:pt idx="2">
                  <c:v>0.2226544471550076</c:v>
                </c:pt>
                <c:pt idx="3">
                  <c:v>0.10938221137996967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8-4A11-8E9B-3AC5C8A75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Fluxos de Caixa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FC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Geral'!$G$17:$AG$17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688330</c:v>
                </c:pt>
                <c:pt idx="2">
                  <c:v>700327.9</c:v>
                </c:pt>
                <c:pt idx="3">
                  <c:v>712515.29259999993</c:v>
                </c:pt>
                <c:pt idx="4">
                  <c:v>724894.50482331985</c:v>
                </c:pt>
                <c:pt idx="5">
                  <c:v>737467.86735621234</c:v>
                </c:pt>
                <c:pt idx="6">
                  <c:v>750237.71335463901</c:v>
                </c:pt>
                <c:pt idx="7">
                  <c:v>763206.37718957989</c:v>
                </c:pt>
                <c:pt idx="8">
                  <c:v>776376.1931285247</c:v>
                </c:pt>
                <c:pt idx="9">
                  <c:v>789749.4939507161</c:v>
                </c:pt>
                <c:pt idx="10">
                  <c:v>803328.60949363152</c:v>
                </c:pt>
                <c:pt idx="11">
                  <c:v>712979.20356501546</c:v>
                </c:pt>
                <c:pt idx="12">
                  <c:v>424925.42636351852</c:v>
                </c:pt>
                <c:pt idx="13">
                  <c:v>737044.00572580029</c:v>
                </c:pt>
                <c:pt idx="14">
                  <c:v>749336.44755540672</c:v>
                </c:pt>
                <c:pt idx="15">
                  <c:v>761804.23073656065</c:v>
                </c:pt>
                <c:pt idx="16">
                  <c:v>774448.80490131257</c:v>
                </c:pt>
                <c:pt idx="17">
                  <c:v>787271.58810168714</c:v>
                </c:pt>
                <c:pt idx="18">
                  <c:v>800273.96438342379</c:v>
                </c:pt>
                <c:pt idx="19">
                  <c:v>813457.28125779459</c:v>
                </c:pt>
                <c:pt idx="20">
                  <c:v>826822.8470678709</c:v>
                </c:pt>
                <c:pt idx="21">
                  <c:v>840371.92824548506</c:v>
                </c:pt>
                <c:pt idx="22">
                  <c:v>854105.74645500933</c:v>
                </c:pt>
                <c:pt idx="23">
                  <c:v>568025.47561995382</c:v>
                </c:pt>
                <c:pt idx="24">
                  <c:v>882132.23882824113</c:v>
                </c:pt>
                <c:pt idx="25">
                  <c:v>896427.10511188919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F-463E-B474-F4342F4D20B6}"/>
            </c:ext>
          </c:extLst>
        </c:ser>
        <c:ser>
          <c:idx val="2"/>
          <c:order val="1"/>
          <c:tx>
            <c:v>FC Descontado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572-4D81-9DA0-7FA8C6B1CF31}"/>
              </c:ext>
            </c:extLst>
          </c:dPt>
          <c:dLbls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572-4D81-9DA0-7FA8C6B1CF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Geral'!$G$18:$AG$18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625827.64398679184</c:v>
                </c:pt>
                <c:pt idx="2">
                  <c:v>578918.6193685974</c:v>
                </c:pt>
                <c:pt idx="3">
                  <c:v>535510.91108889517</c:v>
                </c:pt>
                <c:pt idx="4">
                  <c:v>495344.09062877507</c:v>
                </c:pt>
                <c:pt idx="5">
                  <c:v>458177.04362562165</c:v>
                </c:pt>
                <c:pt idx="6">
                  <c:v>423786.54099895869</c:v>
                </c:pt>
                <c:pt idx="7">
                  <c:v>391965.91556549247</c:v>
                </c:pt>
                <c:pt idx="8">
                  <c:v>362523.83636918489</c:v>
                </c:pt>
                <c:pt idx="9">
                  <c:v>335283.17352425319</c:v>
                </c:pt>
                <c:pt idx="10">
                  <c:v>310079.94689901819</c:v>
                </c:pt>
                <c:pt idx="11">
                  <c:v>250216.15953694927</c:v>
                </c:pt>
                <c:pt idx="12">
                  <c:v>135584.25376558592</c:v>
                </c:pt>
                <c:pt idx="13">
                  <c:v>213819.83963952496</c:v>
                </c:pt>
                <c:pt idx="14">
                  <c:v>197646.66142667949</c:v>
                </c:pt>
                <c:pt idx="15">
                  <c:v>182689.69494709038</c:v>
                </c:pt>
                <c:pt idx="16">
                  <c:v>168857.91754971631</c:v>
                </c:pt>
                <c:pt idx="17">
                  <c:v>156067.09199620978</c:v>
                </c:pt>
                <c:pt idx="18">
                  <c:v>144239.26229240131</c:v>
                </c:pt>
                <c:pt idx="19">
                  <c:v>133302.2868773267</c:v>
                </c:pt>
                <c:pt idx="20">
                  <c:v>123189.40640812791</c:v>
                </c:pt>
                <c:pt idx="21">
                  <c:v>113838.84358291453</c:v>
                </c:pt>
                <c:pt idx="22">
                  <c:v>105193.43263241932</c:v>
                </c:pt>
                <c:pt idx="23">
                  <c:v>63606.696714039615</c:v>
                </c:pt>
                <c:pt idx="24">
                  <c:v>89810.428180518007</c:v>
                </c:pt>
                <c:pt idx="25">
                  <c:v>82978.598827090944</c:v>
                </c:pt>
                <c:pt idx="26">
                  <c:v>991776.69465842634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F-463E-B474-F4342F4D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Fluxos de Caixa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Geral'!$G$19:$AG$19</c:f>
              <c:numCache>
                <c:formatCode>_(* #,##0.00_);_(* \(#,##0.00\);_(* "-"??_);_(@_)</c:formatCode>
                <c:ptCount val="27"/>
                <c:pt idx="0">
                  <c:v>-3033400</c:v>
                </c:pt>
                <c:pt idx="1">
                  <c:v>-2407572.3560132082</c:v>
                </c:pt>
                <c:pt idx="2">
                  <c:v>-1828653.7366446108</c:v>
                </c:pt>
                <c:pt idx="3">
                  <c:v>-1293142.8255557157</c:v>
                </c:pt>
                <c:pt idx="4">
                  <c:v>-797798.73492694064</c:v>
                </c:pt>
                <c:pt idx="5">
                  <c:v>-339621.69130131899</c:v>
                </c:pt>
                <c:pt idx="6">
                  <c:v>84164.8496976397</c:v>
                </c:pt>
                <c:pt idx="7">
                  <c:v>476130.76526313217</c:v>
                </c:pt>
                <c:pt idx="8">
                  <c:v>838654.60163231706</c:v>
                </c:pt>
                <c:pt idx="9">
                  <c:v>1173937.7751565701</c:v>
                </c:pt>
                <c:pt idx="10">
                  <c:v>1484017.7220555884</c:v>
                </c:pt>
                <c:pt idx="11">
                  <c:v>1734233.8815925377</c:v>
                </c:pt>
                <c:pt idx="12">
                  <c:v>1869818.1353581236</c:v>
                </c:pt>
                <c:pt idx="13">
                  <c:v>2083637.9749976485</c:v>
                </c:pt>
                <c:pt idx="14">
                  <c:v>2281284.6364243282</c:v>
                </c:pt>
                <c:pt idx="15">
                  <c:v>2463974.3313714187</c:v>
                </c:pt>
                <c:pt idx="16">
                  <c:v>2632832.248921135</c:v>
                </c:pt>
                <c:pt idx="17">
                  <c:v>2788899.3409173447</c:v>
                </c:pt>
                <c:pt idx="18">
                  <c:v>2933138.6032097461</c:v>
                </c:pt>
                <c:pt idx="19">
                  <c:v>3066440.8900870727</c:v>
                </c:pt>
                <c:pt idx="20">
                  <c:v>3189630.2964952006</c:v>
                </c:pt>
                <c:pt idx="21">
                  <c:v>3303469.1400781153</c:v>
                </c:pt>
                <c:pt idx="22">
                  <c:v>3408662.5727105346</c:v>
                </c:pt>
                <c:pt idx="23">
                  <c:v>3472269.269424574</c:v>
                </c:pt>
                <c:pt idx="24">
                  <c:v>3562079.6976050921</c:v>
                </c:pt>
                <c:pt idx="25">
                  <c:v>3645058.2964321831</c:v>
                </c:pt>
                <c:pt idx="26">
                  <c:v>4636834.9910906097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F-484D-A078-F1B483A7E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Consumos</a:t>
            </a:r>
            <a:r>
              <a:rPr lang="pt-BR" b="1" baseline="0"/>
              <a:t> ao longo do tempo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428338526476499E-2"/>
          <c:y val="0.2254392961157165"/>
          <c:w val="0.93633171878838084"/>
          <c:h val="0.53638118885131603"/>
        </c:manualLayout>
      </c:layout>
      <c:barChart>
        <c:barDir val="col"/>
        <c:grouping val="stacked"/>
        <c:varyColors val="0"/>
        <c:ser>
          <c:idx val="1"/>
          <c:order val="0"/>
          <c:tx>
            <c:v>Consumo local (MWh)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#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Geral'!$H$3:$AF$3</c:f>
              <c:numCache>
                <c:formatCode>General</c:formatCode>
                <c:ptCount val="25"/>
                <c:pt idx="0">
                  <c:v>840000</c:v>
                </c:pt>
                <c:pt idx="1">
                  <c:v>831600</c:v>
                </c:pt>
                <c:pt idx="2">
                  <c:v>823284</c:v>
                </c:pt>
                <c:pt idx="3">
                  <c:v>815051.16</c:v>
                </c:pt>
                <c:pt idx="4">
                  <c:v>806900.64839999995</c:v>
                </c:pt>
                <c:pt idx="5">
                  <c:v>798831.64191600005</c:v>
                </c:pt>
                <c:pt idx="6">
                  <c:v>790843.32549683994</c:v>
                </c:pt>
                <c:pt idx="7">
                  <c:v>782934.89224187157</c:v>
                </c:pt>
                <c:pt idx="8">
                  <c:v>775105.54331945279</c:v>
                </c:pt>
                <c:pt idx="9">
                  <c:v>767354.48788625828</c:v>
                </c:pt>
                <c:pt idx="10">
                  <c:v>759680.94300739572</c:v>
                </c:pt>
                <c:pt idx="11">
                  <c:v>752084.13357732177</c:v>
                </c:pt>
                <c:pt idx="12">
                  <c:v>744563.29224154854</c:v>
                </c:pt>
                <c:pt idx="13">
                  <c:v>737117.65931913315</c:v>
                </c:pt>
                <c:pt idx="14">
                  <c:v>729746.48272594181</c:v>
                </c:pt>
                <c:pt idx="15">
                  <c:v>722449.01789868239</c:v>
                </c:pt>
                <c:pt idx="16">
                  <c:v>715224.52771969547</c:v>
                </c:pt>
                <c:pt idx="17">
                  <c:v>708072.2824424986</c:v>
                </c:pt>
                <c:pt idx="18">
                  <c:v>700991.55961807352</c:v>
                </c:pt>
                <c:pt idx="19">
                  <c:v>693981.6440218928</c:v>
                </c:pt>
                <c:pt idx="20">
                  <c:v>687041.82758167386</c:v>
                </c:pt>
                <c:pt idx="21">
                  <c:v>680171.40930585715</c:v>
                </c:pt>
                <c:pt idx="22">
                  <c:v>673369.69521279843</c:v>
                </c:pt>
                <c:pt idx="23">
                  <c:v>666635.99826067046</c:v>
                </c:pt>
                <c:pt idx="24">
                  <c:v>659969.63827806374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5-4000-928A-6471C94F2EAF}"/>
            </c:ext>
          </c:extLst>
        </c:ser>
        <c:ser>
          <c:idx val="2"/>
          <c:order val="1"/>
          <c:tx>
            <c:v>Consumo de rede (MWh)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.0,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Geral'!$H$4:$AG$4</c:f>
              <c:numCache>
                <c:formatCode>General</c:formatCode>
                <c:ptCount val="26"/>
                <c:pt idx="0">
                  <c:v>360000</c:v>
                </c:pt>
                <c:pt idx="1">
                  <c:v>356400</c:v>
                </c:pt>
                <c:pt idx="2">
                  <c:v>352836</c:v>
                </c:pt>
                <c:pt idx="3">
                  <c:v>349307.64</c:v>
                </c:pt>
                <c:pt idx="4">
                  <c:v>345814.56360000011</c:v>
                </c:pt>
                <c:pt idx="5">
                  <c:v>342356.41796400002</c:v>
                </c:pt>
                <c:pt idx="6">
                  <c:v>338932.85378436011</c:v>
                </c:pt>
                <c:pt idx="7">
                  <c:v>335543.52524651645</c:v>
                </c:pt>
                <c:pt idx="8">
                  <c:v>332188.08999405126</c:v>
                </c:pt>
                <c:pt idx="9">
                  <c:v>328866.20909411076</c:v>
                </c:pt>
                <c:pt idx="10">
                  <c:v>325577.54700316966</c:v>
                </c:pt>
                <c:pt idx="11">
                  <c:v>322321.771533138</c:v>
                </c:pt>
                <c:pt idx="12">
                  <c:v>319098.55381780665</c:v>
                </c:pt>
                <c:pt idx="13">
                  <c:v>315907.56827962853</c:v>
                </c:pt>
                <c:pt idx="14">
                  <c:v>312748.49259683222</c:v>
                </c:pt>
                <c:pt idx="15">
                  <c:v>309621.00767086388</c:v>
                </c:pt>
                <c:pt idx="16">
                  <c:v>306524.7975941553</c:v>
                </c:pt>
                <c:pt idx="17">
                  <c:v>303459.54961821367</c:v>
                </c:pt>
                <c:pt idx="18">
                  <c:v>300424.95412203157</c:v>
                </c:pt>
                <c:pt idx="19">
                  <c:v>297420.7045808112</c:v>
                </c:pt>
                <c:pt idx="20">
                  <c:v>294446.49753500312</c:v>
                </c:pt>
                <c:pt idx="21">
                  <c:v>291502.03255965305</c:v>
                </c:pt>
                <c:pt idx="22">
                  <c:v>288587.0122340566</c:v>
                </c:pt>
                <c:pt idx="23">
                  <c:v>285701.14211171598</c:v>
                </c:pt>
                <c:pt idx="24">
                  <c:v>282844.13069059886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5-4000-928A-6471C94F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11311552"/>
        <c:axId val="1911325696"/>
      </c:barChart>
      <c:lineChart>
        <c:grouping val="stacked"/>
        <c:varyColors val="0"/>
        <c:ser>
          <c:idx val="0"/>
          <c:order val="2"/>
          <c:tx>
            <c:v>Compensação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Geral'!$H$5:$AF$5</c:f>
              <c:numCache>
                <c:formatCode>General</c:formatCode>
                <c:ptCount val="25"/>
                <c:pt idx="0">
                  <c:v>0.99999999999999989</c:v>
                </c:pt>
                <c:pt idx="1">
                  <c:v>0.99999999999999989</c:v>
                </c:pt>
                <c:pt idx="2">
                  <c:v>0.99999999999999989</c:v>
                </c:pt>
                <c:pt idx="3">
                  <c:v>0.99999999999999989</c:v>
                </c:pt>
                <c:pt idx="4">
                  <c:v>0.99999999999999989</c:v>
                </c:pt>
                <c:pt idx="5">
                  <c:v>0.99999999999999989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0.66</c:v>
                </c:pt>
                <c:pt idx="21">
                  <c:v>0.66</c:v>
                </c:pt>
                <c:pt idx="22">
                  <c:v>0.66</c:v>
                </c:pt>
                <c:pt idx="23">
                  <c:v>0.66</c:v>
                </c:pt>
                <c:pt idx="24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5-4000-928A-6471C94F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823824"/>
        <c:axId val="1921831312"/>
      </c:line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11552"/>
        <c:crosses val="autoZero"/>
        <c:crossBetween val="between"/>
      </c:valAx>
      <c:valAx>
        <c:axId val="1921831312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1823824"/>
        <c:crosses val="max"/>
        <c:crossBetween val="between"/>
      </c:valAx>
      <c:catAx>
        <c:axId val="1921823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831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Sensibilidade de investimento máximo de acordo com TIR requerida (Cenário Realista)</a:t>
            </a:r>
            <a:endParaRPr lang="pt-BR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Investimento Máximo (R$)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#,##0.\ 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Geral'!$U$27:$AC$27</c:f>
              <c:numCache>
                <c:formatCode>0%</c:formatCode>
                <c:ptCount val="9"/>
                <c:pt idx="0">
                  <c:v>0.05</c:v>
                </c:pt>
                <c:pt idx="1">
                  <c:v>6.0000000000000005E-2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9.9999999999999992E-2</c:v>
                </c:pt>
                <c:pt idx="6">
                  <c:v>0.10999999999999999</c:v>
                </c:pt>
                <c:pt idx="7">
                  <c:v>0.11999999999999998</c:v>
                </c:pt>
                <c:pt idx="8">
                  <c:v>0.12999999999999998</c:v>
                </c:pt>
              </c:numCache>
            </c:numRef>
          </c:cat>
          <c:val>
            <c:numRef>
              <c:f>'Visão Geral'!$U$28:$AC$28</c:f>
              <c:numCache>
                <c:formatCode>_-* #,##0_-;\-* #,##0_-;_-* "-"??_-;_-@_-</c:formatCode>
                <c:ptCount val="9"/>
                <c:pt idx="0">
                  <c:v>12888.429910766516</c:v>
                </c:pt>
                <c:pt idx="1">
                  <c:v>11745.702620582199</c:v>
                </c:pt>
                <c:pt idx="2">
                  <c:v>10554.295365709231</c:v>
                </c:pt>
                <c:pt idx="3">
                  <c:v>9668.3228754812135</c:v>
                </c:pt>
                <c:pt idx="4">
                  <c:v>8879.8073591782813</c:v>
                </c:pt>
                <c:pt idx="5">
                  <c:v>8178.0285496686693</c:v>
                </c:pt>
                <c:pt idx="6">
                  <c:v>7553.4454092051164</c:v>
                </c:pt>
                <c:pt idx="7">
                  <c:v>6997.5664141925536</c:v>
                </c:pt>
                <c:pt idx="8">
                  <c:v>6502.8341086313721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6-417C-90FE-3A6AF49E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876456224"/>
        <c:axId val="1876470784"/>
      </c:barChart>
      <c:catAx>
        <c:axId val="18764562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Taxas internas de retorno</a:t>
            </a:r>
            <a:r>
              <a:rPr lang="pt-BR" sz="1600" b="1" baseline="0"/>
              <a:t> e VPL (R$) para os três casos</a:t>
            </a:r>
            <a:endParaRPr lang="pt-BR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0F-4005-ABA8-F5477FEDED48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0F-4005-ABA8-F5477FEDED4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0F-4005-ABA8-F5477FEDED48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0F-4005-ABA8-F5477FEDED4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0F-4005-ABA8-F5477FEDED48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0F-4005-ABA8-F5477FEDED48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0F-4005-ABA8-F5477FEDED48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0F-4005-ABA8-F5477FEDED4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Geral'!$W$8:$W$12</c:f>
              <c:numCache>
                <c:formatCode>0%</c:formatCode>
                <c:ptCount val="5"/>
                <c:pt idx="0">
                  <c:v>0.19734622949971325</c:v>
                </c:pt>
                <c:pt idx="1">
                  <c:v>0.19734622949971325</c:v>
                </c:pt>
                <c:pt idx="2">
                  <c:v>0.2398980866549254</c:v>
                </c:pt>
                <c:pt idx="3">
                  <c:v>0.2398980866549254</c:v>
                </c:pt>
                <c:pt idx="4">
                  <c:v>0.26659795079166115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0F-4005-ABA8-F5477FEDED48}"/>
            </c:ext>
          </c:extLst>
        </c:ser>
        <c:ser>
          <c:idx val="1"/>
          <c:order val="1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0F-4005-ABA8-F5477FEDED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0F-4005-ABA8-F5477FEDED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90F-4005-ABA8-F5477FEDED4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Geral'!$X$8:$X$12</c:f>
              <c:numCache>
                <c:formatCode>0%</c:formatCode>
                <c:ptCount val="5"/>
                <c:pt idx="0">
                  <c:v>0</c:v>
                </c:pt>
                <c:pt idx="1">
                  <c:v>4.2551857155212147E-2</c:v>
                </c:pt>
                <c:pt idx="2">
                  <c:v>0</c:v>
                </c:pt>
                <c:pt idx="3">
                  <c:v>2.6699864136735751E-2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90F-4005-ABA8-F5477FED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456224"/>
        <c:axId val="187647078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Geral'!$Y$8:$Y$12</c:f>
              <c:numCache>
                <c:formatCode>General</c:formatCode>
                <c:ptCount val="5"/>
                <c:pt idx="0" formatCode="_(* #,##0.00_);_(* \(#,##0.00\);_(* &quot;-&quot;??_);_(@_)">
                  <c:v>3083807.5052879606</c:v>
                </c:pt>
                <c:pt idx="2" formatCode="_(* #,##0.00_);_(* \(#,##0.00\);_(* &quot;-&quot;??_);_(@_)">
                  <c:v>4636834.9910906097</c:v>
                </c:pt>
                <c:pt idx="4" formatCode="_(* #,##0.00_);_(* \(#,##0.00\);_(* &quot;-&quot;??_);_(@_)">
                  <c:v>5865786.6765988655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VPL</c:v>
                </c15:tx>
              </c15:filteredSeriesTitle>
            </c:ext>
            <c:ext xmlns:c16="http://schemas.microsoft.com/office/drawing/2014/chart" uri="{C3380CC4-5D6E-409C-BE32-E72D297353CC}">
              <c16:uniqueId val="{0000000F-890F-4005-ABA8-F5477FED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53728"/>
        <c:axId val="1876477024"/>
      </c:lineChart>
      <c:catAx>
        <c:axId val="18764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  <c:max val="0.4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valAx>
        <c:axId val="1876477024"/>
        <c:scaling>
          <c:orientation val="minMax"/>
          <c:min val="-1000000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3728"/>
        <c:crosses val="max"/>
        <c:crossBetween val="between"/>
      </c:valAx>
      <c:catAx>
        <c:axId val="187645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47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98258</xdr:colOff>
      <xdr:row>12</xdr:row>
      <xdr:rowOff>93307</xdr:rowOff>
    </xdr:from>
    <xdr:to>
      <xdr:col>2</xdr:col>
      <xdr:colOff>1911015</xdr:colOff>
      <xdr:row>26</xdr:row>
      <xdr:rowOff>93056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C3FC4B-5D7A-4982-BFF4-14DBBADE3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238012</xdr:colOff>
      <xdr:row>27</xdr:row>
      <xdr:rowOff>147362</xdr:rowOff>
    </xdr:from>
    <xdr:to>
      <xdr:col>19</xdr:col>
      <xdr:colOff>180474</xdr:colOff>
      <xdr:row>46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004EB8-6E40-4737-9976-8A965A6E3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703915</xdr:colOff>
      <xdr:row>8</xdr:row>
      <xdr:rowOff>107523</xdr:rowOff>
    </xdr:from>
    <xdr:to>
      <xdr:col>11</xdr:col>
      <xdr:colOff>591553</xdr:colOff>
      <xdr:row>24</xdr:row>
      <xdr:rowOff>4841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41DAE9B-D47C-4C10-AEDB-F3B4E8578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459829</xdr:colOff>
      <xdr:row>1</xdr:row>
      <xdr:rowOff>155235</xdr:rowOff>
    </xdr:from>
    <xdr:to>
      <xdr:col>4</xdr:col>
      <xdr:colOff>472967</xdr:colOff>
      <xdr:row>2</xdr:row>
      <xdr:rowOff>168373</xdr:rowOff>
    </xdr:to>
    <xdr:sp macro="" textlink="">
      <xdr:nvSpPr>
        <xdr:cNvPr id="15" name="Seta: para a Esquerda 14">
          <a:extLst>
            <a:ext uri="{FF2B5EF4-FFF2-40B4-BE49-F238E27FC236}">
              <a16:creationId xmlns:a16="http://schemas.microsoft.com/office/drawing/2014/main" id="{E07AF8F8-EE9A-4315-827E-5E71DCE3AD03}"/>
            </a:ext>
          </a:extLst>
        </xdr:cNvPr>
        <xdr:cNvSpPr/>
      </xdr:nvSpPr>
      <xdr:spPr>
        <a:xfrm>
          <a:off x="5132092" y="335709"/>
          <a:ext cx="795191" cy="514453"/>
        </a:xfrm>
        <a:prstGeom prst="lef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002060"/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91964</xdr:colOff>
      <xdr:row>1</xdr:row>
      <xdr:rowOff>70184</xdr:rowOff>
    </xdr:from>
    <xdr:to>
      <xdr:col>8</xdr:col>
      <xdr:colOff>812132</xdr:colOff>
      <xdr:row>2</xdr:row>
      <xdr:rowOff>220579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7D7C8E2-48F6-4CAA-9B74-5C26F41AF69B}"/>
            </a:ext>
          </a:extLst>
        </xdr:cNvPr>
        <xdr:cNvSpPr txBox="1"/>
      </xdr:nvSpPr>
      <xdr:spPr>
        <a:xfrm>
          <a:off x="6057622" y="250658"/>
          <a:ext cx="3337036" cy="65171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softEdge rad="635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8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Selecione</a:t>
          </a:r>
          <a:r>
            <a:rPr lang="pt-BR" sz="28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cenário </a:t>
          </a:r>
          <a:endParaRPr lang="pt-BR" sz="2800" b="1" u="none">
            <a:effectLst/>
          </a:endParaRPr>
        </a:p>
        <a:p>
          <a:endParaRPr lang="pt-BR" sz="1100"/>
        </a:p>
      </xdr:txBody>
    </xdr:sp>
    <xdr:clientData/>
  </xdr:twoCellAnchor>
  <xdr:twoCellAnchor>
    <xdr:from>
      <xdr:col>12</xdr:col>
      <xdr:colOff>551447</xdr:colOff>
      <xdr:row>5</xdr:row>
      <xdr:rowOff>110288</xdr:rowOff>
    </xdr:from>
    <xdr:to>
      <xdr:col>19</xdr:col>
      <xdr:colOff>110289</xdr:colOff>
      <xdr:row>24</xdr:row>
      <xdr:rowOff>20052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35DD2BF-7BED-4867-927B-0C8438353FFC}"/>
            </a:ext>
          </a:extLst>
        </xdr:cNvPr>
        <xdr:cNvSpPr txBox="1"/>
      </xdr:nvSpPr>
      <xdr:spPr>
        <a:xfrm>
          <a:off x="12623131" y="1433762"/>
          <a:ext cx="5564605" cy="3509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2400" b="1"/>
        </a:p>
        <a:p>
          <a:r>
            <a:rPr lang="pt-BR" sz="4400" b="1"/>
            <a:t>##</a:t>
          </a:r>
        </a:p>
        <a:p>
          <a:r>
            <a:rPr lang="pt-BR" sz="4400" b="1"/>
            <a:t>Espaço</a:t>
          </a:r>
          <a:r>
            <a:rPr lang="pt-BR" sz="4400" b="1" baseline="0"/>
            <a:t> para formulário </a:t>
          </a:r>
        </a:p>
        <a:p>
          <a:r>
            <a:rPr lang="pt-BR" sz="4400" b="1" baseline="0"/>
            <a:t>##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20</xdr:row>
      <xdr:rowOff>181610</xdr:rowOff>
    </xdr:from>
    <xdr:to>
      <xdr:col>12</xdr:col>
      <xdr:colOff>0</xdr:colOff>
      <xdr:row>30</xdr:row>
      <xdr:rowOff>142489</xdr:rowOff>
    </xdr:to>
    <xdr:pic>
      <xdr:nvPicPr>
        <xdr:cNvPr id="2" name="Imagem 1" descr="Tela de computador com texto preto sobre fundo branco&#10;&#10;Descrição gerada automaticamente">
          <a:extLst>
            <a:ext uri="{FF2B5EF4-FFF2-40B4-BE49-F238E27FC236}">
              <a16:creationId xmlns:a16="http://schemas.microsoft.com/office/drawing/2014/main" id="{F3565969-5B65-5E4E-9B78-5B51F2A58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" y="3839210"/>
          <a:ext cx="8801100" cy="1789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134471</xdr:colOff>
      <xdr:row>0</xdr:row>
      <xdr:rowOff>44823</xdr:rowOff>
    </xdr:from>
    <xdr:to>
      <xdr:col>31</xdr:col>
      <xdr:colOff>108217</xdr:colOff>
      <xdr:row>12</xdr:row>
      <xdr:rowOff>63346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531819</xdr:colOff>
      <xdr:row>12</xdr:row>
      <xdr:rowOff>92927</xdr:rowOff>
    </xdr:from>
    <xdr:to>
      <xdr:col>5</xdr:col>
      <xdr:colOff>24575</xdr:colOff>
      <xdr:row>29</xdr:row>
      <xdr:rowOff>123555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618916</xdr:colOff>
      <xdr:row>15</xdr:row>
      <xdr:rowOff>27215</xdr:rowOff>
    </xdr:from>
    <xdr:to>
      <xdr:col>19</xdr:col>
      <xdr:colOff>751896</xdr:colOff>
      <xdr:row>32</xdr:row>
      <xdr:rowOff>92363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621392</xdr:colOff>
      <xdr:row>32</xdr:row>
      <xdr:rowOff>161636</xdr:rowOff>
    </xdr:from>
    <xdr:to>
      <xdr:col>19</xdr:col>
      <xdr:colOff>762000</xdr:colOff>
      <xdr:row>48</xdr:row>
      <xdr:rowOff>40821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625928</xdr:colOff>
      <xdr:row>0</xdr:row>
      <xdr:rowOff>138545</xdr:rowOff>
    </xdr:from>
    <xdr:to>
      <xdr:col>19</xdr:col>
      <xdr:colOff>780143</xdr:colOff>
      <xdr:row>14</xdr:row>
      <xdr:rowOff>161637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88899</xdr:colOff>
      <xdr:row>24</xdr:row>
      <xdr:rowOff>88900</xdr:rowOff>
    </xdr:from>
    <xdr:to>
      <xdr:col>33</xdr:col>
      <xdr:colOff>311726</xdr:colOff>
      <xdr:row>48</xdr:row>
      <xdr:rowOff>25400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13855</xdr:colOff>
      <xdr:row>0</xdr:row>
      <xdr:rowOff>137720</xdr:rowOff>
    </xdr:from>
    <xdr:to>
      <xdr:col>33</xdr:col>
      <xdr:colOff>346363</xdr:colOff>
      <xdr:row>16</xdr:row>
      <xdr:rowOff>110837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A2EA3-390E-418D-A3AB-C292B7341D0E}" name="Tabela_Realista" displayName="Tabela_Realista" ref="F3:R29" totalsRowShown="0" headerRowDxfId="14" tableBorderDxfId="13">
  <autoFilter ref="F3:R29" xr:uid="{7BAA2EA3-390E-418D-A3AB-C292B7341D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F55B7198-EE25-4C26-ACDA-D49DF8964989}" name="Ano" dataDxfId="12"/>
    <tableColumn id="2" xr3:uid="{3F0446A5-FD29-441F-B9ED-5A0F1F36687E}" name="Coluna1" dataDxfId="11"/>
    <tableColumn id="3" xr3:uid="{135B9248-C470-4A80-8700-4D8F98AACB5A}" name="Geração total _x000a_(kWh)" dataDxfId="10">
      <calculatedColumnFormula>(1-$C$9)*H3</calculatedColumnFormula>
    </tableColumn>
    <tableColumn id="4" xr3:uid="{4DB91850-E79F-4C98-8356-5702C1914536}" name="Consumo local (kWh)" dataDxfId="9">
      <calculatedColumnFormula>$C$8*H4</calculatedColumnFormula>
    </tableColumn>
    <tableColumn id="5" xr3:uid="{E758813F-DA23-400C-B44E-9AAC669686AD}" name="Envio para a rede_x000a_(kWh)" dataDxfId="8">
      <calculatedColumnFormula>H4-I4</calculatedColumnFormula>
    </tableColumn>
    <tableColumn id="6" xr3:uid="{F9D001C2-5A8C-44D4-B564-43CD1438E3FB}" name="Compensação_x000a_(%)" dataDxfId="7">
      <calculatedColumnFormula>$C$29</calculatedColumnFormula>
    </tableColumn>
    <tableColumn id="7" xr3:uid="{FDF2A8C5-4A69-410F-AF0F-266D639CB1CC}" name=" Tarifa _x000a_(R$/kWh)" dataDxfId="6" dataCellStyle="Vírgula">
      <calculatedColumnFormula>L3*(1+$C$13)</calculatedColumnFormula>
    </tableColumn>
    <tableColumn id="8" xr3:uid="{13B16C21-A401-4D5B-BB9A-7E5DA712C50F}" name="Economia _x000a_(R$)" dataDxfId="5" dataCellStyle="Vírgula">
      <calculatedColumnFormula>(I4*L4*100%)+(J4*L4*K4)</calculatedColumnFormula>
    </tableColumn>
    <tableColumn id="9" xr3:uid="{E39572E0-B879-49F6-B05F-1E51C4931B87}" name="Troca inversores_x000a_(R$)" dataDxfId="4" dataCellStyle="Vírgula"/>
    <tableColumn id="10" xr3:uid="{E48C24D4-4F0F-4BF3-8825-1D7C8A438F04}" name="Manutençao_x000a_(R$)" dataDxfId="3" dataCellStyle="Vírgula">
      <calculatedColumnFormula>O3*(1+$C$11)</calculatedColumnFormula>
    </tableColumn>
    <tableColumn id="11" xr3:uid="{66E5DEC8-3F53-417F-BF55-0690AA6FD362}" name="F. Caixa _x000a_(R$)" dataDxfId="2" dataCellStyle="Vírgula">
      <calculatedColumnFormula>M4-N4-O4</calculatedColumnFormula>
    </tableColumn>
    <tableColumn id="12" xr3:uid="{E4C0E641-3F40-461E-B8D8-725E4EF1C570}" name="FC Ajust._x000a_(R$)" dataDxfId="1" dataCellStyle="Vírgula">
      <calculatedColumnFormula>P4/(1+$C$18)^F4</calculatedColumnFormula>
    </tableColumn>
    <tableColumn id="13" xr3:uid="{36061BE4-BBEB-4387-8BE1-B9BFC1177AF3}" name="FC Acum. Ajus_x000a_(R$)" dataDxfId="0" dataCellStyle="Vírgula">
      <calculatedColumnFormula>R3+Q4</calculatedColumnFormula>
    </tableColumn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858-AD48-47BC-AB56-8B96E6F604FB}">
  <sheetPr>
    <tabColor theme="4" tint="-0.249977111117893"/>
  </sheetPr>
  <dimension ref="A1:AH50"/>
  <sheetViews>
    <sheetView showGridLines="0" tabSelected="1" zoomScale="76" zoomScaleNormal="76" workbookViewId="0">
      <selection activeCell="K6" sqref="K6"/>
    </sheetView>
  </sheetViews>
  <sheetFormatPr defaultColWidth="0" defaultRowHeight="14.4" customHeight="1" zeroHeight="1" x14ac:dyDescent="0.3"/>
  <cols>
    <col min="1" max="1" width="8.77734375" customWidth="1"/>
    <col min="2" max="2" width="30.21875" customWidth="1"/>
    <col min="3" max="3" width="29.109375" customWidth="1"/>
    <col min="4" max="4" width="11.44140625" customWidth="1"/>
    <col min="5" max="5" width="7.44140625" customWidth="1"/>
    <col min="6" max="13" width="12.77734375" bestFit="1" customWidth="1"/>
    <col min="14" max="17" width="12.6640625" bestFit="1" customWidth="1"/>
    <col min="18" max="18" width="11.21875" bestFit="1" customWidth="1"/>
    <col min="19" max="20" width="12.6640625" bestFit="1" customWidth="1"/>
    <col min="21" max="25" width="12.77734375" bestFit="1" customWidth="1"/>
    <col min="26" max="33" width="7.6640625" customWidth="1"/>
    <col min="34" max="34" width="11.77734375" customWidth="1"/>
    <col min="35" max="16384" width="8.77734375" hidden="1"/>
  </cols>
  <sheetData>
    <row r="1" spans="2:33" x14ac:dyDescent="0.3">
      <c r="G1" s="107"/>
    </row>
    <row r="2" spans="2:33" ht="39.6" customHeight="1" x14ac:dyDescent="0.3">
      <c r="B2" s="209" t="s">
        <v>147</v>
      </c>
      <c r="C2" s="210" t="s">
        <v>10</v>
      </c>
      <c r="F2" s="108"/>
      <c r="G2" s="108">
        <v>2020</v>
      </c>
      <c r="H2" s="108">
        <f>G2+1</f>
        <v>2021</v>
      </c>
      <c r="I2" s="108">
        <f t="shared" ref="I2:AF2" si="0">H2+1</f>
        <v>2022</v>
      </c>
      <c r="J2" s="108">
        <f t="shared" si="0"/>
        <v>2023</v>
      </c>
      <c r="K2" s="108">
        <f t="shared" si="0"/>
        <v>2024</v>
      </c>
      <c r="L2" s="108">
        <f t="shared" si="0"/>
        <v>2025</v>
      </c>
      <c r="M2" s="108">
        <f t="shared" si="0"/>
        <v>2026</v>
      </c>
      <c r="N2" s="108">
        <f t="shared" si="0"/>
        <v>2027</v>
      </c>
      <c r="O2" s="108">
        <f t="shared" si="0"/>
        <v>2028</v>
      </c>
      <c r="P2" s="108">
        <f t="shared" si="0"/>
        <v>2029</v>
      </c>
      <c r="Q2" s="108">
        <f t="shared" si="0"/>
        <v>2030</v>
      </c>
      <c r="R2" s="108">
        <f t="shared" si="0"/>
        <v>2031</v>
      </c>
      <c r="S2" s="108">
        <f t="shared" si="0"/>
        <v>2032</v>
      </c>
      <c r="T2" s="108">
        <f t="shared" si="0"/>
        <v>2033</v>
      </c>
      <c r="U2" s="108">
        <f t="shared" si="0"/>
        <v>2034</v>
      </c>
      <c r="V2" s="108">
        <f t="shared" si="0"/>
        <v>2035</v>
      </c>
      <c r="W2" s="108">
        <f t="shared" si="0"/>
        <v>2036</v>
      </c>
      <c r="X2" s="108">
        <f t="shared" si="0"/>
        <v>2037</v>
      </c>
      <c r="Y2" s="108">
        <f t="shared" si="0"/>
        <v>2038</v>
      </c>
      <c r="Z2" s="108">
        <f t="shared" si="0"/>
        <v>2039</v>
      </c>
      <c r="AA2" s="108">
        <f t="shared" si="0"/>
        <v>2040</v>
      </c>
      <c r="AB2" s="108">
        <f t="shared" si="0"/>
        <v>2041</v>
      </c>
      <c r="AC2" s="108">
        <f t="shared" si="0"/>
        <v>2042</v>
      </c>
      <c r="AD2" s="108">
        <f t="shared" si="0"/>
        <v>2043</v>
      </c>
      <c r="AE2" s="108">
        <f t="shared" si="0"/>
        <v>2044</v>
      </c>
      <c r="AF2" s="108">
        <f t="shared" si="0"/>
        <v>2045</v>
      </c>
    </row>
    <row r="3" spans="2:33" ht="18" x14ac:dyDescent="0.35">
      <c r="B3" s="200" t="s">
        <v>137</v>
      </c>
      <c r="C3" s="205">
        <v>2000000</v>
      </c>
      <c r="F3" s="108" t="str">
        <f t="array" aca="1" ref="F3:AF5" ca="1">TRANSPOSE(INDIRECT(TEXT($C$2,0)&amp;"!i3",TRUE):INDIRECT(TEXT($C$2,0)&amp;"!k29",TRUE))</f>
        <v>Consumo local (kWh)</v>
      </c>
      <c r="G3" s="108">
        <f ca="1"/>
        <v>0</v>
      </c>
      <c r="H3" s="108">
        <f ca="1"/>
        <v>840000</v>
      </c>
      <c r="I3" s="108">
        <f ca="1"/>
        <v>831600</v>
      </c>
      <c r="J3" s="108">
        <f ca="1"/>
        <v>823284</v>
      </c>
      <c r="K3" s="108">
        <f ca="1"/>
        <v>815051.16</v>
      </c>
      <c r="L3" s="108">
        <f ca="1"/>
        <v>806900.64839999995</v>
      </c>
      <c r="M3" s="108">
        <f ca="1"/>
        <v>798831.64191600005</v>
      </c>
      <c r="N3" s="108">
        <f ca="1"/>
        <v>790843.32549683994</v>
      </c>
      <c r="O3" s="108">
        <f ca="1"/>
        <v>782934.89224187157</v>
      </c>
      <c r="P3" s="108">
        <f ca="1"/>
        <v>775105.54331945279</v>
      </c>
      <c r="Q3" s="108">
        <f ca="1"/>
        <v>767354.48788625828</v>
      </c>
      <c r="R3" s="108">
        <f ca="1"/>
        <v>759680.94300739572</v>
      </c>
      <c r="S3" s="108">
        <f ca="1"/>
        <v>752084.13357732177</v>
      </c>
      <c r="T3" s="108">
        <f ca="1"/>
        <v>744563.29224154854</v>
      </c>
      <c r="U3" s="108">
        <f ca="1"/>
        <v>737117.65931913315</v>
      </c>
      <c r="V3" s="108">
        <f ca="1"/>
        <v>729746.48272594181</v>
      </c>
      <c r="W3" s="108">
        <f ca="1"/>
        <v>722449.01789868239</v>
      </c>
      <c r="X3" s="108">
        <f ca="1"/>
        <v>715224.52771969547</v>
      </c>
      <c r="Y3" s="108">
        <f ca="1"/>
        <v>708072.2824424986</v>
      </c>
      <c r="Z3" s="108">
        <f ca="1"/>
        <v>700991.55961807352</v>
      </c>
      <c r="AA3" s="108">
        <f ca="1"/>
        <v>693981.6440218928</v>
      </c>
      <c r="AB3" s="108">
        <f ca="1"/>
        <v>687041.82758167386</v>
      </c>
      <c r="AC3" s="108">
        <f ca="1"/>
        <v>680171.40930585715</v>
      </c>
      <c r="AD3" s="108">
        <f ca="1"/>
        <v>673369.69521279843</v>
      </c>
      <c r="AE3" s="108">
        <f ca="1"/>
        <v>666635.99826067046</v>
      </c>
      <c r="AF3" s="108">
        <f ca="1"/>
        <v>659969.63827806374</v>
      </c>
    </row>
    <row r="4" spans="2:33" ht="18" x14ac:dyDescent="0.35">
      <c r="B4" s="202" t="s">
        <v>49</v>
      </c>
      <c r="C4" s="201">
        <f ca="1">$C$5*'Estrutura de Capital'!$C$7+(1-Dashboard!$C$5)*'Estrutura de Capital'!$D$5</f>
        <v>9.9871516724702708E-2</v>
      </c>
      <c r="F4" s="108" t="str">
        <f ca="1"/>
        <v>Envio para a rede
(kWh)</v>
      </c>
      <c r="G4" s="108">
        <f ca="1"/>
        <v>0</v>
      </c>
      <c r="H4" s="108">
        <f ca="1"/>
        <v>360000</v>
      </c>
      <c r="I4" s="108">
        <f ca="1"/>
        <v>356400</v>
      </c>
      <c r="J4" s="108">
        <f ca="1"/>
        <v>352836</v>
      </c>
      <c r="K4" s="108">
        <f ca="1"/>
        <v>349307.64</v>
      </c>
      <c r="L4" s="108">
        <f ca="1"/>
        <v>345814.56360000011</v>
      </c>
      <c r="M4" s="108">
        <f ca="1"/>
        <v>342356.41796400002</v>
      </c>
      <c r="N4" s="108">
        <f ca="1"/>
        <v>338932.85378436011</v>
      </c>
      <c r="O4" s="108">
        <f ca="1"/>
        <v>335543.52524651645</v>
      </c>
      <c r="P4" s="108">
        <f ca="1"/>
        <v>332188.08999405126</v>
      </c>
      <c r="Q4" s="108">
        <f ca="1"/>
        <v>328866.20909411076</v>
      </c>
      <c r="R4" s="108">
        <f ca="1"/>
        <v>325577.54700316966</v>
      </c>
      <c r="S4" s="108">
        <f ca="1"/>
        <v>322321.771533138</v>
      </c>
      <c r="T4" s="108">
        <f ca="1"/>
        <v>319098.55381780665</v>
      </c>
      <c r="U4" s="108">
        <f ca="1"/>
        <v>315907.56827962853</v>
      </c>
      <c r="V4" s="108">
        <f ca="1"/>
        <v>312748.49259683222</v>
      </c>
      <c r="W4" s="108">
        <f ca="1"/>
        <v>309621.00767086388</v>
      </c>
      <c r="X4" s="108">
        <f ca="1"/>
        <v>306524.7975941553</v>
      </c>
      <c r="Y4" s="108">
        <f ca="1"/>
        <v>303459.54961821367</v>
      </c>
      <c r="Z4" s="108">
        <f ca="1"/>
        <v>300424.95412203157</v>
      </c>
      <c r="AA4" s="108">
        <f ca="1"/>
        <v>297420.7045808112</v>
      </c>
      <c r="AB4" s="108">
        <f ca="1"/>
        <v>294446.49753500312</v>
      </c>
      <c r="AC4" s="108">
        <f ca="1"/>
        <v>291502.03255965305</v>
      </c>
      <c r="AD4" s="108">
        <f ca="1"/>
        <v>288587.0122340566</v>
      </c>
      <c r="AE4" s="108">
        <f ca="1"/>
        <v>285701.14211171598</v>
      </c>
      <c r="AF4" s="108">
        <f ca="1"/>
        <v>282844.13069059886</v>
      </c>
    </row>
    <row r="5" spans="2:33" x14ac:dyDescent="0.3">
      <c r="B5" s="199" t="s">
        <v>136</v>
      </c>
      <c r="C5" s="198">
        <f ca="1">$C$3/INDIRECT(TEXT($C$2,0)&amp;"!C4",TRUE)</f>
        <v>0.65932616865563398</v>
      </c>
      <c r="F5" s="108" t="str">
        <f ca="1"/>
        <v>Compensação
(%)</v>
      </c>
      <c r="G5" s="108">
        <f ca="1"/>
        <v>0</v>
      </c>
      <c r="H5" s="108">
        <f ca="1"/>
        <v>0.99999999999999989</v>
      </c>
      <c r="I5" s="108">
        <f ca="1"/>
        <v>0.99999999999999989</v>
      </c>
      <c r="J5" s="108">
        <f ca="1"/>
        <v>0.99999999999999989</v>
      </c>
      <c r="K5" s="108">
        <f ca="1"/>
        <v>0.99999999999999989</v>
      </c>
      <c r="L5" s="108">
        <f ca="1"/>
        <v>0.99999999999999989</v>
      </c>
      <c r="M5" s="108">
        <f ca="1"/>
        <v>0.99999999999999989</v>
      </c>
      <c r="N5" s="108">
        <f ca="1"/>
        <v>0.99999999999999989</v>
      </c>
      <c r="O5" s="108">
        <f ca="1"/>
        <v>0.99999999999999989</v>
      </c>
      <c r="P5" s="108">
        <f ca="1"/>
        <v>0.99999999999999989</v>
      </c>
      <c r="Q5" s="108">
        <f ca="1"/>
        <v>0.99999999999999989</v>
      </c>
      <c r="R5" s="108">
        <f ca="1"/>
        <v>0.66</v>
      </c>
      <c r="S5" s="108">
        <f ca="1"/>
        <v>0.66</v>
      </c>
      <c r="T5" s="108">
        <f ca="1"/>
        <v>0.66</v>
      </c>
      <c r="U5" s="108">
        <f ca="1"/>
        <v>0.66</v>
      </c>
      <c r="V5" s="108">
        <f ca="1"/>
        <v>0.66</v>
      </c>
      <c r="W5" s="108">
        <f ca="1"/>
        <v>0.66</v>
      </c>
      <c r="X5" s="108">
        <f ca="1"/>
        <v>0.66</v>
      </c>
      <c r="Y5" s="108">
        <f ca="1"/>
        <v>0.66</v>
      </c>
      <c r="Z5" s="108">
        <f ca="1"/>
        <v>0.66</v>
      </c>
      <c r="AA5" s="108">
        <f ca="1"/>
        <v>0.66</v>
      </c>
      <c r="AB5" s="108">
        <f ca="1"/>
        <v>0.66</v>
      </c>
      <c r="AC5" s="108">
        <f ca="1"/>
        <v>0.66</v>
      </c>
      <c r="AD5" s="108">
        <f ca="1"/>
        <v>0.66</v>
      </c>
      <c r="AE5" s="108">
        <f ca="1"/>
        <v>0.66</v>
      </c>
      <c r="AF5" s="108">
        <f ca="1"/>
        <v>0.66</v>
      </c>
    </row>
    <row r="6" spans="2:33" x14ac:dyDescent="0.3">
      <c r="D6" s="130"/>
      <c r="E6" s="204"/>
    </row>
    <row r="7" spans="2:33" ht="23.4" x14ac:dyDescent="0.45">
      <c r="B7" s="206" t="s">
        <v>36</v>
      </c>
      <c r="C7" s="207"/>
      <c r="D7" s="203"/>
    </row>
    <row r="8" spans="2:33" x14ac:dyDescent="0.3">
      <c r="B8" s="189"/>
      <c r="C8" s="190" t="s">
        <v>62</v>
      </c>
    </row>
    <row r="9" spans="2:33" x14ac:dyDescent="0.3">
      <c r="B9" s="191" t="s">
        <v>52</v>
      </c>
      <c r="C9" s="192">
        <f ca="1">INDIRECT(TEXT($C$2,0)&amp;"!C22",TRUE)*INDIRECT(TEXT($C$2,0)&amp;"!D22",TRUE)</f>
        <v>1706200</v>
      </c>
    </row>
    <row r="10" spans="2:33" x14ac:dyDescent="0.3">
      <c r="B10" s="191" t="s">
        <v>53</v>
      </c>
      <c r="C10" s="192">
        <f ca="1">INDIRECT(TEXT($C$2,0)&amp;"!C23",TRUE)*INDIRECT(TEXT($C$2,0)&amp;"!D23",TRUE)</f>
        <v>320000</v>
      </c>
      <c r="E10" t="s">
        <v>12</v>
      </c>
      <c r="F10" s="2">
        <f ca="1">Pessimista!W7</f>
        <v>0.19734622949971325</v>
      </c>
      <c r="G10" s="2">
        <v>0</v>
      </c>
      <c r="H10" s="107">
        <f ca="1">Pessimista!W6</f>
        <v>3083807.5052879606</v>
      </c>
    </row>
    <row r="11" spans="2:33" x14ac:dyDescent="0.3">
      <c r="B11" s="191" t="s">
        <v>54</v>
      </c>
      <c r="C11" s="192">
        <v>675400</v>
      </c>
      <c r="F11" s="2">
        <f ca="1">F10+G10</f>
        <v>0.19734622949971325</v>
      </c>
      <c r="G11" s="2">
        <f ca="1">F12-F11</f>
        <v>4.2551857155212147E-2</v>
      </c>
    </row>
    <row r="12" spans="2:33" x14ac:dyDescent="0.3">
      <c r="B12" s="191" t="s">
        <v>55</v>
      </c>
      <c r="C12" s="192">
        <f ca="1">INDIRECT(TEXT($C$2,0)&amp;"!C25",TRUE)*INDIRECT(TEXT($C$2,0)&amp;"!D25",TRUE)</f>
        <v>331800</v>
      </c>
      <c r="E12" t="s">
        <v>10</v>
      </c>
      <c r="F12" s="2">
        <f ca="1">Realista!W7</f>
        <v>0.2398980866549254</v>
      </c>
      <c r="G12" s="2">
        <v>0</v>
      </c>
      <c r="H12" s="107">
        <f ca="1">Realista!W6</f>
        <v>4636834.9910906097</v>
      </c>
    </row>
    <row r="13" spans="2:33" x14ac:dyDescent="0.3">
      <c r="B13" s="189"/>
      <c r="C13" s="189"/>
      <c r="D13" s="188"/>
      <c r="F13" s="2">
        <f ca="1">F12+G12</f>
        <v>0.2398980866549254</v>
      </c>
      <c r="G13" s="2">
        <f ca="1">F14-F13</f>
        <v>2.6699864136735751E-2</v>
      </c>
    </row>
    <row r="14" spans="2:33" ht="18" x14ac:dyDescent="0.35">
      <c r="B14" s="190" t="s">
        <v>61</v>
      </c>
      <c r="C14" s="189"/>
      <c r="D14" s="188"/>
      <c r="E14" t="s">
        <v>11</v>
      </c>
      <c r="F14" s="2">
        <f ca="1">Otimista!W7</f>
        <v>0.26659795079166115</v>
      </c>
      <c r="G14" s="2">
        <v>0</v>
      </c>
      <c r="H14" s="107">
        <f ca="1">Otimista!W6</f>
        <v>5865786.6765988655</v>
      </c>
      <c r="P14" s="208"/>
      <c r="Q14" s="130"/>
      <c r="R14" s="130"/>
      <c r="S14" s="130"/>
    </row>
    <row r="15" spans="2:33" x14ac:dyDescent="0.3">
      <c r="B15" s="193">
        <f ca="1">C9/SUM($C$9:$C$12)</f>
        <v>0.5624711544801213</v>
      </c>
      <c r="C15" s="189"/>
      <c r="D15" s="188"/>
      <c r="E15" s="188"/>
      <c r="P15" s="130"/>
      <c r="Q15" s="130"/>
      <c r="R15" s="130"/>
      <c r="S15" s="130"/>
    </row>
    <row r="16" spans="2:33" x14ac:dyDescent="0.3">
      <c r="B16" s="193">
        <f ca="1">C10/SUM($C$9:$C$12)</f>
        <v>0.10549218698490143</v>
      </c>
      <c r="C16" s="189"/>
      <c r="D16" s="188"/>
      <c r="E16" s="188"/>
      <c r="F16" s="108"/>
      <c r="G16" s="108">
        <v>0</v>
      </c>
      <c r="H16" s="108">
        <f>G16+1</f>
        <v>1</v>
      </c>
      <c r="I16" s="108">
        <f t="shared" ref="I16:AF16" si="1">H16+1</f>
        <v>2</v>
      </c>
      <c r="J16" s="108">
        <f t="shared" si="1"/>
        <v>3</v>
      </c>
      <c r="K16" s="108">
        <f t="shared" si="1"/>
        <v>4</v>
      </c>
      <c r="L16" s="108">
        <f t="shared" si="1"/>
        <v>5</v>
      </c>
      <c r="M16" s="108">
        <f t="shared" si="1"/>
        <v>6</v>
      </c>
      <c r="N16" s="108">
        <f t="shared" si="1"/>
        <v>7</v>
      </c>
      <c r="O16" s="108">
        <f t="shared" si="1"/>
        <v>8</v>
      </c>
      <c r="P16" s="108">
        <f t="shared" si="1"/>
        <v>9</v>
      </c>
      <c r="Q16" s="108">
        <f t="shared" si="1"/>
        <v>10</v>
      </c>
      <c r="R16" s="108">
        <f t="shared" si="1"/>
        <v>11</v>
      </c>
      <c r="S16" s="108">
        <f t="shared" si="1"/>
        <v>12</v>
      </c>
      <c r="T16" s="108">
        <f t="shared" si="1"/>
        <v>13</v>
      </c>
      <c r="U16" s="108">
        <f t="shared" si="1"/>
        <v>14</v>
      </c>
      <c r="V16" s="108">
        <f t="shared" si="1"/>
        <v>15</v>
      </c>
      <c r="W16" s="108">
        <f t="shared" si="1"/>
        <v>16</v>
      </c>
      <c r="X16" s="108">
        <f t="shared" si="1"/>
        <v>17</v>
      </c>
      <c r="Y16" s="108">
        <f t="shared" si="1"/>
        <v>18</v>
      </c>
      <c r="Z16" s="108">
        <f t="shared" si="1"/>
        <v>19</v>
      </c>
      <c r="AA16" s="108">
        <f t="shared" si="1"/>
        <v>20</v>
      </c>
      <c r="AB16" s="108">
        <f t="shared" si="1"/>
        <v>21</v>
      </c>
      <c r="AC16" s="108">
        <f t="shared" si="1"/>
        <v>22</v>
      </c>
      <c r="AD16" s="108">
        <f t="shared" si="1"/>
        <v>23</v>
      </c>
      <c r="AE16" s="108">
        <f t="shared" si="1"/>
        <v>24</v>
      </c>
      <c r="AF16" s="108">
        <f t="shared" si="1"/>
        <v>25</v>
      </c>
      <c r="AG16" t="s">
        <v>144</v>
      </c>
    </row>
    <row r="17" spans="2:33" x14ac:dyDescent="0.3">
      <c r="B17" s="193">
        <f ca="1">C11/SUM($C$9:$C$12)</f>
        <v>0.2226544471550076</v>
      </c>
      <c r="C17" s="189"/>
      <c r="D17" s="188"/>
      <c r="E17" s="188"/>
      <c r="F17" s="108" t="s">
        <v>63</v>
      </c>
      <c r="G17" s="109">
        <f t="array" ref="G17:AF19" ca="1">TRANSPOSE(INDIRECT(TEXT($C$2,0)&amp;"!P4",TRUE):INDIRECT(TEXT($C$2,0)&amp;"!R29",TRUE))</f>
        <v>-3033400</v>
      </c>
      <c r="H17" s="109">
        <f ca="1"/>
        <v>688330</v>
      </c>
      <c r="I17" s="109">
        <f ca="1"/>
        <v>700327.9</v>
      </c>
      <c r="J17" s="109">
        <f ca="1"/>
        <v>712515.29259999993</v>
      </c>
      <c r="K17" s="109">
        <f ca="1"/>
        <v>724894.50482331985</v>
      </c>
      <c r="L17" s="109">
        <f ca="1"/>
        <v>737467.86735621234</v>
      </c>
      <c r="M17" s="109">
        <f ca="1"/>
        <v>750237.71335463901</v>
      </c>
      <c r="N17" s="109">
        <f ca="1"/>
        <v>763206.37718957989</v>
      </c>
      <c r="O17" s="109">
        <f ca="1"/>
        <v>776376.1931285247</v>
      </c>
      <c r="P17" s="109">
        <f ca="1"/>
        <v>789749.4939507161</v>
      </c>
      <c r="Q17" s="109">
        <f ca="1"/>
        <v>803328.60949363152</v>
      </c>
      <c r="R17" s="109">
        <f ca="1"/>
        <v>712979.20356501546</v>
      </c>
      <c r="S17" s="109">
        <f ca="1"/>
        <v>424925.42636351852</v>
      </c>
      <c r="T17" s="109">
        <f ca="1"/>
        <v>737044.00572580029</v>
      </c>
      <c r="U17" s="109">
        <f ca="1"/>
        <v>749336.44755540672</v>
      </c>
      <c r="V17" s="109">
        <f ca="1"/>
        <v>761804.23073656065</v>
      </c>
      <c r="W17" s="109">
        <f ca="1"/>
        <v>774448.80490131257</v>
      </c>
      <c r="X17" s="109">
        <f ca="1"/>
        <v>787271.58810168714</v>
      </c>
      <c r="Y17" s="109">
        <f ca="1"/>
        <v>800273.96438342379</v>
      </c>
      <c r="Z17" s="109">
        <f ca="1"/>
        <v>813457.28125779459</v>
      </c>
      <c r="AA17" s="109">
        <f ca="1"/>
        <v>826822.8470678709</v>
      </c>
      <c r="AB17" s="109">
        <f ca="1"/>
        <v>840371.92824548506</v>
      </c>
      <c r="AC17" s="109">
        <f ca="1"/>
        <v>854105.74645500933</v>
      </c>
      <c r="AD17" s="109">
        <f ca="1"/>
        <v>568025.47561995382</v>
      </c>
      <c r="AE17" s="109">
        <f ca="1"/>
        <v>882132.23882824113</v>
      </c>
      <c r="AF17" s="109">
        <f ca="1"/>
        <v>896427.10511188919</v>
      </c>
    </row>
    <row r="18" spans="2:33" x14ac:dyDescent="0.3">
      <c r="B18" s="193">
        <f ca="1">C12/SUM($C$9:$C$12)</f>
        <v>0.10938221137996967</v>
      </c>
      <c r="C18" s="189"/>
      <c r="D18" s="188"/>
      <c r="E18" s="188"/>
      <c r="F18" s="108" t="s">
        <v>64</v>
      </c>
      <c r="G18" s="109">
        <f ca="1"/>
        <v>-3033400</v>
      </c>
      <c r="H18" s="109">
        <f ca="1"/>
        <v>625827.64398679184</v>
      </c>
      <c r="I18" s="109">
        <f ca="1"/>
        <v>578918.6193685974</v>
      </c>
      <c r="J18" s="109">
        <f ca="1"/>
        <v>535510.91108889517</v>
      </c>
      <c r="K18" s="109">
        <f ca="1"/>
        <v>495344.09062877507</v>
      </c>
      <c r="L18" s="109">
        <f ca="1"/>
        <v>458177.04362562165</v>
      </c>
      <c r="M18" s="109">
        <f ca="1"/>
        <v>423786.54099895869</v>
      </c>
      <c r="N18" s="109">
        <f ca="1"/>
        <v>391965.91556549247</v>
      </c>
      <c r="O18" s="109">
        <f ca="1"/>
        <v>362523.83636918489</v>
      </c>
      <c r="P18" s="109">
        <f ca="1"/>
        <v>335283.17352425319</v>
      </c>
      <c r="Q18" s="109">
        <f ca="1"/>
        <v>310079.94689901819</v>
      </c>
      <c r="R18" s="109">
        <f ca="1"/>
        <v>250216.15953694927</v>
      </c>
      <c r="S18" s="109">
        <f ca="1"/>
        <v>135584.25376558592</v>
      </c>
      <c r="T18" s="109">
        <f ca="1"/>
        <v>213819.83963952496</v>
      </c>
      <c r="U18" s="109">
        <f ca="1"/>
        <v>197646.66142667949</v>
      </c>
      <c r="V18" s="109">
        <f ca="1"/>
        <v>182689.69494709038</v>
      </c>
      <c r="W18" s="109">
        <f ca="1"/>
        <v>168857.91754971631</v>
      </c>
      <c r="X18" s="109">
        <f ca="1"/>
        <v>156067.09199620978</v>
      </c>
      <c r="Y18" s="109">
        <f ca="1"/>
        <v>144239.26229240131</v>
      </c>
      <c r="Z18" s="109">
        <f ca="1"/>
        <v>133302.2868773267</v>
      </c>
      <c r="AA18" s="109">
        <f ca="1"/>
        <v>123189.40640812791</v>
      </c>
      <c r="AB18" s="109">
        <f ca="1"/>
        <v>113838.84358291453</v>
      </c>
      <c r="AC18" s="109">
        <f ca="1"/>
        <v>105193.43263241932</v>
      </c>
      <c r="AD18" s="109">
        <f ca="1"/>
        <v>63606.696714039615</v>
      </c>
      <c r="AE18" s="109">
        <f ca="1"/>
        <v>89810.428180518007</v>
      </c>
      <c r="AF18" s="109">
        <f ca="1"/>
        <v>82978.598827090944</v>
      </c>
      <c r="AG18" s="109" t="e">
        <f ca="1">INDIRECT(TEXT($C$2,)&amp;"!W11",TRUE)*#REF!</f>
        <v>#REF!</v>
      </c>
    </row>
    <row r="19" spans="2:33" x14ac:dyDescent="0.3">
      <c r="B19" s="189"/>
      <c r="C19" s="189"/>
      <c r="D19" s="188"/>
      <c r="E19" s="188"/>
      <c r="F19" s="108" t="s">
        <v>65</v>
      </c>
      <c r="G19" s="109">
        <f ca="1"/>
        <v>-3033400</v>
      </c>
      <c r="H19" s="109">
        <f ca="1"/>
        <v>-2407572.3560132082</v>
      </c>
      <c r="I19" s="109">
        <f ca="1"/>
        <v>-1828653.7366446108</v>
      </c>
      <c r="J19" s="109">
        <f ca="1"/>
        <v>-1293142.8255557157</v>
      </c>
      <c r="K19" s="109">
        <f ca="1"/>
        <v>-797798.73492694064</v>
      </c>
      <c r="L19" s="109">
        <f ca="1"/>
        <v>-339621.69130131899</v>
      </c>
      <c r="M19" s="109">
        <f ca="1"/>
        <v>84164.8496976397</v>
      </c>
      <c r="N19" s="109">
        <f ca="1"/>
        <v>476130.76526313217</v>
      </c>
      <c r="O19" s="109">
        <f ca="1"/>
        <v>838654.60163231706</v>
      </c>
      <c r="P19" s="109">
        <f ca="1"/>
        <v>1173937.7751565701</v>
      </c>
      <c r="Q19" s="109">
        <f ca="1"/>
        <v>1484017.7220555884</v>
      </c>
      <c r="R19" s="109">
        <f ca="1"/>
        <v>1734233.8815925377</v>
      </c>
      <c r="S19" s="109">
        <f ca="1"/>
        <v>1869818.1353581236</v>
      </c>
      <c r="T19" s="109">
        <f ca="1"/>
        <v>2083637.9749976485</v>
      </c>
      <c r="U19" s="109">
        <f ca="1"/>
        <v>2281284.6364243282</v>
      </c>
      <c r="V19" s="109">
        <f ca="1"/>
        <v>2463974.3313714187</v>
      </c>
      <c r="W19" s="109">
        <f ca="1"/>
        <v>2632832.248921135</v>
      </c>
      <c r="X19" s="109">
        <f ca="1"/>
        <v>2788899.3409173447</v>
      </c>
      <c r="Y19" s="109">
        <f ca="1"/>
        <v>2933138.6032097461</v>
      </c>
      <c r="Z19" s="109">
        <f ca="1"/>
        <v>3066440.8900870727</v>
      </c>
      <c r="AA19" s="109">
        <f ca="1"/>
        <v>3189630.2964952006</v>
      </c>
      <c r="AB19" s="109">
        <f ca="1"/>
        <v>3303469.1400781153</v>
      </c>
      <c r="AC19" s="109">
        <f ca="1"/>
        <v>3408662.5727105346</v>
      </c>
      <c r="AD19" s="109">
        <f ca="1"/>
        <v>3472269.269424574</v>
      </c>
      <c r="AE19" s="109">
        <f ca="1"/>
        <v>3562079.6976050921</v>
      </c>
      <c r="AF19" s="109">
        <f ca="1"/>
        <v>3645058.2964321831</v>
      </c>
      <c r="AG19" s="109" t="e">
        <f ca="1">AF19+AG18*#REF!</f>
        <v>#REF!</v>
      </c>
    </row>
    <row r="20" spans="2:33" x14ac:dyDescent="0.3">
      <c r="B20" s="189"/>
      <c r="C20" s="189"/>
      <c r="D20" s="188"/>
      <c r="E20" s="188"/>
    </row>
    <row r="21" spans="2:33" x14ac:dyDescent="0.3">
      <c r="B21" s="189"/>
      <c r="C21" s="189"/>
      <c r="D21" s="188"/>
      <c r="E21" s="188"/>
    </row>
    <row r="22" spans="2:33" x14ac:dyDescent="0.3">
      <c r="B22" s="189"/>
      <c r="C22" s="189"/>
      <c r="D22" s="188"/>
      <c r="E22" s="188"/>
    </row>
    <row r="23" spans="2:33" x14ac:dyDescent="0.3">
      <c r="B23" s="189"/>
      <c r="C23" s="189"/>
      <c r="D23" s="188"/>
      <c r="E23" s="188"/>
    </row>
    <row r="24" spans="2:33" x14ac:dyDescent="0.3">
      <c r="B24" s="189"/>
      <c r="C24" s="189"/>
      <c r="D24" s="188"/>
      <c r="E24" s="188"/>
    </row>
    <row r="25" spans="2:33" x14ac:dyDescent="0.3">
      <c r="B25" s="189"/>
      <c r="C25" s="189"/>
      <c r="D25" s="188"/>
      <c r="E25" s="188"/>
    </row>
    <row r="26" spans="2:33" x14ac:dyDescent="0.3">
      <c r="B26" s="189"/>
      <c r="C26" s="189"/>
      <c r="D26" s="188"/>
      <c r="E26" s="188"/>
      <c r="U26" s="2"/>
    </row>
    <row r="27" spans="2:33" x14ac:dyDescent="0.3">
      <c r="B27" s="189"/>
      <c r="C27" s="189"/>
      <c r="D27" s="188"/>
      <c r="E27" s="188"/>
      <c r="U27" s="2"/>
      <c r="V27" s="2"/>
      <c r="W27" s="2"/>
      <c r="X27" s="2"/>
      <c r="Y27" s="2"/>
      <c r="Z27" s="2"/>
      <c r="AA27" s="2"/>
      <c r="AB27" s="2"/>
      <c r="AC27" s="2"/>
    </row>
    <row r="28" spans="2:33" x14ac:dyDescent="0.3">
      <c r="B28" s="188"/>
      <c r="C28" s="188"/>
      <c r="D28" s="188"/>
      <c r="E28" s="188"/>
      <c r="U28" s="121"/>
      <c r="V28" s="121"/>
      <c r="W28" s="121"/>
      <c r="X28" s="121"/>
      <c r="Y28" s="121"/>
      <c r="Z28" s="121"/>
      <c r="AA28" s="121"/>
      <c r="AB28" s="121"/>
      <c r="AC28" s="121"/>
    </row>
    <row r="29" spans="2:33" ht="23.4" x14ac:dyDescent="0.45">
      <c r="B29" s="206" t="s">
        <v>66</v>
      </c>
      <c r="C29" s="207"/>
      <c r="D29" s="203"/>
      <c r="E29" s="203"/>
    </row>
    <row r="30" spans="2:33" ht="15.6" x14ac:dyDescent="0.3">
      <c r="B30" s="183" t="s">
        <v>59</v>
      </c>
      <c r="C30" s="184">
        <f ca="1">INDIRECT(TEXT($C$2,)&amp;"!W4",TRUE)</f>
        <v>4.4068978542268971</v>
      </c>
      <c r="D30" s="188"/>
      <c r="E30" s="188"/>
      <c r="V30" s="107"/>
    </row>
    <row r="31" spans="2:33" ht="15.6" x14ac:dyDescent="0.3">
      <c r="B31" s="183" t="s">
        <v>60</v>
      </c>
      <c r="C31" s="184">
        <f ca="1">INDIRECT(TEXT($C$2,)&amp;"!w5",TRUE)</f>
        <v>6.801398011604511</v>
      </c>
      <c r="D31" s="188"/>
      <c r="E31" s="188"/>
    </row>
    <row r="32" spans="2:33" ht="15.6" x14ac:dyDescent="0.3">
      <c r="B32" s="183" t="s">
        <v>58</v>
      </c>
      <c r="C32" s="184">
        <f ca="1">INDIRECT(TEXT($C$2,)&amp;"!w6",TRUE)</f>
        <v>4636834.9910906097</v>
      </c>
      <c r="D32" s="188"/>
      <c r="E32" s="188"/>
    </row>
    <row r="33" spans="2:5" ht="15.6" x14ac:dyDescent="0.3">
      <c r="B33" s="185" t="s">
        <v>48</v>
      </c>
      <c r="C33" s="186">
        <f ca="1">INDIRECT(TEXT($C$2,)&amp;"!w7",TRUE)</f>
        <v>0.2398980866549254</v>
      </c>
      <c r="D33" s="188"/>
      <c r="E33" s="188"/>
    </row>
    <row r="34" spans="2:5" x14ac:dyDescent="0.3">
      <c r="B34" s="188"/>
      <c r="C34" s="188"/>
      <c r="D34" s="203"/>
      <c r="E34" s="203"/>
    </row>
    <row r="35" spans="2:5" ht="23.4" x14ac:dyDescent="0.45">
      <c r="B35" s="206" t="s">
        <v>37</v>
      </c>
      <c r="C35" s="207"/>
      <c r="D35" s="203"/>
      <c r="E35" s="203"/>
    </row>
    <row r="36" spans="2:5" x14ac:dyDescent="0.3">
      <c r="B36" s="187" t="s">
        <v>29</v>
      </c>
      <c r="C36" s="194">
        <f ca="1">INDIRECT(TEXT($C$2,)&amp;"!c5",TRUE)</f>
        <v>100000</v>
      </c>
      <c r="D36" s="188"/>
      <c r="E36" s="188"/>
    </row>
    <row r="37" spans="2:5" x14ac:dyDescent="0.3">
      <c r="B37" s="187" t="s">
        <v>31</v>
      </c>
      <c r="C37" s="195">
        <f ca="1">INDIRECT(TEXT($C$2,)&amp;"!c6",TRUE)</f>
        <v>1200000</v>
      </c>
      <c r="D37" s="188"/>
      <c r="E37" s="188"/>
    </row>
    <row r="38" spans="2:5" x14ac:dyDescent="0.3">
      <c r="B38" s="187" t="s">
        <v>30</v>
      </c>
      <c r="C38" s="195">
        <f ca="1">INDIRECT(TEXT($C$2,)&amp;"!c7",TRUE)</f>
        <v>1200000</v>
      </c>
      <c r="D38" s="188"/>
      <c r="E38" s="188"/>
    </row>
    <row r="39" spans="2:5" x14ac:dyDescent="0.3">
      <c r="B39" s="187" t="s">
        <v>32</v>
      </c>
      <c r="C39" s="196">
        <f ca="1">INDIRECT(TEXT($C$2,)&amp;"!c8",TRUE)</f>
        <v>0.7</v>
      </c>
      <c r="D39" s="188"/>
      <c r="E39" s="188"/>
    </row>
    <row r="40" spans="2:5" x14ac:dyDescent="0.3">
      <c r="B40" s="187" t="s">
        <v>33</v>
      </c>
      <c r="C40" s="196">
        <f ca="1">INDIRECT(TEXT($C$2,)&amp;"!c9",TRUE)</f>
        <v>0.01</v>
      </c>
      <c r="D40" s="188"/>
      <c r="E40" s="188"/>
    </row>
    <row r="41" spans="2:5" x14ac:dyDescent="0.3">
      <c r="B41" s="187" t="s">
        <v>34</v>
      </c>
      <c r="C41" s="195">
        <f ca="1">INDIRECT(TEXT($C$2,)&amp;"!c10",TRUE)</f>
        <v>151670</v>
      </c>
      <c r="D41" s="188"/>
      <c r="E41" s="188"/>
    </row>
    <row r="42" spans="2:5" x14ac:dyDescent="0.3">
      <c r="B42" s="187" t="s">
        <v>35</v>
      </c>
      <c r="C42" s="196">
        <f ca="1">INDIRECT(TEXT($C$2,)&amp;"!c11",TRUE)</f>
        <v>0.03</v>
      </c>
      <c r="D42" s="188"/>
      <c r="E42" s="188"/>
    </row>
    <row r="43" spans="2:5" x14ac:dyDescent="0.3">
      <c r="B43" s="187" t="s">
        <v>68</v>
      </c>
      <c r="C43" s="195">
        <f ca="1">INDIRECT(TEXT($C$2,)&amp;"!c12",TRUE)</f>
        <v>0.7</v>
      </c>
      <c r="D43" s="188"/>
      <c r="E43" s="188"/>
    </row>
    <row r="44" spans="2:5" x14ac:dyDescent="0.3">
      <c r="B44" s="187" t="s">
        <v>67</v>
      </c>
      <c r="C44" s="196">
        <f ca="1">INDIRECT(TEXT($C$2,)&amp;"!c13",TRUE)</f>
        <v>0.03</v>
      </c>
      <c r="D44" s="188"/>
      <c r="E44" s="188"/>
    </row>
    <row r="45" spans="2:5" x14ac:dyDescent="0.3">
      <c r="B45" s="187" t="s">
        <v>40</v>
      </c>
      <c r="C45" s="197" t="str">
        <f ca="1">INDIRECT(TEXT($C$2,)&amp;"!c14",TRUE)</f>
        <v>Alternativa 0</v>
      </c>
      <c r="D45" s="188"/>
      <c r="E45" s="188"/>
    </row>
    <row r="46" spans="2:5" x14ac:dyDescent="0.3">
      <c r="B46" s="187" t="s">
        <v>41</v>
      </c>
      <c r="C46" s="197" t="str">
        <f ca="1">INDIRECT(TEXT($C$2,)&amp;"!c16",TRUE)</f>
        <v>Alternativa 2</v>
      </c>
      <c r="D46" s="188"/>
      <c r="E46" s="188"/>
    </row>
    <row r="47" spans="2:5" x14ac:dyDescent="0.3"/>
    <row r="48" spans="2:5" x14ac:dyDescent="0.3"/>
    <row r="49" spans="2:3" x14ac:dyDescent="0.3"/>
    <row r="50" spans="2:3" x14ac:dyDescent="0.3">
      <c r="B50" s="77"/>
      <c r="C50" s="76"/>
    </row>
  </sheetData>
  <dataValidations count="1">
    <dataValidation type="list" allowBlank="1" showInputMessage="1" showErrorMessage="1" sqref="C2" xr:uid="{CB7D75DE-A5EE-4632-81AF-A9DF6B0098EA}">
      <formula1>"Realista, Otimista, Pessimista"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showGridLines="0" topLeftCell="A10" workbookViewId="0">
      <selection activeCell="O2" sqref="O2"/>
    </sheetView>
  </sheetViews>
  <sheetFormatPr defaultColWidth="0" defaultRowHeight="14.4" zeroHeight="1" x14ac:dyDescent="0.3"/>
  <cols>
    <col min="1" max="1" width="3.33203125" customWidth="1"/>
    <col min="2" max="2" width="28.33203125" bestFit="1" customWidth="1"/>
    <col min="3" max="3" width="11.77734375" bestFit="1" customWidth="1"/>
    <col min="4" max="4" width="14.33203125" customWidth="1"/>
    <col min="5" max="5" width="5.21875" customWidth="1"/>
    <col min="6" max="6" width="8.77734375" customWidth="1"/>
    <col min="7" max="7" width="12.77734375" customWidth="1"/>
    <col min="8" max="8" width="15.44140625" customWidth="1"/>
    <col min="9" max="9" width="19.33203125" customWidth="1"/>
    <col min="10" max="10" width="18.5546875" customWidth="1"/>
    <col min="11" max="11" width="15.5546875" customWidth="1"/>
    <col min="12" max="12" width="8.77734375" bestFit="1" customWidth="1"/>
    <col min="13" max="13" width="14.5546875" customWidth="1"/>
    <col min="14" max="14" width="15" customWidth="1"/>
    <col min="15" max="15" width="13.77734375" customWidth="1"/>
    <col min="16" max="16" width="18.5546875" customWidth="1"/>
    <col min="17" max="17" width="12.6640625" bestFit="1" customWidth="1"/>
    <col min="18" max="18" width="15.21875" bestFit="1" customWidth="1"/>
    <col min="19" max="19" width="2.77734375" customWidth="1"/>
    <col min="20" max="20" width="8.77734375" customWidth="1"/>
    <col min="21" max="21" width="2.44140625" customWidth="1"/>
    <col min="22" max="22" width="14.77734375" customWidth="1"/>
    <col min="23" max="23" width="15.6640625" bestFit="1" customWidth="1"/>
    <col min="24" max="24" width="3.109375" customWidth="1"/>
    <col min="25" max="25" width="0" hidden="1" customWidth="1"/>
    <col min="26" max="16384" width="8.77734375" hidden="1"/>
  </cols>
  <sheetData>
    <row r="1" spans="2:23" ht="15" thickBot="1" x14ac:dyDescent="0.35">
      <c r="H1" s="1"/>
      <c r="K1" s="1"/>
      <c r="L1" s="1"/>
    </row>
    <row r="2" spans="2:23" x14ac:dyDescent="0.3">
      <c r="G2" s="2"/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3" t="s">
        <v>28</v>
      </c>
      <c r="V2" s="9" t="s">
        <v>44</v>
      </c>
      <c r="W2" s="13"/>
    </row>
    <row r="3" spans="2:23" ht="27.6" x14ac:dyDescent="0.3">
      <c r="B3" s="104" t="s">
        <v>37</v>
      </c>
      <c r="C3" s="39"/>
      <c r="D3" s="82"/>
      <c r="F3" s="176" t="s">
        <v>2</v>
      </c>
      <c r="G3" s="177" t="s">
        <v>146</v>
      </c>
      <c r="H3" s="178" t="s">
        <v>87</v>
      </c>
      <c r="I3" s="179" t="s">
        <v>13</v>
      </c>
      <c r="J3" s="179" t="s">
        <v>88</v>
      </c>
      <c r="K3" s="180" t="s">
        <v>16</v>
      </c>
      <c r="L3" s="181" t="s">
        <v>15</v>
      </c>
      <c r="M3" s="181" t="s">
        <v>17</v>
      </c>
      <c r="N3" s="181" t="s">
        <v>18</v>
      </c>
      <c r="O3" s="181" t="s">
        <v>19</v>
      </c>
      <c r="P3" s="182" t="s">
        <v>20</v>
      </c>
      <c r="Q3" s="181" t="s">
        <v>22</v>
      </c>
      <c r="R3" s="181" t="s">
        <v>23</v>
      </c>
      <c r="T3" s="96" t="s">
        <v>24</v>
      </c>
      <c r="V3" s="72"/>
      <c r="W3" s="73"/>
    </row>
    <row r="4" spans="2:23" x14ac:dyDescent="0.3">
      <c r="B4" s="16" t="s">
        <v>21</v>
      </c>
      <c r="C4" s="17">
        <f>SUMPRODUCT(C22:C25,D22:D25)</f>
        <v>3033400</v>
      </c>
      <c r="D4" s="74"/>
      <c r="F4" s="171">
        <v>0</v>
      </c>
      <c r="G4" s="41">
        <v>2020</v>
      </c>
      <c r="H4" s="49">
        <v>0</v>
      </c>
      <c r="I4" s="25">
        <v>0</v>
      </c>
      <c r="J4" s="25">
        <v>0</v>
      </c>
      <c r="K4" s="50"/>
      <c r="L4" s="44">
        <v>0</v>
      </c>
      <c r="M4" s="26">
        <v>0</v>
      </c>
      <c r="N4" s="26">
        <v>0</v>
      </c>
      <c r="O4" s="57">
        <v>0</v>
      </c>
      <c r="P4" s="62">
        <f>-$C$4</f>
        <v>-3033400</v>
      </c>
      <c r="Q4" s="26">
        <f>P4</f>
        <v>-3033400</v>
      </c>
      <c r="R4" s="57">
        <f>Q4</f>
        <v>-3033400</v>
      </c>
      <c r="T4" s="70">
        <f t="shared" ref="T4:T29" si="0">IF(R4&lt;0,1,0)</f>
        <v>1</v>
      </c>
      <c r="V4" s="98" t="s">
        <v>45</v>
      </c>
      <c r="W4" s="99">
        <f>$C$4/P5</f>
        <v>4.4068978542268971</v>
      </c>
    </row>
    <row r="5" spans="2:23" x14ac:dyDescent="0.3">
      <c r="B5" s="18" t="s">
        <v>29</v>
      </c>
      <c r="C5" s="97">
        <f>100000</f>
        <v>100000</v>
      </c>
      <c r="D5" s="74"/>
      <c r="F5" s="172">
        <v>1</v>
      </c>
      <c r="G5" s="42">
        <v>2021</v>
      </c>
      <c r="H5" s="51">
        <f>$C$7</f>
        <v>1200000</v>
      </c>
      <c r="I5" s="28">
        <f t="shared" ref="I5:I29" si="1">$C$8*H5</f>
        <v>840000</v>
      </c>
      <c r="J5" s="29">
        <f>H5-I5</f>
        <v>360000</v>
      </c>
      <c r="K5" s="52">
        <f t="shared" ref="K5:K14" si="2">$C$28</f>
        <v>0.99999999999999989</v>
      </c>
      <c r="L5" s="45">
        <f>$C$12</f>
        <v>0.7</v>
      </c>
      <c r="M5" s="30">
        <f t="shared" ref="M5:M29" si="3">(I5*L5*100%)+(J5*L5*K5)</f>
        <v>840000</v>
      </c>
      <c r="N5" s="30">
        <v>0</v>
      </c>
      <c r="O5" s="58">
        <f>C10</f>
        <v>151670</v>
      </c>
      <c r="P5" s="64">
        <f t="shared" ref="P5:P29" si="4">M5-N5-O5</f>
        <v>688330</v>
      </c>
      <c r="Q5" s="30">
        <f t="shared" ref="Q5:Q29" ca="1" si="5">P5/(1+$C$18)^F5</f>
        <v>625827.64398679184</v>
      </c>
      <c r="R5" s="58">
        <f t="shared" ref="R5:R29" ca="1" si="6">R4+Q5</f>
        <v>-2407572.3560132082</v>
      </c>
      <c r="T5" s="70">
        <f t="shared" ca="1" si="0"/>
        <v>1</v>
      </c>
      <c r="V5" s="100" t="s">
        <v>46</v>
      </c>
      <c r="W5" s="101">
        <f ca="1">SUM(T4:T29)+ABS(OFFSET(R4,SUM(T4:T29)-1,0,1,1))/OFFSET(Q4,SUM(T4:T29),0,1,1)</f>
        <v>6.801398011604511</v>
      </c>
    </row>
    <row r="6" spans="2:23" x14ac:dyDescent="0.3">
      <c r="B6" s="18" t="s">
        <v>31</v>
      </c>
      <c r="C6" s="97">
        <f>C5*12</f>
        <v>1200000</v>
      </c>
      <c r="D6" s="74"/>
      <c r="F6" s="172">
        <v>2</v>
      </c>
      <c r="G6" s="42">
        <v>2022</v>
      </c>
      <c r="H6" s="51">
        <f t="shared" ref="H6:H29" si="7">(1-$C$9)*H5</f>
        <v>1188000</v>
      </c>
      <c r="I6" s="28">
        <f t="shared" si="1"/>
        <v>831600</v>
      </c>
      <c r="J6" s="29">
        <f t="shared" ref="J6:J29" si="8">H6-I6</f>
        <v>356400</v>
      </c>
      <c r="K6" s="52">
        <f t="shared" si="2"/>
        <v>0.99999999999999989</v>
      </c>
      <c r="L6" s="45">
        <f t="shared" ref="L6:L29" si="9">L5*(1+$C$13)</f>
        <v>0.72099999999999997</v>
      </c>
      <c r="M6" s="30">
        <f t="shared" si="3"/>
        <v>856548</v>
      </c>
      <c r="N6" s="30">
        <v>0</v>
      </c>
      <c r="O6" s="58">
        <f t="shared" ref="O6:O29" si="10">O5*(1+$C$11)</f>
        <v>156220.1</v>
      </c>
      <c r="P6" s="64">
        <f t="shared" si="4"/>
        <v>700327.9</v>
      </c>
      <c r="Q6" s="30">
        <f t="shared" ca="1" si="5"/>
        <v>578918.6193685974</v>
      </c>
      <c r="R6" s="58">
        <f t="shared" ca="1" si="6"/>
        <v>-1828653.7366446108</v>
      </c>
      <c r="T6" s="70">
        <f t="shared" ca="1" si="0"/>
        <v>1</v>
      </c>
      <c r="V6" s="100" t="s">
        <v>47</v>
      </c>
      <c r="W6" s="102">
        <f ca="1">SUM(Q4:Q29)+W11</f>
        <v>4636834.9910906097</v>
      </c>
    </row>
    <row r="7" spans="2:23" x14ac:dyDescent="0.3">
      <c r="B7" s="18" t="s">
        <v>30</v>
      </c>
      <c r="C7" s="97">
        <f>C6</f>
        <v>1200000</v>
      </c>
      <c r="D7" s="74"/>
      <c r="F7" s="172">
        <v>3</v>
      </c>
      <c r="G7" s="42">
        <v>2023</v>
      </c>
      <c r="H7" s="51">
        <f t="shared" si="7"/>
        <v>1176120</v>
      </c>
      <c r="I7" s="28">
        <f t="shared" si="1"/>
        <v>823284</v>
      </c>
      <c r="J7" s="29">
        <f t="shared" si="8"/>
        <v>352836</v>
      </c>
      <c r="K7" s="52">
        <f t="shared" si="2"/>
        <v>0.99999999999999989</v>
      </c>
      <c r="L7" s="45">
        <f t="shared" si="9"/>
        <v>0.74263000000000001</v>
      </c>
      <c r="M7" s="30">
        <f t="shared" si="3"/>
        <v>873421.99559999991</v>
      </c>
      <c r="N7" s="30">
        <v>0</v>
      </c>
      <c r="O7" s="58">
        <f t="shared" si="10"/>
        <v>160906.70300000001</v>
      </c>
      <c r="P7" s="64">
        <f t="shared" si="4"/>
        <v>712515.29259999993</v>
      </c>
      <c r="Q7" s="30">
        <f t="shared" ca="1" si="5"/>
        <v>535510.91108889517</v>
      </c>
      <c r="R7" s="58">
        <f t="shared" ca="1" si="6"/>
        <v>-1293142.8255557157</v>
      </c>
      <c r="T7" s="70">
        <f t="shared" ca="1" si="0"/>
        <v>1</v>
      </c>
      <c r="V7" s="100" t="s">
        <v>48</v>
      </c>
      <c r="W7" s="166">
        <f ca="1">IRR(P4:P30)</f>
        <v>0.2398980866549254</v>
      </c>
    </row>
    <row r="8" spans="2:23" x14ac:dyDescent="0.3">
      <c r="B8" s="18" t="s">
        <v>32</v>
      </c>
      <c r="C8" s="105">
        <v>0.7</v>
      </c>
      <c r="D8" s="75"/>
      <c r="F8" s="172">
        <v>4</v>
      </c>
      <c r="G8" s="42">
        <v>2024</v>
      </c>
      <c r="H8" s="51">
        <f t="shared" si="7"/>
        <v>1164358.8</v>
      </c>
      <c r="I8" s="28">
        <f t="shared" si="1"/>
        <v>815051.16</v>
      </c>
      <c r="J8" s="29">
        <f t="shared" si="8"/>
        <v>349307.64</v>
      </c>
      <c r="K8" s="52">
        <f t="shared" si="2"/>
        <v>0.99999999999999989</v>
      </c>
      <c r="L8" s="45">
        <f t="shared" si="9"/>
        <v>0.7649089</v>
      </c>
      <c r="M8" s="30">
        <f t="shared" si="3"/>
        <v>890628.40891331993</v>
      </c>
      <c r="N8" s="30">
        <v>0</v>
      </c>
      <c r="O8" s="58">
        <f t="shared" si="10"/>
        <v>165733.90409000003</v>
      </c>
      <c r="P8" s="64">
        <f t="shared" si="4"/>
        <v>724894.50482331985</v>
      </c>
      <c r="Q8" s="30">
        <f t="shared" ca="1" si="5"/>
        <v>495344.09062877507</v>
      </c>
      <c r="R8" s="58">
        <f t="shared" ca="1" si="6"/>
        <v>-797798.73492694064</v>
      </c>
      <c r="T8" s="70">
        <f t="shared" ca="1" si="0"/>
        <v>1</v>
      </c>
      <c r="V8" s="100" t="s">
        <v>140</v>
      </c>
      <c r="W8" s="166">
        <f ca="1">$C$18</f>
        <v>9.9871516724702708E-2</v>
      </c>
    </row>
    <row r="9" spans="2:23" x14ac:dyDescent="0.3">
      <c r="B9" s="18" t="s">
        <v>33</v>
      </c>
      <c r="C9" s="122">
        <v>0.01</v>
      </c>
      <c r="D9" s="75"/>
      <c r="F9" s="172">
        <v>5</v>
      </c>
      <c r="G9" s="42">
        <v>2025</v>
      </c>
      <c r="H9" s="51">
        <f t="shared" si="7"/>
        <v>1152715.2120000001</v>
      </c>
      <c r="I9" s="28">
        <f t="shared" si="1"/>
        <v>806900.64839999995</v>
      </c>
      <c r="J9" s="29">
        <f t="shared" si="8"/>
        <v>345814.56360000011</v>
      </c>
      <c r="K9" s="52">
        <f t="shared" si="2"/>
        <v>0.99999999999999989</v>
      </c>
      <c r="L9" s="45">
        <f t="shared" si="9"/>
        <v>0.78785616700000005</v>
      </c>
      <c r="M9" s="30">
        <f t="shared" si="3"/>
        <v>908173.78856891242</v>
      </c>
      <c r="N9" s="30">
        <v>0</v>
      </c>
      <c r="O9" s="58">
        <f t="shared" si="10"/>
        <v>170705.92121270002</v>
      </c>
      <c r="P9" s="64">
        <f t="shared" si="4"/>
        <v>737467.86735621234</v>
      </c>
      <c r="Q9" s="30">
        <f t="shared" ca="1" si="5"/>
        <v>458177.04362562165</v>
      </c>
      <c r="R9" s="58">
        <f t="shared" ca="1" si="6"/>
        <v>-339621.69130131899</v>
      </c>
      <c r="T9" s="70">
        <f t="shared" ca="1" si="0"/>
        <v>1</v>
      </c>
      <c r="V9" s="100" t="s">
        <v>141</v>
      </c>
      <c r="W9" s="166">
        <f>$P$31</f>
        <v>1.6204901775992653E-2</v>
      </c>
    </row>
    <row r="10" spans="2:23" x14ac:dyDescent="0.3">
      <c r="B10" s="18" t="s">
        <v>135</v>
      </c>
      <c r="C10" s="19">
        <f>0.05*C4</f>
        <v>151670</v>
      </c>
      <c r="D10" s="74"/>
      <c r="F10" s="172">
        <v>6</v>
      </c>
      <c r="G10" s="42">
        <v>2026</v>
      </c>
      <c r="H10" s="51">
        <f t="shared" si="7"/>
        <v>1141188.0598800001</v>
      </c>
      <c r="I10" s="28">
        <f t="shared" si="1"/>
        <v>798831.64191600005</v>
      </c>
      <c r="J10" s="29">
        <f t="shared" si="8"/>
        <v>342356.41796400002</v>
      </c>
      <c r="K10" s="52">
        <f t="shared" si="2"/>
        <v>0.99999999999999989</v>
      </c>
      <c r="L10" s="45">
        <f t="shared" si="9"/>
        <v>0.81149185201000007</v>
      </c>
      <c r="M10" s="30">
        <f t="shared" si="3"/>
        <v>926064.81220371998</v>
      </c>
      <c r="N10" s="30">
        <v>0</v>
      </c>
      <c r="O10" s="58">
        <f t="shared" si="10"/>
        <v>175827.09884908103</v>
      </c>
      <c r="P10" s="64">
        <f t="shared" si="4"/>
        <v>750237.71335463901</v>
      </c>
      <c r="Q10" s="30">
        <f t="shared" ca="1" si="5"/>
        <v>423786.54099895869</v>
      </c>
      <c r="R10" s="58">
        <f t="shared" ca="1" si="6"/>
        <v>84164.8496976397</v>
      </c>
      <c r="T10" s="70">
        <f t="shared" ca="1" si="0"/>
        <v>0</v>
      </c>
      <c r="V10" s="100" t="s">
        <v>142</v>
      </c>
      <c r="W10" s="102">
        <f ca="1">Q29</f>
        <v>82978.598827090944</v>
      </c>
    </row>
    <row r="11" spans="2:23" x14ac:dyDescent="0.3">
      <c r="B11" s="18" t="s">
        <v>35</v>
      </c>
      <c r="C11" s="122">
        <v>0.03</v>
      </c>
      <c r="D11" s="75"/>
      <c r="F11" s="172">
        <v>7</v>
      </c>
      <c r="G11" s="42">
        <v>2027</v>
      </c>
      <c r="H11" s="51">
        <f t="shared" si="7"/>
        <v>1129776.1792812</v>
      </c>
      <c r="I11" s="28">
        <f t="shared" si="1"/>
        <v>790843.32549683994</v>
      </c>
      <c r="J11" s="29">
        <f t="shared" si="8"/>
        <v>338932.85378436011</v>
      </c>
      <c r="K11" s="52">
        <f t="shared" si="2"/>
        <v>0.99999999999999989</v>
      </c>
      <c r="L11" s="45">
        <f t="shared" si="9"/>
        <v>0.83583660757030009</v>
      </c>
      <c r="M11" s="30">
        <f t="shared" si="3"/>
        <v>944308.28900413332</v>
      </c>
      <c r="N11" s="30">
        <v>0</v>
      </c>
      <c r="O11" s="58">
        <f t="shared" si="10"/>
        <v>181101.91181455346</v>
      </c>
      <c r="P11" s="64">
        <f t="shared" si="4"/>
        <v>763206.37718957989</v>
      </c>
      <c r="Q11" s="30">
        <f t="shared" ca="1" si="5"/>
        <v>391965.91556549247</v>
      </c>
      <c r="R11" s="58">
        <f t="shared" ca="1" si="6"/>
        <v>476130.76526313217</v>
      </c>
      <c r="T11" s="70">
        <f t="shared" ca="1" si="0"/>
        <v>0</v>
      </c>
      <c r="V11" s="103" t="s">
        <v>143</v>
      </c>
      <c r="W11" s="167">
        <f ca="1">W10/(W8-W9)*'Visão Geral'!$D$5</f>
        <v>991776.69465842634</v>
      </c>
    </row>
    <row r="12" spans="2:23" x14ac:dyDescent="0.3">
      <c r="B12" s="18" t="s">
        <v>68</v>
      </c>
      <c r="C12" s="19">
        <v>0.7</v>
      </c>
      <c r="D12" s="74"/>
      <c r="F12" s="172">
        <v>8</v>
      </c>
      <c r="G12" s="42">
        <v>2028</v>
      </c>
      <c r="H12" s="51">
        <f t="shared" si="7"/>
        <v>1118478.417488388</v>
      </c>
      <c r="I12" s="28">
        <f t="shared" si="1"/>
        <v>782934.89224187157</v>
      </c>
      <c r="J12" s="29">
        <f t="shared" si="8"/>
        <v>335543.52524651645</v>
      </c>
      <c r="K12" s="52">
        <f t="shared" si="2"/>
        <v>0.99999999999999989</v>
      </c>
      <c r="L12" s="45">
        <f t="shared" si="9"/>
        <v>0.86091170579740917</v>
      </c>
      <c r="M12" s="30">
        <f t="shared" si="3"/>
        <v>962911.16229751473</v>
      </c>
      <c r="N12" s="30">
        <v>0</v>
      </c>
      <c r="O12" s="58">
        <f t="shared" si="10"/>
        <v>186534.96916899006</v>
      </c>
      <c r="P12" s="64">
        <f t="shared" si="4"/>
        <v>776376.1931285247</v>
      </c>
      <c r="Q12" s="30">
        <f t="shared" ca="1" si="5"/>
        <v>362523.83636918489</v>
      </c>
      <c r="R12" s="58">
        <f t="shared" ca="1" si="6"/>
        <v>838654.60163231706</v>
      </c>
      <c r="T12" s="70">
        <f t="shared" ca="1" si="0"/>
        <v>0</v>
      </c>
      <c r="W12" s="107"/>
    </row>
    <row r="13" spans="2:23" x14ac:dyDescent="0.3">
      <c r="B13" s="18" t="s">
        <v>67</v>
      </c>
      <c r="C13" s="163">
        <v>0.03</v>
      </c>
      <c r="D13" s="74"/>
      <c r="F13" s="172">
        <v>9</v>
      </c>
      <c r="G13" s="42">
        <v>2029</v>
      </c>
      <c r="H13" s="51">
        <f t="shared" si="7"/>
        <v>1107293.633313504</v>
      </c>
      <c r="I13" s="28">
        <f t="shared" si="1"/>
        <v>775105.54331945279</v>
      </c>
      <c r="J13" s="29">
        <f t="shared" si="8"/>
        <v>332188.08999405126</v>
      </c>
      <c r="K13" s="52">
        <f t="shared" si="2"/>
        <v>0.99999999999999989</v>
      </c>
      <c r="L13" s="45">
        <f t="shared" si="9"/>
        <v>0.88673905697133149</v>
      </c>
      <c r="M13" s="30">
        <f t="shared" si="3"/>
        <v>981880.51219477586</v>
      </c>
      <c r="N13" s="30">
        <v>0</v>
      </c>
      <c r="O13" s="58">
        <f t="shared" si="10"/>
        <v>192131.01824405979</v>
      </c>
      <c r="P13" s="64">
        <f t="shared" si="4"/>
        <v>789749.4939507161</v>
      </c>
      <c r="Q13" s="30">
        <f t="shared" ca="1" si="5"/>
        <v>335283.17352425319</v>
      </c>
      <c r="R13" s="58">
        <f t="shared" ca="1" si="6"/>
        <v>1173937.7751565701</v>
      </c>
      <c r="T13" s="70">
        <f t="shared" ca="1" si="0"/>
        <v>0</v>
      </c>
      <c r="W13" s="107"/>
    </row>
    <row r="14" spans="2:23" x14ac:dyDescent="0.3">
      <c r="B14" s="18" t="s">
        <v>40</v>
      </c>
      <c r="C14" s="19" t="s">
        <v>3</v>
      </c>
      <c r="D14" s="74"/>
      <c r="F14" s="172">
        <v>10</v>
      </c>
      <c r="G14" s="42">
        <v>2030</v>
      </c>
      <c r="H14" s="51">
        <f t="shared" si="7"/>
        <v>1096220.696980369</v>
      </c>
      <c r="I14" s="28">
        <f t="shared" si="1"/>
        <v>767354.48788625828</v>
      </c>
      <c r="J14" s="29">
        <f t="shared" si="8"/>
        <v>328866.20909411076</v>
      </c>
      <c r="K14" s="52">
        <f t="shared" si="2"/>
        <v>0.99999999999999989</v>
      </c>
      <c r="L14" s="45">
        <f t="shared" si="9"/>
        <v>0.91334122868047141</v>
      </c>
      <c r="M14" s="30">
        <f t="shared" si="3"/>
        <v>1001223.5582850131</v>
      </c>
      <c r="N14" s="30">
        <v>0</v>
      </c>
      <c r="O14" s="58">
        <f t="shared" si="10"/>
        <v>197894.94879138158</v>
      </c>
      <c r="P14" s="64">
        <f t="shared" si="4"/>
        <v>803328.60949363152</v>
      </c>
      <c r="Q14" s="30">
        <f t="shared" ca="1" si="5"/>
        <v>310079.94689901819</v>
      </c>
      <c r="R14" s="58">
        <f t="shared" ca="1" si="6"/>
        <v>1484017.7220555884</v>
      </c>
      <c r="T14" s="70">
        <f t="shared" ca="1" si="0"/>
        <v>0</v>
      </c>
    </row>
    <row r="15" spans="2:23" x14ac:dyDescent="0.3">
      <c r="B15" s="18" t="s">
        <v>39</v>
      </c>
      <c r="C15" s="106">
        <f>VLOOKUP(C14,$B$28:$C$30,2,FALSE)</f>
        <v>0.99999999999999989</v>
      </c>
      <c r="D15" s="74"/>
      <c r="F15" s="172">
        <v>11</v>
      </c>
      <c r="G15" s="42">
        <v>2031</v>
      </c>
      <c r="H15" s="51">
        <f t="shared" si="7"/>
        <v>1085258.4900105654</v>
      </c>
      <c r="I15" s="28">
        <f t="shared" si="1"/>
        <v>759680.94300739572</v>
      </c>
      <c r="J15" s="29">
        <f t="shared" si="8"/>
        <v>325577.54700316966</v>
      </c>
      <c r="K15" s="52">
        <f t="shared" ref="K15:K29" si="11">$C$29</f>
        <v>0.66</v>
      </c>
      <c r="L15" s="45">
        <f t="shared" si="9"/>
        <v>0.94074146554088556</v>
      </c>
      <c r="M15" s="30">
        <f t="shared" si="3"/>
        <v>916811.00082013849</v>
      </c>
      <c r="N15" s="30">
        <v>0</v>
      </c>
      <c r="O15" s="58">
        <f t="shared" si="10"/>
        <v>203831.79725512303</v>
      </c>
      <c r="P15" s="64">
        <f t="shared" si="4"/>
        <v>712979.20356501546</v>
      </c>
      <c r="Q15" s="30">
        <f t="shared" ca="1" si="5"/>
        <v>250216.15953694927</v>
      </c>
      <c r="R15" s="58">
        <f t="shared" ca="1" si="6"/>
        <v>1734233.8815925377</v>
      </c>
      <c r="T15" s="70">
        <f t="shared" ca="1" si="0"/>
        <v>0</v>
      </c>
    </row>
    <row r="16" spans="2:23" x14ac:dyDescent="0.3">
      <c r="B16" s="18" t="s">
        <v>41</v>
      </c>
      <c r="C16" s="19" t="s">
        <v>42</v>
      </c>
      <c r="D16" s="74"/>
      <c r="F16" s="172">
        <v>12</v>
      </c>
      <c r="G16" s="42">
        <v>2032</v>
      </c>
      <c r="H16" s="51">
        <f t="shared" si="7"/>
        <v>1074405.9051104598</v>
      </c>
      <c r="I16" s="28">
        <f t="shared" si="1"/>
        <v>752084.13357732177</v>
      </c>
      <c r="J16" s="29">
        <f t="shared" si="8"/>
        <v>322321.771533138</v>
      </c>
      <c r="K16" s="52">
        <f t="shared" si="11"/>
        <v>0.66</v>
      </c>
      <c r="L16" s="45">
        <f t="shared" si="9"/>
        <v>0.96896370950711219</v>
      </c>
      <c r="M16" s="30">
        <f t="shared" si="3"/>
        <v>934872.17753629526</v>
      </c>
      <c r="N16" s="30">
        <v>300000</v>
      </c>
      <c r="O16" s="58">
        <f t="shared" si="10"/>
        <v>209946.75117277674</v>
      </c>
      <c r="P16" s="64">
        <f t="shared" si="4"/>
        <v>424925.42636351852</v>
      </c>
      <c r="Q16" s="30">
        <f t="shared" ca="1" si="5"/>
        <v>135584.25376558592</v>
      </c>
      <c r="R16" s="58">
        <f t="shared" ca="1" si="6"/>
        <v>1869818.1353581236</v>
      </c>
      <c r="T16" s="70">
        <f t="shared" ca="1" si="0"/>
        <v>0</v>
      </c>
    </row>
    <row r="17" spans="2:20" x14ac:dyDescent="0.3">
      <c r="B17" s="18" t="s">
        <v>38</v>
      </c>
      <c r="C17" s="106">
        <f>VLOOKUP(C16,$B$28:$C$30,2,FALSE)</f>
        <v>0.66</v>
      </c>
      <c r="D17" s="75"/>
      <c r="F17" s="172">
        <v>13</v>
      </c>
      <c r="G17" s="42">
        <v>2033</v>
      </c>
      <c r="H17" s="51">
        <f t="shared" si="7"/>
        <v>1063661.8460593552</v>
      </c>
      <c r="I17" s="28">
        <f t="shared" si="1"/>
        <v>744563.29224154854</v>
      </c>
      <c r="J17" s="29">
        <f t="shared" si="8"/>
        <v>319098.55381780665</v>
      </c>
      <c r="K17" s="52">
        <f t="shared" si="11"/>
        <v>0.66</v>
      </c>
      <c r="L17" s="45">
        <f t="shared" si="9"/>
        <v>0.99803262079232558</v>
      </c>
      <c r="M17" s="30">
        <f t="shared" si="3"/>
        <v>953289.15943376033</v>
      </c>
      <c r="N17" s="30">
        <v>0</v>
      </c>
      <c r="O17" s="58">
        <f t="shared" si="10"/>
        <v>216245.15370796004</v>
      </c>
      <c r="P17" s="64">
        <f t="shared" si="4"/>
        <v>737044.00572580029</v>
      </c>
      <c r="Q17" s="30">
        <f t="shared" ca="1" si="5"/>
        <v>213819.83963952496</v>
      </c>
      <c r="R17" s="58">
        <f t="shared" ca="1" si="6"/>
        <v>2083637.9749976485</v>
      </c>
      <c r="T17" s="70">
        <f t="shared" ca="1" si="0"/>
        <v>0</v>
      </c>
    </row>
    <row r="18" spans="2:20" x14ac:dyDescent="0.3">
      <c r="B18" s="20" t="s">
        <v>49</v>
      </c>
      <c r="C18" s="165">
        <f ca="1">'Visão Geral'!$C$4</f>
        <v>9.9871516724702708E-2</v>
      </c>
      <c r="D18" s="76"/>
      <c r="F18" s="172">
        <v>14</v>
      </c>
      <c r="G18" s="42">
        <v>2034</v>
      </c>
      <c r="H18" s="51">
        <f t="shared" si="7"/>
        <v>1053025.2275987617</v>
      </c>
      <c r="I18" s="28">
        <f t="shared" si="1"/>
        <v>737117.65931913315</v>
      </c>
      <c r="J18" s="29">
        <f t="shared" si="8"/>
        <v>315907.56827962853</v>
      </c>
      <c r="K18" s="52">
        <f t="shared" si="11"/>
        <v>0.66</v>
      </c>
      <c r="L18" s="45">
        <f t="shared" si="9"/>
        <v>1.0279735994160955</v>
      </c>
      <c r="M18" s="30">
        <f t="shared" si="3"/>
        <v>972068.95587460557</v>
      </c>
      <c r="N18" s="30">
        <v>0</v>
      </c>
      <c r="O18" s="58">
        <f t="shared" si="10"/>
        <v>222732.50831919885</v>
      </c>
      <c r="P18" s="64">
        <f t="shared" si="4"/>
        <v>749336.44755540672</v>
      </c>
      <c r="Q18" s="30">
        <f t="shared" ca="1" si="5"/>
        <v>197646.66142667949</v>
      </c>
      <c r="R18" s="58">
        <f t="shared" ca="1" si="6"/>
        <v>2281284.6364243282</v>
      </c>
      <c r="T18" s="70">
        <f t="shared" ca="1" si="0"/>
        <v>0</v>
      </c>
    </row>
    <row r="19" spans="2:20" x14ac:dyDescent="0.3">
      <c r="F19" s="172">
        <v>15</v>
      </c>
      <c r="G19" s="42">
        <v>2035</v>
      </c>
      <c r="H19" s="51">
        <f t="shared" si="7"/>
        <v>1042494.975322774</v>
      </c>
      <c r="I19" s="28">
        <f t="shared" si="1"/>
        <v>729746.48272594181</v>
      </c>
      <c r="J19" s="29">
        <f t="shared" si="8"/>
        <v>312748.49259683222</v>
      </c>
      <c r="K19" s="52">
        <f t="shared" si="11"/>
        <v>0.66</v>
      </c>
      <c r="L19" s="45">
        <f t="shared" si="9"/>
        <v>1.0588128073985783</v>
      </c>
      <c r="M19" s="30">
        <f t="shared" si="3"/>
        <v>991218.71430533542</v>
      </c>
      <c r="N19" s="30">
        <v>0</v>
      </c>
      <c r="O19" s="58">
        <f t="shared" si="10"/>
        <v>229414.48356877483</v>
      </c>
      <c r="P19" s="64">
        <f t="shared" si="4"/>
        <v>761804.23073656065</v>
      </c>
      <c r="Q19" s="30">
        <f t="shared" ca="1" si="5"/>
        <v>182689.69494709038</v>
      </c>
      <c r="R19" s="58">
        <f t="shared" ca="1" si="6"/>
        <v>2463974.3313714187</v>
      </c>
      <c r="T19" s="70">
        <f t="shared" ca="1" si="0"/>
        <v>0</v>
      </c>
    </row>
    <row r="20" spans="2:20" x14ac:dyDescent="0.3">
      <c r="B20" s="14" t="s">
        <v>43</v>
      </c>
      <c r="C20" s="15"/>
      <c r="D20" s="15"/>
      <c r="F20" s="172">
        <v>16</v>
      </c>
      <c r="G20" s="42">
        <v>2036</v>
      </c>
      <c r="H20" s="51">
        <f t="shared" si="7"/>
        <v>1032070.0255695463</v>
      </c>
      <c r="I20" s="28">
        <f t="shared" si="1"/>
        <v>722449.01789868239</v>
      </c>
      <c r="J20" s="29">
        <f t="shared" si="8"/>
        <v>309621.00767086388</v>
      </c>
      <c r="K20" s="52">
        <f t="shared" si="11"/>
        <v>0.66</v>
      </c>
      <c r="L20" s="45">
        <f t="shared" si="9"/>
        <v>1.0905771916205358</v>
      </c>
      <c r="M20" s="30">
        <f t="shared" si="3"/>
        <v>1010745.7229771506</v>
      </c>
      <c r="N20" s="30">
        <v>0</v>
      </c>
      <c r="O20" s="58">
        <f t="shared" si="10"/>
        <v>236296.91807583807</v>
      </c>
      <c r="P20" s="64">
        <f t="shared" si="4"/>
        <v>774448.80490131257</v>
      </c>
      <c r="Q20" s="30">
        <f t="shared" ca="1" si="5"/>
        <v>168857.91754971631</v>
      </c>
      <c r="R20" s="58">
        <f t="shared" ca="1" si="6"/>
        <v>2632832.248921135</v>
      </c>
      <c r="T20" s="70">
        <f t="shared" ca="1" si="0"/>
        <v>0</v>
      </c>
    </row>
    <row r="21" spans="2:20" x14ac:dyDescent="0.3">
      <c r="B21" s="14"/>
      <c r="C21" s="15" t="s">
        <v>51</v>
      </c>
      <c r="D21" s="78" t="s">
        <v>0</v>
      </c>
      <c r="F21" s="172">
        <v>17</v>
      </c>
      <c r="G21" s="42">
        <v>2037</v>
      </c>
      <c r="H21" s="51">
        <f t="shared" si="7"/>
        <v>1021749.3253138508</v>
      </c>
      <c r="I21" s="28">
        <f t="shared" si="1"/>
        <v>715224.52771969547</v>
      </c>
      <c r="J21" s="29">
        <f t="shared" si="8"/>
        <v>306524.7975941553</v>
      </c>
      <c r="K21" s="52">
        <f t="shared" si="11"/>
        <v>0.66</v>
      </c>
      <c r="L21" s="45">
        <f t="shared" si="9"/>
        <v>1.1232945073691518</v>
      </c>
      <c r="M21" s="30">
        <f t="shared" si="3"/>
        <v>1030657.4137198004</v>
      </c>
      <c r="N21" s="30">
        <v>0</v>
      </c>
      <c r="O21" s="58">
        <f t="shared" si="10"/>
        <v>243385.82561811322</v>
      </c>
      <c r="P21" s="64">
        <f t="shared" si="4"/>
        <v>787271.58810168714</v>
      </c>
      <c r="Q21" s="30">
        <f t="shared" ca="1" si="5"/>
        <v>156067.09199620978</v>
      </c>
      <c r="R21" s="174">
        <f t="shared" ca="1" si="6"/>
        <v>2788899.3409173447</v>
      </c>
      <c r="T21" s="70">
        <f t="shared" ca="1" si="0"/>
        <v>0</v>
      </c>
    </row>
    <row r="22" spans="2:20" x14ac:dyDescent="0.3">
      <c r="B22" s="93" t="s">
        <v>52</v>
      </c>
      <c r="C22" s="156">
        <f>ROUNDUP(C7/Investimentos!$C$9,0)</f>
        <v>1796</v>
      </c>
      <c r="D22" s="79">
        <f>Investimentos!$C$12</f>
        <v>950</v>
      </c>
      <c r="F22" s="172">
        <v>18</v>
      </c>
      <c r="G22" s="42">
        <v>2038</v>
      </c>
      <c r="H22" s="51">
        <f t="shared" si="7"/>
        <v>1011531.8320607123</v>
      </c>
      <c r="I22" s="28">
        <f t="shared" si="1"/>
        <v>708072.2824424986</v>
      </c>
      <c r="J22" s="29">
        <f t="shared" si="8"/>
        <v>303459.54961821367</v>
      </c>
      <c r="K22" s="52">
        <f t="shared" si="11"/>
        <v>0.66</v>
      </c>
      <c r="L22" s="45">
        <f t="shared" si="9"/>
        <v>1.1569933425902263</v>
      </c>
      <c r="M22" s="30">
        <f t="shared" si="3"/>
        <v>1050961.3647700804</v>
      </c>
      <c r="N22" s="30">
        <v>0</v>
      </c>
      <c r="O22" s="58">
        <f t="shared" si="10"/>
        <v>250687.40038665661</v>
      </c>
      <c r="P22" s="64">
        <f t="shared" si="4"/>
        <v>800273.96438342379</v>
      </c>
      <c r="Q22" s="30">
        <f t="shared" ca="1" si="5"/>
        <v>144239.26229240131</v>
      </c>
      <c r="R22" s="174">
        <f t="shared" ca="1" si="6"/>
        <v>2933138.6032097461</v>
      </c>
      <c r="T22" s="70">
        <f t="shared" ca="1" si="0"/>
        <v>0</v>
      </c>
    </row>
    <row r="23" spans="2:20" x14ac:dyDescent="0.3">
      <c r="B23" s="94" t="s">
        <v>53</v>
      </c>
      <c r="C23" s="157">
        <f>ROUNDUP(C22*Investimentos!$C$13/Investimentos!$F$3/1000,0)</f>
        <v>8</v>
      </c>
      <c r="D23" s="80">
        <f>Investimentos!$F$5</f>
        <v>40000</v>
      </c>
      <c r="F23" s="172">
        <v>19</v>
      </c>
      <c r="G23" s="42">
        <v>2039</v>
      </c>
      <c r="H23" s="51">
        <f t="shared" si="7"/>
        <v>1001416.5137401051</v>
      </c>
      <c r="I23" s="28">
        <f t="shared" si="1"/>
        <v>700991.55961807352</v>
      </c>
      <c r="J23" s="29">
        <f t="shared" si="8"/>
        <v>300424.95412203157</v>
      </c>
      <c r="K23" s="52">
        <f t="shared" si="11"/>
        <v>0.66</v>
      </c>
      <c r="L23" s="45">
        <f t="shared" si="9"/>
        <v>1.1917031428679332</v>
      </c>
      <c r="M23" s="30">
        <f t="shared" si="3"/>
        <v>1071665.3036560509</v>
      </c>
      <c r="N23" s="30">
        <v>0</v>
      </c>
      <c r="O23" s="58">
        <f t="shared" si="10"/>
        <v>258208.02239825632</v>
      </c>
      <c r="P23" s="64">
        <f t="shared" si="4"/>
        <v>813457.28125779459</v>
      </c>
      <c r="Q23" s="30">
        <f t="shared" ca="1" si="5"/>
        <v>133302.2868773267</v>
      </c>
      <c r="R23" s="58">
        <f t="shared" ca="1" si="6"/>
        <v>3066440.8900870727</v>
      </c>
      <c r="T23" s="70">
        <f t="shared" ca="1" si="0"/>
        <v>0</v>
      </c>
    </row>
    <row r="24" spans="2:20" x14ac:dyDescent="0.3">
      <c r="B24" s="94" t="s">
        <v>131</v>
      </c>
      <c r="C24" s="157">
        <v>1</v>
      </c>
      <c r="D24" s="80">
        <f>SUMPRODUCT(C22:C23,D22:D23)/0.6*20%</f>
        <v>675400</v>
      </c>
      <c r="F24" s="172">
        <v>20</v>
      </c>
      <c r="G24" s="42">
        <v>2040</v>
      </c>
      <c r="H24" s="51">
        <f t="shared" si="7"/>
        <v>991402.34860270401</v>
      </c>
      <c r="I24" s="28">
        <f t="shared" si="1"/>
        <v>693981.6440218928</v>
      </c>
      <c r="J24" s="29">
        <f t="shared" si="8"/>
        <v>297420.7045808112</v>
      </c>
      <c r="K24" s="52">
        <f t="shared" si="11"/>
        <v>0.66</v>
      </c>
      <c r="L24" s="45">
        <f t="shared" si="9"/>
        <v>1.2274542371539712</v>
      </c>
      <c r="M24" s="30">
        <f t="shared" si="3"/>
        <v>1092777.110138075</v>
      </c>
      <c r="N24" s="30">
        <v>0</v>
      </c>
      <c r="O24" s="58">
        <f t="shared" si="10"/>
        <v>265954.263070204</v>
      </c>
      <c r="P24" s="64">
        <f t="shared" si="4"/>
        <v>826822.8470678709</v>
      </c>
      <c r="Q24" s="30">
        <f t="shared" ca="1" si="5"/>
        <v>123189.40640812791</v>
      </c>
      <c r="R24" s="58">
        <f t="shared" ca="1" si="6"/>
        <v>3189630.2964952006</v>
      </c>
      <c r="T24" s="70">
        <f t="shared" ca="1" si="0"/>
        <v>0</v>
      </c>
    </row>
    <row r="25" spans="2:20" x14ac:dyDescent="0.3">
      <c r="B25" s="95" t="s">
        <v>133</v>
      </c>
      <c r="C25" s="158">
        <v>1</v>
      </c>
      <c r="D25" s="81">
        <f>SUMPRODUCT(C23:C24,D23:D24)/0.6*20%</f>
        <v>331800</v>
      </c>
      <c r="F25" s="172">
        <v>21</v>
      </c>
      <c r="G25" s="42">
        <v>2041</v>
      </c>
      <c r="H25" s="51">
        <f t="shared" si="7"/>
        <v>981488.32511667698</v>
      </c>
      <c r="I25" s="28">
        <f t="shared" si="1"/>
        <v>687041.82758167386</v>
      </c>
      <c r="J25" s="29">
        <f t="shared" si="8"/>
        <v>294446.49753500312</v>
      </c>
      <c r="K25" s="52">
        <f t="shared" si="11"/>
        <v>0.66</v>
      </c>
      <c r="L25" s="45">
        <f t="shared" si="9"/>
        <v>1.2642778642685903</v>
      </c>
      <c r="M25" s="30">
        <f t="shared" si="3"/>
        <v>1114304.8192077952</v>
      </c>
      <c r="N25" s="30">
        <v>0</v>
      </c>
      <c r="O25" s="58">
        <f t="shared" si="10"/>
        <v>273932.89096231014</v>
      </c>
      <c r="P25" s="64">
        <f t="shared" si="4"/>
        <v>840371.92824548506</v>
      </c>
      <c r="Q25" s="30">
        <f t="shared" ca="1" si="5"/>
        <v>113838.84358291453</v>
      </c>
      <c r="R25" s="58">
        <f t="shared" ca="1" si="6"/>
        <v>3303469.1400781153</v>
      </c>
      <c r="T25" s="70">
        <f t="shared" ca="1" si="0"/>
        <v>0</v>
      </c>
    </row>
    <row r="26" spans="2:20" x14ac:dyDescent="0.3">
      <c r="E26" s="7"/>
      <c r="F26" s="172">
        <v>22</v>
      </c>
      <c r="G26" s="42">
        <v>2042</v>
      </c>
      <c r="H26" s="51">
        <f t="shared" si="7"/>
        <v>971673.44186551019</v>
      </c>
      <c r="I26" s="28">
        <f t="shared" si="1"/>
        <v>680171.40930585715</v>
      </c>
      <c r="J26" s="29">
        <f t="shared" si="8"/>
        <v>291502.03255965305</v>
      </c>
      <c r="K26" s="52">
        <f t="shared" si="11"/>
        <v>0.66</v>
      </c>
      <c r="L26" s="45">
        <f t="shared" si="9"/>
        <v>1.3022062001966481</v>
      </c>
      <c r="M26" s="30">
        <f t="shared" si="3"/>
        <v>1136256.6241461888</v>
      </c>
      <c r="N26" s="30">
        <v>0</v>
      </c>
      <c r="O26" s="58">
        <f t="shared" si="10"/>
        <v>282150.87769117946</v>
      </c>
      <c r="P26" s="64">
        <f t="shared" si="4"/>
        <v>854105.74645500933</v>
      </c>
      <c r="Q26" s="30">
        <f t="shared" ca="1" si="5"/>
        <v>105193.43263241932</v>
      </c>
      <c r="R26" s="58">
        <f t="shared" ca="1" si="6"/>
        <v>3408662.5727105346</v>
      </c>
      <c r="T26" s="70">
        <f t="shared" ca="1" si="0"/>
        <v>0</v>
      </c>
    </row>
    <row r="27" spans="2:20" x14ac:dyDescent="0.3">
      <c r="B27" s="37" t="s">
        <v>1</v>
      </c>
      <c r="C27" s="38"/>
      <c r="D27" s="83"/>
      <c r="F27" s="172">
        <v>23</v>
      </c>
      <c r="G27" s="42">
        <v>2043</v>
      </c>
      <c r="H27" s="51">
        <f t="shared" si="7"/>
        <v>961956.70744685503</v>
      </c>
      <c r="I27" s="28">
        <f t="shared" si="1"/>
        <v>673369.69521279843</v>
      </c>
      <c r="J27" s="29">
        <f t="shared" si="8"/>
        <v>288587.0122340566</v>
      </c>
      <c r="K27" s="52">
        <f t="shared" si="11"/>
        <v>0.66</v>
      </c>
      <c r="L27" s="45">
        <f t="shared" si="9"/>
        <v>1.3412723862025475</v>
      </c>
      <c r="M27" s="30">
        <f t="shared" si="3"/>
        <v>1158640.8796418686</v>
      </c>
      <c r="N27" s="30">
        <f>300000</f>
        <v>300000</v>
      </c>
      <c r="O27" s="58">
        <f t="shared" si="10"/>
        <v>290615.40402191487</v>
      </c>
      <c r="P27" s="64">
        <f t="shared" si="4"/>
        <v>568025.47561995382</v>
      </c>
      <c r="Q27" s="30">
        <f t="shared" ca="1" si="5"/>
        <v>63606.696714039615</v>
      </c>
      <c r="R27" s="58">
        <f t="shared" ca="1" si="6"/>
        <v>3472269.269424574</v>
      </c>
      <c r="T27" s="70">
        <f t="shared" ca="1" si="0"/>
        <v>0</v>
      </c>
    </row>
    <row r="28" spans="2:20" x14ac:dyDescent="0.3">
      <c r="B28" s="89" t="s">
        <v>3</v>
      </c>
      <c r="C28" s="90">
        <f>SUM(C32:C37)</f>
        <v>0.99999999999999989</v>
      </c>
      <c r="D28" s="77"/>
      <c r="F28" s="172">
        <v>24</v>
      </c>
      <c r="G28" s="42">
        <v>2044</v>
      </c>
      <c r="H28" s="51">
        <f t="shared" si="7"/>
        <v>952337.14037238644</v>
      </c>
      <c r="I28" s="28">
        <f t="shared" si="1"/>
        <v>666635.99826067046</v>
      </c>
      <c r="J28" s="29">
        <f t="shared" si="8"/>
        <v>285701.14211171598</v>
      </c>
      <c r="K28" s="52">
        <f t="shared" si="11"/>
        <v>0.66</v>
      </c>
      <c r="L28" s="45">
        <f t="shared" si="9"/>
        <v>1.381510557788624</v>
      </c>
      <c r="M28" s="30">
        <f t="shared" si="3"/>
        <v>1181466.1049708135</v>
      </c>
      <c r="N28" s="30">
        <v>0</v>
      </c>
      <c r="O28" s="58">
        <f t="shared" si="10"/>
        <v>299333.86614257231</v>
      </c>
      <c r="P28" s="64">
        <f t="shared" si="4"/>
        <v>882132.23882824113</v>
      </c>
      <c r="Q28" s="30">
        <f t="shared" ca="1" si="5"/>
        <v>89810.428180518007</v>
      </c>
      <c r="R28" s="58">
        <f t="shared" ca="1" si="6"/>
        <v>3562079.6976050921</v>
      </c>
      <c r="T28" s="70">
        <f t="shared" ca="1" si="0"/>
        <v>0</v>
      </c>
    </row>
    <row r="29" spans="2:20" ht="15" thickBot="1" x14ac:dyDescent="0.35">
      <c r="B29" s="34" t="s">
        <v>42</v>
      </c>
      <c r="C29" s="85">
        <f>SUM(C32,C35:C37)</f>
        <v>0.66</v>
      </c>
      <c r="D29" s="77"/>
      <c r="F29" s="173">
        <v>25</v>
      </c>
      <c r="G29" s="43">
        <v>2045</v>
      </c>
      <c r="H29" s="53">
        <f t="shared" si="7"/>
        <v>942813.7689686626</v>
      </c>
      <c r="I29" s="54">
        <f t="shared" si="1"/>
        <v>659969.63827806374</v>
      </c>
      <c r="J29" s="55">
        <f t="shared" si="8"/>
        <v>282844.13069059886</v>
      </c>
      <c r="K29" s="56">
        <f t="shared" si="11"/>
        <v>0.66</v>
      </c>
      <c r="L29" s="46">
        <f t="shared" si="9"/>
        <v>1.4229558745222828</v>
      </c>
      <c r="M29" s="32">
        <f t="shared" si="3"/>
        <v>1204740.9872387387</v>
      </c>
      <c r="N29" s="32">
        <v>0</v>
      </c>
      <c r="O29" s="59">
        <f t="shared" si="10"/>
        <v>308313.88212684949</v>
      </c>
      <c r="P29" s="67">
        <f t="shared" si="4"/>
        <v>896427.10511188919</v>
      </c>
      <c r="Q29" s="68">
        <f t="shared" ca="1" si="5"/>
        <v>82978.598827090944</v>
      </c>
      <c r="R29" s="175">
        <f t="shared" ca="1" si="6"/>
        <v>3645058.2964321831</v>
      </c>
      <c r="T29" s="71">
        <f t="shared" ca="1" si="0"/>
        <v>0</v>
      </c>
    </row>
    <row r="30" spans="2:20" x14ac:dyDescent="0.3">
      <c r="B30" s="87" t="s">
        <v>4</v>
      </c>
      <c r="C30" s="88">
        <f>C32</f>
        <v>0.38</v>
      </c>
      <c r="D30" s="77"/>
      <c r="G30" s="1"/>
      <c r="H30" s="5"/>
      <c r="I30" s="4"/>
      <c r="J30" s="5"/>
      <c r="K30" s="6"/>
      <c r="L30" s="3"/>
      <c r="M30" s="8"/>
      <c r="O30" s="170" t="s">
        <v>143</v>
      </c>
      <c r="P30" s="169">
        <f ca="1">Q30*(1+$W$8)^25*'Visão Geral'!$D$5</f>
        <v>10714274.811541304</v>
      </c>
      <c r="Q30" s="126">
        <f ca="1">W11</f>
        <v>991776.69465842634</v>
      </c>
    </row>
    <row r="31" spans="2:20" x14ac:dyDescent="0.3">
      <c r="B31" s="91" t="s">
        <v>56</v>
      </c>
      <c r="C31" s="92"/>
      <c r="O31" s="140" t="s">
        <v>139</v>
      </c>
      <c r="P31" s="138">
        <f>P29/P28-1</f>
        <v>1.6204901775992653E-2</v>
      </c>
      <c r="Q31" s="164"/>
    </row>
    <row r="32" spans="2:20" x14ac:dyDescent="0.3">
      <c r="B32" s="36" t="s">
        <v>57</v>
      </c>
      <c r="C32" s="84">
        <v>0.38</v>
      </c>
    </row>
    <row r="33" spans="2:3" x14ac:dyDescent="0.3">
      <c r="B33" s="34" t="s">
        <v>5</v>
      </c>
      <c r="C33" s="85">
        <v>0.06</v>
      </c>
    </row>
    <row r="34" spans="2:3" x14ac:dyDescent="0.3">
      <c r="B34" s="34" t="s">
        <v>6</v>
      </c>
      <c r="C34" s="85">
        <v>0.28000000000000003</v>
      </c>
    </row>
    <row r="35" spans="2:3" x14ac:dyDescent="0.3">
      <c r="B35" s="34" t="s">
        <v>7</v>
      </c>
      <c r="C35" s="85">
        <v>0.08</v>
      </c>
    </row>
    <row r="36" spans="2:3" x14ac:dyDescent="0.3">
      <c r="B36" s="34" t="s">
        <v>8</v>
      </c>
      <c r="C36" s="85">
        <v>0.08</v>
      </c>
    </row>
    <row r="37" spans="2:3" x14ac:dyDescent="0.3">
      <c r="B37" s="35" t="s">
        <v>9</v>
      </c>
      <c r="C37" s="86">
        <v>0.12</v>
      </c>
    </row>
    <row r="38" spans="2:3" x14ac:dyDescent="0.3"/>
    <row r="39" spans="2:3" x14ac:dyDescent="0.3"/>
  </sheetData>
  <dataValidations count="1">
    <dataValidation type="list" allowBlank="1" showInputMessage="1" showErrorMessage="1" sqref="C16 C14" xr:uid="{00000000-0002-0000-0100-000000000000}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9"/>
  <sheetViews>
    <sheetView showGridLines="0" workbookViewId="0">
      <selection activeCell="P31" sqref="P31"/>
    </sheetView>
  </sheetViews>
  <sheetFormatPr defaultColWidth="0" defaultRowHeight="14.4" zeroHeight="1" x14ac:dyDescent="0.3"/>
  <cols>
    <col min="1" max="1" width="3.33203125" customWidth="1"/>
    <col min="2" max="2" width="28.33203125" bestFit="1" customWidth="1"/>
    <col min="3" max="3" width="11.77734375" bestFit="1" customWidth="1"/>
    <col min="4" max="4" width="14.33203125" customWidth="1"/>
    <col min="5" max="5" width="5.21875" customWidth="1"/>
    <col min="6" max="6" width="8.77734375" customWidth="1"/>
    <col min="7" max="7" width="12.77734375" customWidth="1"/>
    <col min="8" max="8" width="15.44140625" customWidth="1"/>
    <col min="9" max="9" width="13.109375" bestFit="1" customWidth="1"/>
    <col min="10" max="10" width="18.5546875" customWidth="1"/>
    <col min="11" max="11" width="15.5546875" customWidth="1"/>
    <col min="12" max="12" width="8.77734375" bestFit="1" customWidth="1"/>
    <col min="13" max="13" width="14.5546875" customWidth="1"/>
    <col min="14" max="14" width="15" customWidth="1"/>
    <col min="15" max="15" width="13.77734375" customWidth="1"/>
    <col min="16" max="16" width="18.5546875" customWidth="1"/>
    <col min="17" max="17" width="12.6640625" bestFit="1" customWidth="1"/>
    <col min="18" max="18" width="15.21875" bestFit="1" customWidth="1"/>
    <col min="19" max="19" width="2.77734375" customWidth="1"/>
    <col min="20" max="20" width="8.77734375" customWidth="1"/>
    <col min="21" max="21" width="2.44140625" customWidth="1"/>
    <col min="22" max="22" width="14.77734375" customWidth="1"/>
    <col min="23" max="23" width="15.6640625" bestFit="1" customWidth="1"/>
    <col min="24" max="24" width="3.109375" customWidth="1"/>
    <col min="25" max="25" width="0" hidden="1" customWidth="1"/>
    <col min="26" max="16384" width="8.77734375" hidden="1"/>
  </cols>
  <sheetData>
    <row r="1" spans="2:23" ht="15" thickBot="1" x14ac:dyDescent="0.35">
      <c r="H1" s="1"/>
      <c r="K1" s="1"/>
      <c r="L1" s="1"/>
    </row>
    <row r="2" spans="2:23" x14ac:dyDescent="0.3"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3" t="s">
        <v>28</v>
      </c>
      <c r="V2" s="9" t="s">
        <v>44</v>
      </c>
      <c r="W2" s="13"/>
    </row>
    <row r="3" spans="2:23" ht="27.6" x14ac:dyDescent="0.3">
      <c r="B3" s="104" t="s">
        <v>37</v>
      </c>
      <c r="C3" s="39"/>
      <c r="F3" s="21" t="s">
        <v>2</v>
      </c>
      <c r="G3" s="40"/>
      <c r="H3" s="47" t="s">
        <v>69</v>
      </c>
      <c r="I3" s="22" t="s">
        <v>13</v>
      </c>
      <c r="J3" s="22" t="s">
        <v>14</v>
      </c>
      <c r="K3" s="48" t="s">
        <v>16</v>
      </c>
      <c r="L3" s="23" t="s">
        <v>15</v>
      </c>
      <c r="M3" s="23" t="s">
        <v>17</v>
      </c>
      <c r="N3" s="23" t="s">
        <v>18</v>
      </c>
      <c r="O3" s="23" t="s">
        <v>19</v>
      </c>
      <c r="P3" s="60" t="s">
        <v>20</v>
      </c>
      <c r="Q3" s="23" t="s">
        <v>22</v>
      </c>
      <c r="R3" s="61" t="s">
        <v>23</v>
      </c>
      <c r="T3" s="96" t="s">
        <v>24</v>
      </c>
      <c r="V3" s="72"/>
      <c r="W3" s="73"/>
    </row>
    <row r="4" spans="2:23" x14ac:dyDescent="0.3">
      <c r="B4" s="16" t="s">
        <v>21</v>
      </c>
      <c r="C4" s="17">
        <f>SUMPRODUCT(C22:C25,D22:D25)</f>
        <v>2843800</v>
      </c>
      <c r="D4" s="82"/>
      <c r="F4" s="24">
        <v>0</v>
      </c>
      <c r="G4" s="41">
        <v>2020</v>
      </c>
      <c r="H4" s="49">
        <v>0</v>
      </c>
      <c r="I4" s="25">
        <v>0</v>
      </c>
      <c r="J4" s="25">
        <v>0</v>
      </c>
      <c r="K4" s="50"/>
      <c r="L4" s="44">
        <v>0</v>
      </c>
      <c r="M4" s="26">
        <v>0</v>
      </c>
      <c r="N4" s="26">
        <v>0</v>
      </c>
      <c r="O4" s="57">
        <v>0</v>
      </c>
      <c r="P4" s="62">
        <f>-$C$4</f>
        <v>-2843800</v>
      </c>
      <c r="Q4" s="26">
        <f>P4</f>
        <v>-2843800</v>
      </c>
      <c r="R4" s="63">
        <f>Q4</f>
        <v>-2843800</v>
      </c>
      <c r="T4" s="70">
        <f>IF(R4&lt;0,1,0)</f>
        <v>1</v>
      </c>
      <c r="V4" s="98" t="s">
        <v>45</v>
      </c>
      <c r="W4" s="99">
        <f>$C$4/P5</f>
        <v>4.0753213625485447</v>
      </c>
    </row>
    <row r="5" spans="2:23" x14ac:dyDescent="0.3">
      <c r="B5" s="18" t="s">
        <v>29</v>
      </c>
      <c r="C5" s="97">
        <f>100000</f>
        <v>100000</v>
      </c>
      <c r="D5" s="74"/>
      <c r="F5" s="27">
        <v>1</v>
      </c>
      <c r="G5" s="42">
        <v>2021</v>
      </c>
      <c r="H5" s="51">
        <f>$C$7</f>
        <v>1200000</v>
      </c>
      <c r="I5" s="28">
        <f t="shared" ref="I5:I29" si="0">$C$8*H5</f>
        <v>840000</v>
      </c>
      <c r="J5" s="29">
        <f>H5-I5</f>
        <v>360000</v>
      </c>
      <c r="K5" s="52">
        <f>$C$15</f>
        <v>0.99999999999999989</v>
      </c>
      <c r="L5" s="45">
        <f>$C$12</f>
        <v>0.7</v>
      </c>
      <c r="M5" s="30">
        <f t="shared" ref="M5:M29" si="1">(I5*L5*100%)+(J5*L5*K5)</f>
        <v>840000</v>
      </c>
      <c r="N5" s="30">
        <v>0</v>
      </c>
      <c r="O5" s="58">
        <f>C10</f>
        <v>142190</v>
      </c>
      <c r="P5" s="64">
        <f t="shared" ref="P5:P29" si="2">M5-N5-O5</f>
        <v>697810</v>
      </c>
      <c r="Q5" s="30">
        <f t="shared" ref="Q5:Q29" ca="1" si="3">P5/(1+$C$18)^F5</f>
        <v>634446.83255186211</v>
      </c>
      <c r="R5" s="65">
        <f t="shared" ref="R5:R29" ca="1" si="4">R4+Q5</f>
        <v>-2209353.1674481379</v>
      </c>
      <c r="T5" s="70">
        <f t="shared" ref="T5:T29" ca="1" si="5">IF(R5&lt;0,1,0)</f>
        <v>1</v>
      </c>
      <c r="V5" s="100" t="s">
        <v>46</v>
      </c>
      <c r="W5" s="101">
        <f ca="1">SUM(T4:T29)+ABS(OFFSET(R4,SUM(T4:T29)-1,0,1,1))/OFFSET(Q4,SUM(T4:T29),0,1,1)</f>
        <v>6.2135185798232824</v>
      </c>
    </row>
    <row r="6" spans="2:23" x14ac:dyDescent="0.3">
      <c r="B6" s="18" t="s">
        <v>31</v>
      </c>
      <c r="C6" s="97">
        <f>C5*12</f>
        <v>1200000</v>
      </c>
      <c r="D6" s="74"/>
      <c r="F6" s="27">
        <v>2</v>
      </c>
      <c r="G6" s="42">
        <v>2022</v>
      </c>
      <c r="H6" s="51">
        <f t="shared" ref="H6:H29" si="6">(1-$C$9)*H5</f>
        <v>1191600</v>
      </c>
      <c r="I6" s="28">
        <f t="shared" si="0"/>
        <v>834120</v>
      </c>
      <c r="J6" s="29">
        <f t="shared" ref="J6:J29" si="7">H6-I6</f>
        <v>357480</v>
      </c>
      <c r="K6" s="52">
        <f t="shared" ref="K6:K14" si="8">$C$15</f>
        <v>0.99999999999999989</v>
      </c>
      <c r="L6" s="45">
        <f t="shared" ref="L6:L29" si="9">L5*(1+$C$13)</f>
        <v>0.72099999999999997</v>
      </c>
      <c r="M6" s="30">
        <f t="shared" si="1"/>
        <v>859143.6</v>
      </c>
      <c r="N6" s="30">
        <v>0</v>
      </c>
      <c r="O6" s="58">
        <f t="shared" ref="O6:O29" si="10">O5*(1+$C$11)</f>
        <v>146455.70000000001</v>
      </c>
      <c r="P6" s="64">
        <f t="shared" si="2"/>
        <v>712687.89999999991</v>
      </c>
      <c r="Q6" s="30">
        <f t="shared" ca="1" si="3"/>
        <v>589135.88207567472</v>
      </c>
      <c r="R6" s="65">
        <f t="shared" ca="1" si="4"/>
        <v>-1620217.2853724631</v>
      </c>
      <c r="T6" s="70">
        <f t="shared" ca="1" si="5"/>
        <v>1</v>
      </c>
      <c r="V6" s="100" t="s">
        <v>47</v>
      </c>
      <c r="W6" s="102">
        <f ca="1">SUM(Q4:Q29)+W11</f>
        <v>5865786.6765988655</v>
      </c>
    </row>
    <row r="7" spans="2:23" x14ac:dyDescent="0.3">
      <c r="B7" s="18" t="s">
        <v>30</v>
      </c>
      <c r="C7" s="97">
        <f>C6</f>
        <v>1200000</v>
      </c>
      <c r="D7" s="74"/>
      <c r="F7" s="27">
        <v>3</v>
      </c>
      <c r="G7" s="42">
        <v>2023</v>
      </c>
      <c r="H7" s="51">
        <f t="shared" si="6"/>
        <v>1183258.8</v>
      </c>
      <c r="I7" s="28">
        <f t="shared" si="0"/>
        <v>828281.16</v>
      </c>
      <c r="J7" s="29">
        <f t="shared" si="7"/>
        <v>354977.64</v>
      </c>
      <c r="K7" s="52">
        <f t="shared" si="8"/>
        <v>0.99999999999999989</v>
      </c>
      <c r="L7" s="45">
        <f t="shared" si="9"/>
        <v>0.74263000000000001</v>
      </c>
      <c r="M7" s="30">
        <f t="shared" si="1"/>
        <v>878723.48264399997</v>
      </c>
      <c r="N7" s="30">
        <v>0</v>
      </c>
      <c r="O7" s="58">
        <f t="shared" si="10"/>
        <v>150849.37100000001</v>
      </c>
      <c r="P7" s="64">
        <f t="shared" si="2"/>
        <v>727874.11164399993</v>
      </c>
      <c r="Q7" s="30">
        <f t="shared" ca="1" si="3"/>
        <v>547054.26358241029</v>
      </c>
      <c r="R7" s="65">
        <f t="shared" ca="1" si="4"/>
        <v>-1073163.0217900528</v>
      </c>
      <c r="T7" s="70">
        <f t="shared" ca="1" si="5"/>
        <v>1</v>
      </c>
      <c r="V7" s="100" t="s">
        <v>48</v>
      </c>
      <c r="W7" s="166">
        <f ca="1">IRR(P4:P30)</f>
        <v>0.26659795079166115</v>
      </c>
    </row>
    <row r="8" spans="2:23" x14ac:dyDescent="0.3">
      <c r="B8" s="18" t="s">
        <v>32</v>
      </c>
      <c r="C8" s="105">
        <v>0.7</v>
      </c>
      <c r="D8" s="74"/>
      <c r="F8" s="27">
        <v>4</v>
      </c>
      <c r="G8" s="42">
        <v>2024</v>
      </c>
      <c r="H8" s="51">
        <f t="shared" si="6"/>
        <v>1174975.9884000001</v>
      </c>
      <c r="I8" s="28">
        <f t="shared" si="0"/>
        <v>822483.19188000006</v>
      </c>
      <c r="J8" s="29">
        <f t="shared" si="7"/>
        <v>352492.79652000009</v>
      </c>
      <c r="K8" s="52">
        <f t="shared" si="8"/>
        <v>0.99999999999999989</v>
      </c>
      <c r="L8" s="45">
        <f t="shared" si="9"/>
        <v>0.7649089</v>
      </c>
      <c r="M8" s="30">
        <f t="shared" si="1"/>
        <v>898749.5908134568</v>
      </c>
      <c r="N8" s="30">
        <v>0</v>
      </c>
      <c r="O8" s="58">
        <f t="shared" si="10"/>
        <v>155374.85213000001</v>
      </c>
      <c r="P8" s="64">
        <f t="shared" si="2"/>
        <v>743374.73868345679</v>
      </c>
      <c r="Q8" s="30">
        <f t="shared" ca="1" si="3"/>
        <v>507972.23800076789</v>
      </c>
      <c r="R8" s="65">
        <f t="shared" ca="1" si="4"/>
        <v>-565190.78378928488</v>
      </c>
      <c r="T8" s="70">
        <f t="shared" ca="1" si="5"/>
        <v>1</v>
      </c>
      <c r="V8" s="100" t="s">
        <v>140</v>
      </c>
      <c r="W8" s="166">
        <f ca="1">$C$18</f>
        <v>9.9871516724702708E-2</v>
      </c>
    </row>
    <row r="9" spans="2:23" x14ac:dyDescent="0.3">
      <c r="B9" s="18" t="s">
        <v>33</v>
      </c>
      <c r="C9" s="122">
        <v>7.0000000000000001E-3</v>
      </c>
      <c r="D9" s="75"/>
      <c r="F9" s="27">
        <v>5</v>
      </c>
      <c r="G9" s="42">
        <v>2025</v>
      </c>
      <c r="H9" s="51">
        <f t="shared" si="6"/>
        <v>1166751.1564812001</v>
      </c>
      <c r="I9" s="28">
        <f t="shared" si="0"/>
        <v>816725.80953684007</v>
      </c>
      <c r="J9" s="29">
        <f t="shared" si="7"/>
        <v>350025.34694436006</v>
      </c>
      <c r="K9" s="52">
        <f t="shared" si="8"/>
        <v>0.99999999999999989</v>
      </c>
      <c r="L9" s="45">
        <f t="shared" si="9"/>
        <v>0.78785616700000005</v>
      </c>
      <c r="M9" s="30">
        <f t="shared" si="1"/>
        <v>919232.09398809553</v>
      </c>
      <c r="N9" s="30">
        <v>0</v>
      </c>
      <c r="O9" s="58">
        <f t="shared" si="10"/>
        <v>160036.09769390002</v>
      </c>
      <c r="P9" s="64">
        <f t="shared" si="2"/>
        <v>759195.99629419553</v>
      </c>
      <c r="Q9" s="30">
        <f t="shared" ca="1" si="3"/>
        <v>471676.3841677538</v>
      </c>
      <c r="R9" s="65">
        <f t="shared" ca="1" si="4"/>
        <v>-93514.399621531076</v>
      </c>
      <c r="T9" s="70">
        <f t="shared" ca="1" si="5"/>
        <v>1</v>
      </c>
      <c r="V9" s="100" t="s">
        <v>141</v>
      </c>
      <c r="W9" s="166">
        <f>$P$31</f>
        <v>2.0999245922840748E-2</v>
      </c>
    </row>
    <row r="10" spans="2:23" x14ac:dyDescent="0.3">
      <c r="B10" s="18" t="s">
        <v>135</v>
      </c>
      <c r="C10" s="19">
        <f>0.05*C4</f>
        <v>142190</v>
      </c>
      <c r="D10" s="75"/>
      <c r="F10" s="27">
        <v>6</v>
      </c>
      <c r="G10" s="42">
        <v>2026</v>
      </c>
      <c r="H10" s="51">
        <f t="shared" si="6"/>
        <v>1158583.8983858316</v>
      </c>
      <c r="I10" s="28">
        <f t="shared" si="0"/>
        <v>811008.72887008206</v>
      </c>
      <c r="J10" s="29">
        <f t="shared" si="7"/>
        <v>347575.16951574956</v>
      </c>
      <c r="K10" s="52">
        <f t="shared" si="8"/>
        <v>0.99999999999999989</v>
      </c>
      <c r="L10" s="45">
        <f t="shared" si="9"/>
        <v>0.81149185201000007</v>
      </c>
      <c r="M10" s="30">
        <f t="shared" si="1"/>
        <v>940181.39341008419</v>
      </c>
      <c r="N10" s="30">
        <v>0</v>
      </c>
      <c r="O10" s="58">
        <f t="shared" si="10"/>
        <v>164837.18062471703</v>
      </c>
      <c r="P10" s="64">
        <f t="shared" si="2"/>
        <v>775344.21278536716</v>
      </c>
      <c r="Q10" s="30">
        <f t="shared" ca="1" si="3"/>
        <v>437968.44142991072</v>
      </c>
      <c r="R10" s="65">
        <f t="shared" ca="1" si="4"/>
        <v>344454.04180837964</v>
      </c>
      <c r="T10" s="70">
        <f t="shared" ca="1" si="5"/>
        <v>0</v>
      </c>
      <c r="V10" s="100" t="s">
        <v>142</v>
      </c>
      <c r="W10" s="102">
        <f ca="1">Q29</f>
        <v>106782.74410887243</v>
      </c>
    </row>
    <row r="11" spans="2:23" x14ac:dyDescent="0.3">
      <c r="B11" s="18" t="s">
        <v>35</v>
      </c>
      <c r="C11" s="122">
        <v>0.03</v>
      </c>
      <c r="D11" s="74"/>
      <c r="F11" s="27">
        <v>7</v>
      </c>
      <c r="G11" s="42">
        <v>2027</v>
      </c>
      <c r="H11" s="51">
        <f t="shared" si="6"/>
        <v>1150473.8110971309</v>
      </c>
      <c r="I11" s="28">
        <f t="shared" si="0"/>
        <v>805331.66776799154</v>
      </c>
      <c r="J11" s="29">
        <f t="shared" si="7"/>
        <v>345142.14332913933</v>
      </c>
      <c r="K11" s="52">
        <f t="shared" si="8"/>
        <v>0.99999999999999989</v>
      </c>
      <c r="L11" s="45">
        <f t="shared" si="9"/>
        <v>0.83583660757030009</v>
      </c>
      <c r="M11" s="30">
        <f t="shared" si="1"/>
        <v>961608.12736590009</v>
      </c>
      <c r="N11" s="30">
        <v>0</v>
      </c>
      <c r="O11" s="58">
        <f t="shared" si="10"/>
        <v>169782.29604345854</v>
      </c>
      <c r="P11" s="64">
        <f t="shared" si="2"/>
        <v>791825.83132244158</v>
      </c>
      <c r="Q11" s="30">
        <f t="shared" ca="1" si="3"/>
        <v>406664.23423452693</v>
      </c>
      <c r="R11" s="65">
        <f t="shared" ca="1" si="4"/>
        <v>751118.27604290657</v>
      </c>
      <c r="T11" s="70">
        <f t="shared" ca="1" si="5"/>
        <v>0</v>
      </c>
      <c r="V11" s="103" t="s">
        <v>143</v>
      </c>
      <c r="W11" s="167">
        <f ca="1">W10/(W8-W9)*'Visão Geral'!$D$5</f>
        <v>1353869.2752631078</v>
      </c>
    </row>
    <row r="12" spans="2:23" x14ac:dyDescent="0.3">
      <c r="B12" s="18" t="s">
        <v>68</v>
      </c>
      <c r="C12" s="19">
        <v>0.7</v>
      </c>
      <c r="D12" s="75"/>
      <c r="F12" s="27">
        <v>8</v>
      </c>
      <c r="G12" s="42">
        <v>2028</v>
      </c>
      <c r="H12" s="51">
        <f t="shared" si="6"/>
        <v>1142420.4944194509</v>
      </c>
      <c r="I12" s="28">
        <f t="shared" si="0"/>
        <v>799694.34609361552</v>
      </c>
      <c r="J12" s="29">
        <f t="shared" si="7"/>
        <v>342726.14832583535</v>
      </c>
      <c r="K12" s="52">
        <f t="shared" si="8"/>
        <v>0.99999999999999989</v>
      </c>
      <c r="L12" s="45">
        <f t="shared" si="9"/>
        <v>0.86091170579740917</v>
      </c>
      <c r="M12" s="30">
        <f t="shared" si="1"/>
        <v>983523.17658856895</v>
      </c>
      <c r="N12" s="30">
        <v>0</v>
      </c>
      <c r="O12" s="58">
        <f t="shared" si="10"/>
        <v>174875.7649247623</v>
      </c>
      <c r="P12" s="64">
        <f t="shared" si="2"/>
        <v>808647.41166380665</v>
      </c>
      <c r="Q12" s="30">
        <f t="shared" ca="1" si="3"/>
        <v>377592.67290907865</v>
      </c>
      <c r="R12" s="65">
        <f t="shared" ca="1" si="4"/>
        <v>1128710.9489519852</v>
      </c>
      <c r="T12" s="70">
        <f t="shared" ca="1" si="5"/>
        <v>0</v>
      </c>
    </row>
    <row r="13" spans="2:23" x14ac:dyDescent="0.3">
      <c r="B13" s="18" t="s">
        <v>67</v>
      </c>
      <c r="C13" s="163">
        <v>0.03</v>
      </c>
      <c r="D13" s="74"/>
      <c r="F13" s="27">
        <v>9</v>
      </c>
      <c r="G13" s="42">
        <v>2029</v>
      </c>
      <c r="H13" s="51">
        <f t="shared" si="6"/>
        <v>1134423.5509585147</v>
      </c>
      <c r="I13" s="28">
        <f t="shared" si="0"/>
        <v>794096.48567096028</v>
      </c>
      <c r="J13" s="29">
        <f t="shared" si="7"/>
        <v>340327.0652875544</v>
      </c>
      <c r="K13" s="52">
        <f t="shared" si="8"/>
        <v>0.99999999999999989</v>
      </c>
      <c r="L13" s="45">
        <f t="shared" si="9"/>
        <v>0.88673905697133149</v>
      </c>
      <c r="M13" s="30">
        <f t="shared" si="1"/>
        <v>1005937.6697830225</v>
      </c>
      <c r="N13" s="30">
        <v>0</v>
      </c>
      <c r="O13" s="58">
        <f t="shared" si="10"/>
        <v>180122.03787250517</v>
      </c>
      <c r="P13" s="64">
        <f t="shared" si="2"/>
        <v>825815.63191051735</v>
      </c>
      <c r="Q13" s="30">
        <f t="shared" ca="1" si="3"/>
        <v>350594.8252372967</v>
      </c>
      <c r="R13" s="65">
        <f t="shared" ca="1" si="4"/>
        <v>1479305.774189282</v>
      </c>
      <c r="T13" s="70">
        <f t="shared" ca="1" si="5"/>
        <v>0</v>
      </c>
    </row>
    <row r="14" spans="2:23" x14ac:dyDescent="0.3">
      <c r="B14" s="18" t="s">
        <v>40</v>
      </c>
      <c r="C14" s="19" t="s">
        <v>3</v>
      </c>
      <c r="D14" s="74"/>
      <c r="F14" s="27">
        <v>10</v>
      </c>
      <c r="G14" s="42">
        <v>2030</v>
      </c>
      <c r="H14" s="51">
        <f t="shared" si="6"/>
        <v>1126482.5861018051</v>
      </c>
      <c r="I14" s="28">
        <f t="shared" si="0"/>
        <v>788537.81027126347</v>
      </c>
      <c r="J14" s="29">
        <f t="shared" si="7"/>
        <v>337944.77583054162</v>
      </c>
      <c r="K14" s="52">
        <f t="shared" si="8"/>
        <v>0.99999999999999989</v>
      </c>
      <c r="L14" s="45">
        <f t="shared" si="9"/>
        <v>0.91334122868047141</v>
      </c>
      <c r="M14" s="30">
        <f t="shared" si="1"/>
        <v>1028862.9892773775</v>
      </c>
      <c r="N14" s="30">
        <v>0</v>
      </c>
      <c r="O14" s="58">
        <f t="shared" si="10"/>
        <v>185525.69900868033</v>
      </c>
      <c r="P14" s="64">
        <f t="shared" si="2"/>
        <v>843337.29026869719</v>
      </c>
      <c r="Q14" s="30">
        <f t="shared" ca="1" si="3"/>
        <v>325523.05382141698</v>
      </c>
      <c r="R14" s="65">
        <f t="shared" ca="1" si="4"/>
        <v>1804828.828010699</v>
      </c>
      <c r="T14" s="70">
        <f t="shared" ca="1" si="5"/>
        <v>0</v>
      </c>
    </row>
    <row r="15" spans="2:23" x14ac:dyDescent="0.3">
      <c r="B15" s="18" t="s">
        <v>39</v>
      </c>
      <c r="C15" s="106">
        <f>VLOOKUP(C14,$B$28:$C$30,2,FALSE)</f>
        <v>0.99999999999999989</v>
      </c>
      <c r="D15" s="74"/>
      <c r="F15" s="27">
        <v>11</v>
      </c>
      <c r="G15" s="42">
        <v>2031</v>
      </c>
      <c r="H15" s="51">
        <f t="shared" si="6"/>
        <v>1118597.2079990925</v>
      </c>
      <c r="I15" s="28">
        <f t="shared" si="0"/>
        <v>783018.04559936468</v>
      </c>
      <c r="J15" s="29">
        <f t="shared" si="7"/>
        <v>335579.16239972785</v>
      </c>
      <c r="K15" s="52">
        <f>$C$17</f>
        <v>0.99999999999999989</v>
      </c>
      <c r="L15" s="45">
        <f t="shared" si="9"/>
        <v>0.94074146554088556</v>
      </c>
      <c r="M15" s="30">
        <f t="shared" si="1"/>
        <v>1052310.7768030092</v>
      </c>
      <c r="N15" s="30">
        <v>0</v>
      </c>
      <c r="O15" s="58">
        <f t="shared" si="10"/>
        <v>191091.46997894073</v>
      </c>
      <c r="P15" s="64">
        <f t="shared" si="2"/>
        <v>861219.30682406854</v>
      </c>
      <c r="Q15" s="30">
        <f t="shared" ca="1" si="3"/>
        <v>302240.21457442368</v>
      </c>
      <c r="R15" s="65">
        <f t="shared" ca="1" si="4"/>
        <v>2107069.0425851229</v>
      </c>
      <c r="T15" s="70">
        <f t="shared" ca="1" si="5"/>
        <v>0</v>
      </c>
    </row>
    <row r="16" spans="2:23" x14ac:dyDescent="0.3">
      <c r="B16" s="18" t="s">
        <v>41</v>
      </c>
      <c r="C16" s="19" t="s">
        <v>3</v>
      </c>
      <c r="D16" s="74"/>
      <c r="F16" s="27">
        <v>12</v>
      </c>
      <c r="G16" s="42">
        <v>2032</v>
      </c>
      <c r="H16" s="51">
        <f t="shared" si="6"/>
        <v>1110767.0275430989</v>
      </c>
      <c r="I16" s="28">
        <f t="shared" si="0"/>
        <v>777536.91928016918</v>
      </c>
      <c r="J16" s="29">
        <f t="shared" si="7"/>
        <v>333230.10826292972</v>
      </c>
      <c r="K16" s="52">
        <f t="shared" ref="K16:K29" si="11">$C$17</f>
        <v>0.99999999999999989</v>
      </c>
      <c r="L16" s="45">
        <f t="shared" si="9"/>
        <v>0.96896370950711219</v>
      </c>
      <c r="M16" s="30">
        <f t="shared" si="1"/>
        <v>1076292.9394063498</v>
      </c>
      <c r="N16" s="30">
        <v>300000</v>
      </c>
      <c r="O16" s="58">
        <f t="shared" si="10"/>
        <v>196824.21407830896</v>
      </c>
      <c r="P16" s="64">
        <f t="shared" si="2"/>
        <v>579468.72532804077</v>
      </c>
      <c r="Q16" s="30">
        <f t="shared" ca="1" si="3"/>
        <v>184895.58362385383</v>
      </c>
      <c r="R16" s="65">
        <f t="shared" ca="1" si="4"/>
        <v>2291964.6262089768</v>
      </c>
      <c r="T16" s="70">
        <f t="shared" ca="1" si="5"/>
        <v>0</v>
      </c>
    </row>
    <row r="17" spans="2:20" x14ac:dyDescent="0.3">
      <c r="B17" s="18" t="s">
        <v>38</v>
      </c>
      <c r="C17" s="106">
        <f>VLOOKUP(C16,$B$28:$C$30,2,FALSE)</f>
        <v>0.99999999999999989</v>
      </c>
      <c r="D17" s="74"/>
      <c r="F17" s="27">
        <v>13</v>
      </c>
      <c r="G17" s="42">
        <v>2033</v>
      </c>
      <c r="H17" s="51">
        <f t="shared" si="6"/>
        <v>1102991.6583502972</v>
      </c>
      <c r="I17" s="28">
        <f t="shared" si="0"/>
        <v>772094.16084520798</v>
      </c>
      <c r="J17" s="29">
        <f t="shared" si="7"/>
        <v>330897.49750508927</v>
      </c>
      <c r="K17" s="52">
        <f t="shared" si="11"/>
        <v>0.99999999999999989</v>
      </c>
      <c r="L17" s="45">
        <f t="shared" si="9"/>
        <v>0.99803262079232558</v>
      </c>
      <c r="M17" s="30">
        <f t="shared" si="1"/>
        <v>1100821.6554954206</v>
      </c>
      <c r="N17" s="30">
        <v>0</v>
      </c>
      <c r="O17" s="58">
        <f t="shared" si="10"/>
        <v>202728.94050065824</v>
      </c>
      <c r="P17" s="64">
        <f t="shared" si="2"/>
        <v>898092.71499476233</v>
      </c>
      <c r="Q17" s="30">
        <f t="shared" ca="1" si="3"/>
        <v>260540.80734637423</v>
      </c>
      <c r="R17" s="65">
        <f t="shared" ca="1" si="4"/>
        <v>2552505.4335553511</v>
      </c>
      <c r="T17" s="70">
        <f t="shared" ca="1" si="5"/>
        <v>0</v>
      </c>
    </row>
    <row r="18" spans="2:20" x14ac:dyDescent="0.3">
      <c r="B18" s="20" t="s">
        <v>49</v>
      </c>
      <c r="C18" s="165">
        <f ca="1">'Visão Geral'!$C$4</f>
        <v>9.9871516724702708E-2</v>
      </c>
      <c r="D18" s="75"/>
      <c r="F18" s="27">
        <v>14</v>
      </c>
      <c r="G18" s="42">
        <v>2034</v>
      </c>
      <c r="H18" s="51">
        <f t="shared" si="6"/>
        <v>1095270.7167418452</v>
      </c>
      <c r="I18" s="28">
        <f t="shared" si="0"/>
        <v>766689.50171929167</v>
      </c>
      <c r="J18" s="29">
        <f t="shared" si="7"/>
        <v>328581.21502255357</v>
      </c>
      <c r="K18" s="52">
        <f t="shared" si="11"/>
        <v>0.99999999999999989</v>
      </c>
      <c r="L18" s="45">
        <f t="shared" si="9"/>
        <v>1.0279735994160955</v>
      </c>
      <c r="M18" s="30">
        <f t="shared" si="1"/>
        <v>1125909.3810241614</v>
      </c>
      <c r="N18" s="30">
        <v>0</v>
      </c>
      <c r="O18" s="58">
        <f t="shared" si="10"/>
        <v>208810.80871567799</v>
      </c>
      <c r="P18" s="64">
        <f t="shared" si="2"/>
        <v>917098.5723084833</v>
      </c>
      <c r="Q18" s="30">
        <f t="shared" ca="1" si="3"/>
        <v>241895.97557583541</v>
      </c>
      <c r="R18" s="65">
        <f t="shared" ca="1" si="4"/>
        <v>2794401.4091311865</v>
      </c>
      <c r="T18" s="70">
        <f t="shared" ca="1" si="5"/>
        <v>0</v>
      </c>
    </row>
    <row r="19" spans="2:20" x14ac:dyDescent="0.3">
      <c r="D19" s="76"/>
      <c r="F19" s="27">
        <v>15</v>
      </c>
      <c r="G19" s="42">
        <v>2035</v>
      </c>
      <c r="H19" s="51">
        <f t="shared" si="6"/>
        <v>1087603.8217246523</v>
      </c>
      <c r="I19" s="28">
        <f t="shared" si="0"/>
        <v>761322.67520725657</v>
      </c>
      <c r="J19" s="29">
        <f t="shared" si="7"/>
        <v>326281.14651739574</v>
      </c>
      <c r="K19" s="52">
        <f t="shared" si="11"/>
        <v>0.99999999999999989</v>
      </c>
      <c r="L19" s="45">
        <f t="shared" si="9"/>
        <v>1.0588128073985783</v>
      </c>
      <c r="M19" s="30">
        <f t="shared" si="1"/>
        <v>1151568.8558177019</v>
      </c>
      <c r="N19" s="30">
        <v>0</v>
      </c>
      <c r="O19" s="58">
        <f t="shared" si="10"/>
        <v>215075.13297714834</v>
      </c>
      <c r="P19" s="64">
        <f t="shared" si="2"/>
        <v>936493.72284055362</v>
      </c>
      <c r="Q19" s="30">
        <f t="shared" ca="1" si="3"/>
        <v>224582.30821347272</v>
      </c>
      <c r="R19" s="65">
        <f t="shared" ca="1" si="4"/>
        <v>3018983.7173446594</v>
      </c>
      <c r="T19" s="70">
        <f t="shared" ca="1" si="5"/>
        <v>0</v>
      </c>
    </row>
    <row r="20" spans="2:20" x14ac:dyDescent="0.3">
      <c r="B20" s="14" t="s">
        <v>43</v>
      </c>
      <c r="C20" s="15"/>
      <c r="D20" s="15"/>
      <c r="F20" s="27">
        <v>16</v>
      </c>
      <c r="G20" s="42">
        <v>2036</v>
      </c>
      <c r="H20" s="51">
        <f t="shared" si="6"/>
        <v>1079990.5949725797</v>
      </c>
      <c r="I20" s="28">
        <f t="shared" si="0"/>
        <v>755993.41648080572</v>
      </c>
      <c r="J20" s="29">
        <f t="shared" si="7"/>
        <v>323997.17849177402</v>
      </c>
      <c r="K20" s="52">
        <f t="shared" si="11"/>
        <v>0.99999999999999989</v>
      </c>
      <c r="L20" s="45">
        <f t="shared" si="9"/>
        <v>1.0905771916205358</v>
      </c>
      <c r="M20" s="30">
        <f t="shared" si="1"/>
        <v>1177813.1100417876</v>
      </c>
      <c r="N20" s="30">
        <v>0</v>
      </c>
      <c r="O20" s="58">
        <f t="shared" si="10"/>
        <v>221527.3869664628</v>
      </c>
      <c r="P20" s="64">
        <f t="shared" si="2"/>
        <v>956285.72307532479</v>
      </c>
      <c r="Q20" s="30">
        <f t="shared" ca="1" si="3"/>
        <v>208504.95831238432</v>
      </c>
      <c r="R20" s="65">
        <f t="shared" ca="1" si="4"/>
        <v>3227488.6756570437</v>
      </c>
      <c r="T20" s="70">
        <f t="shared" ca="1" si="5"/>
        <v>0</v>
      </c>
    </row>
    <row r="21" spans="2:20" x14ac:dyDescent="0.3">
      <c r="B21" s="14"/>
      <c r="C21" s="15" t="s">
        <v>51</v>
      </c>
      <c r="D21" s="78" t="s">
        <v>0</v>
      </c>
      <c r="F21" s="27">
        <v>17</v>
      </c>
      <c r="G21" s="42">
        <v>2037</v>
      </c>
      <c r="H21" s="51">
        <f t="shared" si="6"/>
        <v>1072430.6608077716</v>
      </c>
      <c r="I21" s="28">
        <f t="shared" si="0"/>
        <v>750701.4625654401</v>
      </c>
      <c r="J21" s="29">
        <f t="shared" si="7"/>
        <v>321729.19824233151</v>
      </c>
      <c r="K21" s="52">
        <f t="shared" si="11"/>
        <v>0.99999999999999989</v>
      </c>
      <c r="L21" s="45">
        <f t="shared" si="9"/>
        <v>1.1232945073691518</v>
      </c>
      <c r="M21" s="30">
        <f t="shared" si="1"/>
        <v>1204655.4708196397</v>
      </c>
      <c r="N21" s="30">
        <v>0</v>
      </c>
      <c r="O21" s="58">
        <f t="shared" si="10"/>
        <v>228173.20857545669</v>
      </c>
      <c r="P21" s="64">
        <f t="shared" si="2"/>
        <v>976482.2622441831</v>
      </c>
      <c r="Q21" s="30">
        <f t="shared" ca="1" si="3"/>
        <v>193575.82485835344</v>
      </c>
      <c r="R21" s="66">
        <f t="shared" ca="1" si="4"/>
        <v>3421064.5005153972</v>
      </c>
      <c r="T21" s="70">
        <f t="shared" ca="1" si="5"/>
        <v>0</v>
      </c>
    </row>
    <row r="22" spans="2:20" x14ac:dyDescent="0.3">
      <c r="B22" s="93" t="s">
        <v>52</v>
      </c>
      <c r="C22" s="156">
        <f>ROUNDUP(C7/Investimentos!$C$9,0)</f>
        <v>1796</v>
      </c>
      <c r="D22" s="79">
        <f>Investimentos!$C$12</f>
        <v>950</v>
      </c>
      <c r="F22" s="27">
        <v>18</v>
      </c>
      <c r="G22" s="42">
        <v>2038</v>
      </c>
      <c r="H22" s="51">
        <f t="shared" si="6"/>
        <v>1064923.6461821173</v>
      </c>
      <c r="I22" s="28">
        <f t="shared" si="0"/>
        <v>745446.55232748203</v>
      </c>
      <c r="J22" s="29">
        <f t="shared" si="7"/>
        <v>319477.09385463526</v>
      </c>
      <c r="K22" s="52">
        <f t="shared" si="11"/>
        <v>0.99999999999999989</v>
      </c>
      <c r="L22" s="45">
        <f t="shared" si="9"/>
        <v>1.1569933425902263</v>
      </c>
      <c r="M22" s="30">
        <f t="shared" si="1"/>
        <v>1232109.5689996192</v>
      </c>
      <c r="N22" s="30">
        <v>0</v>
      </c>
      <c r="O22" s="58">
        <f t="shared" si="10"/>
        <v>235018.40483272041</v>
      </c>
      <c r="P22" s="64">
        <f t="shared" si="2"/>
        <v>997091.16416689882</v>
      </c>
      <c r="Q22" s="30">
        <f t="shared" ca="1" si="3"/>
        <v>179713.07372033765</v>
      </c>
      <c r="R22" s="66">
        <f t="shared" ca="1" si="4"/>
        <v>3600777.574235735</v>
      </c>
      <c r="T22" s="70">
        <f t="shared" ca="1" si="5"/>
        <v>0</v>
      </c>
    </row>
    <row r="23" spans="2:20" x14ac:dyDescent="0.3">
      <c r="B23" s="94" t="s">
        <v>53</v>
      </c>
      <c r="C23" s="157">
        <f>ROUNDUP(C22*Investimentos!$C$13/Investimentos!$F$3/1000,0)</f>
        <v>8</v>
      </c>
      <c r="D23" s="80">
        <f>Investimentos!$F$5</f>
        <v>40000</v>
      </c>
      <c r="F23" s="27">
        <v>19</v>
      </c>
      <c r="G23" s="42">
        <v>2039</v>
      </c>
      <c r="H23" s="51">
        <f t="shared" si="6"/>
        <v>1057469.1806588424</v>
      </c>
      <c r="I23" s="28">
        <f t="shared" si="0"/>
        <v>740228.42646118964</v>
      </c>
      <c r="J23" s="29">
        <f t="shared" si="7"/>
        <v>317240.7541976528</v>
      </c>
      <c r="K23" s="52">
        <f t="shared" si="11"/>
        <v>0.99999999999999989</v>
      </c>
      <c r="L23" s="45">
        <f t="shared" si="9"/>
        <v>1.1917031428679332</v>
      </c>
      <c r="M23" s="30">
        <f t="shared" si="1"/>
        <v>1260189.3460771209</v>
      </c>
      <c r="N23" s="30">
        <v>0</v>
      </c>
      <c r="O23" s="58">
        <f t="shared" si="10"/>
        <v>242068.95697770204</v>
      </c>
      <c r="P23" s="64">
        <f t="shared" si="2"/>
        <v>1018120.3890994189</v>
      </c>
      <c r="Q23" s="30">
        <f t="shared" ca="1" si="3"/>
        <v>166840.69257273705</v>
      </c>
      <c r="R23" s="65">
        <f t="shared" ca="1" si="4"/>
        <v>3767618.2668084721</v>
      </c>
      <c r="T23" s="70">
        <f t="shared" ca="1" si="5"/>
        <v>0</v>
      </c>
    </row>
    <row r="24" spans="2:20" x14ac:dyDescent="0.3">
      <c r="B24" s="94" t="s">
        <v>131</v>
      </c>
      <c r="C24" s="157">
        <v>1</v>
      </c>
      <c r="D24" s="80">
        <f>SUMPRODUCT(C22:C23,D22:D23)/0.6*20%</f>
        <v>675400</v>
      </c>
      <c r="F24" s="27">
        <v>20</v>
      </c>
      <c r="G24" s="42">
        <v>2040</v>
      </c>
      <c r="H24" s="51">
        <f t="shared" si="6"/>
        <v>1050066.8963942304</v>
      </c>
      <c r="I24" s="28">
        <f t="shared" si="0"/>
        <v>735046.8274759613</v>
      </c>
      <c r="J24" s="29">
        <f t="shared" si="7"/>
        <v>315020.06891826913</v>
      </c>
      <c r="K24" s="52">
        <f t="shared" si="11"/>
        <v>0.99999999999999989</v>
      </c>
      <c r="L24" s="45">
        <f t="shared" si="9"/>
        <v>1.2274542371539712</v>
      </c>
      <c r="M24" s="30">
        <f t="shared" si="1"/>
        <v>1288909.0612742181</v>
      </c>
      <c r="N24" s="30">
        <v>0</v>
      </c>
      <c r="O24" s="58">
        <f t="shared" si="10"/>
        <v>249331.02568703311</v>
      </c>
      <c r="P24" s="64">
        <f t="shared" si="2"/>
        <v>1039578.0355871851</v>
      </c>
      <c r="Q24" s="30">
        <f t="shared" ca="1" si="3"/>
        <v>154888.07738328088</v>
      </c>
      <c r="R24" s="65">
        <f t="shared" ca="1" si="4"/>
        <v>3922506.3441917528</v>
      </c>
      <c r="T24" s="70">
        <f t="shared" ca="1" si="5"/>
        <v>0</v>
      </c>
    </row>
    <row r="25" spans="2:20" x14ac:dyDescent="0.3">
      <c r="B25" s="95" t="s">
        <v>132</v>
      </c>
      <c r="C25" s="158">
        <v>1</v>
      </c>
      <c r="D25" s="81">
        <f>SUMPRODUCT(C23:C24,D23:D24)/0.7*10%</f>
        <v>142200</v>
      </c>
      <c r="F25" s="27">
        <v>21</v>
      </c>
      <c r="G25" s="42">
        <v>2041</v>
      </c>
      <c r="H25" s="51">
        <f t="shared" si="6"/>
        <v>1042716.4281194708</v>
      </c>
      <c r="I25" s="28">
        <f t="shared" si="0"/>
        <v>729901.49968362949</v>
      </c>
      <c r="J25" s="29">
        <f t="shared" si="7"/>
        <v>312814.92843584134</v>
      </c>
      <c r="K25" s="52">
        <f t="shared" si="11"/>
        <v>0.99999999999999989</v>
      </c>
      <c r="L25" s="45">
        <f t="shared" si="9"/>
        <v>1.2642778642685903</v>
      </c>
      <c r="M25" s="30">
        <f t="shared" si="1"/>
        <v>1318283.2987806576</v>
      </c>
      <c r="N25" s="30">
        <v>0</v>
      </c>
      <c r="O25" s="58">
        <f t="shared" si="10"/>
        <v>256810.95645764412</v>
      </c>
      <c r="P25" s="64">
        <f t="shared" si="2"/>
        <v>1061472.3423230136</v>
      </c>
      <c r="Q25" s="30">
        <f t="shared" ca="1" si="3"/>
        <v>143789.64823061205</v>
      </c>
      <c r="R25" s="65">
        <f t="shared" ca="1" si="4"/>
        <v>4066295.9924223647</v>
      </c>
      <c r="T25" s="70">
        <f t="shared" ca="1" si="5"/>
        <v>0</v>
      </c>
    </row>
    <row r="26" spans="2:20" x14ac:dyDescent="0.3">
      <c r="E26" s="7"/>
      <c r="F26" s="27">
        <v>22</v>
      </c>
      <c r="G26" s="42">
        <v>2042</v>
      </c>
      <c r="H26" s="51">
        <f t="shared" si="6"/>
        <v>1035417.4131226345</v>
      </c>
      <c r="I26" s="28">
        <f t="shared" si="0"/>
        <v>724792.18918584415</v>
      </c>
      <c r="J26" s="29">
        <f t="shared" si="7"/>
        <v>310625.22393679037</v>
      </c>
      <c r="K26" s="52">
        <f t="shared" si="11"/>
        <v>0.99999999999999989</v>
      </c>
      <c r="L26" s="45">
        <f t="shared" si="9"/>
        <v>1.3022062001966481</v>
      </c>
      <c r="M26" s="30">
        <f t="shared" si="1"/>
        <v>1348326.9751598688</v>
      </c>
      <c r="N26" s="30">
        <v>0</v>
      </c>
      <c r="O26" s="58">
        <f t="shared" si="10"/>
        <v>264515.28515137342</v>
      </c>
      <c r="P26" s="64">
        <f t="shared" si="2"/>
        <v>1083811.6900084955</v>
      </c>
      <c r="Q26" s="30">
        <f t="shared" ca="1" si="3"/>
        <v>133484.49237385241</v>
      </c>
      <c r="R26" s="65">
        <f t="shared" ca="1" si="4"/>
        <v>4199780.4847962167</v>
      </c>
      <c r="T26" s="70">
        <f t="shared" ca="1" si="5"/>
        <v>0</v>
      </c>
    </row>
    <row r="27" spans="2:20" x14ac:dyDescent="0.3">
      <c r="B27" s="37" t="s">
        <v>1</v>
      </c>
      <c r="C27" s="38"/>
      <c r="F27" s="27">
        <v>23</v>
      </c>
      <c r="G27" s="42">
        <v>2043</v>
      </c>
      <c r="H27" s="51">
        <f t="shared" si="6"/>
        <v>1028169.4912307761</v>
      </c>
      <c r="I27" s="28">
        <f t="shared" si="0"/>
        <v>719718.64386154315</v>
      </c>
      <c r="J27" s="29">
        <f t="shared" si="7"/>
        <v>308450.84736923291</v>
      </c>
      <c r="K27" s="52">
        <f t="shared" si="11"/>
        <v>0.99999999999999989</v>
      </c>
      <c r="L27" s="45">
        <f t="shared" si="9"/>
        <v>1.3412723862025475</v>
      </c>
      <c r="M27" s="30">
        <f t="shared" si="1"/>
        <v>1379055.3469237622</v>
      </c>
      <c r="N27" s="30">
        <f>300000</f>
        <v>300000</v>
      </c>
      <c r="O27" s="58">
        <f t="shared" si="10"/>
        <v>272450.74370591465</v>
      </c>
      <c r="P27" s="64">
        <f t="shared" si="2"/>
        <v>806604.60321784765</v>
      </c>
      <c r="Q27" s="30">
        <f t="shared" ca="1" si="3"/>
        <v>90322.453071369993</v>
      </c>
      <c r="R27" s="65">
        <f t="shared" ca="1" si="4"/>
        <v>4290102.9378675865</v>
      </c>
      <c r="T27" s="70">
        <f t="shared" ca="1" si="5"/>
        <v>0</v>
      </c>
    </row>
    <row r="28" spans="2:20" x14ac:dyDescent="0.3">
      <c r="B28" s="89" t="s">
        <v>3</v>
      </c>
      <c r="C28" s="90">
        <f>SUM(C32:C37)</f>
        <v>0.99999999999999989</v>
      </c>
      <c r="D28" s="83"/>
      <c r="F28" s="27">
        <v>24</v>
      </c>
      <c r="G28" s="42">
        <v>2044</v>
      </c>
      <c r="H28" s="51">
        <f t="shared" si="6"/>
        <v>1020972.3047921606</v>
      </c>
      <c r="I28" s="28">
        <f t="shared" si="0"/>
        <v>714680.61335451237</v>
      </c>
      <c r="J28" s="29">
        <f t="shared" si="7"/>
        <v>306291.69143764826</v>
      </c>
      <c r="K28" s="52">
        <f t="shared" si="11"/>
        <v>0.99999999999999989</v>
      </c>
      <c r="L28" s="45">
        <f t="shared" si="9"/>
        <v>1.381510557788624</v>
      </c>
      <c r="M28" s="30">
        <f t="shared" si="1"/>
        <v>1410484.0182801548</v>
      </c>
      <c r="N28" s="30">
        <v>0</v>
      </c>
      <c r="O28" s="58">
        <f t="shared" si="10"/>
        <v>280624.2660170921</v>
      </c>
      <c r="P28" s="64">
        <f t="shared" si="2"/>
        <v>1129859.7522630626</v>
      </c>
      <c r="Q28" s="30">
        <f t="shared" ca="1" si="3"/>
        <v>115031.71935929822</v>
      </c>
      <c r="R28" s="65">
        <f t="shared" ca="1" si="4"/>
        <v>4405134.6572268847</v>
      </c>
      <c r="T28" s="70">
        <f t="shared" ca="1" si="5"/>
        <v>0</v>
      </c>
    </row>
    <row r="29" spans="2:20" ht="15" thickBot="1" x14ac:dyDescent="0.35">
      <c r="B29" s="34" t="s">
        <v>42</v>
      </c>
      <c r="C29" s="85">
        <f>SUM(C32,C35:C37)</f>
        <v>0.66</v>
      </c>
      <c r="D29" s="77"/>
      <c r="F29" s="31">
        <v>25</v>
      </c>
      <c r="G29" s="43">
        <v>2045</v>
      </c>
      <c r="H29" s="53">
        <f t="shared" si="6"/>
        <v>1013825.4986586155</v>
      </c>
      <c r="I29" s="54">
        <f t="shared" si="0"/>
        <v>709677.84906103078</v>
      </c>
      <c r="J29" s="55">
        <f t="shared" si="7"/>
        <v>304147.64959758474</v>
      </c>
      <c r="K29" s="56">
        <f t="shared" si="11"/>
        <v>0.99999999999999989</v>
      </c>
      <c r="L29" s="46">
        <f t="shared" si="9"/>
        <v>1.4229558745222828</v>
      </c>
      <c r="M29" s="32">
        <f t="shared" si="1"/>
        <v>1442628.9490567595</v>
      </c>
      <c r="N29" s="32">
        <v>0</v>
      </c>
      <c r="O29" s="59">
        <f t="shared" si="10"/>
        <v>289042.99399760488</v>
      </c>
      <c r="P29" s="67">
        <f t="shared" si="2"/>
        <v>1153585.9550591547</v>
      </c>
      <c r="Q29" s="68">
        <f t="shared" ca="1" si="3"/>
        <v>106782.74410887243</v>
      </c>
      <c r="R29" s="69">
        <f t="shared" ca="1" si="4"/>
        <v>4511917.4013357572</v>
      </c>
      <c r="T29" s="71">
        <f t="shared" ca="1" si="5"/>
        <v>0</v>
      </c>
    </row>
    <row r="30" spans="2:20" x14ac:dyDescent="0.3">
      <c r="B30" s="87" t="s">
        <v>4</v>
      </c>
      <c r="C30" s="88">
        <f>C32</f>
        <v>0.38</v>
      </c>
      <c r="D30" s="77"/>
      <c r="G30" s="1"/>
      <c r="H30" s="5"/>
      <c r="I30" s="4"/>
      <c r="J30" s="5"/>
      <c r="K30" s="6"/>
      <c r="L30" s="3"/>
      <c r="M30" s="8"/>
      <c r="O30" s="170" t="s">
        <v>143</v>
      </c>
      <c r="P30" s="169">
        <f ca="1">Q30*(1+$W$8)^25*'Visão Geral'!$D$5</f>
        <v>14626001.550749337</v>
      </c>
      <c r="Q30" s="126">
        <f ca="1">W11</f>
        <v>1353869.2752631078</v>
      </c>
    </row>
    <row r="31" spans="2:20" x14ac:dyDescent="0.3">
      <c r="B31" s="91" t="s">
        <v>56</v>
      </c>
      <c r="C31" s="92"/>
      <c r="D31" s="77"/>
      <c r="O31" s="140" t="s">
        <v>139</v>
      </c>
      <c r="P31" s="138">
        <f>P29/P28-1</f>
        <v>2.0999245922840748E-2</v>
      </c>
      <c r="Q31" s="164"/>
    </row>
    <row r="32" spans="2:20" x14ac:dyDescent="0.3">
      <c r="B32" s="36" t="s">
        <v>57</v>
      </c>
      <c r="C32" s="84">
        <v>0.38</v>
      </c>
    </row>
    <row r="33" spans="2:3" x14ac:dyDescent="0.3">
      <c r="B33" s="34" t="s">
        <v>5</v>
      </c>
      <c r="C33" s="85">
        <v>0.06</v>
      </c>
    </row>
    <row r="34" spans="2:3" x14ac:dyDescent="0.3">
      <c r="B34" s="34" t="s">
        <v>6</v>
      </c>
      <c r="C34" s="85">
        <v>0.28000000000000003</v>
      </c>
    </row>
    <row r="35" spans="2:3" x14ac:dyDescent="0.3">
      <c r="B35" s="34" t="s">
        <v>7</v>
      </c>
      <c r="C35" s="85">
        <v>0.08</v>
      </c>
    </row>
    <row r="36" spans="2:3" x14ac:dyDescent="0.3">
      <c r="B36" s="34" t="s">
        <v>8</v>
      </c>
      <c r="C36" s="85">
        <v>0.08</v>
      </c>
    </row>
    <row r="37" spans="2:3" x14ac:dyDescent="0.3">
      <c r="B37" s="35" t="s">
        <v>9</v>
      </c>
      <c r="C37" s="86">
        <v>0.12</v>
      </c>
    </row>
    <row r="38" spans="2:3" x14ac:dyDescent="0.3"/>
    <row r="39" spans="2:3" x14ac:dyDescent="0.3"/>
  </sheetData>
  <dataValidations count="1">
    <dataValidation type="list" allowBlank="1" showInputMessage="1" showErrorMessage="1" sqref="C16 C14" xr:uid="{00000000-0002-0000-0200-000000000000}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showGridLines="0" workbookViewId="0">
      <selection activeCell="P31" sqref="P31"/>
    </sheetView>
  </sheetViews>
  <sheetFormatPr defaultColWidth="0" defaultRowHeight="14.4" zeroHeight="1" x14ac:dyDescent="0.3"/>
  <cols>
    <col min="1" max="1" width="3.33203125" customWidth="1"/>
    <col min="2" max="2" width="28.33203125" bestFit="1" customWidth="1"/>
    <col min="3" max="3" width="11.77734375" bestFit="1" customWidth="1"/>
    <col min="4" max="4" width="14.33203125" customWidth="1"/>
    <col min="5" max="5" width="5.21875" customWidth="1"/>
    <col min="6" max="6" width="8.77734375" customWidth="1"/>
    <col min="7" max="7" width="12.77734375" customWidth="1"/>
    <col min="8" max="8" width="15.44140625" customWidth="1"/>
    <col min="9" max="9" width="13.109375" bestFit="1" customWidth="1"/>
    <col min="10" max="10" width="18.5546875" customWidth="1"/>
    <col min="11" max="11" width="15.5546875" customWidth="1"/>
    <col min="12" max="12" width="8.77734375" bestFit="1" customWidth="1"/>
    <col min="13" max="13" width="14.5546875" customWidth="1"/>
    <col min="14" max="14" width="15" customWidth="1"/>
    <col min="15" max="15" width="13.77734375" customWidth="1"/>
    <col min="16" max="16" width="18.5546875" customWidth="1"/>
    <col min="17" max="17" width="12.6640625" bestFit="1" customWidth="1"/>
    <col min="18" max="18" width="15.21875" bestFit="1" customWidth="1"/>
    <col min="19" max="19" width="2.77734375" customWidth="1"/>
    <col min="20" max="20" width="8.77734375" customWidth="1"/>
    <col min="21" max="21" width="2.44140625" customWidth="1"/>
    <col min="22" max="22" width="14.77734375" customWidth="1"/>
    <col min="23" max="23" width="15.6640625" bestFit="1" customWidth="1"/>
    <col min="24" max="24" width="3.109375" customWidth="1"/>
    <col min="25" max="25" width="0" hidden="1" customWidth="1"/>
    <col min="26" max="16384" width="8.77734375" hidden="1"/>
  </cols>
  <sheetData>
    <row r="1" spans="2:23" ht="15" thickBot="1" x14ac:dyDescent="0.35">
      <c r="H1" s="1"/>
      <c r="K1" s="1"/>
      <c r="L1" s="1"/>
    </row>
    <row r="2" spans="2:23" x14ac:dyDescent="0.3"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3" t="s">
        <v>28</v>
      </c>
      <c r="V2" s="9" t="s">
        <v>44</v>
      </c>
      <c r="W2" s="13"/>
    </row>
    <row r="3" spans="2:23" ht="27.6" x14ac:dyDescent="0.3">
      <c r="B3" s="104" t="s">
        <v>37</v>
      </c>
      <c r="C3" s="39"/>
      <c r="F3" s="21" t="s">
        <v>2</v>
      </c>
      <c r="G3" s="40"/>
      <c r="H3" s="47" t="s">
        <v>69</v>
      </c>
      <c r="I3" s="22" t="s">
        <v>13</v>
      </c>
      <c r="J3" s="22" t="s">
        <v>14</v>
      </c>
      <c r="K3" s="48" t="s">
        <v>16</v>
      </c>
      <c r="L3" s="23" t="s">
        <v>15</v>
      </c>
      <c r="M3" s="23" t="s">
        <v>17</v>
      </c>
      <c r="N3" s="23" t="s">
        <v>18</v>
      </c>
      <c r="O3" s="23" t="s">
        <v>19</v>
      </c>
      <c r="P3" s="60" t="s">
        <v>20</v>
      </c>
      <c r="Q3" s="23" t="s">
        <v>22</v>
      </c>
      <c r="R3" s="61" t="s">
        <v>23</v>
      </c>
      <c r="T3" s="96" t="s">
        <v>24</v>
      </c>
      <c r="V3" s="72"/>
      <c r="W3" s="73"/>
    </row>
    <row r="4" spans="2:23" x14ac:dyDescent="0.3">
      <c r="B4" s="16" t="s">
        <v>21</v>
      </c>
      <c r="C4" s="17">
        <f>SUMPRODUCT(C22:C25,D22:D25)</f>
        <v>3401920</v>
      </c>
      <c r="D4" s="82"/>
      <c r="F4" s="24">
        <v>0</v>
      </c>
      <c r="G4" s="41">
        <v>2020</v>
      </c>
      <c r="H4" s="49">
        <v>0</v>
      </c>
      <c r="I4" s="25">
        <v>0</v>
      </c>
      <c r="J4" s="25">
        <v>0</v>
      </c>
      <c r="K4" s="50"/>
      <c r="L4" s="44">
        <v>0</v>
      </c>
      <c r="M4" s="26">
        <v>0</v>
      </c>
      <c r="N4" s="26">
        <v>0</v>
      </c>
      <c r="O4" s="57">
        <v>0</v>
      </c>
      <c r="P4" s="62">
        <f>-$C$4</f>
        <v>-3401920</v>
      </c>
      <c r="Q4" s="26">
        <f>P4</f>
        <v>-3401920</v>
      </c>
      <c r="R4" s="63">
        <f>Q4</f>
        <v>-3401920</v>
      </c>
      <c r="T4" s="70">
        <f>IF(R4&lt;0,1,0)</f>
        <v>1</v>
      </c>
      <c r="V4" s="98" t="s">
        <v>45</v>
      </c>
      <c r="W4" s="99">
        <f>$C$4/P5</f>
        <v>5.0782201628890107</v>
      </c>
    </row>
    <row r="5" spans="2:23" x14ac:dyDescent="0.3">
      <c r="B5" s="18" t="s">
        <v>29</v>
      </c>
      <c r="C5" s="97">
        <f>100000</f>
        <v>100000</v>
      </c>
      <c r="D5" s="74"/>
      <c r="F5" s="27">
        <v>1</v>
      </c>
      <c r="G5" s="42">
        <v>2021</v>
      </c>
      <c r="H5" s="51">
        <f>$C$7</f>
        <v>1200000</v>
      </c>
      <c r="I5" s="28">
        <f t="shared" ref="I5:I29" si="0">$C$8*H5</f>
        <v>840000</v>
      </c>
      <c r="J5" s="29">
        <f>H5-I5</f>
        <v>360000</v>
      </c>
      <c r="K5" s="52">
        <f>$C$15</f>
        <v>0.99999999999999989</v>
      </c>
      <c r="L5" s="45">
        <f>$C$12</f>
        <v>0.7</v>
      </c>
      <c r="M5" s="30">
        <f t="shared" ref="M5:M29" si="1">(I5*L5*100%)+(J5*L5*K5)</f>
        <v>840000</v>
      </c>
      <c r="N5" s="30">
        <v>0</v>
      </c>
      <c r="O5" s="58">
        <f>C10</f>
        <v>170096</v>
      </c>
      <c r="P5" s="64">
        <f t="shared" ref="P5:P29" si="2">M5-N5-O5</f>
        <v>669904</v>
      </c>
      <c r="Q5" s="30">
        <f t="shared" ref="Q5:Q29" ca="1" si="3">P5/(1+$C$18)^F5</f>
        <v>609074.77811126609</v>
      </c>
      <c r="R5" s="65">
        <f t="shared" ref="R5:R29" ca="1" si="4">R4+Q5</f>
        <v>-2792845.221888734</v>
      </c>
      <c r="T5" s="70">
        <f t="shared" ref="T5:T29" ca="1" si="5">IF(R5&lt;0,1,0)</f>
        <v>1</v>
      </c>
      <c r="V5" s="100" t="s">
        <v>46</v>
      </c>
      <c r="W5" s="101">
        <f ca="1">SUM(T4:T29)+ABS(OFFSET(R4,SUM(T4:T29)-1,0,1,1))/OFFSET(Q4,SUM(T4:T29),0,1,1)</f>
        <v>8.1421343883243171</v>
      </c>
    </row>
    <row r="6" spans="2:23" x14ac:dyDescent="0.3">
      <c r="B6" s="18" t="s">
        <v>31</v>
      </c>
      <c r="C6" s="97">
        <f>C5*12</f>
        <v>1200000</v>
      </c>
      <c r="D6" s="74"/>
      <c r="F6" s="27">
        <v>2</v>
      </c>
      <c r="G6" s="42">
        <v>2022</v>
      </c>
      <c r="H6" s="51">
        <f t="shared" ref="H6:H29" si="6">(1-$C$9)*H5</f>
        <v>1182000</v>
      </c>
      <c r="I6" s="28">
        <f t="shared" si="0"/>
        <v>827400</v>
      </c>
      <c r="J6" s="29">
        <f t="shared" ref="J6:J29" si="7">H6-I6</f>
        <v>354600</v>
      </c>
      <c r="K6" s="52">
        <f t="shared" ref="K6:K14" si="8">$C$15</f>
        <v>0.99999999999999989</v>
      </c>
      <c r="L6" s="45">
        <f t="shared" ref="L6:L29" si="9">L5*(1+$C$13)</f>
        <v>0.72099999999999997</v>
      </c>
      <c r="M6" s="30">
        <f t="shared" si="1"/>
        <v>852222</v>
      </c>
      <c r="N6" s="30">
        <v>0</v>
      </c>
      <c r="O6" s="58">
        <f t="shared" ref="O6:O29" si="10">O5*(1+$C$11)</f>
        <v>175198.88</v>
      </c>
      <c r="P6" s="64">
        <f t="shared" si="2"/>
        <v>677023.12</v>
      </c>
      <c r="Q6" s="30">
        <f t="shared" ca="1" si="3"/>
        <v>559653.97053440288</v>
      </c>
      <c r="R6" s="65">
        <f t="shared" ca="1" si="4"/>
        <v>-2233191.2513543312</v>
      </c>
      <c r="T6" s="70">
        <f t="shared" ca="1" si="5"/>
        <v>1</v>
      </c>
      <c r="V6" s="100" t="s">
        <v>47</v>
      </c>
      <c r="W6" s="102">
        <f ca="1">SUM(Q4:Q29)+W11</f>
        <v>3083807.5052879606</v>
      </c>
    </row>
    <row r="7" spans="2:23" x14ac:dyDescent="0.3">
      <c r="B7" s="18" t="s">
        <v>30</v>
      </c>
      <c r="C7" s="97">
        <f>C6</f>
        <v>1200000</v>
      </c>
      <c r="D7" s="74"/>
      <c r="F7" s="27">
        <v>3</v>
      </c>
      <c r="G7" s="42">
        <v>2023</v>
      </c>
      <c r="H7" s="51">
        <f t="shared" si="6"/>
        <v>1164270</v>
      </c>
      <c r="I7" s="28">
        <f t="shared" si="0"/>
        <v>814989</v>
      </c>
      <c r="J7" s="29">
        <f t="shared" si="7"/>
        <v>349281</v>
      </c>
      <c r="K7" s="52">
        <f t="shared" si="8"/>
        <v>0.99999999999999989</v>
      </c>
      <c r="L7" s="45">
        <f t="shared" si="9"/>
        <v>0.74263000000000001</v>
      </c>
      <c r="M7" s="30">
        <f t="shared" si="1"/>
        <v>864621.83010000002</v>
      </c>
      <c r="N7" s="30">
        <v>0</v>
      </c>
      <c r="O7" s="58">
        <f t="shared" si="10"/>
        <v>180454.84640000001</v>
      </c>
      <c r="P7" s="64">
        <f t="shared" si="2"/>
        <v>684166.98369999998</v>
      </c>
      <c r="Q7" s="30">
        <f t="shared" ca="1" si="3"/>
        <v>514204.94210193784</v>
      </c>
      <c r="R7" s="65">
        <f t="shared" ca="1" si="4"/>
        <v>-1718986.3092523934</v>
      </c>
      <c r="T7" s="70">
        <f t="shared" ca="1" si="5"/>
        <v>1</v>
      </c>
      <c r="V7" s="100" t="s">
        <v>48</v>
      </c>
      <c r="W7" s="166">
        <f ca="1">IRR(P4:P30)</f>
        <v>0.19734622949971325</v>
      </c>
    </row>
    <row r="8" spans="2:23" x14ac:dyDescent="0.3">
      <c r="B8" s="18" t="s">
        <v>32</v>
      </c>
      <c r="C8" s="105">
        <v>0.7</v>
      </c>
      <c r="D8" s="74"/>
      <c r="F8" s="27">
        <v>4</v>
      </c>
      <c r="G8" s="42">
        <v>2024</v>
      </c>
      <c r="H8" s="51">
        <f t="shared" si="6"/>
        <v>1146805.95</v>
      </c>
      <c r="I8" s="28">
        <f t="shared" si="0"/>
        <v>802764.16499999992</v>
      </c>
      <c r="J8" s="29">
        <f t="shared" si="7"/>
        <v>344041.78500000003</v>
      </c>
      <c r="K8" s="52">
        <f t="shared" si="8"/>
        <v>0.99999999999999989</v>
      </c>
      <c r="L8" s="45">
        <f t="shared" si="9"/>
        <v>0.7649089</v>
      </c>
      <c r="M8" s="30">
        <f t="shared" si="1"/>
        <v>877202.07772795483</v>
      </c>
      <c r="N8" s="30">
        <v>0</v>
      </c>
      <c r="O8" s="58">
        <f t="shared" si="10"/>
        <v>185868.49179200002</v>
      </c>
      <c r="P8" s="64">
        <f t="shared" si="2"/>
        <v>691333.58593595482</v>
      </c>
      <c r="Q8" s="30">
        <f t="shared" ca="1" si="3"/>
        <v>472410.81863359036</v>
      </c>
      <c r="R8" s="65">
        <f t="shared" ca="1" si="4"/>
        <v>-1246575.4906188031</v>
      </c>
      <c r="T8" s="70">
        <f t="shared" ca="1" si="5"/>
        <v>1</v>
      </c>
      <c r="V8" s="100" t="s">
        <v>140</v>
      </c>
      <c r="W8" s="166">
        <f ca="1">$C$18</f>
        <v>9.9871516724702708E-2</v>
      </c>
    </row>
    <row r="9" spans="2:23" x14ac:dyDescent="0.3">
      <c r="B9" s="18" t="s">
        <v>33</v>
      </c>
      <c r="C9" s="122">
        <v>1.4999999999999999E-2</v>
      </c>
      <c r="D9" s="75"/>
      <c r="F9" s="27">
        <v>5</v>
      </c>
      <c r="G9" s="42">
        <v>2025</v>
      </c>
      <c r="H9" s="51">
        <f t="shared" si="6"/>
        <v>1129603.86075</v>
      </c>
      <c r="I9" s="28">
        <f t="shared" si="0"/>
        <v>790722.70252499997</v>
      </c>
      <c r="J9" s="29">
        <f t="shared" si="7"/>
        <v>338881.15822500002</v>
      </c>
      <c r="K9" s="52">
        <f t="shared" si="8"/>
        <v>0.99999999999999989</v>
      </c>
      <c r="L9" s="45">
        <f t="shared" si="9"/>
        <v>0.78785616700000005</v>
      </c>
      <c r="M9" s="30">
        <f t="shared" si="1"/>
        <v>889965.36795889679</v>
      </c>
      <c r="N9" s="30">
        <v>0</v>
      </c>
      <c r="O9" s="58">
        <f t="shared" si="10"/>
        <v>191444.54654576001</v>
      </c>
      <c r="P9" s="64">
        <f t="shared" si="2"/>
        <v>698520.82141313679</v>
      </c>
      <c r="Q9" s="30">
        <f t="shared" ca="1" si="3"/>
        <v>433979.86411714787</v>
      </c>
      <c r="R9" s="65">
        <f t="shared" ca="1" si="4"/>
        <v>-812595.62650165521</v>
      </c>
      <c r="T9" s="70">
        <f t="shared" ca="1" si="5"/>
        <v>1</v>
      </c>
      <c r="V9" s="100" t="s">
        <v>141</v>
      </c>
      <c r="W9" s="166">
        <f>$P$31</f>
        <v>6.1510089339751328E-3</v>
      </c>
    </row>
    <row r="10" spans="2:23" x14ac:dyDescent="0.3">
      <c r="B10" s="18" t="s">
        <v>135</v>
      </c>
      <c r="C10" s="19">
        <f>0.05*C4</f>
        <v>170096</v>
      </c>
      <c r="D10" s="75"/>
      <c r="F10" s="27">
        <v>6</v>
      </c>
      <c r="G10" s="42">
        <v>2026</v>
      </c>
      <c r="H10" s="51">
        <f t="shared" si="6"/>
        <v>1112659.80283875</v>
      </c>
      <c r="I10" s="28">
        <f t="shared" si="0"/>
        <v>778861.8619871249</v>
      </c>
      <c r="J10" s="29">
        <f t="shared" si="7"/>
        <v>333797.94085162506</v>
      </c>
      <c r="K10" s="52">
        <f t="shared" si="8"/>
        <v>0.99999999999999989</v>
      </c>
      <c r="L10" s="45">
        <f t="shared" si="9"/>
        <v>0.81149185201000007</v>
      </c>
      <c r="M10" s="30">
        <f t="shared" si="1"/>
        <v>902914.36406269867</v>
      </c>
      <c r="N10" s="30">
        <v>0</v>
      </c>
      <c r="O10" s="58">
        <f t="shared" si="10"/>
        <v>197187.88294213283</v>
      </c>
      <c r="P10" s="64">
        <f t="shared" si="2"/>
        <v>705726.48112056591</v>
      </c>
      <c r="Q10" s="30">
        <f t="shared" ca="1" si="3"/>
        <v>398643.49525718525</v>
      </c>
      <c r="R10" s="65">
        <f t="shared" ca="1" si="4"/>
        <v>-413952.13124446996</v>
      </c>
      <c r="T10" s="70">
        <f t="shared" ca="1" si="5"/>
        <v>1</v>
      </c>
      <c r="V10" s="100" t="s">
        <v>142</v>
      </c>
      <c r="W10" s="102">
        <f ca="1">Q29</f>
        <v>57512.986218094229</v>
      </c>
    </row>
    <row r="11" spans="2:23" x14ac:dyDescent="0.3">
      <c r="B11" s="18" t="s">
        <v>35</v>
      </c>
      <c r="C11" s="122">
        <v>0.03</v>
      </c>
      <c r="D11" s="74"/>
      <c r="F11" s="27">
        <v>7</v>
      </c>
      <c r="G11" s="42">
        <v>2027</v>
      </c>
      <c r="H11" s="51">
        <f t="shared" si="6"/>
        <v>1095969.9057961686</v>
      </c>
      <c r="I11" s="28">
        <f t="shared" si="0"/>
        <v>767178.93405731802</v>
      </c>
      <c r="J11" s="29">
        <f t="shared" si="7"/>
        <v>328790.97173885058</v>
      </c>
      <c r="K11" s="52">
        <f t="shared" si="8"/>
        <v>0.99999999999999989</v>
      </c>
      <c r="L11" s="45">
        <f t="shared" si="9"/>
        <v>0.83583660757030009</v>
      </c>
      <c r="M11" s="30">
        <f t="shared" si="1"/>
        <v>916051.76805981086</v>
      </c>
      <c r="N11" s="30">
        <v>0</v>
      </c>
      <c r="O11" s="58">
        <f t="shared" si="10"/>
        <v>203103.51943039682</v>
      </c>
      <c r="P11" s="64">
        <f t="shared" si="2"/>
        <v>712948.24862941401</v>
      </c>
      <c r="Q11" s="30">
        <f t="shared" ca="1" si="3"/>
        <v>366154.45229099167</v>
      </c>
      <c r="R11" s="65">
        <f t="shared" ca="1" si="4"/>
        <v>-47797.678953478287</v>
      </c>
      <c r="T11" s="70">
        <f t="shared" ca="1" si="5"/>
        <v>1</v>
      </c>
      <c r="V11" s="103" t="s">
        <v>143</v>
      </c>
      <c r="W11" s="167">
        <f ca="1">W10/(W8-W9)*'Visão Geral'!$D$5</f>
        <v>613664.90188590705</v>
      </c>
    </row>
    <row r="12" spans="2:23" x14ac:dyDescent="0.3">
      <c r="B12" s="18" t="s">
        <v>68</v>
      </c>
      <c r="C12" s="19">
        <v>0.7</v>
      </c>
      <c r="D12" s="75"/>
      <c r="F12" s="27">
        <v>8</v>
      </c>
      <c r="G12" s="42">
        <v>2028</v>
      </c>
      <c r="H12" s="51">
        <f t="shared" si="6"/>
        <v>1079530.3572092261</v>
      </c>
      <c r="I12" s="28">
        <f t="shared" si="0"/>
        <v>755671.25004645821</v>
      </c>
      <c r="J12" s="29">
        <f t="shared" si="7"/>
        <v>323859.1071627679</v>
      </c>
      <c r="K12" s="52">
        <f t="shared" si="8"/>
        <v>0.99999999999999989</v>
      </c>
      <c r="L12" s="45">
        <f t="shared" si="9"/>
        <v>0.86091170579740917</v>
      </c>
      <c r="M12" s="30">
        <f t="shared" si="1"/>
        <v>929380.32128508121</v>
      </c>
      <c r="N12" s="30">
        <v>0</v>
      </c>
      <c r="O12" s="58">
        <f t="shared" si="10"/>
        <v>209196.62501330872</v>
      </c>
      <c r="P12" s="64">
        <f t="shared" si="2"/>
        <v>720183.6962717725</v>
      </c>
      <c r="Q12" s="30">
        <f t="shared" ca="1" si="3"/>
        <v>336285.11380662833</v>
      </c>
      <c r="R12" s="65">
        <f t="shared" ca="1" si="4"/>
        <v>288487.43485315004</v>
      </c>
      <c r="T12" s="70">
        <f t="shared" ca="1" si="5"/>
        <v>0</v>
      </c>
    </row>
    <row r="13" spans="2:23" x14ac:dyDescent="0.3">
      <c r="B13" s="18" t="s">
        <v>67</v>
      </c>
      <c r="C13" s="163">
        <v>0.03</v>
      </c>
      <c r="D13" s="74"/>
      <c r="F13" s="27">
        <v>9</v>
      </c>
      <c r="G13" s="42">
        <v>2029</v>
      </c>
      <c r="H13" s="51">
        <f t="shared" si="6"/>
        <v>1063337.4018510878</v>
      </c>
      <c r="I13" s="28">
        <f t="shared" si="0"/>
        <v>744336.18129576137</v>
      </c>
      <c r="J13" s="29">
        <f t="shared" si="7"/>
        <v>319001.22055532644</v>
      </c>
      <c r="K13" s="52">
        <f t="shared" si="8"/>
        <v>0.99999999999999989</v>
      </c>
      <c r="L13" s="45">
        <f t="shared" si="9"/>
        <v>0.88673905697133149</v>
      </c>
      <c r="M13" s="30">
        <f t="shared" si="1"/>
        <v>942902.80495977937</v>
      </c>
      <c r="N13" s="30">
        <v>0</v>
      </c>
      <c r="O13" s="58">
        <f t="shared" si="10"/>
        <v>215472.52376370798</v>
      </c>
      <c r="P13" s="64">
        <f t="shared" si="2"/>
        <v>727430.28119607142</v>
      </c>
      <c r="Q13" s="30">
        <f t="shared" ca="1" si="3"/>
        <v>308825.94425857125</v>
      </c>
      <c r="R13" s="65">
        <f t="shared" ca="1" si="4"/>
        <v>597313.3791117213</v>
      </c>
      <c r="T13" s="70">
        <f t="shared" ca="1" si="5"/>
        <v>0</v>
      </c>
    </row>
    <row r="14" spans="2:23" x14ac:dyDescent="0.3">
      <c r="B14" s="18" t="s">
        <v>40</v>
      </c>
      <c r="C14" s="19" t="s">
        <v>3</v>
      </c>
      <c r="D14" s="74"/>
      <c r="F14" s="27">
        <v>10</v>
      </c>
      <c r="G14" s="42">
        <v>2030</v>
      </c>
      <c r="H14" s="51">
        <f t="shared" si="6"/>
        <v>1047387.3408233215</v>
      </c>
      <c r="I14" s="28">
        <f t="shared" si="0"/>
        <v>733171.13857632503</v>
      </c>
      <c r="J14" s="29">
        <f t="shared" si="7"/>
        <v>314216.20224699646</v>
      </c>
      <c r="K14" s="52">
        <f t="shared" si="8"/>
        <v>0.99999999999999989</v>
      </c>
      <c r="L14" s="45">
        <f t="shared" si="9"/>
        <v>0.91334122868047141</v>
      </c>
      <c r="M14" s="30">
        <f t="shared" si="1"/>
        <v>956622.04077194398</v>
      </c>
      <c r="N14" s="30">
        <v>0</v>
      </c>
      <c r="O14" s="58">
        <f t="shared" si="10"/>
        <v>221936.69947661922</v>
      </c>
      <c r="P14" s="64">
        <f t="shared" si="2"/>
        <v>734685.34129532473</v>
      </c>
      <c r="Q14" s="30">
        <f t="shared" ca="1" si="3"/>
        <v>283584.06376182637</v>
      </c>
      <c r="R14" s="65">
        <f t="shared" ca="1" si="4"/>
        <v>880897.44287354767</v>
      </c>
      <c r="T14" s="70">
        <f t="shared" ca="1" si="5"/>
        <v>0</v>
      </c>
    </row>
    <row r="15" spans="2:23" x14ac:dyDescent="0.3">
      <c r="B15" s="18" t="s">
        <v>39</v>
      </c>
      <c r="C15" s="106">
        <f>VLOOKUP(C14,$B$28:$C$30,2,FALSE)</f>
        <v>0.99999999999999989</v>
      </c>
      <c r="D15" s="74"/>
      <c r="F15" s="27">
        <v>11</v>
      </c>
      <c r="G15" s="42">
        <v>2031</v>
      </c>
      <c r="H15" s="51">
        <f t="shared" si="6"/>
        <v>1031676.5307109717</v>
      </c>
      <c r="I15" s="28">
        <f t="shared" si="0"/>
        <v>722173.57149768015</v>
      </c>
      <c r="J15" s="29">
        <f t="shared" si="7"/>
        <v>309502.95921329153</v>
      </c>
      <c r="K15" s="52">
        <f>$C$17</f>
        <v>0.38</v>
      </c>
      <c r="L15" s="45">
        <f t="shared" si="9"/>
        <v>0.94074146554088556</v>
      </c>
      <c r="M15" s="30">
        <f t="shared" si="1"/>
        <v>790020.2856526532</v>
      </c>
      <c r="N15" s="30">
        <v>0</v>
      </c>
      <c r="O15" s="58">
        <f t="shared" si="10"/>
        <v>228594.80046091782</v>
      </c>
      <c r="P15" s="64">
        <f t="shared" si="2"/>
        <v>561425.48519173544</v>
      </c>
      <c r="Q15" s="30">
        <f t="shared" ca="1" si="3"/>
        <v>197029.20936323563</v>
      </c>
      <c r="R15" s="65">
        <f t="shared" ca="1" si="4"/>
        <v>1077926.6522367834</v>
      </c>
      <c r="T15" s="70">
        <f t="shared" ca="1" si="5"/>
        <v>0</v>
      </c>
    </row>
    <row r="16" spans="2:23" x14ac:dyDescent="0.3">
      <c r="B16" s="18" t="s">
        <v>41</v>
      </c>
      <c r="C16" s="19" t="s">
        <v>4</v>
      </c>
      <c r="D16" s="74"/>
      <c r="F16" s="27">
        <v>12</v>
      </c>
      <c r="G16" s="42">
        <v>2032</v>
      </c>
      <c r="H16" s="51">
        <f t="shared" si="6"/>
        <v>1016201.3827503071</v>
      </c>
      <c r="I16" s="28">
        <f t="shared" si="0"/>
        <v>711340.96792521491</v>
      </c>
      <c r="J16" s="29">
        <f t="shared" si="7"/>
        <v>304860.41482509219</v>
      </c>
      <c r="K16" s="52">
        <f t="shared" ref="K16:K29" si="11">$C$17</f>
        <v>0.38</v>
      </c>
      <c r="L16" s="45">
        <f t="shared" si="9"/>
        <v>0.96896370950711219</v>
      </c>
      <c r="M16" s="30">
        <f t="shared" si="1"/>
        <v>801515.08080889937</v>
      </c>
      <c r="N16" s="30">
        <v>300000</v>
      </c>
      <c r="O16" s="58">
        <f t="shared" si="10"/>
        <v>235452.64447474535</v>
      </c>
      <c r="P16" s="64">
        <f t="shared" si="2"/>
        <v>266062.43633415399</v>
      </c>
      <c r="Q16" s="30">
        <f t="shared" ca="1" si="3"/>
        <v>84894.606552819503</v>
      </c>
      <c r="R16" s="65">
        <f t="shared" ca="1" si="4"/>
        <v>1162821.2587896029</v>
      </c>
      <c r="T16" s="70">
        <f t="shared" ca="1" si="5"/>
        <v>0</v>
      </c>
    </row>
    <row r="17" spans="2:20" x14ac:dyDescent="0.3">
      <c r="B17" s="18" t="s">
        <v>38</v>
      </c>
      <c r="C17" s="106">
        <f>VLOOKUP(C16,$B$28:$C$30,2,FALSE)</f>
        <v>0.38</v>
      </c>
      <c r="D17" s="74"/>
      <c r="F17" s="27">
        <v>13</v>
      </c>
      <c r="G17" s="42">
        <v>2033</v>
      </c>
      <c r="H17" s="51">
        <f t="shared" si="6"/>
        <v>1000958.3620090524</v>
      </c>
      <c r="I17" s="28">
        <f t="shared" si="0"/>
        <v>700670.85340633662</v>
      </c>
      <c r="J17" s="29">
        <f t="shared" si="7"/>
        <v>300287.5086027158</v>
      </c>
      <c r="K17" s="52">
        <f t="shared" si="11"/>
        <v>0.38</v>
      </c>
      <c r="L17" s="45">
        <f t="shared" si="9"/>
        <v>0.99803262079232558</v>
      </c>
      <c r="M17" s="30">
        <f t="shared" si="1"/>
        <v>813177.12523466884</v>
      </c>
      <c r="N17" s="30">
        <v>0</v>
      </c>
      <c r="O17" s="58">
        <f t="shared" si="10"/>
        <v>242516.22380898771</v>
      </c>
      <c r="P17" s="64">
        <f t="shared" si="2"/>
        <v>570660.90142568108</v>
      </c>
      <c r="Q17" s="30">
        <f t="shared" ca="1" si="3"/>
        <v>165551.33951768413</v>
      </c>
      <c r="R17" s="65">
        <f t="shared" ca="1" si="4"/>
        <v>1328372.5983072871</v>
      </c>
      <c r="T17" s="70">
        <f t="shared" ca="1" si="5"/>
        <v>0</v>
      </c>
    </row>
    <row r="18" spans="2:20" x14ac:dyDescent="0.3">
      <c r="B18" s="20" t="s">
        <v>49</v>
      </c>
      <c r="C18" s="165">
        <f ca="1">'Visão Geral'!$C$4</f>
        <v>9.9871516724702708E-2</v>
      </c>
      <c r="D18" s="75"/>
      <c r="F18" s="27">
        <v>14</v>
      </c>
      <c r="G18" s="42">
        <v>2034</v>
      </c>
      <c r="H18" s="51">
        <f t="shared" si="6"/>
        <v>985943.98657891667</v>
      </c>
      <c r="I18" s="28">
        <f t="shared" si="0"/>
        <v>690160.79060524167</v>
      </c>
      <c r="J18" s="29">
        <f t="shared" si="7"/>
        <v>295783.195973675</v>
      </c>
      <c r="K18" s="52">
        <f t="shared" si="11"/>
        <v>0.38</v>
      </c>
      <c r="L18" s="45">
        <f t="shared" si="9"/>
        <v>1.0279735994160955</v>
      </c>
      <c r="M18" s="30">
        <f t="shared" si="1"/>
        <v>825008.85240683344</v>
      </c>
      <c r="N18" s="30">
        <v>0</v>
      </c>
      <c r="O18" s="58">
        <f t="shared" si="10"/>
        <v>249791.71052325735</v>
      </c>
      <c r="P18" s="64">
        <f t="shared" si="2"/>
        <v>575217.14188357606</v>
      </c>
      <c r="Q18" s="30">
        <f t="shared" ca="1" si="3"/>
        <v>151720.56298553271</v>
      </c>
      <c r="R18" s="65">
        <f t="shared" ca="1" si="4"/>
        <v>1480093.1612928198</v>
      </c>
      <c r="T18" s="70">
        <f t="shared" ca="1" si="5"/>
        <v>0</v>
      </c>
    </row>
    <row r="19" spans="2:20" x14ac:dyDescent="0.3">
      <c r="D19" s="76"/>
      <c r="F19" s="27">
        <v>15</v>
      </c>
      <c r="G19" s="42">
        <v>2035</v>
      </c>
      <c r="H19" s="51">
        <f t="shared" si="6"/>
        <v>971154.82678023295</v>
      </c>
      <c r="I19" s="28">
        <f t="shared" si="0"/>
        <v>679808.37874616298</v>
      </c>
      <c r="J19" s="29">
        <f t="shared" si="7"/>
        <v>291346.44803406997</v>
      </c>
      <c r="K19" s="52">
        <f t="shared" si="11"/>
        <v>0.38</v>
      </c>
      <c r="L19" s="45">
        <f t="shared" si="9"/>
        <v>1.0588128073985783</v>
      </c>
      <c r="M19" s="30">
        <f t="shared" si="1"/>
        <v>837012.73120935273</v>
      </c>
      <c r="N19" s="30">
        <v>0</v>
      </c>
      <c r="O19" s="58">
        <f t="shared" si="10"/>
        <v>257285.46183895509</v>
      </c>
      <c r="P19" s="64">
        <f t="shared" si="2"/>
        <v>579727.26937039767</v>
      </c>
      <c r="Q19" s="30">
        <f t="shared" ca="1" si="3"/>
        <v>139025.4788837113</v>
      </c>
      <c r="R19" s="65">
        <f t="shared" ca="1" si="4"/>
        <v>1619118.6401765312</v>
      </c>
      <c r="T19" s="70">
        <f t="shared" ca="1" si="5"/>
        <v>0</v>
      </c>
    </row>
    <row r="20" spans="2:20" x14ac:dyDescent="0.3">
      <c r="B20" s="14" t="s">
        <v>43</v>
      </c>
      <c r="C20" s="15"/>
      <c r="D20" s="15"/>
      <c r="F20" s="27">
        <v>16</v>
      </c>
      <c r="G20" s="42">
        <v>2036</v>
      </c>
      <c r="H20" s="51">
        <f t="shared" si="6"/>
        <v>956587.5043785295</v>
      </c>
      <c r="I20" s="28">
        <f t="shared" si="0"/>
        <v>669611.2530649706</v>
      </c>
      <c r="J20" s="29">
        <f t="shared" si="7"/>
        <v>286976.2513135589</v>
      </c>
      <c r="K20" s="52">
        <f t="shared" si="11"/>
        <v>0.38</v>
      </c>
      <c r="L20" s="45">
        <f t="shared" si="9"/>
        <v>1.0905771916205358</v>
      </c>
      <c r="M20" s="30">
        <f t="shared" si="1"/>
        <v>849191.26644844899</v>
      </c>
      <c r="N20" s="30">
        <v>0</v>
      </c>
      <c r="O20" s="58">
        <f t="shared" si="10"/>
        <v>265004.02569412376</v>
      </c>
      <c r="P20" s="64">
        <f t="shared" si="2"/>
        <v>584187.24075432518</v>
      </c>
      <c r="Q20" s="30">
        <f t="shared" ca="1" si="3"/>
        <v>127373.9985246156</v>
      </c>
      <c r="R20" s="65">
        <f t="shared" ca="1" si="4"/>
        <v>1746492.6387011467</v>
      </c>
      <c r="T20" s="70">
        <f t="shared" ca="1" si="5"/>
        <v>0</v>
      </c>
    </row>
    <row r="21" spans="2:20" x14ac:dyDescent="0.3">
      <c r="B21" s="14"/>
      <c r="C21" s="15" t="s">
        <v>51</v>
      </c>
      <c r="D21" s="78" t="s">
        <v>0</v>
      </c>
      <c r="F21" s="27">
        <v>17</v>
      </c>
      <c r="G21" s="42">
        <v>2037</v>
      </c>
      <c r="H21" s="51">
        <f t="shared" si="6"/>
        <v>942238.69181285158</v>
      </c>
      <c r="I21" s="28">
        <f t="shared" si="0"/>
        <v>659567.08426899603</v>
      </c>
      <c r="J21" s="29">
        <f t="shared" si="7"/>
        <v>282671.60754385556</v>
      </c>
      <c r="K21" s="52">
        <f t="shared" si="11"/>
        <v>0.38</v>
      </c>
      <c r="L21" s="45">
        <f t="shared" si="9"/>
        <v>1.1232945073691518</v>
      </c>
      <c r="M21" s="30">
        <f t="shared" si="1"/>
        <v>861546.99937527382</v>
      </c>
      <c r="N21" s="30">
        <v>0</v>
      </c>
      <c r="O21" s="58">
        <f t="shared" si="10"/>
        <v>272954.14646494749</v>
      </c>
      <c r="P21" s="64">
        <f t="shared" si="2"/>
        <v>588592.85291032633</v>
      </c>
      <c r="Q21" s="30">
        <f t="shared" ca="1" si="3"/>
        <v>116681.43028629462</v>
      </c>
      <c r="R21" s="66">
        <f t="shared" ca="1" si="4"/>
        <v>1863174.0689874412</v>
      </c>
      <c r="T21" s="70">
        <f t="shared" ca="1" si="5"/>
        <v>0</v>
      </c>
    </row>
    <row r="22" spans="2:20" x14ac:dyDescent="0.3">
      <c r="B22" s="93" t="s">
        <v>52</v>
      </c>
      <c r="C22" s="156">
        <f>ROUNDUP(C7/Investimentos!$C$9,0)</f>
        <v>1796</v>
      </c>
      <c r="D22" s="79">
        <f>Investimentos!$C$12</f>
        <v>950</v>
      </c>
      <c r="F22" s="27">
        <v>18</v>
      </c>
      <c r="G22" s="42">
        <v>2038</v>
      </c>
      <c r="H22" s="51">
        <f t="shared" si="6"/>
        <v>928105.11143565876</v>
      </c>
      <c r="I22" s="28">
        <f t="shared" si="0"/>
        <v>649673.57800496113</v>
      </c>
      <c r="J22" s="29">
        <f t="shared" si="7"/>
        <v>278431.53343069763</v>
      </c>
      <c r="K22" s="52">
        <f t="shared" si="11"/>
        <v>0.38</v>
      </c>
      <c r="L22" s="45">
        <f t="shared" si="9"/>
        <v>1.1569933425902263</v>
      </c>
      <c r="M22" s="30">
        <f t="shared" si="1"/>
        <v>874082.5082161841</v>
      </c>
      <c r="N22" s="30">
        <v>0</v>
      </c>
      <c r="O22" s="58">
        <f t="shared" si="10"/>
        <v>281142.77085889591</v>
      </c>
      <c r="P22" s="64">
        <f t="shared" si="2"/>
        <v>592939.73735728813</v>
      </c>
      <c r="Q22" s="30">
        <f t="shared" ca="1" si="3"/>
        <v>106869.88969603536</v>
      </c>
      <c r="R22" s="66">
        <f t="shared" ca="1" si="4"/>
        <v>1970043.9586834766</v>
      </c>
      <c r="T22" s="70">
        <f t="shared" ca="1" si="5"/>
        <v>0</v>
      </c>
    </row>
    <row r="23" spans="2:20" x14ac:dyDescent="0.3">
      <c r="B23" s="94" t="s">
        <v>53</v>
      </c>
      <c r="C23" s="157">
        <f>ROUNDUP(C22*Investimentos!$C$13/Investimentos!$F$3/1000,0)</f>
        <v>8</v>
      </c>
      <c r="D23" s="80">
        <f>Investimentos!$F$5</f>
        <v>40000</v>
      </c>
      <c r="F23" s="27">
        <v>19</v>
      </c>
      <c r="G23" s="42">
        <v>2039</v>
      </c>
      <c r="H23" s="51">
        <f t="shared" si="6"/>
        <v>914183.53476412385</v>
      </c>
      <c r="I23" s="28">
        <f t="shared" si="0"/>
        <v>639928.47433488665</v>
      </c>
      <c r="J23" s="29">
        <f t="shared" si="7"/>
        <v>274255.0604292372</v>
      </c>
      <c r="K23" s="52">
        <f t="shared" si="11"/>
        <v>0.38</v>
      </c>
      <c r="L23" s="45">
        <f t="shared" si="9"/>
        <v>1.1917031428679332</v>
      </c>
      <c r="M23" s="30">
        <f t="shared" si="1"/>
        <v>886800.40871072956</v>
      </c>
      <c r="N23" s="30">
        <v>0</v>
      </c>
      <c r="O23" s="58">
        <f t="shared" si="10"/>
        <v>289577.05398466281</v>
      </c>
      <c r="P23" s="64">
        <f t="shared" si="2"/>
        <v>597223.35472606681</v>
      </c>
      <c r="Q23" s="30">
        <f t="shared" ca="1" si="3"/>
        <v>97867.75629869102</v>
      </c>
      <c r="R23" s="65">
        <f t="shared" ca="1" si="4"/>
        <v>2067911.7149821676</v>
      </c>
      <c r="T23" s="70">
        <f t="shared" ca="1" si="5"/>
        <v>0</v>
      </c>
    </row>
    <row r="24" spans="2:20" x14ac:dyDescent="0.3">
      <c r="B24" s="94" t="s">
        <v>131</v>
      </c>
      <c r="C24" s="157">
        <v>1</v>
      </c>
      <c r="D24" s="80">
        <f>SUMPRODUCT(C22:C23,D22:D23)/0.5*20%</f>
        <v>810480</v>
      </c>
      <c r="F24" s="27">
        <v>20</v>
      </c>
      <c r="G24" s="42">
        <v>2040</v>
      </c>
      <c r="H24" s="51">
        <f t="shared" si="6"/>
        <v>900470.78174266196</v>
      </c>
      <c r="I24" s="28">
        <f t="shared" si="0"/>
        <v>630329.54721986328</v>
      </c>
      <c r="J24" s="29">
        <f t="shared" si="7"/>
        <v>270141.23452279868</v>
      </c>
      <c r="K24" s="52">
        <f t="shared" si="11"/>
        <v>0.38</v>
      </c>
      <c r="L24" s="45">
        <f t="shared" si="9"/>
        <v>1.2274542371539712</v>
      </c>
      <c r="M24" s="30">
        <f t="shared" si="1"/>
        <v>899703.3546574706</v>
      </c>
      <c r="N24" s="30">
        <v>0</v>
      </c>
      <c r="O24" s="58">
        <f t="shared" si="10"/>
        <v>298264.36560420273</v>
      </c>
      <c r="P24" s="64">
        <f t="shared" si="2"/>
        <v>601438.98905326787</v>
      </c>
      <c r="Q24" s="30">
        <f t="shared" ca="1" si="3"/>
        <v>89609.173615511798</v>
      </c>
      <c r="R24" s="65">
        <f t="shared" ca="1" si="4"/>
        <v>2157520.8885976793</v>
      </c>
      <c r="T24" s="70">
        <f t="shared" ca="1" si="5"/>
        <v>0</v>
      </c>
    </row>
    <row r="25" spans="2:20" x14ac:dyDescent="0.3">
      <c r="B25" s="95" t="s">
        <v>134</v>
      </c>
      <c r="C25" s="158">
        <v>1</v>
      </c>
      <c r="D25" s="81">
        <f>SUMPRODUCT(C23:C24,D23:D24)/0.6*30%</f>
        <v>565240</v>
      </c>
      <c r="F25" s="27">
        <v>21</v>
      </c>
      <c r="G25" s="42">
        <v>2041</v>
      </c>
      <c r="H25" s="51">
        <f t="shared" si="6"/>
        <v>886963.72001652198</v>
      </c>
      <c r="I25" s="28">
        <f t="shared" si="0"/>
        <v>620874.60401156533</v>
      </c>
      <c r="J25" s="29">
        <f t="shared" si="7"/>
        <v>266089.11600495665</v>
      </c>
      <c r="K25" s="52">
        <f t="shared" si="11"/>
        <v>0.38</v>
      </c>
      <c r="L25" s="45">
        <f t="shared" si="9"/>
        <v>1.2642778642685903</v>
      </c>
      <c r="M25" s="30">
        <f t="shared" si="1"/>
        <v>912794.0384677368</v>
      </c>
      <c r="N25" s="30">
        <v>0</v>
      </c>
      <c r="O25" s="58">
        <f t="shared" si="10"/>
        <v>307212.29657232884</v>
      </c>
      <c r="P25" s="64">
        <f t="shared" si="2"/>
        <v>605581.7418954079</v>
      </c>
      <c r="Q25" s="30">
        <f t="shared" ca="1" si="3"/>
        <v>82033.588789941394</v>
      </c>
      <c r="R25" s="65">
        <f t="shared" ca="1" si="4"/>
        <v>2239554.4773876206</v>
      </c>
      <c r="T25" s="70">
        <f t="shared" ca="1" si="5"/>
        <v>0</v>
      </c>
    </row>
    <row r="26" spans="2:20" x14ac:dyDescent="0.3">
      <c r="E26" s="7"/>
      <c r="F26" s="27">
        <v>22</v>
      </c>
      <c r="G26" s="42">
        <v>2042</v>
      </c>
      <c r="H26" s="51">
        <f t="shared" si="6"/>
        <v>873659.26421627414</v>
      </c>
      <c r="I26" s="28">
        <f t="shared" si="0"/>
        <v>611561.48495139182</v>
      </c>
      <c r="J26" s="29">
        <f t="shared" si="7"/>
        <v>262097.77926488232</v>
      </c>
      <c r="K26" s="52">
        <f t="shared" si="11"/>
        <v>0.38</v>
      </c>
      <c r="L26" s="45">
        <f t="shared" si="9"/>
        <v>1.3022062001966481</v>
      </c>
      <c r="M26" s="30">
        <f t="shared" si="1"/>
        <v>926075.19172744232</v>
      </c>
      <c r="N26" s="30">
        <v>0</v>
      </c>
      <c r="O26" s="58">
        <f t="shared" si="10"/>
        <v>316428.66546949872</v>
      </c>
      <c r="P26" s="64">
        <f t="shared" si="2"/>
        <v>609646.52625794359</v>
      </c>
      <c r="Q26" s="30">
        <f t="shared" ca="1" si="3"/>
        <v>75085.328784732148</v>
      </c>
      <c r="R26" s="65">
        <f t="shared" ca="1" si="4"/>
        <v>2314639.8061723527</v>
      </c>
      <c r="T26" s="70">
        <f t="shared" ca="1" si="5"/>
        <v>0</v>
      </c>
    </row>
    <row r="27" spans="2:20" x14ac:dyDescent="0.3">
      <c r="B27" s="37" t="s">
        <v>1</v>
      </c>
      <c r="C27" s="38"/>
      <c r="D27" s="83"/>
      <c r="F27" s="27">
        <v>23</v>
      </c>
      <c r="G27" s="42">
        <v>2043</v>
      </c>
      <c r="H27" s="51">
        <f t="shared" si="6"/>
        <v>860554.37525302998</v>
      </c>
      <c r="I27" s="28">
        <f t="shared" si="0"/>
        <v>602388.06267712091</v>
      </c>
      <c r="J27" s="29">
        <f t="shared" si="7"/>
        <v>258166.31257590908</v>
      </c>
      <c r="K27" s="52">
        <f t="shared" si="11"/>
        <v>0.38</v>
      </c>
      <c r="L27" s="45">
        <f t="shared" si="9"/>
        <v>1.3412723862025475</v>
      </c>
      <c r="M27" s="30">
        <f t="shared" si="1"/>
        <v>939549.58576707658</v>
      </c>
      <c r="N27" s="30">
        <f>300000</f>
        <v>300000</v>
      </c>
      <c r="O27" s="58">
        <f t="shared" si="10"/>
        <v>325921.52543358371</v>
      </c>
      <c r="P27" s="64">
        <f t="shared" si="2"/>
        <v>313628.06033349287</v>
      </c>
      <c r="Q27" s="30">
        <f t="shared" ca="1" si="3"/>
        <v>35119.630669509053</v>
      </c>
      <c r="R27" s="65">
        <f t="shared" ca="1" si="4"/>
        <v>2349759.4368418618</v>
      </c>
      <c r="T27" s="70">
        <f t="shared" ca="1" si="5"/>
        <v>0</v>
      </c>
    </row>
    <row r="28" spans="2:20" x14ac:dyDescent="0.3">
      <c r="B28" s="89" t="s">
        <v>3</v>
      </c>
      <c r="C28" s="90">
        <f>SUM(C32:C37)</f>
        <v>0.99999999999999989</v>
      </c>
      <c r="D28" s="77"/>
      <c r="F28" s="27">
        <v>24</v>
      </c>
      <c r="G28" s="42">
        <v>2044</v>
      </c>
      <c r="H28" s="51">
        <f t="shared" si="6"/>
        <v>847646.05962423456</v>
      </c>
      <c r="I28" s="28">
        <f t="shared" si="0"/>
        <v>593352.24173696421</v>
      </c>
      <c r="J28" s="29">
        <f t="shared" si="7"/>
        <v>254293.81788727036</v>
      </c>
      <c r="K28" s="52">
        <f t="shared" si="11"/>
        <v>0.38</v>
      </c>
      <c r="L28" s="45">
        <f t="shared" si="9"/>
        <v>1.381510557788624</v>
      </c>
      <c r="M28" s="30">
        <f t="shared" si="1"/>
        <v>953220.03223998775</v>
      </c>
      <c r="N28" s="30">
        <v>0</v>
      </c>
      <c r="O28" s="58">
        <f t="shared" si="10"/>
        <v>335699.17119659123</v>
      </c>
      <c r="P28" s="64">
        <f t="shared" si="2"/>
        <v>617520.86104339652</v>
      </c>
      <c r="Q28" s="30">
        <f t="shared" ca="1" si="3"/>
        <v>62870.180342097345</v>
      </c>
      <c r="R28" s="65">
        <f t="shared" ca="1" si="4"/>
        <v>2412629.6171839591</v>
      </c>
      <c r="T28" s="70">
        <f t="shared" ca="1" si="5"/>
        <v>0</v>
      </c>
    </row>
    <row r="29" spans="2:20" ht="15" thickBot="1" x14ac:dyDescent="0.35">
      <c r="B29" s="34" t="s">
        <v>42</v>
      </c>
      <c r="C29" s="85">
        <f>SUM(C32,C35:C37)</f>
        <v>0.66</v>
      </c>
      <c r="D29" s="77"/>
      <c r="F29" s="31">
        <v>25</v>
      </c>
      <c r="G29" s="43">
        <v>2045</v>
      </c>
      <c r="H29" s="53">
        <f t="shared" si="6"/>
        <v>834931.368729871</v>
      </c>
      <c r="I29" s="54">
        <f t="shared" si="0"/>
        <v>584451.95811090968</v>
      </c>
      <c r="J29" s="55">
        <f t="shared" si="7"/>
        <v>250479.41061896132</v>
      </c>
      <c r="K29" s="56">
        <f t="shared" si="11"/>
        <v>0.38</v>
      </c>
      <c r="L29" s="46">
        <f t="shared" si="9"/>
        <v>1.4229558745222828</v>
      </c>
      <c r="M29" s="32">
        <f t="shared" si="1"/>
        <v>967089.38370907947</v>
      </c>
      <c r="N29" s="32">
        <v>0</v>
      </c>
      <c r="O29" s="59">
        <f t="shared" si="10"/>
        <v>345770.14633248898</v>
      </c>
      <c r="P29" s="67">
        <f t="shared" si="2"/>
        <v>621319.23737659049</v>
      </c>
      <c r="Q29" s="68">
        <f t="shared" ca="1" si="3"/>
        <v>57512.986218094229</v>
      </c>
      <c r="R29" s="69">
        <f t="shared" ca="1" si="4"/>
        <v>2470142.6034020535</v>
      </c>
      <c r="T29" s="71">
        <f t="shared" ca="1" si="5"/>
        <v>0</v>
      </c>
    </row>
    <row r="30" spans="2:20" x14ac:dyDescent="0.3">
      <c r="B30" s="87" t="s">
        <v>4</v>
      </c>
      <c r="C30" s="88">
        <f>C32</f>
        <v>0.38</v>
      </c>
      <c r="D30" s="77"/>
      <c r="G30" s="1"/>
      <c r="H30" s="5"/>
      <c r="I30" s="4"/>
      <c r="J30" s="5"/>
      <c r="K30" s="6"/>
      <c r="L30" s="3"/>
      <c r="M30" s="8"/>
      <c r="O30" s="170" t="s">
        <v>143</v>
      </c>
      <c r="P30" s="169">
        <f ca="1">Q30*(1+$W$8)^25*'Visão Geral'!$D$5</f>
        <v>6629490.7275146237</v>
      </c>
      <c r="Q30" s="126">
        <f ca="1">W11</f>
        <v>613664.90188590705</v>
      </c>
    </row>
    <row r="31" spans="2:20" x14ac:dyDescent="0.3">
      <c r="B31" s="91" t="s">
        <v>56</v>
      </c>
      <c r="C31" s="92"/>
      <c r="O31" s="140" t="s">
        <v>139</v>
      </c>
      <c r="P31" s="138">
        <f>P29/P28-1</f>
        <v>6.1510089339751328E-3</v>
      </c>
      <c r="Q31" s="164"/>
    </row>
    <row r="32" spans="2:20" x14ac:dyDescent="0.3">
      <c r="B32" s="36" t="s">
        <v>57</v>
      </c>
      <c r="C32" s="84">
        <v>0.38</v>
      </c>
    </row>
    <row r="33" spans="2:3" x14ac:dyDescent="0.3">
      <c r="B33" s="34" t="s">
        <v>5</v>
      </c>
      <c r="C33" s="85">
        <v>0.06</v>
      </c>
    </row>
    <row r="34" spans="2:3" x14ac:dyDescent="0.3">
      <c r="B34" s="34" t="s">
        <v>6</v>
      </c>
      <c r="C34" s="85">
        <v>0.28000000000000003</v>
      </c>
    </row>
    <row r="35" spans="2:3" x14ac:dyDescent="0.3">
      <c r="B35" s="34" t="s">
        <v>7</v>
      </c>
      <c r="C35" s="85">
        <v>0.08</v>
      </c>
    </row>
    <row r="36" spans="2:3" x14ac:dyDescent="0.3">
      <c r="B36" s="34" t="s">
        <v>8</v>
      </c>
      <c r="C36" s="85">
        <v>0.08</v>
      </c>
    </row>
    <row r="37" spans="2:3" x14ac:dyDescent="0.3">
      <c r="B37" s="35" t="s">
        <v>9</v>
      </c>
      <c r="C37" s="86">
        <v>0.12</v>
      </c>
    </row>
    <row r="38" spans="2:3" x14ac:dyDescent="0.3"/>
    <row r="39" spans="2:3" x14ac:dyDescent="0.3"/>
  </sheetData>
  <dataValidations count="1">
    <dataValidation type="list" allowBlank="1" showInputMessage="1" showErrorMessage="1" sqref="C16 C14" xr:uid="{00000000-0002-0000-0300-000000000000}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0"/>
  <sheetViews>
    <sheetView showGridLines="0" workbookViewId="0">
      <selection activeCell="O24" sqref="O24"/>
    </sheetView>
  </sheetViews>
  <sheetFormatPr defaultRowHeight="14.4" x14ac:dyDescent="0.3"/>
  <cols>
    <col min="1" max="1" width="5.21875" customWidth="1"/>
    <col min="2" max="2" width="25.21875" bestFit="1" customWidth="1"/>
    <col min="3" max="3" width="9.21875" customWidth="1"/>
    <col min="4" max="4" width="7.44140625" customWidth="1"/>
    <col min="5" max="5" width="17.88671875" bestFit="1" customWidth="1"/>
    <col min="6" max="6" width="12.21875" bestFit="1" customWidth="1"/>
    <col min="7" max="7" width="7.109375" customWidth="1"/>
    <col min="8" max="8" width="15.5546875" bestFit="1" customWidth="1"/>
  </cols>
  <sheetData>
    <row r="2" spans="2:15" x14ac:dyDescent="0.3">
      <c r="B2" t="s">
        <v>112</v>
      </c>
      <c r="E2" t="s">
        <v>123</v>
      </c>
    </row>
    <row r="3" spans="2:15" x14ac:dyDescent="0.3">
      <c r="B3" s="148" t="s">
        <v>113</v>
      </c>
      <c r="C3" s="127">
        <v>2.11</v>
      </c>
      <c r="E3" s="148" t="s">
        <v>125</v>
      </c>
      <c r="F3" s="127">
        <v>75</v>
      </c>
    </row>
    <row r="4" spans="2:15" x14ac:dyDescent="0.3">
      <c r="B4" s="148" t="s">
        <v>114</v>
      </c>
      <c r="C4" s="127">
        <v>1.05</v>
      </c>
      <c r="E4" s="148" t="s">
        <v>124</v>
      </c>
      <c r="F4" s="151">
        <f>ROUNDUP(C13*C11/F3/1000,0)</f>
        <v>8</v>
      </c>
    </row>
    <row r="5" spans="2:15" x14ac:dyDescent="0.3">
      <c r="B5" s="148" t="s">
        <v>115</v>
      </c>
      <c r="C5" s="127">
        <f>C4*C3</f>
        <v>2.2155</v>
      </c>
      <c r="E5" s="148" t="s">
        <v>126</v>
      </c>
      <c r="F5" s="127">
        <v>40000</v>
      </c>
    </row>
    <row r="6" spans="2:15" x14ac:dyDescent="0.3">
      <c r="B6" s="148" t="s">
        <v>111</v>
      </c>
      <c r="C6" s="133">
        <v>0.16500000000000001</v>
      </c>
    </row>
    <row r="7" spans="2:15" x14ac:dyDescent="0.3">
      <c r="B7" s="153" t="s">
        <v>116</v>
      </c>
      <c r="C7" s="150">
        <f>$O$18*C6</f>
        <v>0.82637500000000008</v>
      </c>
      <c r="E7" s="147" t="s">
        <v>128</v>
      </c>
    </row>
    <row r="8" spans="2:15" x14ac:dyDescent="0.3">
      <c r="B8" s="153" t="s">
        <v>117</v>
      </c>
      <c r="C8" s="150">
        <f>C7*365</f>
        <v>301.62687500000004</v>
      </c>
      <c r="E8" s="154" t="s">
        <v>129</v>
      </c>
      <c r="F8" s="127">
        <f>((C12*C11+F4*F5)/(0.7))*0.2</f>
        <v>578914.2857142858</v>
      </c>
    </row>
    <row r="9" spans="2:15" x14ac:dyDescent="0.3">
      <c r="B9" s="153" t="s">
        <v>118</v>
      </c>
      <c r="C9" s="150">
        <f>C8*C5</f>
        <v>668.25434156250014</v>
      </c>
    </row>
    <row r="10" spans="2:15" x14ac:dyDescent="0.3">
      <c r="B10" s="153" t="s">
        <v>120</v>
      </c>
      <c r="C10" s="152">
        <v>1200</v>
      </c>
      <c r="E10" s="147" t="s">
        <v>127</v>
      </c>
    </row>
    <row r="11" spans="2:15" x14ac:dyDescent="0.3">
      <c r="B11" s="149" t="s">
        <v>119</v>
      </c>
      <c r="C11" s="151">
        <f>ROUNDUP(C10*1000/C9,0)</f>
        <v>1796</v>
      </c>
      <c r="E11" s="148" t="s">
        <v>130</v>
      </c>
      <c r="F11" s="127">
        <f>((C12*C11+F4*F5)/(0.7))*0.1</f>
        <v>289457.1428571429</v>
      </c>
    </row>
    <row r="12" spans="2:15" x14ac:dyDescent="0.3">
      <c r="B12" s="149" t="s">
        <v>121</v>
      </c>
      <c r="C12" s="127">
        <v>950</v>
      </c>
    </row>
    <row r="13" spans="2:15" x14ac:dyDescent="0.3">
      <c r="B13" s="149" t="s">
        <v>122</v>
      </c>
      <c r="C13" s="150">
        <v>320</v>
      </c>
    </row>
    <row r="16" spans="2:15" x14ac:dyDescent="0.3">
      <c r="B16" s="145"/>
      <c r="C16" s="144" t="s">
        <v>70</v>
      </c>
      <c r="D16" s="144" t="s">
        <v>71</v>
      </c>
      <c r="E16" s="144" t="s">
        <v>72</v>
      </c>
      <c r="F16" s="144" t="s">
        <v>73</v>
      </c>
      <c r="G16" s="144" t="s">
        <v>74</v>
      </c>
      <c r="H16" s="144" t="s">
        <v>75</v>
      </c>
      <c r="I16" s="144" t="s">
        <v>76</v>
      </c>
      <c r="J16" s="144" t="s">
        <v>77</v>
      </c>
      <c r="K16" s="144" t="s">
        <v>78</v>
      </c>
      <c r="L16" s="144" t="s">
        <v>79</v>
      </c>
      <c r="M16" s="144" t="s">
        <v>80</v>
      </c>
      <c r="N16" s="144" t="s">
        <v>81</v>
      </c>
      <c r="O16" s="144" t="s">
        <v>86</v>
      </c>
    </row>
    <row r="17" spans="2:15" x14ac:dyDescent="0.3">
      <c r="B17" s="146" t="s">
        <v>82</v>
      </c>
      <c r="C17" s="127">
        <v>6.01</v>
      </c>
      <c r="D17" s="127">
        <v>6.13</v>
      </c>
      <c r="E17" s="127">
        <v>5.25</v>
      </c>
      <c r="F17" s="127">
        <v>4.5999999999999996</v>
      </c>
      <c r="G17" s="127">
        <v>3.86</v>
      </c>
      <c r="H17" s="127">
        <v>3.63</v>
      </c>
      <c r="I17" s="127">
        <v>3.75</v>
      </c>
      <c r="J17" s="127">
        <v>4.4400000000000004</v>
      </c>
      <c r="K17" s="127">
        <v>4.93</v>
      </c>
      <c r="L17" s="127">
        <v>5.13</v>
      </c>
      <c r="M17" s="127">
        <v>4.92</v>
      </c>
      <c r="N17" s="127">
        <v>5.79</v>
      </c>
      <c r="O17" s="127">
        <f>AVERAGE(C17:N17)</f>
        <v>4.87</v>
      </c>
    </row>
    <row r="18" spans="2:15" x14ac:dyDescent="0.3">
      <c r="B18" s="146" t="s">
        <v>83</v>
      </c>
      <c r="C18" s="127">
        <v>5.47</v>
      </c>
      <c r="D18" s="127">
        <v>5.85</v>
      </c>
      <c r="E18" s="127">
        <v>5.34</v>
      </c>
      <c r="F18" s="127">
        <v>5.04</v>
      </c>
      <c r="G18" s="127">
        <v>4.53</v>
      </c>
      <c r="H18" s="127">
        <v>4.41</v>
      </c>
      <c r="I18" s="127">
        <v>4.49</v>
      </c>
      <c r="J18" s="127">
        <v>5.03</v>
      </c>
      <c r="K18" s="127">
        <v>5.15</v>
      </c>
      <c r="L18" s="127">
        <v>5</v>
      </c>
      <c r="M18" s="127">
        <v>4.57</v>
      </c>
      <c r="N18" s="127">
        <v>5.22</v>
      </c>
      <c r="O18" s="127">
        <f t="shared" ref="O18:O20" si="0">AVERAGE(C18:N18)</f>
        <v>5.0083333333333337</v>
      </c>
    </row>
    <row r="19" spans="2:15" x14ac:dyDescent="0.3">
      <c r="B19" s="146" t="s">
        <v>84</v>
      </c>
      <c r="C19" s="127">
        <v>5.58</v>
      </c>
      <c r="D19" s="127">
        <v>5.93</v>
      </c>
      <c r="E19" s="127">
        <v>5.36</v>
      </c>
      <c r="F19" s="127">
        <v>5</v>
      </c>
      <c r="G19" s="127">
        <v>4.4400000000000004</v>
      </c>
      <c r="H19" s="127">
        <v>4.3099999999999996</v>
      </c>
      <c r="I19" s="127">
        <v>4.4000000000000004</v>
      </c>
      <c r="J19" s="127">
        <v>4.96</v>
      </c>
      <c r="K19" s="127">
        <v>5.14</v>
      </c>
      <c r="L19" s="127">
        <v>5.05</v>
      </c>
      <c r="M19" s="127">
        <v>4.6500000000000004</v>
      </c>
      <c r="N19" s="127">
        <v>5.33</v>
      </c>
      <c r="O19" s="127">
        <f t="shared" si="0"/>
        <v>5.0125000000000002</v>
      </c>
    </row>
    <row r="20" spans="2:15" x14ac:dyDescent="0.3">
      <c r="B20" s="146" t="s">
        <v>85</v>
      </c>
      <c r="C20" s="127">
        <v>5.36</v>
      </c>
      <c r="D20" s="127">
        <v>5.77</v>
      </c>
      <c r="E20" s="127">
        <v>5.32</v>
      </c>
      <c r="F20" s="127">
        <v>5.08</v>
      </c>
      <c r="G20" s="127">
        <v>4.5999999999999996</v>
      </c>
      <c r="H20" s="127">
        <v>4.51</v>
      </c>
      <c r="I20" s="127">
        <v>4.57</v>
      </c>
      <c r="J20" s="127">
        <v>5.08</v>
      </c>
      <c r="K20" s="127">
        <v>5.15</v>
      </c>
      <c r="L20" s="127">
        <v>4.95</v>
      </c>
      <c r="M20" s="127">
        <v>4.49</v>
      </c>
      <c r="N20" s="127">
        <v>5.0999999999999996</v>
      </c>
      <c r="O20" s="127">
        <f t="shared" si="0"/>
        <v>4.998333333333334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BV38"/>
  <sheetViews>
    <sheetView showGridLines="0" zoomScale="85" zoomScaleNormal="85" workbookViewId="0">
      <selection activeCell="C3" sqref="C3"/>
    </sheetView>
  </sheetViews>
  <sheetFormatPr defaultRowHeight="14.4" x14ac:dyDescent="0.3"/>
  <cols>
    <col min="1" max="1" width="4.33203125" customWidth="1"/>
    <col min="2" max="2" width="14.21875" bestFit="1" customWidth="1"/>
    <col min="3" max="3" width="7.44140625" customWidth="1"/>
    <col min="4" max="26" width="6.33203125" customWidth="1"/>
  </cols>
  <sheetData>
    <row r="4" spans="2:74" x14ac:dyDescent="0.3">
      <c r="B4" s="145"/>
      <c r="C4" s="141" t="s">
        <v>97</v>
      </c>
      <c r="D4" s="141" t="s">
        <v>92</v>
      </c>
    </row>
    <row r="5" spans="2:74" x14ac:dyDescent="0.3">
      <c r="B5" s="141" t="s">
        <v>100</v>
      </c>
      <c r="C5" s="142">
        <f>C6*(1-34%)</f>
        <v>9.6176285125136263E-2</v>
      </c>
      <c r="D5" s="142">
        <f>D6*(1-34%)</f>
        <v>9.6176285125136263E-2</v>
      </c>
    </row>
    <row r="6" spans="2:74" x14ac:dyDescent="0.3">
      <c r="B6" s="141" t="s">
        <v>138</v>
      </c>
      <c r="C6" s="142">
        <f>(F35+F36)/2</f>
        <v>0.14572164412899435</v>
      </c>
      <c r="D6" s="142">
        <f>C6</f>
        <v>0.14572164412899435</v>
      </c>
    </row>
    <row r="7" spans="2:74" x14ac:dyDescent="0.3">
      <c r="B7" s="141" t="s">
        <v>89</v>
      </c>
      <c r="C7" s="142">
        <f>C8+MAX(C10*(C9-C8),0)</f>
        <v>0.10178084289219869</v>
      </c>
      <c r="D7" s="142">
        <f>D8+MAX(D10*(D9-D8),0)</f>
        <v>0.10178084289219869</v>
      </c>
    </row>
    <row r="8" spans="2:74" x14ac:dyDescent="0.3">
      <c r="B8" s="141" t="s">
        <v>90</v>
      </c>
      <c r="C8" s="134">
        <f>$O$29</f>
        <v>0.10178084289219869</v>
      </c>
      <c r="D8" s="134">
        <f>$O$29</f>
        <v>0.10178084289219869</v>
      </c>
    </row>
    <row r="9" spans="2:74" x14ac:dyDescent="0.3">
      <c r="B9" s="141" t="s">
        <v>91</v>
      </c>
      <c r="C9" s="142">
        <f>O25</f>
        <v>0.21777287855175365</v>
      </c>
      <c r="D9" s="142">
        <f>O27</f>
        <v>0.16792076032271774</v>
      </c>
    </row>
    <row r="10" spans="2:74" x14ac:dyDescent="0.3">
      <c r="B10" s="141" t="s">
        <v>96</v>
      </c>
      <c r="C10" s="127">
        <f>_xlfn.COVARIANCE.S(C15:BV15,C19:BV19)/_xlfn.VAR.S(C19:BV19)</f>
        <v>-2.2608228816087137</v>
      </c>
      <c r="D10" s="127">
        <f>_xlfn.COVARIANCE.S(C17:BV17,C19:BV19)/_xlfn.VAR.S(C19:BV19)</f>
        <v>-1.6947916295108569</v>
      </c>
    </row>
    <row r="13" spans="2:74" x14ac:dyDescent="0.3">
      <c r="B13" s="143" t="s">
        <v>98</v>
      </c>
    </row>
    <row r="14" spans="2:74" x14ac:dyDescent="0.3">
      <c r="C14" s="124">
        <v>41640</v>
      </c>
      <c r="D14" s="124">
        <f>DATE(YEAR(C14),MONTH(C14)+1,1)</f>
        <v>41671</v>
      </c>
      <c r="E14" s="124">
        <f t="shared" ref="E14:BP14" si="0">DATE(YEAR(D14),MONTH(D14)+1,1)</f>
        <v>41699</v>
      </c>
      <c r="F14" s="124">
        <f t="shared" si="0"/>
        <v>41730</v>
      </c>
      <c r="G14" s="124">
        <f t="shared" si="0"/>
        <v>41760</v>
      </c>
      <c r="H14" s="124">
        <f t="shared" si="0"/>
        <v>41791</v>
      </c>
      <c r="I14" s="124">
        <f t="shared" si="0"/>
        <v>41821</v>
      </c>
      <c r="J14" s="124">
        <f t="shared" si="0"/>
        <v>41852</v>
      </c>
      <c r="K14" s="124">
        <f t="shared" si="0"/>
        <v>41883</v>
      </c>
      <c r="L14" s="124">
        <f t="shared" si="0"/>
        <v>41913</v>
      </c>
      <c r="M14" s="124">
        <f t="shared" si="0"/>
        <v>41944</v>
      </c>
      <c r="N14" s="124">
        <f t="shared" si="0"/>
        <v>41974</v>
      </c>
      <c r="O14" s="124">
        <f t="shared" si="0"/>
        <v>42005</v>
      </c>
      <c r="P14" s="124">
        <f t="shared" si="0"/>
        <v>42036</v>
      </c>
      <c r="Q14" s="124">
        <f t="shared" si="0"/>
        <v>42064</v>
      </c>
      <c r="R14" s="124">
        <f t="shared" si="0"/>
        <v>42095</v>
      </c>
      <c r="S14" s="124">
        <f t="shared" si="0"/>
        <v>42125</v>
      </c>
      <c r="T14" s="124">
        <f t="shared" si="0"/>
        <v>42156</v>
      </c>
      <c r="U14" s="124">
        <f t="shared" si="0"/>
        <v>42186</v>
      </c>
      <c r="V14" s="124">
        <f t="shared" si="0"/>
        <v>42217</v>
      </c>
      <c r="W14" s="124">
        <f t="shared" si="0"/>
        <v>42248</v>
      </c>
      <c r="X14" s="124">
        <f t="shared" si="0"/>
        <v>42278</v>
      </c>
      <c r="Y14" s="124">
        <f t="shared" si="0"/>
        <v>42309</v>
      </c>
      <c r="Z14" s="124">
        <f t="shared" si="0"/>
        <v>42339</v>
      </c>
      <c r="AA14" s="124">
        <f t="shared" si="0"/>
        <v>42370</v>
      </c>
      <c r="AB14" s="124">
        <f t="shared" si="0"/>
        <v>42401</v>
      </c>
      <c r="AC14" s="124">
        <f t="shared" si="0"/>
        <v>42430</v>
      </c>
      <c r="AD14" s="124">
        <f t="shared" si="0"/>
        <v>42461</v>
      </c>
      <c r="AE14" s="124">
        <f t="shared" si="0"/>
        <v>42491</v>
      </c>
      <c r="AF14" s="124">
        <f t="shared" si="0"/>
        <v>42522</v>
      </c>
      <c r="AG14" s="124">
        <f t="shared" si="0"/>
        <v>42552</v>
      </c>
      <c r="AH14" s="124">
        <f t="shared" si="0"/>
        <v>42583</v>
      </c>
      <c r="AI14" s="124">
        <f t="shared" si="0"/>
        <v>42614</v>
      </c>
      <c r="AJ14" s="124">
        <f t="shared" si="0"/>
        <v>42644</v>
      </c>
      <c r="AK14" s="124">
        <f t="shared" si="0"/>
        <v>42675</v>
      </c>
      <c r="AL14" s="124">
        <f t="shared" si="0"/>
        <v>42705</v>
      </c>
      <c r="AM14" s="124">
        <f t="shared" si="0"/>
        <v>42736</v>
      </c>
      <c r="AN14" s="124">
        <f t="shared" si="0"/>
        <v>42767</v>
      </c>
      <c r="AO14" s="124">
        <f t="shared" si="0"/>
        <v>42795</v>
      </c>
      <c r="AP14" s="124">
        <f t="shared" si="0"/>
        <v>42826</v>
      </c>
      <c r="AQ14" s="124">
        <f t="shared" si="0"/>
        <v>42856</v>
      </c>
      <c r="AR14" s="124">
        <f t="shared" si="0"/>
        <v>42887</v>
      </c>
      <c r="AS14" s="124">
        <f t="shared" si="0"/>
        <v>42917</v>
      </c>
      <c r="AT14" s="124">
        <f t="shared" si="0"/>
        <v>42948</v>
      </c>
      <c r="AU14" s="124">
        <f t="shared" si="0"/>
        <v>42979</v>
      </c>
      <c r="AV14" s="124">
        <f t="shared" si="0"/>
        <v>43009</v>
      </c>
      <c r="AW14" s="124">
        <f t="shared" si="0"/>
        <v>43040</v>
      </c>
      <c r="AX14" s="124">
        <f t="shared" si="0"/>
        <v>43070</v>
      </c>
      <c r="AY14" s="124">
        <f t="shared" si="0"/>
        <v>43101</v>
      </c>
      <c r="AZ14" s="124">
        <f t="shared" si="0"/>
        <v>43132</v>
      </c>
      <c r="BA14" s="124">
        <f t="shared" si="0"/>
        <v>43160</v>
      </c>
      <c r="BB14" s="124">
        <f t="shared" si="0"/>
        <v>43191</v>
      </c>
      <c r="BC14" s="124">
        <f t="shared" si="0"/>
        <v>43221</v>
      </c>
      <c r="BD14" s="124">
        <f t="shared" si="0"/>
        <v>43252</v>
      </c>
      <c r="BE14" s="124">
        <f t="shared" si="0"/>
        <v>43282</v>
      </c>
      <c r="BF14" s="124">
        <f t="shared" si="0"/>
        <v>43313</v>
      </c>
      <c r="BG14" s="124">
        <f t="shared" si="0"/>
        <v>43344</v>
      </c>
      <c r="BH14" s="124">
        <f t="shared" si="0"/>
        <v>43374</v>
      </c>
      <c r="BI14" s="124">
        <f t="shared" si="0"/>
        <v>43405</v>
      </c>
      <c r="BJ14" s="124">
        <f t="shared" si="0"/>
        <v>43435</v>
      </c>
      <c r="BK14" s="124">
        <f t="shared" si="0"/>
        <v>43466</v>
      </c>
      <c r="BL14" s="124">
        <f t="shared" si="0"/>
        <v>43497</v>
      </c>
      <c r="BM14" s="124">
        <f t="shared" si="0"/>
        <v>43525</v>
      </c>
      <c r="BN14" s="124">
        <f t="shared" si="0"/>
        <v>43556</v>
      </c>
      <c r="BO14" s="124">
        <f t="shared" si="0"/>
        <v>43586</v>
      </c>
      <c r="BP14" s="124">
        <f t="shared" si="0"/>
        <v>43617</v>
      </c>
      <c r="BQ14" s="124">
        <f t="shared" ref="BQ14:BV14" si="1">DATE(YEAR(BP14),MONTH(BP14)+1,1)</f>
        <v>43647</v>
      </c>
      <c r="BR14" s="124">
        <f t="shared" si="1"/>
        <v>43678</v>
      </c>
      <c r="BS14" s="124">
        <f t="shared" si="1"/>
        <v>43709</v>
      </c>
      <c r="BT14" s="124">
        <f t="shared" si="1"/>
        <v>43739</v>
      </c>
      <c r="BU14" s="124">
        <f t="shared" si="1"/>
        <v>43770</v>
      </c>
      <c r="BV14" s="124">
        <f t="shared" si="1"/>
        <v>43800</v>
      </c>
    </row>
    <row r="15" spans="2:74" x14ac:dyDescent="0.3">
      <c r="B15" s="128" t="s">
        <v>93</v>
      </c>
      <c r="C15" s="131">
        <v>-9.0999999999999998E-2</v>
      </c>
      <c r="D15" s="131">
        <v>-7.000000000000001E-4</v>
      </c>
      <c r="E15" s="131">
        <v>3.6299999999999999E-2</v>
      </c>
      <c r="F15" s="131">
        <v>2.06E-2</v>
      </c>
      <c r="G15" s="131">
        <v>2.53E-2</v>
      </c>
      <c r="H15" s="131">
        <v>5.1500000000000004E-2</v>
      </c>
      <c r="I15" s="131">
        <v>4.8999999999999998E-3</v>
      </c>
      <c r="J15" s="131">
        <v>4.1700000000000001E-2</v>
      </c>
      <c r="K15" s="131">
        <v>-3.7599999999999995E-2</v>
      </c>
      <c r="L15" s="131">
        <v>1.8600000000000002E-2</v>
      </c>
      <c r="M15" s="131">
        <v>1.5900000000000001E-2</v>
      </c>
      <c r="N15" s="131">
        <v>-3.3599999999999998E-2</v>
      </c>
      <c r="O15" s="131">
        <v>-8.5600000000000009E-2</v>
      </c>
      <c r="P15" s="131">
        <v>7.9000000000000008E-3</v>
      </c>
      <c r="Q15" s="131">
        <v>2.4199999999999999E-2</v>
      </c>
      <c r="R15" s="131">
        <v>2.35E-2</v>
      </c>
      <c r="S15" s="131">
        <v>7.4999999999999997E-3</v>
      </c>
      <c r="T15" s="131">
        <v>1.9099999999999999E-2</v>
      </c>
      <c r="U15" s="131">
        <v>-2.8399999999999998E-2</v>
      </c>
      <c r="V15" s="131">
        <v>-5.7099999999999998E-2</v>
      </c>
      <c r="W15" s="131">
        <v>-4.87E-2</v>
      </c>
      <c r="X15" s="131">
        <v>4.99E-2</v>
      </c>
      <c r="Y15" s="131">
        <v>-9.7000000000000003E-3</v>
      </c>
      <c r="Z15" s="131">
        <v>6.3E-3</v>
      </c>
      <c r="AA15" s="131">
        <v>-5.5099999999999996E-2</v>
      </c>
      <c r="AB15" s="131">
        <v>5.8400000000000001E-2</v>
      </c>
      <c r="AC15" s="131">
        <v>0.10949999999999999</v>
      </c>
      <c r="AD15" s="131">
        <v>7.9100000000000004E-2</v>
      </c>
      <c r="AE15" s="131">
        <v>1.4999999999999999E-2</v>
      </c>
      <c r="AF15" s="131">
        <v>1.3100000000000001E-2</v>
      </c>
      <c r="AG15" s="131">
        <v>9.06E-2</v>
      </c>
      <c r="AH15" s="131">
        <v>1.3500000000000002E-2</v>
      </c>
      <c r="AI15" s="131">
        <v>1.2E-2</v>
      </c>
      <c r="AJ15" s="131">
        <v>7.2599999999999998E-2</v>
      </c>
      <c r="AK15" s="131">
        <v>-8.6800000000000002E-2</v>
      </c>
      <c r="AL15" s="131">
        <v>-3.8E-3</v>
      </c>
      <c r="AM15" s="131">
        <v>6.3600000000000004E-2</v>
      </c>
      <c r="AN15" s="131">
        <v>4.1100000000000005E-2</v>
      </c>
      <c r="AO15" s="131">
        <v>1.26E-2</v>
      </c>
      <c r="AP15" s="131">
        <v>4.1999999999999997E-3</v>
      </c>
      <c r="AQ15" s="131">
        <v>-2.6499999999999999E-2</v>
      </c>
      <c r="AR15" s="131">
        <v>2.2700000000000001E-2</v>
      </c>
      <c r="AS15" s="131">
        <v>4.2300000000000004E-2</v>
      </c>
      <c r="AT15" s="131">
        <v>6.5099999999999991E-2</v>
      </c>
      <c r="AU15" s="131">
        <v>4.3700000000000003E-2</v>
      </c>
      <c r="AV15" s="131">
        <v>6.1999999999999998E-3</v>
      </c>
      <c r="AW15" s="131">
        <v>-9.300000000000001E-3</v>
      </c>
      <c r="AX15" s="131">
        <v>3.95E-2</v>
      </c>
      <c r="AY15" s="131">
        <v>6.4600000000000005E-2</v>
      </c>
      <c r="AZ15" s="131">
        <v>3.0999999999999999E-3</v>
      </c>
      <c r="BA15" s="131">
        <v>7.3000000000000001E-3</v>
      </c>
      <c r="BB15" s="131">
        <v>-1.55E-2</v>
      </c>
      <c r="BC15" s="131">
        <v>-7.8399999999999997E-2</v>
      </c>
      <c r="BD15" s="131">
        <v>-3.6600000000000001E-2</v>
      </c>
      <c r="BE15" s="131">
        <v>4.4000000000000004E-2</v>
      </c>
      <c r="BF15" s="131">
        <v>-3.8100000000000002E-2</v>
      </c>
      <c r="BG15" s="131">
        <v>8.6999999999999994E-3</v>
      </c>
      <c r="BH15" s="131">
        <v>0.1273</v>
      </c>
      <c r="BI15" s="131">
        <v>6.0100000000000001E-2</v>
      </c>
      <c r="BJ15" s="131">
        <v>-1.6000000000000001E-3</v>
      </c>
      <c r="BK15" s="131">
        <v>0.1421</v>
      </c>
      <c r="BL15" s="131">
        <v>-1.11E-2</v>
      </c>
      <c r="BM15" s="131">
        <v>-8.6E-3</v>
      </c>
      <c r="BN15" s="131">
        <v>2.0499999999999997E-2</v>
      </c>
      <c r="BO15" s="131">
        <v>3.04E-2</v>
      </c>
      <c r="BP15" s="131">
        <v>4.4600000000000001E-2</v>
      </c>
      <c r="BQ15" s="131">
        <v>4.3799999999999999E-2</v>
      </c>
      <c r="BR15" s="131">
        <v>1.6200000000000003E-2</v>
      </c>
      <c r="BS15" s="131">
        <v>4.0500000000000001E-2</v>
      </c>
      <c r="BT15" s="131">
        <v>3.3099999999999997E-2</v>
      </c>
      <c r="BU15" s="131">
        <v>1.6E-2</v>
      </c>
      <c r="BV15" s="131">
        <v>9.5399999999999985E-2</v>
      </c>
    </row>
    <row r="16" spans="2:74" x14ac:dyDescent="0.3">
      <c r="B16" s="128"/>
      <c r="C16" s="139">
        <f>1+C15</f>
        <v>0.90900000000000003</v>
      </c>
      <c r="D16" s="139">
        <f t="shared" ref="D16:BO16" si="2">1+D15</f>
        <v>0.99929999999999997</v>
      </c>
      <c r="E16" s="139">
        <f t="shared" si="2"/>
        <v>1.0363</v>
      </c>
      <c r="F16" s="139">
        <f t="shared" si="2"/>
        <v>1.0206</v>
      </c>
      <c r="G16" s="139">
        <f t="shared" si="2"/>
        <v>1.0253000000000001</v>
      </c>
      <c r="H16" s="139">
        <f t="shared" si="2"/>
        <v>1.0515000000000001</v>
      </c>
      <c r="I16" s="139">
        <f t="shared" si="2"/>
        <v>1.0048999999999999</v>
      </c>
      <c r="J16" s="139">
        <f t="shared" si="2"/>
        <v>1.0417000000000001</v>
      </c>
      <c r="K16" s="139">
        <f t="shared" si="2"/>
        <v>0.96240000000000003</v>
      </c>
      <c r="L16" s="139">
        <f t="shared" si="2"/>
        <v>1.0185999999999999</v>
      </c>
      <c r="M16" s="139">
        <f t="shared" si="2"/>
        <v>1.0159</v>
      </c>
      <c r="N16" s="139">
        <f t="shared" si="2"/>
        <v>0.96640000000000004</v>
      </c>
      <c r="O16" s="139">
        <f t="shared" si="2"/>
        <v>0.91439999999999999</v>
      </c>
      <c r="P16" s="139">
        <f t="shared" si="2"/>
        <v>1.0079</v>
      </c>
      <c r="Q16" s="139">
        <f t="shared" si="2"/>
        <v>1.0242</v>
      </c>
      <c r="R16" s="139">
        <f t="shared" si="2"/>
        <v>1.0235000000000001</v>
      </c>
      <c r="S16" s="139">
        <f t="shared" si="2"/>
        <v>1.0075000000000001</v>
      </c>
      <c r="T16" s="139">
        <f t="shared" si="2"/>
        <v>1.0190999999999999</v>
      </c>
      <c r="U16" s="139">
        <f t="shared" si="2"/>
        <v>0.97160000000000002</v>
      </c>
      <c r="V16" s="139">
        <f t="shared" si="2"/>
        <v>0.94289999999999996</v>
      </c>
      <c r="W16" s="139">
        <f t="shared" si="2"/>
        <v>0.95130000000000003</v>
      </c>
      <c r="X16" s="139">
        <f t="shared" si="2"/>
        <v>1.0499000000000001</v>
      </c>
      <c r="Y16" s="139">
        <f t="shared" si="2"/>
        <v>0.99029999999999996</v>
      </c>
      <c r="Z16" s="139">
        <f t="shared" si="2"/>
        <v>1.0063</v>
      </c>
      <c r="AA16" s="139">
        <f t="shared" si="2"/>
        <v>0.94489999999999996</v>
      </c>
      <c r="AB16" s="139">
        <f t="shared" si="2"/>
        <v>1.0584</v>
      </c>
      <c r="AC16" s="139">
        <f t="shared" si="2"/>
        <v>1.1094999999999999</v>
      </c>
      <c r="AD16" s="139">
        <f t="shared" si="2"/>
        <v>1.0790999999999999</v>
      </c>
      <c r="AE16" s="139">
        <f t="shared" si="2"/>
        <v>1.0149999999999999</v>
      </c>
      <c r="AF16" s="139">
        <f t="shared" si="2"/>
        <v>1.0131000000000001</v>
      </c>
      <c r="AG16" s="139">
        <f t="shared" si="2"/>
        <v>1.0906</v>
      </c>
      <c r="AH16" s="139">
        <f t="shared" si="2"/>
        <v>1.0135000000000001</v>
      </c>
      <c r="AI16" s="139">
        <f t="shared" si="2"/>
        <v>1.012</v>
      </c>
      <c r="AJ16" s="139">
        <f t="shared" si="2"/>
        <v>1.0726</v>
      </c>
      <c r="AK16" s="139">
        <f t="shared" si="2"/>
        <v>0.91320000000000001</v>
      </c>
      <c r="AL16" s="139">
        <f t="shared" si="2"/>
        <v>0.99619999999999997</v>
      </c>
      <c r="AM16" s="139">
        <f t="shared" si="2"/>
        <v>1.0636000000000001</v>
      </c>
      <c r="AN16" s="139">
        <f t="shared" si="2"/>
        <v>1.0410999999999999</v>
      </c>
      <c r="AO16" s="139">
        <f t="shared" si="2"/>
        <v>1.0125999999999999</v>
      </c>
      <c r="AP16" s="139">
        <f t="shared" si="2"/>
        <v>1.0042</v>
      </c>
      <c r="AQ16" s="139">
        <f t="shared" si="2"/>
        <v>0.97350000000000003</v>
      </c>
      <c r="AR16" s="139">
        <f t="shared" si="2"/>
        <v>1.0226999999999999</v>
      </c>
      <c r="AS16" s="139">
        <f t="shared" si="2"/>
        <v>1.0423</v>
      </c>
      <c r="AT16" s="139">
        <f t="shared" si="2"/>
        <v>1.0650999999999999</v>
      </c>
      <c r="AU16" s="139">
        <f t="shared" si="2"/>
        <v>1.0437000000000001</v>
      </c>
      <c r="AV16" s="139">
        <f t="shared" si="2"/>
        <v>1.0062</v>
      </c>
      <c r="AW16" s="139">
        <f t="shared" si="2"/>
        <v>0.99070000000000003</v>
      </c>
      <c r="AX16" s="139">
        <f t="shared" si="2"/>
        <v>1.0395000000000001</v>
      </c>
      <c r="AY16" s="139">
        <f t="shared" si="2"/>
        <v>1.0646</v>
      </c>
      <c r="AZ16" s="139">
        <f t="shared" si="2"/>
        <v>1.0031000000000001</v>
      </c>
      <c r="BA16" s="139">
        <f t="shared" si="2"/>
        <v>1.0073000000000001</v>
      </c>
      <c r="BB16" s="139">
        <f t="shared" si="2"/>
        <v>0.98450000000000004</v>
      </c>
      <c r="BC16" s="139">
        <f t="shared" si="2"/>
        <v>0.92159999999999997</v>
      </c>
      <c r="BD16" s="139">
        <f t="shared" si="2"/>
        <v>0.96340000000000003</v>
      </c>
      <c r="BE16" s="139">
        <f t="shared" si="2"/>
        <v>1.044</v>
      </c>
      <c r="BF16" s="139">
        <f t="shared" si="2"/>
        <v>0.96189999999999998</v>
      </c>
      <c r="BG16" s="139">
        <f t="shared" si="2"/>
        <v>1.0086999999999999</v>
      </c>
      <c r="BH16" s="139">
        <f t="shared" si="2"/>
        <v>1.1273</v>
      </c>
      <c r="BI16" s="139">
        <f t="shared" si="2"/>
        <v>1.0601</v>
      </c>
      <c r="BJ16" s="139">
        <f t="shared" si="2"/>
        <v>0.99839999999999995</v>
      </c>
      <c r="BK16" s="139">
        <f t="shared" si="2"/>
        <v>1.1421000000000001</v>
      </c>
      <c r="BL16" s="139">
        <f t="shared" si="2"/>
        <v>0.9889</v>
      </c>
      <c r="BM16" s="139">
        <f t="shared" si="2"/>
        <v>0.99139999999999995</v>
      </c>
      <c r="BN16" s="139">
        <f t="shared" si="2"/>
        <v>1.0205</v>
      </c>
      <c r="BO16" s="139">
        <f t="shared" si="2"/>
        <v>1.0304</v>
      </c>
      <c r="BP16" s="139">
        <f t="shared" ref="BP16:BV16" si="3">1+BP15</f>
        <v>1.0446</v>
      </c>
      <c r="BQ16" s="139">
        <f t="shared" si="3"/>
        <v>1.0438000000000001</v>
      </c>
      <c r="BR16" s="139">
        <f t="shared" si="3"/>
        <v>1.0162</v>
      </c>
      <c r="BS16" s="139">
        <f t="shared" si="3"/>
        <v>1.0405</v>
      </c>
      <c r="BT16" s="139">
        <f t="shared" si="3"/>
        <v>1.0330999999999999</v>
      </c>
      <c r="BU16" s="139">
        <f t="shared" si="3"/>
        <v>1.016</v>
      </c>
      <c r="BV16" s="139">
        <f t="shared" si="3"/>
        <v>1.0953999999999999</v>
      </c>
    </row>
    <row r="17" spans="2:74" x14ac:dyDescent="0.3">
      <c r="B17" s="128" t="s">
        <v>92</v>
      </c>
      <c r="C17" s="131">
        <v>-7.51E-2</v>
      </c>
      <c r="D17" s="131">
        <v>-1.1399999999999999E-2</v>
      </c>
      <c r="E17" s="131">
        <v>7.0499999999999993E-2</v>
      </c>
      <c r="F17" s="131">
        <v>2.4E-2</v>
      </c>
      <c r="G17" s="131">
        <v>-7.4999999999999997E-3</v>
      </c>
      <c r="H17" s="131">
        <v>3.7599999999999995E-2</v>
      </c>
      <c r="I17" s="131">
        <v>0.05</v>
      </c>
      <c r="J17" s="131">
        <v>9.7799999999999998E-2</v>
      </c>
      <c r="K17" s="131">
        <v>-0.11699999999999999</v>
      </c>
      <c r="L17" s="131">
        <v>9.4999999999999998E-3</v>
      </c>
      <c r="M17" s="131">
        <v>1.8E-3</v>
      </c>
      <c r="N17" s="131">
        <v>-8.6199999999999999E-2</v>
      </c>
      <c r="O17" s="131">
        <v>-6.2E-2</v>
      </c>
      <c r="P17" s="131">
        <v>9.9700000000000011E-2</v>
      </c>
      <c r="Q17" s="131">
        <v>-8.3999999999999995E-3</v>
      </c>
      <c r="R17" s="131">
        <v>9.9299999999999999E-2</v>
      </c>
      <c r="S17" s="131">
        <v>-6.1699999999999998E-2</v>
      </c>
      <c r="T17" s="131">
        <v>6.0999999999999995E-3</v>
      </c>
      <c r="U17" s="131">
        <v>-4.1700000000000001E-2</v>
      </c>
      <c r="V17" s="131">
        <v>-8.3299999999999999E-2</v>
      </c>
      <c r="W17" s="131">
        <v>-3.3599999999999998E-2</v>
      </c>
      <c r="X17" s="131">
        <v>1.8000000000000002E-2</v>
      </c>
      <c r="Y17" s="131">
        <v>-1.6299999999999999E-2</v>
      </c>
      <c r="Z17" s="131">
        <v>-3.9300000000000002E-2</v>
      </c>
      <c r="AA17" s="131">
        <v>-6.7900000000000002E-2</v>
      </c>
      <c r="AB17" s="131">
        <v>5.91E-2</v>
      </c>
      <c r="AC17" s="131">
        <v>0.16969999999999999</v>
      </c>
      <c r="AD17" s="131">
        <v>7.6999999999999999E-2</v>
      </c>
      <c r="AE17" s="131">
        <v>-0.1009</v>
      </c>
      <c r="AF17" s="131">
        <v>6.3E-2</v>
      </c>
      <c r="AG17" s="131">
        <v>0.11220000000000001</v>
      </c>
      <c r="AH17" s="131">
        <v>1.03E-2</v>
      </c>
      <c r="AI17" s="131">
        <v>8.0000000000000002E-3</v>
      </c>
      <c r="AJ17" s="131">
        <v>0.11230000000000001</v>
      </c>
      <c r="AK17" s="131">
        <v>-4.6500000000000007E-2</v>
      </c>
      <c r="AL17" s="131">
        <v>-2.7099999999999999E-2</v>
      </c>
      <c r="AM17" s="131">
        <v>7.3800000000000004E-2</v>
      </c>
      <c r="AN17" s="131">
        <v>3.0800000000000001E-2</v>
      </c>
      <c r="AO17" s="131">
        <v>-2.52E-2</v>
      </c>
      <c r="AP17" s="131">
        <v>6.4000000000000003E-3</v>
      </c>
      <c r="AQ17" s="131">
        <v>-4.1200000000000001E-2</v>
      </c>
      <c r="AR17" s="131">
        <v>3.0000000000000001E-3</v>
      </c>
      <c r="AS17" s="131">
        <v>4.8000000000000001E-2</v>
      </c>
      <c r="AT17" s="131">
        <v>7.46E-2</v>
      </c>
      <c r="AU17" s="131">
        <v>4.8799999999999996E-2</v>
      </c>
      <c r="AV17" s="131">
        <v>2.0000000000000001E-4</v>
      </c>
      <c r="AW17" s="131">
        <v>-3.15E-2</v>
      </c>
      <c r="AX17" s="131">
        <v>6.1600000000000002E-2</v>
      </c>
      <c r="AY17" s="131">
        <v>0.1114</v>
      </c>
      <c r="AZ17" s="131">
        <v>5.1999999999999998E-3</v>
      </c>
      <c r="BA17" s="131">
        <v>1E-4</v>
      </c>
      <c r="BB17" s="131">
        <v>8.8000000000000005E-3</v>
      </c>
      <c r="BC17" s="131">
        <v>-0.10869999999999999</v>
      </c>
      <c r="BD17" s="131">
        <v>-5.2000000000000005E-2</v>
      </c>
      <c r="BE17" s="131">
        <v>8.8800000000000004E-2</v>
      </c>
      <c r="BF17" s="131">
        <v>-3.2099999999999997E-2</v>
      </c>
      <c r="BG17" s="131">
        <v>3.4799999999999998E-2</v>
      </c>
      <c r="BH17" s="131">
        <v>0.10189999999999999</v>
      </c>
      <c r="BI17" s="131">
        <v>2.3799999999999998E-2</v>
      </c>
      <c r="BJ17" s="131">
        <v>-1.8100000000000002E-2</v>
      </c>
      <c r="BK17" s="131">
        <v>0.1082</v>
      </c>
      <c r="BL17" s="131">
        <v>-1.8600000000000002E-2</v>
      </c>
      <c r="BM17" s="131">
        <v>-1.8E-3</v>
      </c>
      <c r="BN17" s="131">
        <v>9.7999999999999997E-3</v>
      </c>
      <c r="BO17" s="131">
        <v>6.9999999999999993E-3</v>
      </c>
      <c r="BP17" s="131">
        <v>4.0599999999999997E-2</v>
      </c>
      <c r="BQ17" s="131">
        <v>8.3999999999999995E-3</v>
      </c>
      <c r="BR17" s="131">
        <v>-6.7000000000000002E-3</v>
      </c>
      <c r="BS17" s="131">
        <v>3.5699999999999996E-2</v>
      </c>
      <c r="BT17" s="131">
        <v>2.3599999999999999E-2</v>
      </c>
      <c r="BU17" s="131">
        <v>9.4999999999999998E-3</v>
      </c>
      <c r="BV17" s="131">
        <v>6.8499999999999991E-2</v>
      </c>
    </row>
    <row r="18" spans="2:74" x14ac:dyDescent="0.3">
      <c r="B18" s="128"/>
      <c r="C18" s="139">
        <f>1+C17</f>
        <v>0.92490000000000006</v>
      </c>
      <c r="D18" s="139">
        <f t="shared" ref="D18" si="4">1+D17</f>
        <v>0.98860000000000003</v>
      </c>
      <c r="E18" s="139">
        <f t="shared" ref="E18" si="5">1+E17</f>
        <v>1.0705</v>
      </c>
      <c r="F18" s="139">
        <f t="shared" ref="F18" si="6">1+F17</f>
        <v>1.024</v>
      </c>
      <c r="G18" s="139">
        <f t="shared" ref="G18" si="7">1+G17</f>
        <v>0.99250000000000005</v>
      </c>
      <c r="H18" s="139">
        <f t="shared" ref="H18" si="8">1+H17</f>
        <v>1.0376000000000001</v>
      </c>
      <c r="I18" s="139">
        <f t="shared" ref="I18" si="9">1+I17</f>
        <v>1.05</v>
      </c>
      <c r="J18" s="139">
        <f t="shared" ref="J18" si="10">1+J17</f>
        <v>1.0977999999999999</v>
      </c>
      <c r="K18" s="139">
        <f t="shared" ref="K18" si="11">1+K17</f>
        <v>0.88300000000000001</v>
      </c>
      <c r="L18" s="139">
        <f t="shared" ref="L18" si="12">1+L17</f>
        <v>1.0095000000000001</v>
      </c>
      <c r="M18" s="139">
        <f t="shared" ref="M18" si="13">1+M17</f>
        <v>1.0018</v>
      </c>
      <c r="N18" s="139">
        <f t="shared" ref="N18" si="14">1+N17</f>
        <v>0.91379999999999995</v>
      </c>
      <c r="O18" s="139">
        <f t="shared" ref="O18" si="15">1+O17</f>
        <v>0.93799999999999994</v>
      </c>
      <c r="P18" s="139">
        <f t="shared" ref="P18" si="16">1+P17</f>
        <v>1.0996999999999999</v>
      </c>
      <c r="Q18" s="139">
        <f t="shared" ref="Q18" si="17">1+Q17</f>
        <v>0.99160000000000004</v>
      </c>
      <c r="R18" s="139">
        <f t="shared" ref="R18" si="18">1+R17</f>
        <v>1.0992999999999999</v>
      </c>
      <c r="S18" s="139">
        <f t="shared" ref="S18" si="19">1+S17</f>
        <v>0.93830000000000002</v>
      </c>
      <c r="T18" s="139">
        <f t="shared" ref="T18" si="20">1+T17</f>
        <v>1.0061</v>
      </c>
      <c r="U18" s="139">
        <f t="shared" ref="U18" si="21">1+U17</f>
        <v>0.95830000000000004</v>
      </c>
      <c r="V18" s="139">
        <f t="shared" ref="V18" si="22">1+V17</f>
        <v>0.91669999999999996</v>
      </c>
      <c r="W18" s="139">
        <f t="shared" ref="W18" si="23">1+W17</f>
        <v>0.96640000000000004</v>
      </c>
      <c r="X18" s="139">
        <f t="shared" ref="X18" si="24">1+X17</f>
        <v>1.018</v>
      </c>
      <c r="Y18" s="139">
        <f t="shared" ref="Y18" si="25">1+Y17</f>
        <v>0.98370000000000002</v>
      </c>
      <c r="Z18" s="139">
        <f t="shared" ref="Z18" si="26">1+Z17</f>
        <v>0.9607</v>
      </c>
      <c r="AA18" s="139">
        <f t="shared" ref="AA18" si="27">1+AA17</f>
        <v>0.93210000000000004</v>
      </c>
      <c r="AB18" s="139">
        <f t="shared" ref="AB18" si="28">1+AB17</f>
        <v>1.0590999999999999</v>
      </c>
      <c r="AC18" s="139">
        <f t="shared" ref="AC18" si="29">1+AC17</f>
        <v>1.1697</v>
      </c>
      <c r="AD18" s="139">
        <f t="shared" ref="AD18" si="30">1+AD17</f>
        <v>1.077</v>
      </c>
      <c r="AE18" s="139">
        <f t="shared" ref="AE18" si="31">1+AE17</f>
        <v>0.89910000000000001</v>
      </c>
      <c r="AF18" s="139">
        <f t="shared" ref="AF18" si="32">1+AF17</f>
        <v>1.0629999999999999</v>
      </c>
      <c r="AG18" s="139">
        <f t="shared" ref="AG18" si="33">1+AG17</f>
        <v>1.1122000000000001</v>
      </c>
      <c r="AH18" s="139">
        <f t="shared" ref="AH18" si="34">1+AH17</f>
        <v>1.0103</v>
      </c>
      <c r="AI18" s="139">
        <f t="shared" ref="AI18" si="35">1+AI17</f>
        <v>1.008</v>
      </c>
      <c r="AJ18" s="139">
        <f t="shared" ref="AJ18" si="36">1+AJ17</f>
        <v>1.1123000000000001</v>
      </c>
      <c r="AK18" s="139">
        <f t="shared" ref="AK18" si="37">1+AK17</f>
        <v>0.95350000000000001</v>
      </c>
      <c r="AL18" s="139">
        <f t="shared" ref="AL18" si="38">1+AL17</f>
        <v>0.97289999999999999</v>
      </c>
      <c r="AM18" s="139">
        <f t="shared" ref="AM18" si="39">1+AM17</f>
        <v>1.0738000000000001</v>
      </c>
      <c r="AN18" s="139">
        <f t="shared" ref="AN18" si="40">1+AN17</f>
        <v>1.0307999999999999</v>
      </c>
      <c r="AO18" s="139">
        <f t="shared" ref="AO18" si="41">1+AO17</f>
        <v>0.9748</v>
      </c>
      <c r="AP18" s="139">
        <f t="shared" ref="AP18" si="42">1+AP17</f>
        <v>1.0064</v>
      </c>
      <c r="AQ18" s="139">
        <f t="shared" ref="AQ18" si="43">1+AQ17</f>
        <v>0.95879999999999999</v>
      </c>
      <c r="AR18" s="139">
        <f t="shared" ref="AR18" si="44">1+AR17</f>
        <v>1.0029999999999999</v>
      </c>
      <c r="AS18" s="139">
        <f t="shared" ref="AS18" si="45">1+AS17</f>
        <v>1.048</v>
      </c>
      <c r="AT18" s="139">
        <f t="shared" ref="AT18" si="46">1+AT17</f>
        <v>1.0746</v>
      </c>
      <c r="AU18" s="139">
        <f t="shared" ref="AU18" si="47">1+AU17</f>
        <v>1.0488</v>
      </c>
      <c r="AV18" s="139">
        <f t="shared" ref="AV18" si="48">1+AV17</f>
        <v>1.0002</v>
      </c>
      <c r="AW18" s="139">
        <f t="shared" ref="AW18" si="49">1+AW17</f>
        <v>0.96850000000000003</v>
      </c>
      <c r="AX18" s="139">
        <f t="shared" ref="AX18" si="50">1+AX17</f>
        <v>1.0616000000000001</v>
      </c>
      <c r="AY18" s="139">
        <f t="shared" ref="AY18" si="51">1+AY17</f>
        <v>1.1113999999999999</v>
      </c>
      <c r="AZ18" s="139">
        <f t="shared" ref="AZ18" si="52">1+AZ17</f>
        <v>1.0052000000000001</v>
      </c>
      <c r="BA18" s="139">
        <f t="shared" ref="BA18" si="53">1+BA17</f>
        <v>1.0001</v>
      </c>
      <c r="BB18" s="139">
        <f t="shared" ref="BB18" si="54">1+BB17</f>
        <v>1.0087999999999999</v>
      </c>
      <c r="BC18" s="139">
        <f t="shared" ref="BC18" si="55">1+BC17</f>
        <v>0.89129999999999998</v>
      </c>
      <c r="BD18" s="139">
        <f t="shared" ref="BD18" si="56">1+BD17</f>
        <v>0.94799999999999995</v>
      </c>
      <c r="BE18" s="139">
        <f t="shared" ref="BE18" si="57">1+BE17</f>
        <v>1.0888</v>
      </c>
      <c r="BF18" s="139">
        <f t="shared" ref="BF18" si="58">1+BF17</f>
        <v>0.96789999999999998</v>
      </c>
      <c r="BG18" s="139">
        <f t="shared" ref="BG18" si="59">1+BG17</f>
        <v>1.0347999999999999</v>
      </c>
      <c r="BH18" s="139">
        <f t="shared" ref="BH18" si="60">1+BH17</f>
        <v>1.1019000000000001</v>
      </c>
      <c r="BI18" s="139">
        <f t="shared" ref="BI18" si="61">1+BI17</f>
        <v>1.0238</v>
      </c>
      <c r="BJ18" s="139">
        <f t="shared" ref="BJ18" si="62">1+BJ17</f>
        <v>0.9819</v>
      </c>
      <c r="BK18" s="139">
        <f t="shared" ref="BK18" si="63">1+BK17</f>
        <v>1.1082000000000001</v>
      </c>
      <c r="BL18" s="139">
        <f t="shared" ref="BL18" si="64">1+BL17</f>
        <v>0.98140000000000005</v>
      </c>
      <c r="BM18" s="139">
        <f t="shared" ref="BM18" si="65">1+BM17</f>
        <v>0.99819999999999998</v>
      </c>
      <c r="BN18" s="139">
        <f t="shared" ref="BN18" si="66">1+BN17</f>
        <v>1.0098</v>
      </c>
      <c r="BO18" s="139">
        <f t="shared" ref="BO18" si="67">1+BO17</f>
        <v>1.0069999999999999</v>
      </c>
      <c r="BP18" s="139">
        <f t="shared" ref="BP18" si="68">1+BP17</f>
        <v>1.0406</v>
      </c>
      <c r="BQ18" s="139">
        <f t="shared" ref="BQ18" si="69">1+BQ17</f>
        <v>1.0084</v>
      </c>
      <c r="BR18" s="139">
        <f t="shared" ref="BR18" si="70">1+BR17</f>
        <v>0.99329999999999996</v>
      </c>
      <c r="BS18" s="139">
        <f t="shared" ref="BS18" si="71">1+BS17</f>
        <v>1.0357000000000001</v>
      </c>
      <c r="BT18" s="139">
        <f t="shared" ref="BT18" si="72">1+BT17</f>
        <v>1.0236000000000001</v>
      </c>
      <c r="BU18" s="139">
        <f t="shared" ref="BU18" si="73">1+BU17</f>
        <v>1.0095000000000001</v>
      </c>
      <c r="BV18" s="139">
        <f t="shared" ref="BV18" si="74">1+BV17</f>
        <v>1.0685</v>
      </c>
    </row>
    <row r="19" spans="2:74" x14ac:dyDescent="0.3">
      <c r="B19" s="128" t="s">
        <v>94</v>
      </c>
      <c r="C19" s="132">
        <v>8.3280000000000003E-3</v>
      </c>
      <c r="D19" s="132">
        <v>7.7010000000000004E-3</v>
      </c>
      <c r="E19" s="132">
        <v>8.7100000000000007E-3</v>
      </c>
      <c r="F19" s="132">
        <v>8.6020000000000003E-3</v>
      </c>
      <c r="G19" s="132">
        <v>8.6140000000000001E-3</v>
      </c>
      <c r="H19" s="132">
        <v>8.6140000000000001E-3</v>
      </c>
      <c r="I19" s="132">
        <v>8.9029999999999995E-3</v>
      </c>
      <c r="J19" s="132">
        <v>8.9029999999999995E-3</v>
      </c>
      <c r="K19" s="132">
        <v>8.6140000000000001E-3</v>
      </c>
      <c r="L19" s="132">
        <v>8.9149999999999993E-3</v>
      </c>
      <c r="M19" s="132">
        <v>8.8009999999999998E-3</v>
      </c>
      <c r="N19" s="132">
        <v>9.443E-3</v>
      </c>
      <c r="O19" s="132">
        <v>9.6039999999999997E-3</v>
      </c>
      <c r="P19" s="132">
        <v>8.9040000000000005E-3</v>
      </c>
      <c r="Q19" s="132">
        <v>1.0195000000000001E-2</v>
      </c>
      <c r="R19" s="132">
        <v>9.9239999999999988E-3</v>
      </c>
      <c r="S19" s="132">
        <v>1.0624E-2</v>
      </c>
      <c r="T19" s="132">
        <v>1.0609E-2</v>
      </c>
      <c r="U19" s="132">
        <v>1.1026000000000001E-2</v>
      </c>
      <c r="V19" s="132">
        <v>1.1378999999999998E-2</v>
      </c>
      <c r="W19" s="132">
        <v>1.1009999999999999E-2</v>
      </c>
      <c r="X19" s="132">
        <v>1.1378999999999998E-2</v>
      </c>
      <c r="Y19" s="132">
        <v>1.1009999999999999E-2</v>
      </c>
      <c r="Z19" s="132">
        <v>1.1378999999999998E-2</v>
      </c>
      <c r="AA19" s="132">
        <v>1.0629E-2</v>
      </c>
      <c r="AB19" s="132">
        <v>1.0095E-2</v>
      </c>
      <c r="AC19" s="132">
        <v>1.1698E-2</v>
      </c>
      <c r="AD19" s="132">
        <v>1.0629E-2</v>
      </c>
      <c r="AE19" s="132">
        <v>1.1163000000000001E-2</v>
      </c>
      <c r="AF19" s="132">
        <v>1.1698E-2</v>
      </c>
      <c r="AG19" s="132">
        <v>1.1163000000000001E-2</v>
      </c>
      <c r="AH19" s="132">
        <v>1.2233000000000001E-2</v>
      </c>
      <c r="AI19" s="132">
        <v>1.1163000000000001E-2</v>
      </c>
      <c r="AJ19" s="132">
        <v>1.1275E-2</v>
      </c>
      <c r="AK19" s="132">
        <v>1.0798E-2</v>
      </c>
      <c r="AL19" s="132">
        <v>1.1002000000000001E-2</v>
      </c>
      <c r="AM19" s="132">
        <v>1.0636000000000001E-2</v>
      </c>
      <c r="AN19" s="132">
        <v>9.3089999999999996E-3</v>
      </c>
      <c r="AO19" s="132">
        <v>9.8630000000000002E-3</v>
      </c>
      <c r="AP19" s="132">
        <v>9.0980000000000002E-3</v>
      </c>
      <c r="AQ19" s="132">
        <v>9.0959999999999999E-3</v>
      </c>
      <c r="AR19" s="132">
        <v>8.0529999999999994E-3</v>
      </c>
      <c r="AS19" s="132">
        <v>8.1960000000000002E-3</v>
      </c>
      <c r="AT19" s="132">
        <v>7.5420000000000001E-3</v>
      </c>
      <c r="AU19" s="132">
        <v>6.4700000000000001E-3</v>
      </c>
      <c r="AV19" s="132">
        <v>6.6400000000000001E-3</v>
      </c>
      <c r="AW19" s="132">
        <v>5.9619999999999994E-3</v>
      </c>
      <c r="AX19" s="132">
        <v>5.8399999999999997E-3</v>
      </c>
      <c r="AY19" s="132">
        <v>5.7630000000000008E-3</v>
      </c>
      <c r="AZ19" s="132">
        <v>5.0680000000000005E-3</v>
      </c>
      <c r="BA19" s="132">
        <v>5.4990000000000004E-3</v>
      </c>
      <c r="BB19" s="132">
        <v>5.189E-3</v>
      </c>
      <c r="BC19" s="132">
        <v>5.3629999999999997E-3</v>
      </c>
      <c r="BD19" s="132">
        <v>5.189E-3</v>
      </c>
      <c r="BE19" s="132">
        <v>5.3629999999999997E-3</v>
      </c>
      <c r="BF19" s="132">
        <v>5.3629999999999997E-3</v>
      </c>
      <c r="BG19" s="132">
        <v>5.189E-3</v>
      </c>
      <c r="BH19" s="132">
        <v>5.3629999999999997E-3</v>
      </c>
      <c r="BI19" s="132">
        <v>5.189E-3</v>
      </c>
      <c r="BJ19" s="132">
        <v>5.3629999999999997E-3</v>
      </c>
      <c r="BK19" s="132">
        <v>5.3629999999999997E-3</v>
      </c>
      <c r="BL19" s="132">
        <v>4.8430000000000001E-3</v>
      </c>
      <c r="BM19" s="132">
        <v>5.3629999999999997E-3</v>
      </c>
      <c r="BN19" s="132">
        <v>5.189E-3</v>
      </c>
      <c r="BO19" s="132">
        <v>5.3629999999999997E-3</v>
      </c>
      <c r="BP19" s="132">
        <v>5.189E-3</v>
      </c>
      <c r="BQ19" s="132">
        <v>5.3629999999999997E-3</v>
      </c>
      <c r="BR19" s="132">
        <v>4.9610000000000001E-3</v>
      </c>
      <c r="BS19" s="132">
        <v>4.6449999999999998E-3</v>
      </c>
      <c r="BT19" s="132">
        <v>4.7999999999999996E-3</v>
      </c>
      <c r="BU19" s="132">
        <v>3.8E-3</v>
      </c>
      <c r="BV19" s="132">
        <v>3.7000000000000002E-3</v>
      </c>
    </row>
    <row r="20" spans="2:74" x14ac:dyDescent="0.3">
      <c r="B20" s="128"/>
      <c r="C20" s="139">
        <f>1+C19</f>
        <v>1.0083279999999999</v>
      </c>
      <c r="D20" s="139">
        <f t="shared" ref="D20" si="75">1+D19</f>
        <v>1.007701</v>
      </c>
      <c r="E20" s="139">
        <f t="shared" ref="E20" si="76">1+E19</f>
        <v>1.00871</v>
      </c>
      <c r="F20" s="139">
        <f t="shared" ref="F20" si="77">1+F19</f>
        <v>1.008602</v>
      </c>
      <c r="G20" s="139">
        <f t="shared" ref="G20" si="78">1+G19</f>
        <v>1.0086139999999999</v>
      </c>
      <c r="H20" s="139">
        <f t="shared" ref="H20" si="79">1+H19</f>
        <v>1.0086139999999999</v>
      </c>
      <c r="I20" s="139">
        <f t="shared" ref="I20" si="80">1+I19</f>
        <v>1.0089030000000001</v>
      </c>
      <c r="J20" s="139">
        <f t="shared" ref="J20" si="81">1+J19</f>
        <v>1.0089030000000001</v>
      </c>
      <c r="K20" s="139">
        <f t="shared" ref="K20" si="82">1+K19</f>
        <v>1.0086139999999999</v>
      </c>
      <c r="L20" s="139">
        <f t="shared" ref="L20" si="83">1+L19</f>
        <v>1.008915</v>
      </c>
      <c r="M20" s="139">
        <f t="shared" ref="M20" si="84">1+M19</f>
        <v>1.0088010000000001</v>
      </c>
      <c r="N20" s="139">
        <f t="shared" ref="N20" si="85">1+N19</f>
        <v>1.0094430000000001</v>
      </c>
      <c r="O20" s="139">
        <f t="shared" ref="O20" si="86">1+O19</f>
        <v>1.0096039999999999</v>
      </c>
      <c r="P20" s="139">
        <f t="shared" ref="P20" si="87">1+P19</f>
        <v>1.008904</v>
      </c>
      <c r="Q20" s="139">
        <f t="shared" ref="Q20" si="88">1+Q19</f>
        <v>1.010195</v>
      </c>
      <c r="R20" s="139">
        <f t="shared" ref="R20" si="89">1+R19</f>
        <v>1.009924</v>
      </c>
      <c r="S20" s="139">
        <f t="shared" ref="S20" si="90">1+S19</f>
        <v>1.010624</v>
      </c>
      <c r="T20" s="139">
        <f t="shared" ref="T20" si="91">1+T19</f>
        <v>1.0106090000000001</v>
      </c>
      <c r="U20" s="139">
        <f t="shared" ref="U20" si="92">1+U19</f>
        <v>1.011026</v>
      </c>
      <c r="V20" s="139">
        <f t="shared" ref="V20" si="93">1+V19</f>
        <v>1.011379</v>
      </c>
      <c r="W20" s="139">
        <f t="shared" ref="W20" si="94">1+W19</f>
        <v>1.01101</v>
      </c>
      <c r="X20" s="139">
        <f t="shared" ref="X20" si="95">1+X19</f>
        <v>1.011379</v>
      </c>
      <c r="Y20" s="139">
        <f t="shared" ref="Y20" si="96">1+Y19</f>
        <v>1.01101</v>
      </c>
      <c r="Z20" s="139">
        <f t="shared" ref="Z20" si="97">1+Z19</f>
        <v>1.011379</v>
      </c>
      <c r="AA20" s="139">
        <f t="shared" ref="AA20" si="98">1+AA19</f>
        <v>1.010629</v>
      </c>
      <c r="AB20" s="139">
        <f t="shared" ref="AB20" si="99">1+AB19</f>
        <v>1.010095</v>
      </c>
      <c r="AC20" s="139">
        <f t="shared" ref="AC20" si="100">1+AC19</f>
        <v>1.011698</v>
      </c>
      <c r="AD20" s="139">
        <f t="shared" ref="AD20" si="101">1+AD19</f>
        <v>1.010629</v>
      </c>
      <c r="AE20" s="139">
        <f t="shared" ref="AE20" si="102">1+AE19</f>
        <v>1.011163</v>
      </c>
      <c r="AF20" s="139">
        <f t="shared" ref="AF20" si="103">1+AF19</f>
        <v>1.011698</v>
      </c>
      <c r="AG20" s="139">
        <f t="shared" ref="AG20" si="104">1+AG19</f>
        <v>1.011163</v>
      </c>
      <c r="AH20" s="139">
        <f t="shared" ref="AH20" si="105">1+AH19</f>
        <v>1.0122329999999999</v>
      </c>
      <c r="AI20" s="139">
        <f t="shared" ref="AI20" si="106">1+AI19</f>
        <v>1.011163</v>
      </c>
      <c r="AJ20" s="139">
        <f t="shared" ref="AJ20" si="107">1+AJ19</f>
        <v>1.0112749999999999</v>
      </c>
      <c r="AK20" s="139">
        <f t="shared" ref="AK20" si="108">1+AK19</f>
        <v>1.0107980000000001</v>
      </c>
      <c r="AL20" s="139">
        <f t="shared" ref="AL20" si="109">1+AL19</f>
        <v>1.011002</v>
      </c>
      <c r="AM20" s="139">
        <f t="shared" ref="AM20" si="110">1+AM19</f>
        <v>1.0106360000000001</v>
      </c>
      <c r="AN20" s="139">
        <f t="shared" ref="AN20" si="111">1+AN19</f>
        <v>1.009309</v>
      </c>
      <c r="AO20" s="139">
        <f t="shared" ref="AO20" si="112">1+AO19</f>
        <v>1.009863</v>
      </c>
      <c r="AP20" s="139">
        <f t="shared" ref="AP20" si="113">1+AP19</f>
        <v>1.0090980000000001</v>
      </c>
      <c r="AQ20" s="139">
        <f t="shared" ref="AQ20" si="114">1+AQ19</f>
        <v>1.009096</v>
      </c>
      <c r="AR20" s="139">
        <f t="shared" ref="AR20" si="115">1+AR19</f>
        <v>1.0080530000000001</v>
      </c>
      <c r="AS20" s="139">
        <f t="shared" ref="AS20" si="116">1+AS19</f>
        <v>1.0081960000000001</v>
      </c>
      <c r="AT20" s="139">
        <f t="shared" ref="AT20" si="117">1+AT19</f>
        <v>1.0075419999999999</v>
      </c>
      <c r="AU20" s="139">
        <f t="shared" ref="AU20" si="118">1+AU19</f>
        <v>1.00647</v>
      </c>
      <c r="AV20" s="139">
        <f t="shared" ref="AV20" si="119">1+AV19</f>
        <v>1.00664</v>
      </c>
      <c r="AW20" s="139">
        <f t="shared" ref="AW20" si="120">1+AW19</f>
        <v>1.005962</v>
      </c>
      <c r="AX20" s="139">
        <f t="shared" ref="AX20" si="121">1+AX19</f>
        <v>1.0058400000000001</v>
      </c>
      <c r="AY20" s="139">
        <f t="shared" ref="AY20" si="122">1+AY19</f>
        <v>1.005763</v>
      </c>
      <c r="AZ20" s="139">
        <f t="shared" ref="AZ20" si="123">1+AZ19</f>
        <v>1.0050680000000001</v>
      </c>
      <c r="BA20" s="139">
        <f t="shared" ref="BA20" si="124">1+BA19</f>
        <v>1.0054989999999999</v>
      </c>
      <c r="BB20" s="139">
        <f t="shared" ref="BB20" si="125">1+BB19</f>
        <v>1.0051890000000001</v>
      </c>
      <c r="BC20" s="139">
        <f t="shared" ref="BC20" si="126">1+BC19</f>
        <v>1.005363</v>
      </c>
      <c r="BD20" s="139">
        <f t="shared" ref="BD20" si="127">1+BD19</f>
        <v>1.0051890000000001</v>
      </c>
      <c r="BE20" s="139">
        <f t="shared" ref="BE20" si="128">1+BE19</f>
        <v>1.005363</v>
      </c>
      <c r="BF20" s="139">
        <f t="shared" ref="BF20" si="129">1+BF19</f>
        <v>1.005363</v>
      </c>
      <c r="BG20" s="139">
        <f t="shared" ref="BG20" si="130">1+BG19</f>
        <v>1.0051890000000001</v>
      </c>
      <c r="BH20" s="139">
        <f t="shared" ref="BH20" si="131">1+BH19</f>
        <v>1.005363</v>
      </c>
      <c r="BI20" s="139">
        <f t="shared" ref="BI20" si="132">1+BI19</f>
        <v>1.0051890000000001</v>
      </c>
      <c r="BJ20" s="139">
        <f t="shared" ref="BJ20" si="133">1+BJ19</f>
        <v>1.005363</v>
      </c>
      <c r="BK20" s="139">
        <f t="shared" ref="BK20" si="134">1+BK19</f>
        <v>1.005363</v>
      </c>
      <c r="BL20" s="139">
        <f t="shared" ref="BL20" si="135">1+BL19</f>
        <v>1.0048429999999999</v>
      </c>
      <c r="BM20" s="139">
        <f t="shared" ref="BM20" si="136">1+BM19</f>
        <v>1.005363</v>
      </c>
      <c r="BN20" s="139">
        <f t="shared" ref="BN20" si="137">1+BN19</f>
        <v>1.0051890000000001</v>
      </c>
      <c r="BO20" s="139">
        <f t="shared" ref="BO20" si="138">1+BO19</f>
        <v>1.005363</v>
      </c>
      <c r="BP20" s="139">
        <f t="shared" ref="BP20" si="139">1+BP19</f>
        <v>1.0051890000000001</v>
      </c>
      <c r="BQ20" s="139">
        <f t="shared" ref="BQ20" si="140">1+BQ19</f>
        <v>1.005363</v>
      </c>
      <c r="BR20" s="139">
        <f t="shared" ref="BR20" si="141">1+BR19</f>
        <v>1.004961</v>
      </c>
      <c r="BS20" s="139">
        <f t="shared" ref="BS20" si="142">1+BS19</f>
        <v>1.004645</v>
      </c>
      <c r="BT20" s="139">
        <f t="shared" ref="BT20" si="143">1+BT19</f>
        <v>1.0047999999999999</v>
      </c>
      <c r="BU20" s="139">
        <f t="shared" ref="BU20" si="144">1+BU19</f>
        <v>1.0038</v>
      </c>
      <c r="BV20" s="139">
        <f t="shared" ref="BV20" si="145">1+BV19</f>
        <v>1.0037</v>
      </c>
    </row>
    <row r="22" spans="2:74" x14ac:dyDescent="0.3">
      <c r="B22" s="143" t="s">
        <v>99</v>
      </c>
    </row>
    <row r="23" spans="2:74" x14ac:dyDescent="0.3">
      <c r="C23" s="124">
        <v>43466</v>
      </c>
      <c r="D23" s="124">
        <v>43497</v>
      </c>
      <c r="E23" s="124">
        <v>43525</v>
      </c>
      <c r="F23" s="124">
        <v>43556</v>
      </c>
      <c r="G23" s="124">
        <v>43586</v>
      </c>
      <c r="H23" s="124">
        <v>43617</v>
      </c>
      <c r="I23" s="124">
        <v>43647</v>
      </c>
      <c r="J23" s="124">
        <v>43678</v>
      </c>
      <c r="K23" s="124">
        <v>43709</v>
      </c>
      <c r="L23" s="124">
        <v>43739</v>
      </c>
      <c r="M23" s="124">
        <v>43770</v>
      </c>
      <c r="N23" s="124">
        <v>43800</v>
      </c>
      <c r="O23" s="135" t="s">
        <v>95</v>
      </c>
    </row>
    <row r="24" spans="2:74" x14ac:dyDescent="0.3">
      <c r="B24" s="128" t="s">
        <v>93</v>
      </c>
      <c r="C24" s="131">
        <f>AVERAGE($C$15:$BV$15)</f>
        <v>1.6554166666666661E-2</v>
      </c>
      <c r="D24" s="131">
        <f t="shared" ref="D24:N24" si="146">AVERAGE($C$15:$BV$15)</f>
        <v>1.6554166666666661E-2</v>
      </c>
      <c r="E24" s="131">
        <f t="shared" si="146"/>
        <v>1.6554166666666661E-2</v>
      </c>
      <c r="F24" s="131">
        <f t="shared" si="146"/>
        <v>1.6554166666666661E-2</v>
      </c>
      <c r="G24" s="131">
        <f t="shared" si="146"/>
        <v>1.6554166666666661E-2</v>
      </c>
      <c r="H24" s="131">
        <f t="shared" si="146"/>
        <v>1.6554166666666661E-2</v>
      </c>
      <c r="I24" s="131">
        <f t="shared" si="146"/>
        <v>1.6554166666666661E-2</v>
      </c>
      <c r="J24" s="131">
        <f t="shared" si="146"/>
        <v>1.6554166666666661E-2</v>
      </c>
      <c r="K24" s="131">
        <f t="shared" si="146"/>
        <v>1.6554166666666661E-2</v>
      </c>
      <c r="L24" s="131">
        <f t="shared" si="146"/>
        <v>1.6554166666666661E-2</v>
      </c>
      <c r="M24" s="131">
        <f t="shared" si="146"/>
        <v>1.6554166666666661E-2</v>
      </c>
      <c r="N24" s="131">
        <f t="shared" si="146"/>
        <v>1.6554166666666661E-2</v>
      </c>
    </row>
    <row r="25" spans="2:74" x14ac:dyDescent="0.3">
      <c r="B25" s="128"/>
      <c r="C25" s="125">
        <f>1+C24</f>
        <v>1.0165541666666666</v>
      </c>
      <c r="D25" s="125">
        <f>(1+D24)*C25</f>
        <v>1.0333823737673611</v>
      </c>
      <c r="E25" s="125">
        <f t="shared" ref="E25:N25" si="147">(1+E24)*D25</f>
        <v>1.0504891578131015</v>
      </c>
      <c r="F25" s="125">
        <f t="shared" si="147"/>
        <v>1.0678791304130659</v>
      </c>
      <c r="G25" s="125">
        <f t="shared" si="147"/>
        <v>1.0855569795177789</v>
      </c>
      <c r="H25" s="125">
        <f t="shared" si="147"/>
        <v>1.1035274706828795</v>
      </c>
      <c r="I25" s="125">
        <f t="shared" si="147"/>
        <v>1.1217954483538091</v>
      </c>
      <c r="J25" s="125">
        <f t="shared" si="147"/>
        <v>1.140365837171766</v>
      </c>
      <c r="K25" s="125">
        <f t="shared" si="147"/>
        <v>1.1592436433012803</v>
      </c>
      <c r="L25" s="125">
        <f t="shared" si="147"/>
        <v>1.1784339557797636</v>
      </c>
      <c r="M25" s="125">
        <f t="shared" si="147"/>
        <v>1.1979419478894011</v>
      </c>
      <c r="N25" s="125">
        <f t="shared" si="147"/>
        <v>1.2177728785517536</v>
      </c>
      <c r="O25" s="136">
        <f>N25-1</f>
        <v>0.21777287855175365</v>
      </c>
    </row>
    <row r="26" spans="2:74" x14ac:dyDescent="0.3">
      <c r="B26" s="128" t="s">
        <v>92</v>
      </c>
      <c r="C26" s="131">
        <f>AVERAGE($C$17:$BV$17)</f>
        <v>1.3019444444444443E-2</v>
      </c>
      <c r="D26" s="131">
        <f t="shared" ref="D26:N26" si="148">AVERAGE($C$17:$BV$17)</f>
        <v>1.3019444444444443E-2</v>
      </c>
      <c r="E26" s="131">
        <f t="shared" si="148"/>
        <v>1.3019444444444443E-2</v>
      </c>
      <c r="F26" s="131">
        <f t="shared" si="148"/>
        <v>1.3019444444444443E-2</v>
      </c>
      <c r="G26" s="131">
        <f t="shared" si="148"/>
        <v>1.3019444444444443E-2</v>
      </c>
      <c r="H26" s="131">
        <f t="shared" si="148"/>
        <v>1.3019444444444443E-2</v>
      </c>
      <c r="I26" s="131">
        <f t="shared" si="148"/>
        <v>1.3019444444444443E-2</v>
      </c>
      <c r="J26" s="131">
        <f t="shared" si="148"/>
        <v>1.3019444444444443E-2</v>
      </c>
      <c r="K26" s="131">
        <f t="shared" si="148"/>
        <v>1.3019444444444443E-2</v>
      </c>
      <c r="L26" s="131">
        <f t="shared" si="148"/>
        <v>1.3019444444444443E-2</v>
      </c>
      <c r="M26" s="131">
        <f t="shared" si="148"/>
        <v>1.3019444444444443E-2</v>
      </c>
      <c r="N26" s="131">
        <f t="shared" si="148"/>
        <v>1.3019444444444443E-2</v>
      </c>
      <c r="O26" s="130"/>
    </row>
    <row r="27" spans="2:74" x14ac:dyDescent="0.3">
      <c r="B27" s="128"/>
      <c r="C27" s="125">
        <f>1+C26</f>
        <v>1.0130194444444445</v>
      </c>
      <c r="D27" s="125">
        <f>(1+D26)*C27</f>
        <v>1.0262083948225309</v>
      </c>
      <c r="E27" s="125">
        <f t="shared" ref="E27" si="149">(1+E26)*D27</f>
        <v>1.0395690580073453</v>
      </c>
      <c r="F27" s="125">
        <f t="shared" ref="F27" si="150">(1+F26)*E27</f>
        <v>1.0531036696042355</v>
      </c>
      <c r="G27" s="125">
        <f t="shared" ref="G27" si="151">(1+G26)*F27</f>
        <v>1.0668144943248885</v>
      </c>
      <c r="H27" s="125">
        <f t="shared" ref="H27" si="152">(1+H26)*G27</f>
        <v>1.0807038263662796</v>
      </c>
      <c r="I27" s="125">
        <f t="shared" ref="I27" si="153">(1+I26)*H27</f>
        <v>1.0947739897945539</v>
      </c>
      <c r="J27" s="125">
        <f t="shared" ref="J27" si="154">(1+J26)*I27</f>
        <v>1.1090273389339069</v>
      </c>
      <c r="K27" s="125">
        <f t="shared" ref="K27" si="155">(1+K26)*J27</f>
        <v>1.1234662587605271</v>
      </c>
      <c r="L27" s="125">
        <f t="shared" ref="L27" si="156">(1+L26)*K27</f>
        <v>1.1380931653016677</v>
      </c>
      <c r="M27" s="125">
        <f t="shared" ref="M27" si="157">(1+M26)*L27</f>
        <v>1.1529105060399147</v>
      </c>
      <c r="N27" s="125">
        <f t="shared" ref="N27" si="158">(1+N26)*M27</f>
        <v>1.1679207603227177</v>
      </c>
      <c r="O27" s="136">
        <f>N27-1</f>
        <v>0.16792076032271774</v>
      </c>
    </row>
    <row r="28" spans="2:74" x14ac:dyDescent="0.3">
      <c r="B28" s="128" t="s">
        <v>94</v>
      </c>
      <c r="C28" s="132">
        <f>AVERAGE($C$19:$BV$19)</f>
        <v>8.1100277777777768E-3</v>
      </c>
      <c r="D28" s="132">
        <f t="shared" ref="D28:N28" si="159">AVERAGE($C$19:$BV$19)</f>
        <v>8.1100277777777768E-3</v>
      </c>
      <c r="E28" s="132">
        <f t="shared" si="159"/>
        <v>8.1100277777777768E-3</v>
      </c>
      <c r="F28" s="132">
        <f t="shared" si="159"/>
        <v>8.1100277777777768E-3</v>
      </c>
      <c r="G28" s="132">
        <f t="shared" si="159"/>
        <v>8.1100277777777768E-3</v>
      </c>
      <c r="H28" s="132">
        <f t="shared" si="159"/>
        <v>8.1100277777777768E-3</v>
      </c>
      <c r="I28" s="132">
        <f t="shared" si="159"/>
        <v>8.1100277777777768E-3</v>
      </c>
      <c r="J28" s="132">
        <f t="shared" si="159"/>
        <v>8.1100277777777768E-3</v>
      </c>
      <c r="K28" s="132">
        <f t="shared" si="159"/>
        <v>8.1100277777777768E-3</v>
      </c>
      <c r="L28" s="132">
        <f t="shared" si="159"/>
        <v>8.1100277777777768E-3</v>
      </c>
      <c r="M28" s="132">
        <f t="shared" si="159"/>
        <v>8.1100277777777768E-3</v>
      </c>
      <c r="N28" s="132">
        <f t="shared" si="159"/>
        <v>8.1100277777777768E-3</v>
      </c>
      <c r="O28" s="130"/>
    </row>
    <row r="29" spans="2:74" x14ac:dyDescent="0.3">
      <c r="C29" s="125">
        <f>1+C28</f>
        <v>1.0081100277777777</v>
      </c>
      <c r="D29" s="125">
        <f>(1+D28)*C29</f>
        <v>1.0162858281061118</v>
      </c>
      <c r="E29" s="125">
        <f t="shared" ref="E29" si="160">(1+E28)*D29</f>
        <v>1.0245279344022142</v>
      </c>
      <c r="F29" s="125">
        <f t="shared" ref="F29" si="161">(1+F28)*E29</f>
        <v>1.0328368844093254</v>
      </c>
      <c r="G29" s="125">
        <f t="shared" ref="G29" si="162">(1+G28)*F29</f>
        <v>1.0412132202317985</v>
      </c>
      <c r="H29" s="125">
        <f t="shared" ref="H29" si="163">(1+H28)*G29</f>
        <v>1.0496574883704677</v>
      </c>
      <c r="I29" s="125">
        <f t="shared" ref="I29" si="164">(1+I28)*H29</f>
        <v>1.0581702397583046</v>
      </c>
      <c r="J29" s="125">
        <f t="shared" ref="J29" si="165">(1+J28)*I29</f>
        <v>1.0667520297963622</v>
      </c>
      <c r="K29" s="125">
        <f t="shared" ref="K29" si="166">(1+K28)*J29</f>
        <v>1.0754034183900114</v>
      </c>
      <c r="L29" s="125">
        <f t="shared" ref="L29" si="167">(1+L28)*K29</f>
        <v>1.0841249699854716</v>
      </c>
      <c r="M29" s="125">
        <f t="shared" ref="M29" si="168">(1+M28)*L29</f>
        <v>1.0929172536066363</v>
      </c>
      <c r="N29" s="125">
        <f t="shared" ref="N29" si="169">(1+N28)*M29</f>
        <v>1.1017808428921987</v>
      </c>
      <c r="O29" s="136">
        <f>N29-1</f>
        <v>0.10178084289219869</v>
      </c>
    </row>
    <row r="31" spans="2:74" x14ac:dyDescent="0.3">
      <c r="B31" s="143" t="s">
        <v>101</v>
      </c>
    </row>
    <row r="32" spans="2:74" x14ac:dyDescent="0.3">
      <c r="C32" t="s">
        <v>110</v>
      </c>
    </row>
    <row r="33" spans="2:6" x14ac:dyDescent="0.3">
      <c r="C33" s="141" t="s">
        <v>103</v>
      </c>
      <c r="D33" s="141" t="s">
        <v>104</v>
      </c>
      <c r="E33" s="141" t="s">
        <v>86</v>
      </c>
      <c r="F33" s="129" t="s">
        <v>109</v>
      </c>
    </row>
    <row r="34" spans="2:6" x14ac:dyDescent="0.3">
      <c r="B34" t="s">
        <v>102</v>
      </c>
      <c r="C34" s="142">
        <v>3.8E-3</v>
      </c>
      <c r="D34" s="142">
        <v>1.4999999999999999E-2</v>
      </c>
      <c r="E34" s="142">
        <f>AVERAGE(C34:D34)</f>
        <v>9.4000000000000004E-3</v>
      </c>
      <c r="F34" s="137">
        <f>(1+E34)^12-1</f>
        <v>0.11881841195515697</v>
      </c>
    </row>
    <row r="35" spans="2:6" x14ac:dyDescent="0.3">
      <c r="B35" t="s">
        <v>105</v>
      </c>
      <c r="C35" s="142">
        <v>8.2000000000000007E-3</v>
      </c>
      <c r="D35" s="142">
        <v>1.0200000000000001E-2</v>
      </c>
      <c r="E35" s="142">
        <f t="shared" ref="E35:E38" si="170">AVERAGE(C35:D35)</f>
        <v>9.1999999999999998E-3</v>
      </c>
      <c r="F35" s="137">
        <f t="shared" ref="F35:F38" si="171">(1+E35)^12-1</f>
        <v>0.11616115026912621</v>
      </c>
    </row>
    <row r="36" spans="2:6" x14ac:dyDescent="0.3">
      <c r="B36" t="s">
        <v>106</v>
      </c>
      <c r="C36" s="142">
        <v>9.9000000000000008E-3</v>
      </c>
      <c r="D36" s="142">
        <v>1.72E-2</v>
      </c>
      <c r="E36" s="142">
        <f t="shared" si="170"/>
        <v>1.355E-2</v>
      </c>
      <c r="F36" s="137">
        <f t="shared" si="171"/>
        <v>0.1752821379888625</v>
      </c>
    </row>
    <row r="37" spans="2:6" x14ac:dyDescent="0.3">
      <c r="B37" t="s">
        <v>107</v>
      </c>
      <c r="C37" s="142">
        <v>1.06E-2</v>
      </c>
      <c r="D37" s="142">
        <v>1.24E-2</v>
      </c>
      <c r="E37" s="142">
        <f t="shared" si="170"/>
        <v>1.15E-2</v>
      </c>
      <c r="F37" s="137">
        <f t="shared" si="171"/>
        <v>0.14707191153891563</v>
      </c>
    </row>
    <row r="38" spans="2:6" x14ac:dyDescent="0.3">
      <c r="B38" t="s">
        <v>108</v>
      </c>
      <c r="C38" s="142">
        <v>9.9000000000000008E-3</v>
      </c>
      <c r="D38" s="142">
        <v>2.9899999999999999E-2</v>
      </c>
      <c r="E38" s="142">
        <f t="shared" si="170"/>
        <v>1.9900000000000001E-2</v>
      </c>
      <c r="F38" s="137">
        <f t="shared" si="171"/>
        <v>0.26675054966592726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6 D26:N26 C28:N28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zoomScale="55" zoomScaleNormal="55" workbookViewId="0">
      <selection activeCell="C3" sqref="C3"/>
    </sheetView>
  </sheetViews>
  <sheetFormatPr defaultColWidth="0" defaultRowHeight="14.4" zeroHeight="1" x14ac:dyDescent="0.3"/>
  <cols>
    <col min="1" max="1" width="8.77734375" customWidth="1"/>
    <col min="2" max="2" width="28.5546875" bestFit="1" customWidth="1"/>
    <col min="3" max="3" width="23.109375" customWidth="1"/>
    <col min="4" max="4" width="12" bestFit="1" customWidth="1"/>
    <col min="5" max="5" width="7.77734375" customWidth="1"/>
    <col min="6" max="13" width="12.77734375" bestFit="1" customWidth="1"/>
    <col min="14" max="17" width="12.6640625" bestFit="1" customWidth="1"/>
    <col min="18" max="18" width="11.21875" bestFit="1" customWidth="1"/>
    <col min="19" max="20" width="12.6640625" bestFit="1" customWidth="1"/>
    <col min="21" max="25" width="12.77734375" bestFit="1" customWidth="1"/>
    <col min="26" max="33" width="7.6640625" customWidth="1"/>
    <col min="34" max="34" width="11.77734375" customWidth="1"/>
    <col min="35" max="16384" width="8.77734375" hidden="1"/>
  </cols>
  <sheetData>
    <row r="1" spans="2:33" x14ac:dyDescent="0.3">
      <c r="G1" s="107"/>
    </row>
    <row r="2" spans="2:33" ht="18.600000000000001" thickBot="1" x14ac:dyDescent="0.4">
      <c r="B2" s="111" t="s">
        <v>137</v>
      </c>
      <c r="C2" s="159">
        <v>2000000</v>
      </c>
      <c r="E2" s="160" t="s">
        <v>136</v>
      </c>
      <c r="F2" s="108"/>
      <c r="G2" s="108">
        <v>2020</v>
      </c>
      <c r="H2" s="108">
        <f>G2+1</f>
        <v>2021</v>
      </c>
      <c r="I2" s="108">
        <f t="shared" ref="I2:U2" si="0">H2+1</f>
        <v>2022</v>
      </c>
      <c r="J2" s="108">
        <f t="shared" si="0"/>
        <v>2023</v>
      </c>
      <c r="K2" s="108">
        <f t="shared" si="0"/>
        <v>2024</v>
      </c>
      <c r="L2" s="108">
        <f t="shared" si="0"/>
        <v>2025</v>
      </c>
      <c r="M2" s="108">
        <f t="shared" si="0"/>
        <v>2026</v>
      </c>
      <c r="N2" s="108">
        <f t="shared" si="0"/>
        <v>2027</v>
      </c>
      <c r="O2" s="108">
        <f t="shared" si="0"/>
        <v>2028</v>
      </c>
      <c r="P2" s="108">
        <f t="shared" si="0"/>
        <v>2029</v>
      </c>
      <c r="Q2" s="108">
        <f t="shared" si="0"/>
        <v>2030</v>
      </c>
      <c r="R2" s="108">
        <f t="shared" si="0"/>
        <v>2031</v>
      </c>
      <c r="S2" s="108">
        <f t="shared" si="0"/>
        <v>2032</v>
      </c>
      <c r="T2" s="108">
        <f t="shared" si="0"/>
        <v>2033</v>
      </c>
      <c r="U2" s="108">
        <f t="shared" si="0"/>
        <v>2034</v>
      </c>
      <c r="V2" s="108">
        <f t="shared" ref="V2" si="1">U2+1</f>
        <v>2035</v>
      </c>
      <c r="W2" s="108">
        <f t="shared" ref="W2" si="2">V2+1</f>
        <v>2036</v>
      </c>
      <c r="X2" s="108">
        <f t="shared" ref="X2" si="3">W2+1</f>
        <v>2037</v>
      </c>
      <c r="Y2" s="108">
        <f t="shared" ref="Y2" si="4">X2+1</f>
        <v>2038</v>
      </c>
      <c r="Z2" s="108">
        <f t="shared" ref="Z2" si="5">Y2+1</f>
        <v>2039</v>
      </c>
      <c r="AA2" s="108">
        <f t="shared" ref="AA2" si="6">Z2+1</f>
        <v>2040</v>
      </c>
      <c r="AB2" s="108">
        <f t="shared" ref="AB2" si="7">AA2+1</f>
        <v>2041</v>
      </c>
      <c r="AC2" s="108">
        <f t="shared" ref="AC2" si="8">AB2+1</f>
        <v>2042</v>
      </c>
      <c r="AD2" s="108">
        <f t="shared" ref="AD2" si="9">AC2+1</f>
        <v>2043</v>
      </c>
      <c r="AE2" s="108">
        <f t="shared" ref="AE2" si="10">AD2+1</f>
        <v>2044</v>
      </c>
      <c r="AF2" s="108">
        <f t="shared" ref="AF2" si="11">AE2+1</f>
        <v>2045</v>
      </c>
    </row>
    <row r="3" spans="2:33" ht="18.600000000000001" thickBot="1" x14ac:dyDescent="0.4">
      <c r="B3" s="111" t="s">
        <v>50</v>
      </c>
      <c r="C3" s="110" t="s">
        <v>10</v>
      </c>
      <c r="E3" s="161">
        <f ca="1">$C$2/INDIRECT(TEXT($C$3,0)&amp;"!C4",TRUE)</f>
        <v>0.65932616865563398</v>
      </c>
      <c r="F3" s="108" t="str">
        <f t="array" ref="F3:AF5" ca="1">TRANSPOSE(INDIRECT(TEXT($C$3,0)&amp;"!i3",TRUE):INDIRECT(TEXT($C$3,0)&amp;"!k29",TRUE))</f>
        <v>Consumo local (kWh)</v>
      </c>
      <c r="G3" s="108">
        <f ca="1"/>
        <v>0</v>
      </c>
      <c r="H3" s="108">
        <f ca="1"/>
        <v>840000</v>
      </c>
      <c r="I3" s="108">
        <f ca="1"/>
        <v>831600</v>
      </c>
      <c r="J3" s="108">
        <f ca="1"/>
        <v>823284</v>
      </c>
      <c r="K3" s="108">
        <f ca="1"/>
        <v>815051.16</v>
      </c>
      <c r="L3" s="108">
        <f ca="1"/>
        <v>806900.64839999995</v>
      </c>
      <c r="M3" s="108">
        <f ca="1"/>
        <v>798831.64191600005</v>
      </c>
      <c r="N3" s="108">
        <f ca="1"/>
        <v>790843.32549683994</v>
      </c>
      <c r="O3" s="108">
        <f ca="1"/>
        <v>782934.89224187157</v>
      </c>
      <c r="P3" s="108">
        <f ca="1"/>
        <v>775105.54331945279</v>
      </c>
      <c r="Q3" s="108">
        <f ca="1"/>
        <v>767354.48788625828</v>
      </c>
      <c r="R3" s="108">
        <f ca="1"/>
        <v>759680.94300739572</v>
      </c>
      <c r="S3" s="108">
        <f ca="1"/>
        <v>752084.13357732177</v>
      </c>
      <c r="T3" s="108">
        <f ca="1"/>
        <v>744563.29224154854</v>
      </c>
      <c r="U3" s="108">
        <f ca="1"/>
        <v>737117.65931913315</v>
      </c>
      <c r="V3" s="108">
        <f ca="1"/>
        <v>729746.48272594181</v>
      </c>
      <c r="W3" s="108">
        <f ca="1"/>
        <v>722449.01789868239</v>
      </c>
      <c r="X3" s="108">
        <f ca="1"/>
        <v>715224.52771969547</v>
      </c>
      <c r="Y3" s="108">
        <f ca="1"/>
        <v>708072.2824424986</v>
      </c>
      <c r="Z3" s="108">
        <f ca="1"/>
        <v>700991.55961807352</v>
      </c>
      <c r="AA3" s="108">
        <f ca="1"/>
        <v>693981.6440218928</v>
      </c>
      <c r="AB3" s="108">
        <f ca="1"/>
        <v>687041.82758167386</v>
      </c>
      <c r="AC3" s="108">
        <f ca="1"/>
        <v>680171.40930585715</v>
      </c>
      <c r="AD3" s="108">
        <f ca="1"/>
        <v>673369.69521279843</v>
      </c>
      <c r="AE3" s="108">
        <f ca="1"/>
        <v>666635.99826067046</v>
      </c>
      <c r="AF3" s="108">
        <f ca="1"/>
        <v>659969.63827806374</v>
      </c>
    </row>
    <row r="4" spans="2:33" ht="18" x14ac:dyDescent="0.35">
      <c r="B4" s="111" t="s">
        <v>49</v>
      </c>
      <c r="C4" s="162">
        <f ca="1">$E$3*'Estrutura de Capital'!$C$7+(1-'Visão Geral'!$E$3)*'Estrutura de Capital'!$D$5</f>
        <v>9.9871516724702708E-2</v>
      </c>
      <c r="F4" s="108" t="str">
        <f ca="1"/>
        <v>Envio para a rede
(kWh)</v>
      </c>
      <c r="G4" s="108">
        <f ca="1"/>
        <v>0</v>
      </c>
      <c r="H4" s="108">
        <f ca="1"/>
        <v>360000</v>
      </c>
      <c r="I4" s="108">
        <f ca="1"/>
        <v>356400</v>
      </c>
      <c r="J4" s="108">
        <f ca="1"/>
        <v>352836</v>
      </c>
      <c r="K4" s="108">
        <f ca="1"/>
        <v>349307.64</v>
      </c>
      <c r="L4" s="108">
        <f ca="1"/>
        <v>345814.56360000011</v>
      </c>
      <c r="M4" s="108">
        <f ca="1"/>
        <v>342356.41796400002</v>
      </c>
      <c r="N4" s="108">
        <f ca="1"/>
        <v>338932.85378436011</v>
      </c>
      <c r="O4" s="108">
        <f ca="1"/>
        <v>335543.52524651645</v>
      </c>
      <c r="P4" s="108">
        <f ca="1"/>
        <v>332188.08999405126</v>
      </c>
      <c r="Q4" s="108">
        <f ca="1"/>
        <v>328866.20909411076</v>
      </c>
      <c r="R4" s="108">
        <f ca="1"/>
        <v>325577.54700316966</v>
      </c>
      <c r="S4" s="108">
        <f ca="1"/>
        <v>322321.771533138</v>
      </c>
      <c r="T4" s="108">
        <f ca="1"/>
        <v>319098.55381780665</v>
      </c>
      <c r="U4" s="108">
        <f ca="1"/>
        <v>315907.56827962853</v>
      </c>
      <c r="V4" s="108">
        <f ca="1"/>
        <v>312748.49259683222</v>
      </c>
      <c r="W4" s="108">
        <f ca="1"/>
        <v>309621.00767086388</v>
      </c>
      <c r="X4" s="108">
        <f ca="1"/>
        <v>306524.7975941553</v>
      </c>
      <c r="Y4" s="108">
        <f ca="1"/>
        <v>303459.54961821367</v>
      </c>
      <c r="Z4" s="108">
        <f ca="1"/>
        <v>300424.95412203157</v>
      </c>
      <c r="AA4" s="108">
        <f ca="1"/>
        <v>297420.7045808112</v>
      </c>
      <c r="AB4" s="108">
        <f ca="1"/>
        <v>294446.49753500312</v>
      </c>
      <c r="AC4" s="108">
        <f ca="1"/>
        <v>291502.03255965305</v>
      </c>
      <c r="AD4" s="108">
        <f ca="1"/>
        <v>288587.0122340566</v>
      </c>
      <c r="AE4" s="108">
        <f ca="1"/>
        <v>285701.14211171598</v>
      </c>
      <c r="AF4" s="108">
        <f ca="1"/>
        <v>282844.13069059886</v>
      </c>
    </row>
    <row r="5" spans="2:33" ht="18" x14ac:dyDescent="0.35">
      <c r="B5" s="111" t="s">
        <v>144</v>
      </c>
      <c r="C5" s="162" t="s">
        <v>145</v>
      </c>
      <c r="D5" s="168">
        <f>IF(C5="Sim",1,0)</f>
        <v>1</v>
      </c>
      <c r="F5" s="108" t="str">
        <f ca="1"/>
        <v>Compensação
(%)</v>
      </c>
      <c r="G5" s="108">
        <f ca="1"/>
        <v>0</v>
      </c>
      <c r="H5" s="108">
        <f ca="1"/>
        <v>0.99999999999999989</v>
      </c>
      <c r="I5" s="108">
        <f ca="1"/>
        <v>0.99999999999999989</v>
      </c>
      <c r="J5" s="108">
        <f ca="1"/>
        <v>0.99999999999999989</v>
      </c>
      <c r="K5" s="108">
        <f ca="1"/>
        <v>0.99999999999999989</v>
      </c>
      <c r="L5" s="108">
        <f ca="1"/>
        <v>0.99999999999999989</v>
      </c>
      <c r="M5" s="108">
        <f ca="1"/>
        <v>0.99999999999999989</v>
      </c>
      <c r="N5" s="108">
        <f ca="1"/>
        <v>0.99999999999999989</v>
      </c>
      <c r="O5" s="108">
        <f ca="1"/>
        <v>0.99999999999999989</v>
      </c>
      <c r="P5" s="108">
        <f ca="1"/>
        <v>0.99999999999999989</v>
      </c>
      <c r="Q5" s="108">
        <f ca="1"/>
        <v>0.99999999999999989</v>
      </c>
      <c r="R5" s="108">
        <f ca="1"/>
        <v>0.66</v>
      </c>
      <c r="S5" s="108">
        <f ca="1"/>
        <v>0.66</v>
      </c>
      <c r="T5" s="108">
        <f ca="1"/>
        <v>0.66</v>
      </c>
      <c r="U5" s="108">
        <f ca="1"/>
        <v>0.66</v>
      </c>
      <c r="V5" s="108">
        <f ca="1"/>
        <v>0.66</v>
      </c>
      <c r="W5" s="108">
        <f ca="1"/>
        <v>0.66</v>
      </c>
      <c r="X5" s="108">
        <f ca="1"/>
        <v>0.66</v>
      </c>
      <c r="Y5" s="108">
        <f ca="1"/>
        <v>0.66</v>
      </c>
      <c r="Z5" s="108">
        <f ca="1"/>
        <v>0.66</v>
      </c>
      <c r="AA5" s="108">
        <f ca="1"/>
        <v>0.66</v>
      </c>
      <c r="AB5" s="108">
        <f ca="1"/>
        <v>0.66</v>
      </c>
      <c r="AC5" s="108">
        <f ca="1"/>
        <v>0.66</v>
      </c>
      <c r="AD5" s="108">
        <f ca="1"/>
        <v>0.66</v>
      </c>
      <c r="AE5" s="108">
        <f ca="1"/>
        <v>0.66</v>
      </c>
      <c r="AF5" s="108">
        <f ca="1"/>
        <v>0.66</v>
      </c>
    </row>
    <row r="6" spans="2:33" x14ac:dyDescent="0.3">
      <c r="E6" s="107"/>
    </row>
    <row r="7" spans="2:33" ht="18" x14ac:dyDescent="0.35">
      <c r="B7" s="112" t="s">
        <v>36</v>
      </c>
      <c r="C7" s="113"/>
      <c r="D7" s="113"/>
      <c r="E7" s="113"/>
    </row>
    <row r="8" spans="2:33" x14ac:dyDescent="0.3">
      <c r="C8" s="1" t="s">
        <v>62</v>
      </c>
      <c r="D8" s="1" t="s">
        <v>61</v>
      </c>
      <c r="V8" t="s">
        <v>12</v>
      </c>
      <c r="W8" s="2">
        <f ca="1">Pessimista!W7</f>
        <v>0.19734622949971325</v>
      </c>
      <c r="X8" s="2">
        <v>0</v>
      </c>
      <c r="Y8" s="107">
        <f ca="1">Pessimista!W6</f>
        <v>3083807.5052879606</v>
      </c>
    </row>
    <row r="9" spans="2:33" x14ac:dyDescent="0.3">
      <c r="B9" s="116" t="s">
        <v>52</v>
      </c>
      <c r="C9" s="114">
        <f ca="1">INDIRECT(TEXT($C$3,0)&amp;"!C22",TRUE)*INDIRECT(TEXT($C$3,0)&amp;"!D22",TRUE)</f>
        <v>1706200</v>
      </c>
      <c r="D9" s="115">
        <f ca="1">C9/SUM($C$9:$C$12)</f>
        <v>0.5624711544801213</v>
      </c>
      <c r="W9" s="2">
        <f ca="1">W8+X8</f>
        <v>0.19734622949971325</v>
      </c>
      <c r="X9" s="2">
        <f ca="1">W10-W9</f>
        <v>4.2551857155212147E-2</v>
      </c>
    </row>
    <row r="10" spans="2:33" x14ac:dyDescent="0.3">
      <c r="B10" s="116" t="s">
        <v>53</v>
      </c>
      <c r="C10" s="114">
        <f ca="1">INDIRECT(TEXT($C$3,0)&amp;"!C23",TRUE)*INDIRECT(TEXT($C$3,0)&amp;"!D23",TRUE)</f>
        <v>320000</v>
      </c>
      <c r="D10" s="115">
        <f ca="1">C10/SUM($C$9:$C$12)</f>
        <v>0.10549218698490143</v>
      </c>
      <c r="V10" t="s">
        <v>10</v>
      </c>
      <c r="W10" s="2">
        <f ca="1">Realista!W7</f>
        <v>0.2398980866549254</v>
      </c>
      <c r="X10" s="2">
        <v>0</v>
      </c>
      <c r="Y10" s="107">
        <f ca="1">Realista!W6</f>
        <v>4636834.9910906097</v>
      </c>
    </row>
    <row r="11" spans="2:33" x14ac:dyDescent="0.3">
      <c r="B11" s="116" t="s">
        <v>54</v>
      </c>
      <c r="C11" s="114">
        <v>675400</v>
      </c>
      <c r="D11" s="115">
        <f ca="1">C11/SUM($C$9:$C$12)</f>
        <v>0.2226544471550076</v>
      </c>
      <c r="W11" s="2">
        <f ca="1">W10+X10</f>
        <v>0.2398980866549254</v>
      </c>
      <c r="X11" s="2">
        <f ca="1">W12-W11</f>
        <v>2.6699864136735751E-2</v>
      </c>
    </row>
    <row r="12" spans="2:33" x14ac:dyDescent="0.3">
      <c r="B12" s="116" t="s">
        <v>55</v>
      </c>
      <c r="C12" s="114">
        <f ca="1">INDIRECT(TEXT($C$3,0)&amp;"!C25",TRUE)*INDIRECT(TEXT($C$3,0)&amp;"!D25",TRUE)</f>
        <v>331800</v>
      </c>
      <c r="D12" s="115">
        <f ca="1">C12/SUM($C$9:$C$12)</f>
        <v>0.10938221137996967</v>
      </c>
      <c r="V12" t="s">
        <v>11</v>
      </c>
      <c r="W12" s="2">
        <f ca="1">Otimista!W7</f>
        <v>0.26659795079166115</v>
      </c>
      <c r="X12" s="2">
        <v>0</v>
      </c>
      <c r="Y12" s="107">
        <f ca="1">Otimista!W6</f>
        <v>5865786.6765988655</v>
      </c>
    </row>
    <row r="13" spans="2:33" x14ac:dyDescent="0.3"/>
    <row r="14" spans="2:33" x14ac:dyDescent="0.3"/>
    <row r="15" spans="2:33" x14ac:dyDescent="0.3"/>
    <row r="16" spans="2:33" x14ac:dyDescent="0.3">
      <c r="F16" s="108"/>
      <c r="G16" s="108">
        <v>0</v>
      </c>
      <c r="H16" s="108">
        <f>G16+1</f>
        <v>1</v>
      </c>
      <c r="I16" s="108">
        <f t="shared" ref="I16:AF16" si="12">H16+1</f>
        <v>2</v>
      </c>
      <c r="J16" s="108">
        <f t="shared" si="12"/>
        <v>3</v>
      </c>
      <c r="K16" s="108">
        <f t="shared" si="12"/>
        <v>4</v>
      </c>
      <c r="L16" s="108">
        <f t="shared" si="12"/>
        <v>5</v>
      </c>
      <c r="M16" s="108">
        <f t="shared" si="12"/>
        <v>6</v>
      </c>
      <c r="N16" s="108">
        <f t="shared" si="12"/>
        <v>7</v>
      </c>
      <c r="O16" s="108">
        <f t="shared" si="12"/>
        <v>8</v>
      </c>
      <c r="P16" s="108">
        <f t="shared" si="12"/>
        <v>9</v>
      </c>
      <c r="Q16" s="108">
        <f t="shared" si="12"/>
        <v>10</v>
      </c>
      <c r="R16" s="108">
        <f t="shared" si="12"/>
        <v>11</v>
      </c>
      <c r="S16" s="108">
        <f t="shared" si="12"/>
        <v>12</v>
      </c>
      <c r="T16" s="108">
        <f t="shared" si="12"/>
        <v>13</v>
      </c>
      <c r="U16" s="108">
        <f t="shared" si="12"/>
        <v>14</v>
      </c>
      <c r="V16" s="108">
        <f t="shared" si="12"/>
        <v>15</v>
      </c>
      <c r="W16" s="108">
        <f t="shared" si="12"/>
        <v>16</v>
      </c>
      <c r="X16" s="108">
        <f t="shared" si="12"/>
        <v>17</v>
      </c>
      <c r="Y16" s="108">
        <f t="shared" si="12"/>
        <v>18</v>
      </c>
      <c r="Z16" s="108">
        <f t="shared" si="12"/>
        <v>19</v>
      </c>
      <c r="AA16" s="108">
        <f t="shared" si="12"/>
        <v>20</v>
      </c>
      <c r="AB16" s="108">
        <f t="shared" si="12"/>
        <v>21</v>
      </c>
      <c r="AC16" s="108">
        <f t="shared" si="12"/>
        <v>22</v>
      </c>
      <c r="AD16" s="108">
        <f t="shared" si="12"/>
        <v>23</v>
      </c>
      <c r="AE16" s="108">
        <f t="shared" si="12"/>
        <v>24</v>
      </c>
      <c r="AF16" s="108">
        <f t="shared" si="12"/>
        <v>25</v>
      </c>
      <c r="AG16" t="s">
        <v>144</v>
      </c>
    </row>
    <row r="17" spans="2:33" x14ac:dyDescent="0.3">
      <c r="F17" s="108" t="s">
        <v>63</v>
      </c>
      <c r="G17" s="109">
        <f t="array" aca="1" ref="G17:AF19" ca="1">TRANSPOSE(INDIRECT(TEXT($C$3,0)&amp;"!P4",TRUE):INDIRECT(TEXT($C$3,0)&amp;"!R29",TRUE))</f>
        <v>-3033400</v>
      </c>
      <c r="H17" s="109">
        <f ca="1"/>
        <v>688330</v>
      </c>
      <c r="I17" s="109">
        <f ca="1"/>
        <v>700327.9</v>
      </c>
      <c r="J17" s="109">
        <f ca="1"/>
        <v>712515.29259999993</v>
      </c>
      <c r="K17" s="109">
        <f ca="1"/>
        <v>724894.50482331985</v>
      </c>
      <c r="L17" s="109">
        <f ca="1"/>
        <v>737467.86735621234</v>
      </c>
      <c r="M17" s="109">
        <f ca="1"/>
        <v>750237.71335463901</v>
      </c>
      <c r="N17" s="109">
        <f ca="1"/>
        <v>763206.37718957989</v>
      </c>
      <c r="O17" s="109">
        <f ca="1"/>
        <v>776376.1931285247</v>
      </c>
      <c r="P17" s="109">
        <f ca="1"/>
        <v>789749.4939507161</v>
      </c>
      <c r="Q17" s="109">
        <f ca="1"/>
        <v>803328.60949363152</v>
      </c>
      <c r="R17" s="109">
        <f ca="1"/>
        <v>712979.20356501546</v>
      </c>
      <c r="S17" s="109">
        <f ca="1"/>
        <v>424925.42636351852</v>
      </c>
      <c r="T17" s="109">
        <f ca="1"/>
        <v>737044.00572580029</v>
      </c>
      <c r="U17" s="109">
        <f ca="1"/>
        <v>749336.44755540672</v>
      </c>
      <c r="V17" s="109">
        <f ca="1"/>
        <v>761804.23073656065</v>
      </c>
      <c r="W17" s="109">
        <f ca="1"/>
        <v>774448.80490131257</v>
      </c>
      <c r="X17" s="109">
        <f ca="1"/>
        <v>787271.58810168714</v>
      </c>
      <c r="Y17" s="109">
        <f ca="1"/>
        <v>800273.96438342379</v>
      </c>
      <c r="Z17" s="109">
        <f ca="1"/>
        <v>813457.28125779459</v>
      </c>
      <c r="AA17" s="109">
        <f ca="1"/>
        <v>826822.8470678709</v>
      </c>
      <c r="AB17" s="109">
        <f ca="1"/>
        <v>840371.92824548506</v>
      </c>
      <c r="AC17" s="109">
        <f ca="1"/>
        <v>854105.74645500933</v>
      </c>
      <c r="AD17" s="109">
        <f ca="1"/>
        <v>568025.47561995382</v>
      </c>
      <c r="AE17" s="109">
        <f ca="1"/>
        <v>882132.23882824113</v>
      </c>
      <c r="AF17" s="109">
        <f ca="1"/>
        <v>896427.10511188919</v>
      </c>
    </row>
    <row r="18" spans="2:33" x14ac:dyDescent="0.3">
      <c r="F18" s="108" t="s">
        <v>64</v>
      </c>
      <c r="G18" s="109">
        <f ca="1"/>
        <v>-3033400</v>
      </c>
      <c r="H18" s="109">
        <f ca="1"/>
        <v>625827.64398679184</v>
      </c>
      <c r="I18" s="109">
        <f ca="1"/>
        <v>578918.6193685974</v>
      </c>
      <c r="J18" s="109">
        <f ca="1"/>
        <v>535510.91108889517</v>
      </c>
      <c r="K18" s="109">
        <f ca="1"/>
        <v>495344.09062877507</v>
      </c>
      <c r="L18" s="109">
        <f ca="1"/>
        <v>458177.04362562165</v>
      </c>
      <c r="M18" s="109">
        <f ca="1"/>
        <v>423786.54099895869</v>
      </c>
      <c r="N18" s="109">
        <f ca="1"/>
        <v>391965.91556549247</v>
      </c>
      <c r="O18" s="109">
        <f ca="1"/>
        <v>362523.83636918489</v>
      </c>
      <c r="P18" s="109">
        <f ca="1"/>
        <v>335283.17352425319</v>
      </c>
      <c r="Q18" s="109">
        <f ca="1"/>
        <v>310079.94689901819</v>
      </c>
      <c r="R18" s="109">
        <f ca="1"/>
        <v>250216.15953694927</v>
      </c>
      <c r="S18" s="109">
        <f ca="1"/>
        <v>135584.25376558592</v>
      </c>
      <c r="T18" s="109">
        <f ca="1"/>
        <v>213819.83963952496</v>
      </c>
      <c r="U18" s="109">
        <f ca="1"/>
        <v>197646.66142667949</v>
      </c>
      <c r="V18" s="109">
        <f ca="1"/>
        <v>182689.69494709038</v>
      </c>
      <c r="W18" s="109">
        <f ca="1"/>
        <v>168857.91754971631</v>
      </c>
      <c r="X18" s="109">
        <f ca="1"/>
        <v>156067.09199620978</v>
      </c>
      <c r="Y18" s="109">
        <f ca="1"/>
        <v>144239.26229240131</v>
      </c>
      <c r="Z18" s="109">
        <f ca="1"/>
        <v>133302.2868773267</v>
      </c>
      <c r="AA18" s="109">
        <f ca="1"/>
        <v>123189.40640812791</v>
      </c>
      <c r="AB18" s="109">
        <f ca="1"/>
        <v>113838.84358291453</v>
      </c>
      <c r="AC18" s="109">
        <f ca="1"/>
        <v>105193.43263241932</v>
      </c>
      <c r="AD18" s="109">
        <f ca="1"/>
        <v>63606.696714039615</v>
      </c>
      <c r="AE18" s="109">
        <f ca="1"/>
        <v>89810.428180518007</v>
      </c>
      <c r="AF18" s="109">
        <f ca="1"/>
        <v>82978.598827090944</v>
      </c>
      <c r="AG18" s="109">
        <f ca="1">INDIRECT(TEXT($C$3,)&amp;"!W11",TRUE)*$D$5</f>
        <v>991776.69465842634</v>
      </c>
    </row>
    <row r="19" spans="2:33" x14ac:dyDescent="0.3">
      <c r="F19" s="108" t="s">
        <v>65</v>
      </c>
      <c r="G19" s="109">
        <f ca="1"/>
        <v>-3033400</v>
      </c>
      <c r="H19" s="109">
        <f ca="1"/>
        <v>-2407572.3560132082</v>
      </c>
      <c r="I19" s="109">
        <f ca="1"/>
        <v>-1828653.7366446108</v>
      </c>
      <c r="J19" s="109">
        <f ca="1"/>
        <v>-1293142.8255557157</v>
      </c>
      <c r="K19" s="109">
        <f ca="1"/>
        <v>-797798.73492694064</v>
      </c>
      <c r="L19" s="109">
        <f ca="1"/>
        <v>-339621.69130131899</v>
      </c>
      <c r="M19" s="109">
        <f ca="1"/>
        <v>84164.8496976397</v>
      </c>
      <c r="N19" s="109">
        <f ca="1"/>
        <v>476130.76526313217</v>
      </c>
      <c r="O19" s="109">
        <f ca="1"/>
        <v>838654.60163231706</v>
      </c>
      <c r="P19" s="109">
        <f ca="1"/>
        <v>1173937.7751565701</v>
      </c>
      <c r="Q19" s="109">
        <f ca="1"/>
        <v>1484017.7220555884</v>
      </c>
      <c r="R19" s="109">
        <f ca="1"/>
        <v>1734233.8815925377</v>
      </c>
      <c r="S19" s="109">
        <f ca="1"/>
        <v>1869818.1353581236</v>
      </c>
      <c r="T19" s="109">
        <f ca="1"/>
        <v>2083637.9749976485</v>
      </c>
      <c r="U19" s="109">
        <f ca="1"/>
        <v>2281284.6364243282</v>
      </c>
      <c r="V19" s="109">
        <f ca="1"/>
        <v>2463974.3313714187</v>
      </c>
      <c r="W19" s="109">
        <f ca="1"/>
        <v>2632832.248921135</v>
      </c>
      <c r="X19" s="109">
        <f ca="1"/>
        <v>2788899.3409173447</v>
      </c>
      <c r="Y19" s="109">
        <f ca="1"/>
        <v>2933138.6032097461</v>
      </c>
      <c r="Z19" s="109">
        <f ca="1"/>
        <v>3066440.8900870727</v>
      </c>
      <c r="AA19" s="109">
        <f ca="1"/>
        <v>3189630.2964952006</v>
      </c>
      <c r="AB19" s="109">
        <f ca="1"/>
        <v>3303469.1400781153</v>
      </c>
      <c r="AC19" s="109">
        <f ca="1"/>
        <v>3408662.5727105346</v>
      </c>
      <c r="AD19" s="109">
        <f ca="1"/>
        <v>3472269.269424574</v>
      </c>
      <c r="AE19" s="109">
        <f ca="1"/>
        <v>3562079.6976050921</v>
      </c>
      <c r="AF19" s="109">
        <f ca="1"/>
        <v>3645058.2964321831</v>
      </c>
      <c r="AG19" s="109">
        <f ca="1">AF19+AG18*D5</f>
        <v>4636834.9910906097</v>
      </c>
    </row>
    <row r="20" spans="2:33" x14ac:dyDescent="0.3"/>
    <row r="21" spans="2:33" ht="18" x14ac:dyDescent="0.35">
      <c r="V21" s="112"/>
      <c r="W21" s="113"/>
      <c r="X21" s="113"/>
      <c r="Y21" s="113"/>
    </row>
    <row r="22" spans="2:33" x14ac:dyDescent="0.3"/>
    <row r="23" spans="2:33" x14ac:dyDescent="0.3"/>
    <row r="24" spans="2:33" x14ac:dyDescent="0.3"/>
    <row r="25" spans="2:33" x14ac:dyDescent="0.3"/>
    <row r="26" spans="2:33" x14ac:dyDescent="0.3">
      <c r="U26" s="2">
        <f ca="1">C36</f>
        <v>0.2398980866549254</v>
      </c>
    </row>
    <row r="27" spans="2:33" x14ac:dyDescent="0.3">
      <c r="U27" s="2">
        <v>0.05</v>
      </c>
      <c r="V27" s="2">
        <f>U27+1%</f>
        <v>6.0000000000000005E-2</v>
      </c>
      <c r="W27" s="2">
        <f t="shared" ref="W27:AC27" si="13">V27+1%</f>
        <v>7.0000000000000007E-2</v>
      </c>
      <c r="X27" s="2">
        <f t="shared" si="13"/>
        <v>0.08</v>
      </c>
      <c r="Y27" s="2">
        <f t="shared" si="13"/>
        <v>0.09</v>
      </c>
      <c r="Z27" s="2">
        <f t="shared" si="13"/>
        <v>9.9999999999999992E-2</v>
      </c>
      <c r="AA27" s="2">
        <f t="shared" si="13"/>
        <v>0.10999999999999999</v>
      </c>
      <c r="AB27" s="2">
        <f t="shared" si="13"/>
        <v>0.11999999999999998</v>
      </c>
      <c r="AC27" s="2">
        <f t="shared" si="13"/>
        <v>0.12999999999999998</v>
      </c>
    </row>
    <row r="28" spans="2:33" x14ac:dyDescent="0.3">
      <c r="U28" s="121">
        <v>12888.429910766516</v>
      </c>
      <c r="V28" s="121">
        <v>11745.702620582199</v>
      </c>
      <c r="W28" s="121">
        <v>10554.295365709231</v>
      </c>
      <c r="X28" s="121">
        <v>9668.3228754812135</v>
      </c>
      <c r="Y28" s="121">
        <v>8879.8073591782813</v>
      </c>
      <c r="Z28" s="121">
        <v>8178.0285496686693</v>
      </c>
      <c r="AA28" s="121">
        <v>7553.4454092051164</v>
      </c>
      <c r="AB28" s="121">
        <v>6997.5664141925536</v>
      </c>
      <c r="AC28" s="121">
        <v>6502.8341086313721</v>
      </c>
    </row>
    <row r="29" spans="2:33" x14ac:dyDescent="0.3"/>
    <row r="30" spans="2:33" x14ac:dyDescent="0.3">
      <c r="V30" s="107"/>
    </row>
    <row r="31" spans="2:33" x14ac:dyDescent="0.3"/>
    <row r="32" spans="2:33" ht="18" x14ac:dyDescent="0.35">
      <c r="B32" s="112" t="s">
        <v>66</v>
      </c>
      <c r="C32" s="113"/>
      <c r="D32" s="113"/>
      <c r="E32" s="113"/>
    </row>
    <row r="33" spans="2:5" ht="15.6" x14ac:dyDescent="0.3">
      <c r="B33" s="117" t="s">
        <v>59</v>
      </c>
      <c r="C33" s="118">
        <f ca="1">INDIRECT(TEXT($C$3,)&amp;"!W4",TRUE)</f>
        <v>4.4068978542268971</v>
      </c>
    </row>
    <row r="34" spans="2:5" ht="15.6" x14ac:dyDescent="0.3">
      <c r="B34" s="117" t="s">
        <v>60</v>
      </c>
      <c r="C34" s="118">
        <f ca="1">INDIRECT(TEXT($C$3,)&amp;"!w5",TRUE)</f>
        <v>6.801398011604511</v>
      </c>
    </row>
    <row r="35" spans="2:5" ht="15.6" x14ac:dyDescent="0.3">
      <c r="B35" s="117" t="s">
        <v>58</v>
      </c>
      <c r="C35" s="118">
        <f ca="1">INDIRECT(TEXT($C$3,)&amp;"!w6",TRUE)</f>
        <v>4636834.9910906097</v>
      </c>
    </row>
    <row r="36" spans="2:5" ht="15.6" x14ac:dyDescent="0.3">
      <c r="B36" s="119" t="s">
        <v>48</v>
      </c>
      <c r="C36" s="123">
        <f ca="1">INDIRECT(TEXT($C$3,)&amp;"!w7",TRUE)</f>
        <v>0.2398980866549254</v>
      </c>
    </row>
    <row r="37" spans="2:5" x14ac:dyDescent="0.3"/>
    <row r="38" spans="2:5" ht="18" x14ac:dyDescent="0.35">
      <c r="B38" s="112" t="s">
        <v>37</v>
      </c>
      <c r="C38" s="113"/>
      <c r="D38" s="113"/>
      <c r="E38" s="113"/>
    </row>
    <row r="39" spans="2:5" x14ac:dyDescent="0.3">
      <c r="B39" s="77" t="s">
        <v>29</v>
      </c>
      <c r="C39" s="155">
        <f ca="1">INDIRECT(TEXT($C$3,)&amp;"!c5",TRUE)</f>
        <v>100000</v>
      </c>
    </row>
    <row r="40" spans="2:5" x14ac:dyDescent="0.3">
      <c r="B40" s="77" t="s">
        <v>31</v>
      </c>
      <c r="C40" s="74">
        <f ca="1">INDIRECT(TEXT($C$3,)&amp;"!c6",TRUE)</f>
        <v>1200000</v>
      </c>
    </row>
    <row r="41" spans="2:5" x14ac:dyDescent="0.3">
      <c r="B41" s="77" t="s">
        <v>30</v>
      </c>
      <c r="C41" s="74">
        <f ca="1">INDIRECT(TEXT($C$3,)&amp;"!c7",TRUE)</f>
        <v>1200000</v>
      </c>
    </row>
    <row r="42" spans="2:5" x14ac:dyDescent="0.3">
      <c r="B42" s="77" t="s">
        <v>32</v>
      </c>
      <c r="C42" s="76">
        <f ca="1">INDIRECT(TEXT($C$3,)&amp;"!c8",TRUE)</f>
        <v>0.7</v>
      </c>
    </row>
    <row r="43" spans="2:5" x14ac:dyDescent="0.3">
      <c r="B43" s="77" t="s">
        <v>33</v>
      </c>
      <c r="C43" s="76">
        <f ca="1">INDIRECT(TEXT($C$3,)&amp;"!c9",TRUE)</f>
        <v>0.01</v>
      </c>
    </row>
    <row r="44" spans="2:5" x14ac:dyDescent="0.3">
      <c r="B44" s="77" t="s">
        <v>34</v>
      </c>
      <c r="C44" s="74">
        <f ca="1">INDIRECT(TEXT($C$3,)&amp;"!c10",TRUE)</f>
        <v>151670</v>
      </c>
    </row>
    <row r="45" spans="2:5" x14ac:dyDescent="0.3">
      <c r="B45" s="77" t="s">
        <v>35</v>
      </c>
      <c r="C45" s="76">
        <f ca="1">INDIRECT(TEXT($C$3,)&amp;"!c11",TRUE)</f>
        <v>0.03</v>
      </c>
    </row>
    <row r="46" spans="2:5" x14ac:dyDescent="0.3">
      <c r="B46" s="77" t="s">
        <v>68</v>
      </c>
      <c r="C46" s="74">
        <f ca="1">INDIRECT(TEXT($C$3,)&amp;"!c12",TRUE)</f>
        <v>0.7</v>
      </c>
    </row>
    <row r="47" spans="2:5" x14ac:dyDescent="0.3">
      <c r="B47" s="77" t="s">
        <v>67</v>
      </c>
      <c r="C47" s="76">
        <f ca="1">INDIRECT(TEXT($C$3,)&amp;"!c13",TRUE)</f>
        <v>0.03</v>
      </c>
    </row>
    <row r="48" spans="2:5" x14ac:dyDescent="0.3">
      <c r="B48" s="77" t="s">
        <v>40</v>
      </c>
      <c r="C48" s="120" t="str">
        <f ca="1">INDIRECT(TEXT($C$3,)&amp;"!c14",TRUE)</f>
        <v>Alternativa 0</v>
      </c>
    </row>
    <row r="49" spans="2:3" x14ac:dyDescent="0.3">
      <c r="B49" s="77" t="s">
        <v>41</v>
      </c>
      <c r="C49" s="120" t="str">
        <f ca="1">INDIRECT(TEXT($C$3,)&amp;"!c16",TRUE)</f>
        <v>Alternativa 2</v>
      </c>
    </row>
    <row r="50" spans="2:3" x14ac:dyDescent="0.3">
      <c r="B50" s="77"/>
      <c r="C50" s="76"/>
    </row>
  </sheetData>
  <dataValidations count="2">
    <dataValidation type="list" allowBlank="1" showInputMessage="1" showErrorMessage="1" sqref="C3" xr:uid="{00000000-0002-0000-0000-000000000000}">
      <formula1>"Realista, Otimista, Pessimista"</formula1>
    </dataValidation>
    <dataValidation type="list" allowBlank="1" showInputMessage="1" showErrorMessage="1" sqref="C5" xr:uid="{00000000-0002-0000-0000-000001000000}">
      <formula1>"Sim, Não"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Dashboard</vt:lpstr>
      <vt:lpstr>Realista</vt:lpstr>
      <vt:lpstr>Otimista</vt:lpstr>
      <vt:lpstr>Pessimista</vt:lpstr>
      <vt:lpstr>Investimentos</vt:lpstr>
      <vt:lpstr>Estrutura de Capital</vt:lpstr>
      <vt:lpstr>Visão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Beatriz</cp:lastModifiedBy>
  <dcterms:created xsi:type="dcterms:W3CDTF">2020-05-06T18:01:40Z</dcterms:created>
  <dcterms:modified xsi:type="dcterms:W3CDTF">2021-11-26T17:04:23Z</dcterms:modified>
</cp:coreProperties>
</file>