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wiWa\Desktop\FACULTAD DE INGENIERIA\ASIGNATURAS\Química\5. Bohr\"/>
    </mc:Choice>
  </mc:AlternateContent>
  <xr:revisionPtr revIDLastSave="0" documentId="13_ncr:1_{565F2F2B-0078-4DC2-95C7-DDE4D0748373}" xr6:coauthVersionLast="45" xr6:coauthVersionMax="45" xr10:uidLastSave="{00000000-0000-0000-0000-000000000000}"/>
  <bookViews>
    <workbookView xWindow="-108" yWindow="-108" windowWidth="23256" windowHeight="12576" xr2:uid="{07951177-E043-444A-A196-D8B85BE4502C}"/>
  </bookViews>
  <sheets>
    <sheet name="Boh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0" i="1" l="1"/>
  <c r="E108" i="1"/>
  <c r="L206" i="1" l="1"/>
  <c r="E200" i="1"/>
  <c r="E202" i="1" s="1"/>
  <c r="E204" i="1" s="1"/>
  <c r="E188" i="1"/>
  <c r="E190" i="1"/>
  <c r="E186" i="1"/>
  <c r="E184" i="1"/>
  <c r="L189" i="1"/>
  <c r="E171" i="1"/>
  <c r="L176" i="1"/>
  <c r="E147" i="1"/>
  <c r="E143" i="1"/>
  <c r="L149" i="1"/>
  <c r="E135" i="1"/>
  <c r="E128" i="1"/>
  <c r="E126" i="1"/>
  <c r="L132" i="1"/>
  <c r="E112" i="1"/>
  <c r="L114" i="1"/>
  <c r="B111" i="1"/>
  <c r="E92" i="1"/>
  <c r="E90" i="1"/>
  <c r="E87" i="1"/>
  <c r="E85" i="1"/>
  <c r="E83" i="1"/>
  <c r="L75" i="1" l="1"/>
  <c r="E70" i="1"/>
  <c r="E62" i="1"/>
  <c r="E59" i="1"/>
  <c r="E57" i="1"/>
  <c r="E48" i="1"/>
  <c r="E40" i="1"/>
  <c r="E38" i="1"/>
  <c r="E37" i="1"/>
  <c r="L44" i="1"/>
  <c r="L13" i="1"/>
  <c r="E26" i="1"/>
  <c r="B15" i="1"/>
  <c r="B14" i="1"/>
</calcChain>
</file>

<file path=xl/sharedStrings.xml><?xml version="1.0" encoding="utf-8"?>
<sst xmlns="http://schemas.openxmlformats.org/spreadsheetml/2006/main" count="206" uniqueCount="55">
  <si>
    <t>Problema 25</t>
  </si>
  <si>
    <t>Datos</t>
  </si>
  <si>
    <t>m [kg]</t>
  </si>
  <si>
    <t>e [C]</t>
  </si>
  <si>
    <t>c [m/s]</t>
  </si>
  <si>
    <t>h [J*s]</t>
  </si>
  <si>
    <t>k [N*m^2*C^-2]</t>
  </si>
  <si>
    <t>RB [m]</t>
  </si>
  <si>
    <t>RH [m^-1]</t>
  </si>
  <si>
    <t>Datos del problema</t>
  </si>
  <si>
    <t>Fe [N]</t>
  </si>
  <si>
    <t>Ep [J]</t>
  </si>
  <si>
    <t xml:space="preserve">Z </t>
  </si>
  <si>
    <t>?</t>
  </si>
  <si>
    <t>Resolución:</t>
  </si>
  <si>
    <t>Fórmulas</t>
  </si>
  <si>
    <t>r [m]</t>
  </si>
  <si>
    <t>Z</t>
  </si>
  <si>
    <t>fg [Hz]</t>
  </si>
  <si>
    <t>n</t>
  </si>
  <si>
    <t>Et [J]</t>
  </si>
  <si>
    <t>Perim [m]</t>
  </si>
  <si>
    <t>Resolución</t>
  </si>
  <si>
    <t>pi</t>
  </si>
  <si>
    <t>v [m/s]</t>
  </si>
  <si>
    <t>Problema 26</t>
  </si>
  <si>
    <t>Problema 27</t>
  </si>
  <si>
    <t>Problema 28</t>
  </si>
  <si>
    <t>Problema 29</t>
  </si>
  <si>
    <t>Problema 30</t>
  </si>
  <si>
    <t>f [Hz]</t>
  </si>
  <si>
    <t>Velocidad</t>
  </si>
  <si>
    <t>Frec. Giro</t>
  </si>
  <si>
    <t>1/na^2</t>
  </si>
  <si>
    <r>
      <t>n</t>
    </r>
    <r>
      <rPr>
        <vertAlign val="subscript"/>
        <sz val="11"/>
        <color theme="1"/>
        <rFont val="Calibri"/>
        <family val="2"/>
        <scheme val="minor"/>
      </rPr>
      <t>A</t>
    </r>
  </si>
  <si>
    <t>Problema 31.</t>
  </si>
  <si>
    <t>nB</t>
  </si>
  <si>
    <r>
      <rPr>
        <sz val="11"/>
        <color theme="1"/>
        <rFont val="Symbol"/>
        <family val="1"/>
        <charset val="2"/>
      </rPr>
      <t xml:space="preserve">l </t>
    </r>
    <r>
      <rPr>
        <sz val="11"/>
        <color theme="1"/>
        <rFont val="Calibri Light"/>
        <family val="2"/>
        <scheme val="major"/>
      </rPr>
      <t>[nm]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</si>
  <si>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[m]</t>
    </r>
  </si>
  <si>
    <t xml:space="preserve">  </t>
  </si>
  <si>
    <t>nA</t>
  </si>
  <si>
    <t>Problema 32</t>
  </si>
  <si>
    <t>mov. Ang [J*s]</t>
  </si>
  <si>
    <t>n1</t>
  </si>
  <si>
    <t>n2</t>
  </si>
  <si>
    <t>Problema 33</t>
  </si>
  <si>
    <t>Ef [J]</t>
  </si>
  <si>
    <r>
      <rPr>
        <sz val="11"/>
        <color theme="1"/>
        <rFont val="Symbol"/>
        <family val="1"/>
        <charset val="2"/>
      </rPr>
      <t xml:space="preserve">l </t>
    </r>
    <r>
      <rPr>
        <sz val="11"/>
        <color theme="1"/>
        <rFont val="Calibri"/>
        <family val="2"/>
        <scheme val="minor"/>
      </rPr>
      <t>[m]</t>
    </r>
  </si>
  <si>
    <t>Problema 34</t>
  </si>
  <si>
    <t>Problema 35</t>
  </si>
  <si>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1"/>
        <charset val="2"/>
        <scheme val="minor"/>
      </rPr>
      <t xml:space="preserve"> [m]</t>
    </r>
  </si>
  <si>
    <t>Problema 36</t>
  </si>
  <si>
    <t>Etotal [J]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</si>
  <si>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e [m]</t>
    </r>
  </si>
  <si>
    <t>1/nA^2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</si>
</sst>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 Light"/>
      <family val="2"/>
      <scheme val="major"/>
    </font>
    <font>
      <sz val="11"/>
      <color theme="1"/>
      <name val="Calibri Light"/>
      <family val="1"/>
      <charset val="2"/>
      <scheme val="major"/>
    </font>
    <font>
      <sz val="11"/>
      <color theme="1"/>
      <name val="Calibri"/>
      <family val="1"/>
      <charset val="2"/>
      <scheme val="minor"/>
    </font>
    <font>
      <sz val="11"/>
      <color theme="2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36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5" borderId="1" xfId="4" applyBorder="1"/>
    <xf numFmtId="0" fontId="1" fillId="2" borderId="1" xfId="1" applyBorder="1"/>
    <xf numFmtId="0" fontId="1" fillId="8" borderId="0" xfId="7"/>
    <xf numFmtId="11" fontId="0" fillId="0" borderId="1" xfId="0" applyNumberFormat="1" applyBorder="1"/>
    <xf numFmtId="0" fontId="1" fillId="6" borderId="1" xfId="5" applyBorder="1"/>
    <xf numFmtId="0" fontId="1" fillId="10" borderId="1" xfId="9" applyBorder="1"/>
    <xf numFmtId="0" fontId="0" fillId="11" borderId="0" xfId="0" applyFill="1"/>
    <xf numFmtId="0" fontId="1" fillId="3" borderId="1" xfId="2" applyBorder="1"/>
    <xf numFmtId="11" fontId="1" fillId="3" borderId="1" xfId="2" applyNumberFormat="1" applyBorder="1"/>
    <xf numFmtId="0" fontId="1" fillId="9" borderId="0" xfId="8"/>
    <xf numFmtId="0" fontId="1" fillId="7" borderId="1" xfId="6" applyBorder="1"/>
    <xf numFmtId="0" fontId="1" fillId="4" borderId="1" xfId="3" applyBorder="1"/>
    <xf numFmtId="11" fontId="1" fillId="6" borderId="1" xfId="5" applyNumberFormat="1" applyBorder="1"/>
    <xf numFmtId="11" fontId="1" fillId="7" borderId="1" xfId="6" applyNumberFormat="1" applyBorder="1"/>
    <xf numFmtId="0" fontId="5" fillId="0" borderId="1" xfId="0" applyFont="1" applyBorder="1"/>
    <xf numFmtId="0" fontId="6" fillId="0" borderId="1" xfId="0" applyFont="1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0" fillId="0" borderId="1" xfId="0" applyNumberFormat="1" applyBorder="1"/>
    <xf numFmtId="0" fontId="1" fillId="12" borderId="1" xfId="10" applyBorder="1"/>
    <xf numFmtId="0" fontId="1" fillId="13" borderId="1" xfId="11" applyBorder="1"/>
    <xf numFmtId="164" fontId="0" fillId="0" borderId="0" xfId="0" applyNumberFormat="1"/>
    <xf numFmtId="164" fontId="1" fillId="7" borderId="1" xfId="6" applyNumberFormat="1" applyBorder="1"/>
    <xf numFmtId="0" fontId="6" fillId="0" borderId="0" xfId="0" applyFont="1" applyBorder="1"/>
    <xf numFmtId="2" fontId="0" fillId="0" borderId="0" xfId="0" applyNumberFormat="1" applyBorder="1"/>
    <xf numFmtId="0" fontId="7" fillId="11" borderId="0" xfId="0" applyFont="1" applyFill="1"/>
    <xf numFmtId="164" fontId="1" fillId="6" borderId="1" xfId="5" applyNumberFormat="1" applyBorder="1"/>
    <xf numFmtId="0" fontId="6" fillId="3" borderId="1" xfId="2" applyFont="1" applyBorder="1"/>
    <xf numFmtId="11" fontId="0" fillId="11" borderId="0" xfId="0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2">
    <cellStyle name="20% - Énfasis1" xfId="1" builtinId="30"/>
    <cellStyle name="20% - Énfasis2" xfId="4" builtinId="34"/>
    <cellStyle name="20% - Énfasis3" xfId="10" builtinId="38"/>
    <cellStyle name="20% - Énfasis4" xfId="8" builtinId="42"/>
    <cellStyle name="40% - Énfasis1" xfId="2" builtinId="31"/>
    <cellStyle name="40% - Énfasis2" xfId="5" builtinId="35"/>
    <cellStyle name="40% - Énfasis3" xfId="11" builtinId="39"/>
    <cellStyle name="40% - Énfasis5" xfId="9" builtinId="47"/>
    <cellStyle name="60% - Énfasis1" xfId="3" builtinId="32"/>
    <cellStyle name="60% - Énfasis2" xfId="6" builtinId="36"/>
    <cellStyle name="60% - Énfasis3" xfId="7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289560</xdr:colOff>
      <xdr:row>11</xdr:row>
      <xdr:rowOff>179070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399D3C8-A7DB-4D3A-A03E-210851307E12}"/>
            </a:ext>
          </a:extLst>
        </xdr:cNvPr>
        <xdr:cNvSpPr txBox="1"/>
      </xdr:nvSpPr>
      <xdr:spPr>
        <a:xfrm>
          <a:off x="6629400" y="2190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0</xdr:col>
      <xdr:colOff>30480</xdr:colOff>
      <xdr:row>4</xdr:row>
      <xdr:rowOff>83820</xdr:rowOff>
    </xdr:from>
    <xdr:to>
      <xdr:col>2</xdr:col>
      <xdr:colOff>297180</xdr:colOff>
      <xdr:row>7</xdr:row>
      <xdr:rowOff>30480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BF21E7A-B18B-4A0D-8DBD-EC6DC1FD9885}"/>
            </a:ext>
          </a:extLst>
        </xdr:cNvPr>
        <xdr:cNvSpPr txBox="1"/>
      </xdr:nvSpPr>
      <xdr:spPr>
        <a:xfrm>
          <a:off x="30480" y="815340"/>
          <a:ext cx="200406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- Si</a:t>
          </a:r>
          <a:r>
            <a:rPr lang="es-MX" sz="1100" baseline="0"/>
            <a:t> es un átomo hidrogenoide, cuenta con un solo electrón. </a:t>
          </a:r>
        </a:p>
        <a:p>
          <a:endParaRPr lang="es-MX" sz="1100"/>
        </a:p>
      </xdr:txBody>
    </xdr:sp>
    <xdr:clientData/>
  </xdr:twoCellAnchor>
  <xdr:oneCellAnchor>
    <xdr:from>
      <xdr:col>5</xdr:col>
      <xdr:colOff>45720</xdr:colOff>
      <xdr:row>18</xdr:row>
      <xdr:rowOff>76200</xdr:rowOff>
    </xdr:from>
    <xdr:ext cx="184731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09C4D05-66FB-48AF-87F5-365AF6C200F8}"/>
            </a:ext>
          </a:extLst>
        </xdr:cNvPr>
        <xdr:cNvSpPr txBox="1"/>
      </xdr:nvSpPr>
      <xdr:spPr>
        <a:xfrm>
          <a:off x="4160520" y="33680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4</xdr:col>
      <xdr:colOff>28146</xdr:colOff>
      <xdr:row>7</xdr:row>
      <xdr:rowOff>69357</xdr:rowOff>
    </xdr:from>
    <xdr:to>
      <xdr:col>4</xdr:col>
      <xdr:colOff>513183</xdr:colOff>
      <xdr:row>9</xdr:row>
      <xdr:rowOff>129311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C366C61-863F-46BB-87CE-0ADC98301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2717" y="1375643"/>
          <a:ext cx="485037" cy="43317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11</xdr:row>
      <xdr:rowOff>0</xdr:rowOff>
    </xdr:from>
    <xdr:to>
      <xdr:col>4</xdr:col>
      <xdr:colOff>762000</xdr:colOff>
      <xdr:row>12</xdr:row>
      <xdr:rowOff>167640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D2C8B04-AF26-40E5-B1C4-802A08F86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2320" y="2011680"/>
          <a:ext cx="762000" cy="35052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17</xdr:row>
      <xdr:rowOff>38100</xdr:rowOff>
    </xdr:from>
    <xdr:to>
      <xdr:col>3</xdr:col>
      <xdr:colOff>350520</xdr:colOff>
      <xdr:row>19</xdr:row>
      <xdr:rowOff>152400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A8DFC750-3AA4-4C96-8141-433BD4892368}"/>
            </a:ext>
          </a:extLst>
        </xdr:cNvPr>
        <xdr:cNvSpPr txBox="1"/>
      </xdr:nvSpPr>
      <xdr:spPr>
        <a:xfrm>
          <a:off x="0" y="3147060"/>
          <a:ext cx="2880360" cy="480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Por tanto el número atómico es de 14</a:t>
          </a:r>
          <a:r>
            <a:rPr lang="es-MX" sz="1100" baseline="0"/>
            <a:t> y se trata del Silicio</a:t>
          </a:r>
          <a:endParaRPr lang="es-MX" sz="1100"/>
        </a:p>
      </xdr:txBody>
    </xdr:sp>
    <xdr:clientData/>
  </xdr:twoCellAnchor>
  <xdr:twoCellAnchor>
    <xdr:from>
      <xdr:col>0</xdr:col>
      <xdr:colOff>45720</xdr:colOff>
      <xdr:row>24</xdr:row>
      <xdr:rowOff>137160</xdr:rowOff>
    </xdr:from>
    <xdr:to>
      <xdr:col>2</xdr:col>
      <xdr:colOff>312420</xdr:colOff>
      <xdr:row>27</xdr:row>
      <xdr:rowOff>83820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7643EADA-15A3-42F3-B630-00CAA29D29AA}"/>
            </a:ext>
          </a:extLst>
        </xdr:cNvPr>
        <xdr:cNvSpPr txBox="1"/>
      </xdr:nvSpPr>
      <xdr:spPr>
        <a:xfrm>
          <a:off x="45720" y="4526280"/>
          <a:ext cx="2004060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aseline="0"/>
            <a:t>Cómo es un átomo de silicio, ya se nos está dando el valor de Z. </a:t>
          </a:r>
        </a:p>
        <a:p>
          <a:endParaRPr lang="es-MX" sz="1100"/>
        </a:p>
      </xdr:txBody>
    </xdr:sp>
    <xdr:clientData/>
  </xdr:twoCellAnchor>
  <xdr:twoCellAnchor>
    <xdr:from>
      <xdr:col>6</xdr:col>
      <xdr:colOff>21460</xdr:colOff>
      <xdr:row>25</xdr:row>
      <xdr:rowOff>4976</xdr:rowOff>
    </xdr:from>
    <xdr:to>
      <xdr:col>7</xdr:col>
      <xdr:colOff>524380</xdr:colOff>
      <xdr:row>28</xdr:row>
      <xdr:rowOff>107768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62C453E-A2EB-4444-B9EE-8681E9EBD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2236" y="4670282"/>
          <a:ext cx="1296022" cy="66262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206362</xdr:colOff>
      <xdr:row>36</xdr:row>
      <xdr:rowOff>30169</xdr:rowOff>
    </xdr:from>
    <xdr:to>
      <xdr:col>7</xdr:col>
      <xdr:colOff>351142</xdr:colOff>
      <xdr:row>37</xdr:row>
      <xdr:rowOff>178681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E2A5EFB-69C3-4433-B876-30E61101C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7138" y="6748210"/>
          <a:ext cx="937882" cy="33512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297180</xdr:colOff>
      <xdr:row>39</xdr:row>
      <xdr:rowOff>0</xdr:rowOff>
    </xdr:from>
    <xdr:to>
      <xdr:col>7</xdr:col>
      <xdr:colOff>160020</xdr:colOff>
      <xdr:row>41</xdr:row>
      <xdr:rowOff>144780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F7C7E4E-93E0-4AAE-BD1E-579DB74BA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460" y="7132320"/>
          <a:ext cx="655320" cy="5105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91440</xdr:colOff>
      <xdr:row>37</xdr:row>
      <xdr:rowOff>114300</xdr:rowOff>
    </xdr:from>
    <xdr:to>
      <xdr:col>1</xdr:col>
      <xdr:colOff>701040</xdr:colOff>
      <xdr:row>40</xdr:row>
      <xdr:rowOff>129540</xdr:rowOff>
    </xdr:to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6B866948-6958-4CD2-8CEC-33D427291A5A}"/>
            </a:ext>
          </a:extLst>
        </xdr:cNvPr>
        <xdr:cNvSpPr txBox="1"/>
      </xdr:nvSpPr>
      <xdr:spPr>
        <a:xfrm>
          <a:off x="91440" y="6880860"/>
          <a:ext cx="1554480" cy="5638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El perimetro</a:t>
          </a:r>
          <a:r>
            <a:rPr lang="es-MX" sz="1100" baseline="0"/>
            <a:t> es P=2</a:t>
          </a:r>
          <a:r>
            <a:rPr lang="es-MX" sz="1100" baseline="0">
              <a:latin typeface="Symbol" panose="05050102010706020507" pitchFamily="18" charset="2"/>
            </a:rPr>
            <a:t>P</a:t>
          </a:r>
          <a:r>
            <a:rPr lang="es-MX" sz="1100" baseline="0"/>
            <a:t>r</a:t>
          </a:r>
        </a:p>
        <a:p>
          <a:r>
            <a:rPr lang="es-MX" sz="1100" baseline="0"/>
            <a:t>Por lo que r= P/(</a:t>
          </a:r>
          <a:r>
            <a:rPr lang="es-MX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2Pi)</a:t>
          </a:r>
          <a:endParaRPr lang="es-MX" sz="1100"/>
        </a:p>
      </xdr:txBody>
    </xdr:sp>
    <xdr:clientData/>
  </xdr:twoCellAnchor>
  <xdr:twoCellAnchor editAs="oneCell">
    <xdr:from>
      <xdr:col>6</xdr:col>
      <xdr:colOff>38100</xdr:colOff>
      <xdr:row>46</xdr:row>
      <xdr:rowOff>175260</xdr:rowOff>
    </xdr:from>
    <xdr:to>
      <xdr:col>8</xdr:col>
      <xdr:colOff>15241</xdr:colOff>
      <xdr:row>49</xdr:row>
      <xdr:rowOff>93345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FABFBC7-DD3E-4904-9B22-5CDB26BD0789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45380" y="8587740"/>
          <a:ext cx="1562100" cy="4667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283008</xdr:colOff>
      <xdr:row>57</xdr:row>
      <xdr:rowOff>136661</xdr:rowOff>
    </xdr:from>
    <xdr:to>
      <xdr:col>7</xdr:col>
      <xdr:colOff>252528</xdr:colOff>
      <xdr:row>59</xdr:row>
      <xdr:rowOff>121421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F2AF7F91-C5BD-4D11-8CFA-399D3A60B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2597" y="10690717"/>
          <a:ext cx="760006" cy="35507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180317</xdr:colOff>
      <xdr:row>54</xdr:row>
      <xdr:rowOff>168138</xdr:rowOff>
    </xdr:from>
    <xdr:to>
      <xdr:col>7</xdr:col>
      <xdr:colOff>142217</xdr:colOff>
      <xdr:row>57</xdr:row>
      <xdr:rowOff>498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6DFA53C4-3956-4928-8715-2BDC9423C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9906" y="10166717"/>
          <a:ext cx="752386" cy="3878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380074</xdr:colOff>
      <xdr:row>60</xdr:row>
      <xdr:rowOff>112306</xdr:rowOff>
    </xdr:from>
    <xdr:to>
      <xdr:col>7</xdr:col>
      <xdr:colOff>242914</xdr:colOff>
      <xdr:row>63</xdr:row>
      <xdr:rowOff>74206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157D9C97-80FC-448C-A091-C1A2BE695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9663" y="11221839"/>
          <a:ext cx="653326" cy="51737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92579</xdr:colOff>
      <xdr:row>69</xdr:row>
      <xdr:rowOff>113944</xdr:rowOff>
    </xdr:from>
    <xdr:to>
      <xdr:col>7</xdr:col>
      <xdr:colOff>64093</xdr:colOff>
      <xdr:row>71</xdr:row>
      <xdr:rowOff>73566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C27CBEC3-5979-464E-9BFF-1587A3078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2168" y="12889907"/>
          <a:ext cx="762000" cy="32993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505409</xdr:colOff>
      <xdr:row>72</xdr:row>
      <xdr:rowOff>142431</xdr:rowOff>
    </xdr:from>
    <xdr:to>
      <xdr:col>9</xdr:col>
      <xdr:colOff>699796</xdr:colOff>
      <xdr:row>75</xdr:row>
      <xdr:rowOff>62205</xdr:rowOff>
    </xdr:to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D3060FCC-C494-406F-8DEB-B1F125C0817C}"/>
            </a:ext>
          </a:extLst>
        </xdr:cNvPr>
        <xdr:cNvSpPr txBox="1"/>
      </xdr:nvSpPr>
      <xdr:spPr>
        <a:xfrm>
          <a:off x="1454021" y="13578513"/>
          <a:ext cx="6539204" cy="47961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Él</a:t>
          </a:r>
          <a:r>
            <a:rPr lang="es-MX" sz="1100" baseline="0"/>
            <a:t> atomo original es de 6 protones, osea que se trata del Carbono. Y como está en forma de ion hidrogenoide, significa que le quitaron 5 electones y se cargó positivamente. Por tanto el ión como tal es: C</a:t>
          </a:r>
          <a:r>
            <a:rPr lang="es-MX" sz="1100" baseline="30000"/>
            <a:t>+5</a:t>
          </a:r>
          <a:endParaRPr lang="es-MX" sz="1100"/>
        </a:p>
      </xdr:txBody>
    </xdr:sp>
    <xdr:clientData/>
  </xdr:twoCellAnchor>
  <xdr:twoCellAnchor>
    <xdr:from>
      <xdr:col>7</xdr:col>
      <xdr:colOff>77756</xdr:colOff>
      <xdr:row>91</xdr:row>
      <xdr:rowOff>178837</xdr:rowOff>
    </xdr:from>
    <xdr:to>
      <xdr:col>8</xdr:col>
      <xdr:colOff>496856</xdr:colOff>
      <xdr:row>93</xdr:row>
      <xdr:rowOff>186457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19CF1255-BEB0-4477-BEFA-C7676E884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4980" y="17160551"/>
          <a:ext cx="1212203" cy="3808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81</xdr:row>
      <xdr:rowOff>163285</xdr:rowOff>
    </xdr:from>
    <xdr:to>
      <xdr:col>7</xdr:col>
      <xdr:colOff>731521</xdr:colOff>
      <xdr:row>84</xdr:row>
      <xdr:rowOff>68113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EF038A41-0239-4842-A8A1-5EF5876FB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122" y="15278877"/>
          <a:ext cx="1524623" cy="4646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23326</xdr:colOff>
      <xdr:row>85</xdr:row>
      <xdr:rowOff>54427</xdr:rowOff>
    </xdr:from>
    <xdr:to>
      <xdr:col>7</xdr:col>
      <xdr:colOff>183347</xdr:colOff>
      <xdr:row>87</xdr:row>
      <xdr:rowOff>54428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473C60AE-9B67-4D18-A76C-57663D906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7448" y="15924243"/>
          <a:ext cx="953123" cy="37322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7775</xdr:colOff>
      <xdr:row>88</xdr:row>
      <xdr:rowOff>31101</xdr:rowOff>
    </xdr:from>
    <xdr:to>
      <xdr:col>7</xdr:col>
      <xdr:colOff>160176</xdr:colOff>
      <xdr:row>90</xdr:row>
      <xdr:rowOff>168262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B2DEDF64-A6BD-41AF-A328-2936CAD75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1897" y="16460754"/>
          <a:ext cx="945503" cy="5103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279919</xdr:colOff>
      <xdr:row>98</xdr:row>
      <xdr:rowOff>132182</xdr:rowOff>
    </xdr:from>
    <xdr:to>
      <xdr:col>8</xdr:col>
      <xdr:colOff>287539</xdr:colOff>
      <xdr:row>100</xdr:row>
      <xdr:rowOff>59870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6523A80-DC0F-4A5C-BFB2-A9EDC1320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7143" y="18427958"/>
          <a:ext cx="800723" cy="30091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15551</xdr:colOff>
      <xdr:row>95</xdr:row>
      <xdr:rowOff>132184</xdr:rowOff>
    </xdr:from>
    <xdr:to>
      <xdr:col>7</xdr:col>
      <xdr:colOff>509594</xdr:colOff>
      <xdr:row>97</xdr:row>
      <xdr:rowOff>165360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28B02197-3E80-4585-8A60-B74AD6BA6554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9673" y="17868123"/>
          <a:ext cx="1287145" cy="4064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637593</xdr:colOff>
      <xdr:row>114</xdr:row>
      <xdr:rowOff>31103</xdr:rowOff>
    </xdr:from>
    <xdr:to>
      <xdr:col>7</xdr:col>
      <xdr:colOff>263591</xdr:colOff>
      <xdr:row>116</xdr:row>
      <xdr:rowOff>38723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BB3DCD9D-1D60-4A1E-813E-5CFA77237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5266" y="21312674"/>
          <a:ext cx="1212203" cy="3808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575387</xdr:colOff>
      <xdr:row>106</xdr:row>
      <xdr:rowOff>155510</xdr:rowOff>
    </xdr:from>
    <xdr:to>
      <xdr:col>7</xdr:col>
      <xdr:colOff>300445</xdr:colOff>
      <xdr:row>108</xdr:row>
      <xdr:rowOff>155510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D8B6ABF3-E1A1-4AC5-B0A6-0BBA3F78F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060" y="19944183"/>
          <a:ext cx="1311263" cy="3732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746450</xdr:colOff>
      <xdr:row>109</xdr:row>
      <xdr:rowOff>93305</xdr:rowOff>
    </xdr:from>
    <xdr:to>
      <xdr:col>7</xdr:col>
      <xdr:colOff>113368</xdr:colOff>
      <xdr:row>111</xdr:row>
      <xdr:rowOff>93305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31FCDD5F-B41F-4CF8-8EB0-C3EFA0322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123" y="20441815"/>
          <a:ext cx="953123" cy="3732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7775</xdr:colOff>
      <xdr:row>111</xdr:row>
      <xdr:rowOff>132183</xdr:rowOff>
    </xdr:from>
    <xdr:to>
      <xdr:col>7</xdr:col>
      <xdr:colOff>45876</xdr:colOff>
      <xdr:row>113</xdr:row>
      <xdr:rowOff>113212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4BA4193B-3FCC-471D-B0C1-34139423E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8551" y="20853918"/>
          <a:ext cx="831203" cy="35425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15551</xdr:colOff>
      <xdr:row>131</xdr:row>
      <xdr:rowOff>46654</xdr:rowOff>
    </xdr:from>
    <xdr:to>
      <xdr:col>8</xdr:col>
      <xdr:colOff>362922</xdr:colOff>
      <xdr:row>133</xdr:row>
      <xdr:rowOff>130630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74B7E7EA-AAD5-4D8B-97AC-78213CAAFBA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976327" y="24500634"/>
          <a:ext cx="1933575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769776</xdr:colOff>
      <xdr:row>125</xdr:row>
      <xdr:rowOff>31103</xdr:rowOff>
    </xdr:from>
    <xdr:to>
      <xdr:col>8</xdr:col>
      <xdr:colOff>90817</xdr:colOff>
      <xdr:row>126</xdr:row>
      <xdr:rowOff>175883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45212005-233E-45D3-8BD0-A9466FE8A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7449" y="23365409"/>
          <a:ext cx="1700348" cy="33139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</xdr:colOff>
      <xdr:row>127</xdr:row>
      <xdr:rowOff>171061</xdr:rowOff>
    </xdr:from>
    <xdr:to>
      <xdr:col>6</xdr:col>
      <xdr:colOff>716281</xdr:colOff>
      <xdr:row>130</xdr:row>
      <xdr:rowOff>121609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8E1C70B0-14A2-47C0-B6F5-78B3BA6F4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0777" y="23878592"/>
          <a:ext cx="716280" cy="51038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15551</xdr:colOff>
      <xdr:row>142</xdr:row>
      <xdr:rowOff>46654</xdr:rowOff>
    </xdr:from>
    <xdr:to>
      <xdr:col>8</xdr:col>
      <xdr:colOff>410547</xdr:colOff>
      <xdr:row>144</xdr:row>
      <xdr:rowOff>140154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13D2EF16-B4FF-4210-AB66-DF5C46800595}"/>
            </a:ext>
          </a:extLst>
        </xdr:cNvPr>
        <xdr:cNvPicPr/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976327" y="26553368"/>
          <a:ext cx="1981200" cy="4667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15550</xdr:colOff>
      <xdr:row>145</xdr:row>
      <xdr:rowOff>178837</xdr:rowOff>
    </xdr:from>
    <xdr:to>
      <xdr:col>6</xdr:col>
      <xdr:colOff>548950</xdr:colOff>
      <xdr:row>147</xdr:row>
      <xdr:rowOff>186457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E13136B0-30D8-4346-8AD7-3E78C0BE4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6326" y="27245388"/>
          <a:ext cx="533400" cy="3808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769778</xdr:colOff>
      <xdr:row>149</xdr:row>
      <xdr:rowOff>33000</xdr:rowOff>
    </xdr:from>
    <xdr:to>
      <xdr:col>10</xdr:col>
      <xdr:colOff>202163</xdr:colOff>
      <xdr:row>161</xdr:row>
      <xdr:rowOff>153175</xdr:rowOff>
    </xdr:to>
    <xdr:pic>
      <xdr:nvPicPr>
        <xdr:cNvPr id="38" name="Imagen 37" descr="Espectro visible.">
          <a:extLst>
            <a:ext uri="{FF2B5EF4-FFF2-40B4-BE49-F238E27FC236}">
              <a16:creationId xmlns:a16="http://schemas.microsoft.com/office/drawing/2014/main" id="{AA6BD800-E12D-4C9A-9B4D-FBBB627FF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9778" y="27846000"/>
          <a:ext cx="7557793" cy="2359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575388</xdr:colOff>
      <xdr:row>147</xdr:row>
      <xdr:rowOff>54428</xdr:rowOff>
    </xdr:from>
    <xdr:to>
      <xdr:col>4</xdr:col>
      <xdr:colOff>108858</xdr:colOff>
      <xdr:row>158</xdr:row>
      <xdr:rowOff>85531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79F07E47-D4E3-4755-BECE-E21D76F80FEA}"/>
            </a:ext>
          </a:extLst>
        </xdr:cNvPr>
        <xdr:cNvCxnSpPr/>
      </xdr:nvCxnSpPr>
      <xdr:spPr>
        <a:xfrm>
          <a:off x="3156857" y="27494204"/>
          <a:ext cx="326572" cy="2083837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334347</xdr:colOff>
      <xdr:row>155</xdr:row>
      <xdr:rowOff>108858</xdr:rowOff>
    </xdr:from>
    <xdr:to>
      <xdr:col>11</xdr:col>
      <xdr:colOff>559837</xdr:colOff>
      <xdr:row>159</xdr:row>
      <xdr:rowOff>54429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5A98FCC7-F590-41FD-A791-039C79E5A6CE}"/>
            </a:ext>
          </a:extLst>
        </xdr:cNvPr>
        <xdr:cNvSpPr txBox="1"/>
      </xdr:nvSpPr>
      <xdr:spPr>
        <a:xfrm>
          <a:off x="8459755" y="29041531"/>
          <a:ext cx="1609531" cy="6920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/>
            <a:t>La región del</a:t>
          </a:r>
          <a:r>
            <a:rPr lang="es-MX" sz="1100" baseline="0"/>
            <a:t> espectro que pertenece a dicha linea es a los Rayos X</a:t>
          </a:r>
          <a:endParaRPr lang="es-MX" sz="1100"/>
        </a:p>
      </xdr:txBody>
    </xdr:sp>
    <xdr:clientData/>
  </xdr:twoCellAnchor>
  <xdr:twoCellAnchor>
    <xdr:from>
      <xdr:col>6</xdr:col>
      <xdr:colOff>38878</xdr:colOff>
      <xdr:row>169</xdr:row>
      <xdr:rowOff>7776</xdr:rowOff>
    </xdr:from>
    <xdr:to>
      <xdr:col>7</xdr:col>
      <xdr:colOff>709438</xdr:colOff>
      <xdr:row>172</xdr:row>
      <xdr:rowOff>122076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51AF0D3E-4833-4505-939F-8BA6B0F2F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9654" y="31553021"/>
          <a:ext cx="1463662" cy="6741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15550</xdr:colOff>
      <xdr:row>188</xdr:row>
      <xdr:rowOff>101082</xdr:rowOff>
    </xdr:from>
    <xdr:to>
      <xdr:col>7</xdr:col>
      <xdr:colOff>394023</xdr:colOff>
      <xdr:row>190</xdr:row>
      <xdr:rowOff>108857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4C41CB0F-2C5E-42F0-87A4-C4422ABF7769}"/>
            </a:ext>
          </a:extLst>
        </xdr:cNvPr>
        <xdr:cNvPicPr/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976326" y="35199735"/>
          <a:ext cx="1171575" cy="381000"/>
        </a:xfrm>
        <a:prstGeom prst="rect">
          <a:avLst/>
        </a:prstGeom>
        <a:ln w="9525"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23327</xdr:colOff>
      <xdr:row>191</xdr:row>
      <xdr:rowOff>116633</xdr:rowOff>
    </xdr:from>
    <xdr:to>
      <xdr:col>7</xdr:col>
      <xdr:colOff>544675</xdr:colOff>
      <xdr:row>194</xdr:row>
      <xdr:rowOff>99721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F08E2D31-5F61-4F6B-9EC1-091E27B9B2FE}"/>
            </a:ext>
          </a:extLst>
        </xdr:cNvPr>
        <xdr:cNvPicPr/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984103" y="35775123"/>
          <a:ext cx="1314450" cy="54292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>
    <xdr:from>
      <xdr:col>6</xdr:col>
      <xdr:colOff>7774</xdr:colOff>
      <xdr:row>182</xdr:row>
      <xdr:rowOff>147734</xdr:rowOff>
    </xdr:from>
    <xdr:to>
      <xdr:col>6</xdr:col>
      <xdr:colOff>655474</xdr:colOff>
      <xdr:row>184</xdr:row>
      <xdr:rowOff>136383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ECE0C51F-1FEF-403E-9CEE-A1EC21B64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8550" y="34118938"/>
          <a:ext cx="647700" cy="361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15551</xdr:colOff>
      <xdr:row>185</xdr:row>
      <xdr:rowOff>85531</xdr:rowOff>
    </xdr:from>
    <xdr:to>
      <xdr:col>7</xdr:col>
      <xdr:colOff>441649</xdr:colOff>
      <xdr:row>187</xdr:row>
      <xdr:rowOff>58938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C2565FD-05C2-40DD-8D07-A3B887622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6327" y="34624347"/>
          <a:ext cx="1219200" cy="3466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23326</xdr:colOff>
      <xdr:row>199</xdr:row>
      <xdr:rowOff>171060</xdr:rowOff>
    </xdr:from>
    <xdr:to>
      <xdr:col>7</xdr:col>
      <xdr:colOff>175726</xdr:colOff>
      <xdr:row>201</xdr:row>
      <xdr:rowOff>178680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8589D184-A9A5-4008-AF1C-93C8363DF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4102" y="37322448"/>
          <a:ext cx="945502" cy="38084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15550</xdr:colOff>
      <xdr:row>203</xdr:row>
      <xdr:rowOff>85531</xdr:rowOff>
    </xdr:from>
    <xdr:to>
      <xdr:col>6</xdr:col>
      <xdr:colOff>670870</xdr:colOff>
      <xdr:row>206</xdr:row>
      <xdr:rowOff>36079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ED20DFEA-4329-4BEF-92C5-6DF10E571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6326" y="37983368"/>
          <a:ext cx="655320" cy="51038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62204</xdr:colOff>
      <xdr:row>208</xdr:row>
      <xdr:rowOff>1</xdr:rowOff>
    </xdr:from>
    <xdr:to>
      <xdr:col>7</xdr:col>
      <xdr:colOff>77444</xdr:colOff>
      <xdr:row>209</xdr:row>
      <xdr:rowOff>144781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C07DB10A-4A0C-45EE-A40A-8AF53B2D4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2980" y="38830899"/>
          <a:ext cx="808342" cy="33139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F7A2-097B-4B78-8849-0DB44B6F9298}">
  <dimension ref="A2:L211"/>
  <sheetViews>
    <sheetView tabSelected="1" topLeftCell="A94" zoomScale="99" zoomScaleNormal="99" workbookViewId="0">
      <selection activeCell="E111" sqref="E111"/>
    </sheetView>
  </sheetViews>
  <sheetFormatPr baseColWidth="10" defaultRowHeight="14.4"/>
  <cols>
    <col min="1" max="1" width="13.77734375" customWidth="1"/>
    <col min="2" max="2" width="12.21875" customWidth="1"/>
    <col min="4" max="5" width="11.5546875" customWidth="1"/>
    <col min="10" max="10" width="11.44140625" customWidth="1"/>
    <col min="11" max="11" width="20.21875" customWidth="1"/>
    <col min="12" max="12" width="11.5546875" customWidth="1"/>
  </cols>
  <sheetData>
    <row r="2" spans="1:12">
      <c r="A2" s="2" t="s">
        <v>0</v>
      </c>
    </row>
    <row r="4" spans="1:12">
      <c r="A4" s="33" t="s">
        <v>9</v>
      </c>
      <c r="B4" s="33"/>
    </row>
    <row r="5" spans="1:12">
      <c r="K5" s="2" t="s">
        <v>1</v>
      </c>
      <c r="L5" s="2"/>
    </row>
    <row r="6" spans="1:12">
      <c r="E6" s="2" t="s">
        <v>15</v>
      </c>
      <c r="K6" s="20" t="s">
        <v>2</v>
      </c>
      <c r="L6" s="21">
        <v>9.1093800000000005E-31</v>
      </c>
    </row>
    <row r="7" spans="1:12">
      <c r="K7" s="20" t="s">
        <v>3</v>
      </c>
      <c r="L7" s="21">
        <v>1.60217E-19</v>
      </c>
    </row>
    <row r="8" spans="1:12">
      <c r="K8" s="20" t="s">
        <v>4</v>
      </c>
      <c r="L8" s="21">
        <v>299792000</v>
      </c>
    </row>
    <row r="9" spans="1:12">
      <c r="A9" s="2" t="s">
        <v>10</v>
      </c>
      <c r="B9" s="6">
        <v>-9.4292499999999995E-8</v>
      </c>
      <c r="K9" s="20" t="s">
        <v>6</v>
      </c>
      <c r="L9" s="21">
        <v>8987550000</v>
      </c>
    </row>
    <row r="10" spans="1:12">
      <c r="A10" s="2" t="s">
        <v>11</v>
      </c>
      <c r="B10" s="6">
        <v>-1.7463800000000001E-17</v>
      </c>
      <c r="K10" s="20" t="s">
        <v>5</v>
      </c>
      <c r="L10" s="21">
        <v>6.6260700000000002E-34</v>
      </c>
    </row>
    <row r="11" spans="1:12">
      <c r="A11" t="s">
        <v>12</v>
      </c>
      <c r="B11" t="s">
        <v>13</v>
      </c>
      <c r="K11" s="20" t="s">
        <v>7</v>
      </c>
      <c r="L11" s="21">
        <v>5.29177E-11</v>
      </c>
    </row>
    <row r="12" spans="1:12">
      <c r="K12" s="20" t="s">
        <v>8</v>
      </c>
      <c r="L12" s="21">
        <v>10973700</v>
      </c>
    </row>
    <row r="13" spans="1:12">
      <c r="A13" s="2" t="s">
        <v>14</v>
      </c>
      <c r="K13" s="20" t="s">
        <v>23</v>
      </c>
      <c r="L13" s="2">
        <f>PI()</f>
        <v>3.1415926535897931</v>
      </c>
    </row>
    <row r="14" spans="1:12">
      <c r="A14" s="2" t="s">
        <v>16</v>
      </c>
      <c r="B14" s="6">
        <f>B10/B9</f>
        <v>1.8520879179149987E-10</v>
      </c>
    </row>
    <row r="15" spans="1:12">
      <c r="A15" s="2" t="s">
        <v>17</v>
      </c>
      <c r="B15" s="22">
        <f>(-B9*(B14)^2)/(L9*L7^2)</f>
        <v>14.019800614028828</v>
      </c>
    </row>
    <row r="17" spans="1:7">
      <c r="A17" s="3" t="s">
        <v>17</v>
      </c>
      <c r="B17" s="4">
        <v>14</v>
      </c>
    </row>
    <row r="21" spans="1:7" s="5" customFormat="1"/>
    <row r="22" spans="1:7">
      <c r="A22" s="2" t="s">
        <v>25</v>
      </c>
    </row>
    <row r="24" spans="1:7">
      <c r="A24" s="34" t="s">
        <v>9</v>
      </c>
      <c r="B24" s="35"/>
      <c r="D24" s="2" t="s">
        <v>14</v>
      </c>
      <c r="G24" s="2" t="s">
        <v>15</v>
      </c>
    </row>
    <row r="26" spans="1:7">
      <c r="D26" s="2" t="s">
        <v>19</v>
      </c>
      <c r="E26" s="6">
        <f>((B29^2*L7^2*L9)/(L11*B30*L10))^(1/3)</f>
        <v>6.9967071325091199</v>
      </c>
    </row>
    <row r="27" spans="1:7">
      <c r="D27" s="7" t="s">
        <v>19</v>
      </c>
      <c r="E27" s="8">
        <v>7</v>
      </c>
    </row>
    <row r="29" spans="1:7">
      <c r="A29" s="2" t="s">
        <v>17</v>
      </c>
      <c r="B29" s="2">
        <v>14</v>
      </c>
    </row>
    <row r="30" spans="1:7">
      <c r="A30" s="2" t="s">
        <v>18</v>
      </c>
      <c r="B30" s="6">
        <v>3765100000000000</v>
      </c>
    </row>
    <row r="32" spans="1:7" s="9" customFormat="1"/>
    <row r="33" spans="1:12">
      <c r="A33" t="s">
        <v>26</v>
      </c>
    </row>
    <row r="35" spans="1:12">
      <c r="A35" t="s">
        <v>9</v>
      </c>
      <c r="D35" s="2" t="s">
        <v>22</v>
      </c>
      <c r="G35" s="2" t="s">
        <v>15</v>
      </c>
    </row>
    <row r="36" spans="1:12">
      <c r="A36" s="2" t="s">
        <v>20</v>
      </c>
      <c r="B36" s="6">
        <v>-1.9645999999999999E-17</v>
      </c>
      <c r="K36" s="2" t="s">
        <v>1</v>
      </c>
      <c r="L36" s="2"/>
    </row>
    <row r="37" spans="1:12">
      <c r="A37" s="2" t="s">
        <v>21</v>
      </c>
      <c r="B37" s="6">
        <v>7.7580000000000005E-10</v>
      </c>
      <c r="D37" s="2" t="s">
        <v>16</v>
      </c>
      <c r="E37" s="6">
        <f>B37/(2*L44)</f>
        <v>1.2347240485069243E-10</v>
      </c>
      <c r="K37" s="20" t="s">
        <v>2</v>
      </c>
      <c r="L37" s="21">
        <v>9.1093800000000005E-31</v>
      </c>
    </row>
    <row r="38" spans="1:12">
      <c r="D38" s="2" t="s">
        <v>17</v>
      </c>
      <c r="E38" s="22">
        <f>((-2)*(B36)*(E37))/(L38^2*L40)</f>
        <v>21.02885041906061</v>
      </c>
      <c r="K38" s="20" t="s">
        <v>3</v>
      </c>
      <c r="L38" s="21">
        <v>1.60217E-19</v>
      </c>
    </row>
    <row r="39" spans="1:12">
      <c r="K39" s="20" t="s">
        <v>4</v>
      </c>
      <c r="L39" s="21">
        <v>299792000</v>
      </c>
    </row>
    <row r="40" spans="1:12">
      <c r="D40" s="2" t="s">
        <v>19</v>
      </c>
      <c r="E40" s="6">
        <f>((E37*E38)/L42)^(1/2)</f>
        <v>7.0047435408139718</v>
      </c>
      <c r="K40" s="20" t="s">
        <v>6</v>
      </c>
      <c r="L40" s="21">
        <v>8987550000</v>
      </c>
    </row>
    <row r="41" spans="1:12">
      <c r="D41" s="7" t="s">
        <v>19</v>
      </c>
      <c r="E41" s="10">
        <v>7</v>
      </c>
      <c r="K41" s="20" t="s">
        <v>5</v>
      </c>
      <c r="L41" s="21">
        <v>6.6260700000000002E-34</v>
      </c>
    </row>
    <row r="42" spans="1:12">
      <c r="K42" s="20" t="s">
        <v>7</v>
      </c>
      <c r="L42" s="21">
        <v>5.29177E-11</v>
      </c>
    </row>
    <row r="43" spans="1:12">
      <c r="K43" s="20" t="s">
        <v>8</v>
      </c>
      <c r="L43" s="21">
        <v>10973700</v>
      </c>
    </row>
    <row r="44" spans="1:12">
      <c r="K44" s="20" t="s">
        <v>23</v>
      </c>
      <c r="L44" s="2">
        <f>PI()</f>
        <v>3.1415926535897931</v>
      </c>
    </row>
    <row r="46" spans="1:12">
      <c r="A46" s="12"/>
      <c r="B46" s="12"/>
      <c r="C46" s="12"/>
      <c r="D46" s="12"/>
      <c r="E46" s="12"/>
    </row>
    <row r="48" spans="1:12">
      <c r="D48" s="7" t="s">
        <v>24</v>
      </c>
      <c r="E48" s="11">
        <f>(2*L44*E38*L38^2*L40)/(E41*L41)</f>
        <v>6572034.7484578779</v>
      </c>
    </row>
    <row r="52" spans="1:7" s="5" customFormat="1"/>
    <row r="53" spans="1:7">
      <c r="A53" s="2" t="s">
        <v>27</v>
      </c>
    </row>
    <row r="55" spans="1:7">
      <c r="A55" s="33" t="s">
        <v>9</v>
      </c>
      <c r="B55" s="33"/>
      <c r="D55" s="2" t="s">
        <v>14</v>
      </c>
      <c r="G55" s="2" t="s">
        <v>15</v>
      </c>
    </row>
    <row r="57" spans="1:7">
      <c r="A57" s="2" t="s">
        <v>24</v>
      </c>
      <c r="B57" s="6">
        <v>2187700</v>
      </c>
      <c r="D57" s="2" t="s">
        <v>16</v>
      </c>
      <c r="E57" s="6">
        <f>(-L37*B57^2)/B58</f>
        <v>3.6989587844143899E-10</v>
      </c>
    </row>
    <row r="58" spans="1:7">
      <c r="A58" s="2" t="s">
        <v>10</v>
      </c>
      <c r="B58" s="6">
        <v>-1.1786499999999999E-8</v>
      </c>
    </row>
    <row r="59" spans="1:7">
      <c r="A59" s="2"/>
      <c r="B59" s="2"/>
      <c r="D59" s="2" t="s">
        <v>17</v>
      </c>
      <c r="E59" s="6">
        <f>(-B58*E57^2)/(L40*L38^2)</f>
        <v>6.9901313174000466</v>
      </c>
    </row>
    <row r="60" spans="1:7">
      <c r="D60" s="7" t="s">
        <v>17</v>
      </c>
      <c r="E60" s="10">
        <v>7</v>
      </c>
    </row>
    <row r="62" spans="1:7">
      <c r="D62" s="2" t="s">
        <v>19</v>
      </c>
      <c r="E62" s="6">
        <f>((E57*E60)/L42)^(1/2)</f>
        <v>6.9950091381507145</v>
      </c>
    </row>
    <row r="63" spans="1:7">
      <c r="D63" s="13" t="s">
        <v>19</v>
      </c>
      <c r="E63" s="14">
        <v>7</v>
      </c>
    </row>
    <row r="65" spans="1:12" s="5" customFormat="1"/>
    <row r="66" spans="1:12">
      <c r="A66" s="2" t="s">
        <v>28</v>
      </c>
    </row>
    <row r="67" spans="1:12">
      <c r="K67" s="2" t="s">
        <v>1</v>
      </c>
      <c r="L67" s="2"/>
    </row>
    <row r="68" spans="1:12">
      <c r="A68" s="2" t="s">
        <v>9</v>
      </c>
      <c r="B68" s="2"/>
      <c r="D68" s="2" t="s">
        <v>14</v>
      </c>
      <c r="G68" s="2" t="s">
        <v>15</v>
      </c>
      <c r="K68" s="20" t="s">
        <v>2</v>
      </c>
      <c r="L68" s="21">
        <v>9.1093800000000005E-31</v>
      </c>
    </row>
    <row r="69" spans="1:12">
      <c r="K69" s="20" t="s">
        <v>3</v>
      </c>
      <c r="L69" s="21">
        <v>1.60217E-19</v>
      </c>
    </row>
    <row r="70" spans="1:12">
      <c r="A70" s="2" t="s">
        <v>16</v>
      </c>
      <c r="B70" s="6">
        <v>3.1376000000000001E-10</v>
      </c>
      <c r="D70" s="2" t="s">
        <v>17</v>
      </c>
      <c r="E70" s="22">
        <f>(-B70*B71)/(L38^2*L40)</f>
        <v>5.9584341608445115</v>
      </c>
      <c r="K70" s="20" t="s">
        <v>4</v>
      </c>
      <c r="L70" s="21">
        <v>299792000</v>
      </c>
    </row>
    <row r="71" spans="1:12">
      <c r="A71" s="2" t="s">
        <v>11</v>
      </c>
      <c r="B71" s="6">
        <v>-4.3812000000000002E-18</v>
      </c>
      <c r="D71" s="2" t="s">
        <v>17</v>
      </c>
      <c r="E71" s="2">
        <v>6</v>
      </c>
      <c r="K71" s="20" t="s">
        <v>6</v>
      </c>
      <c r="L71" s="21">
        <v>8987550000</v>
      </c>
    </row>
    <row r="72" spans="1:12">
      <c r="K72" s="20" t="s">
        <v>5</v>
      </c>
      <c r="L72" s="21">
        <v>6.6260700000000002E-34</v>
      </c>
    </row>
    <row r="73" spans="1:12">
      <c r="K73" s="20" t="s">
        <v>7</v>
      </c>
      <c r="L73" s="21">
        <v>5.29177E-11</v>
      </c>
    </row>
    <row r="74" spans="1:12">
      <c r="K74" s="20" t="s">
        <v>8</v>
      </c>
      <c r="L74" s="21">
        <v>10973700</v>
      </c>
    </row>
    <row r="75" spans="1:12">
      <c r="K75" s="20" t="s">
        <v>23</v>
      </c>
      <c r="L75" s="2">
        <f>PI()</f>
        <v>3.1415926535897931</v>
      </c>
    </row>
    <row r="77" spans="1:12" s="5" customFormat="1"/>
    <row r="79" spans="1:12">
      <c r="A79" s="2" t="s">
        <v>29</v>
      </c>
    </row>
    <row r="81" spans="1:7">
      <c r="A81" s="33" t="s">
        <v>9</v>
      </c>
      <c r="B81" s="33"/>
      <c r="D81" s="2" t="s">
        <v>22</v>
      </c>
      <c r="G81" s="2" t="s">
        <v>15</v>
      </c>
    </row>
    <row r="83" spans="1:7">
      <c r="A83" s="2" t="s">
        <v>17</v>
      </c>
      <c r="B83" s="2">
        <v>21</v>
      </c>
      <c r="D83" s="2" t="s">
        <v>33</v>
      </c>
      <c r="E83" s="6">
        <f>(1/B85^2)-(B84/(L74*B83^2*L70))</f>
        <v>5.1022720142745639E-3</v>
      </c>
    </row>
    <row r="84" spans="1:7">
      <c r="A84" s="2" t="s">
        <v>30</v>
      </c>
      <c r="B84" s="6">
        <v>2.2206E+16</v>
      </c>
    </row>
    <row r="85" spans="1:7" ht="15.6">
      <c r="A85" s="2" t="s">
        <v>19</v>
      </c>
      <c r="B85" s="2">
        <v>7</v>
      </c>
      <c r="D85" s="2" t="s">
        <v>34</v>
      </c>
      <c r="E85" s="6">
        <f>(1/E83)^(1/2)</f>
        <v>13.999682807195404</v>
      </c>
    </row>
    <row r="87" spans="1:7">
      <c r="D87" s="14" t="s">
        <v>24</v>
      </c>
      <c r="E87" s="15">
        <f>(2*L75*B83*L69^2*L71)/(E85*L72)</f>
        <v>3281583.4898555558</v>
      </c>
    </row>
    <row r="90" spans="1:7">
      <c r="D90" s="2" t="s">
        <v>16</v>
      </c>
      <c r="E90" s="6">
        <f>L73*E85^2*B83^-1</f>
        <v>4.9387615343529501E-10</v>
      </c>
    </row>
    <row r="92" spans="1:7">
      <c r="D92" s="14" t="s">
        <v>18</v>
      </c>
      <c r="E92" s="16">
        <f>E87/(2*L75*E90)</f>
        <v>1057512556430183.4</v>
      </c>
    </row>
    <row r="93" spans="1:7">
      <c r="G93" s="2" t="s">
        <v>31</v>
      </c>
    </row>
    <row r="100" spans="1:12">
      <c r="G100" s="2" t="s">
        <v>32</v>
      </c>
    </row>
    <row r="102" spans="1:12" s="5" customFormat="1"/>
    <row r="104" spans="1:12">
      <c r="A104" s="2" t="s">
        <v>35</v>
      </c>
    </row>
    <row r="106" spans="1:12">
      <c r="A106" s="33" t="s">
        <v>9</v>
      </c>
      <c r="B106" s="33"/>
      <c r="D106" s="2" t="s">
        <v>22</v>
      </c>
      <c r="F106" s="19" t="s">
        <v>39</v>
      </c>
      <c r="G106" s="2" t="s">
        <v>15</v>
      </c>
      <c r="K106" s="2" t="s">
        <v>1</v>
      </c>
      <c r="L106" s="2"/>
    </row>
    <row r="107" spans="1:12">
      <c r="K107" s="20" t="s">
        <v>2</v>
      </c>
      <c r="L107" s="21">
        <v>9.1093800000000005E-31</v>
      </c>
    </row>
    <row r="108" spans="1:12">
      <c r="A108" s="2" t="s">
        <v>17</v>
      </c>
      <c r="B108" s="2">
        <v>7</v>
      </c>
      <c r="D108" s="2" t="s">
        <v>54</v>
      </c>
      <c r="E108" s="6">
        <f>(1/B109^2)-(1/(B111*L74*B108^2))</f>
        <v>2.0407864125997544E-2</v>
      </c>
      <c r="K108" s="20" t="s">
        <v>3</v>
      </c>
      <c r="L108" s="21">
        <v>1.60217E-19</v>
      </c>
    </row>
    <row r="109" spans="1:12">
      <c r="A109" s="2" t="s">
        <v>36</v>
      </c>
      <c r="B109" s="2">
        <v>3</v>
      </c>
      <c r="K109" s="20" t="s">
        <v>4</v>
      </c>
      <c r="L109" s="21">
        <v>299792000</v>
      </c>
    </row>
    <row r="110" spans="1:12">
      <c r="A110" s="17" t="s">
        <v>37</v>
      </c>
      <c r="B110" s="2">
        <v>20.503499999999999</v>
      </c>
      <c r="D110" s="2" t="s">
        <v>40</v>
      </c>
      <c r="E110" s="22">
        <f>(1/E108)^(1/2)</f>
        <v>7.0000513029554146</v>
      </c>
      <c r="K110" s="20" t="s">
        <v>6</v>
      </c>
      <c r="L110" s="21">
        <v>8987550000</v>
      </c>
    </row>
    <row r="111" spans="1:12">
      <c r="A111" s="18" t="s">
        <v>38</v>
      </c>
      <c r="B111" s="2">
        <f>B110*10^-9</f>
        <v>2.0503499999999999E-8</v>
      </c>
      <c r="K111" s="20" t="s">
        <v>5</v>
      </c>
      <c r="L111" s="21">
        <v>6.6260700000000002E-34</v>
      </c>
    </row>
    <row r="112" spans="1:12">
      <c r="D112" s="10" t="s">
        <v>24</v>
      </c>
      <c r="E112" s="15">
        <f>(2*L114*B108*L108^2*L110)/(E110*L111)</f>
        <v>2187656.7268352648</v>
      </c>
      <c r="K112" s="20" t="s">
        <v>7</v>
      </c>
      <c r="L112" s="21">
        <v>5.29177E-11</v>
      </c>
    </row>
    <row r="113" spans="1:12">
      <c r="K113" s="20" t="s">
        <v>8</v>
      </c>
      <c r="L113" s="21">
        <v>10973700</v>
      </c>
    </row>
    <row r="114" spans="1:12">
      <c r="K114" s="20" t="s">
        <v>23</v>
      </c>
      <c r="L114" s="2">
        <f>PI()</f>
        <v>3.1415926535897931</v>
      </c>
    </row>
    <row r="120" spans="1:12" s="5" customFormat="1"/>
    <row r="122" spans="1:12">
      <c r="A122" s="33" t="s">
        <v>41</v>
      </c>
      <c r="B122" s="33"/>
    </row>
    <row r="124" spans="1:12">
      <c r="A124" s="2" t="s">
        <v>9</v>
      </c>
      <c r="B124" s="2"/>
      <c r="D124" s="2" t="s">
        <v>22</v>
      </c>
      <c r="G124" s="2" t="s">
        <v>15</v>
      </c>
      <c r="K124" s="2" t="s">
        <v>1</v>
      </c>
      <c r="L124" s="2"/>
    </row>
    <row r="125" spans="1:12">
      <c r="K125" s="20" t="s">
        <v>2</v>
      </c>
      <c r="L125" s="21">
        <v>9.1093800000000005E-31</v>
      </c>
    </row>
    <row r="126" spans="1:12">
      <c r="A126" s="2" t="s">
        <v>17</v>
      </c>
      <c r="B126" s="2">
        <v>11</v>
      </c>
      <c r="D126" s="2" t="s">
        <v>43</v>
      </c>
      <c r="E126" s="6">
        <f>(2*L132*B127)/L129</f>
        <v>7.9999958749291933</v>
      </c>
      <c r="K126" s="20" t="s">
        <v>3</v>
      </c>
      <c r="L126" s="21">
        <v>1.60217E-19</v>
      </c>
    </row>
    <row r="127" spans="1:12">
      <c r="A127" s="2" t="s">
        <v>42</v>
      </c>
      <c r="B127" s="6">
        <v>8.4365699999999996E-34</v>
      </c>
      <c r="K127" s="20" t="s">
        <v>4</v>
      </c>
      <c r="L127" s="21">
        <v>299792000</v>
      </c>
    </row>
    <row r="128" spans="1:12">
      <c r="D128" s="2" t="s">
        <v>44</v>
      </c>
      <c r="E128" s="2">
        <f>SQRT((B129*B126)/L130)</f>
        <v>2.999989606484168</v>
      </c>
      <c r="K128" s="20" t="s">
        <v>6</v>
      </c>
      <c r="L128" s="21">
        <v>8987550000</v>
      </c>
    </row>
    <row r="129" spans="1:12">
      <c r="A129" s="2" t="s">
        <v>16</v>
      </c>
      <c r="B129" s="6">
        <v>4.3296E-11</v>
      </c>
      <c r="D129" s="2" t="s">
        <v>44</v>
      </c>
      <c r="E129" s="2">
        <v>3</v>
      </c>
      <c r="K129" s="20" t="s">
        <v>5</v>
      </c>
      <c r="L129" s="21">
        <v>6.6260700000000002E-34</v>
      </c>
    </row>
    <row r="130" spans="1:12">
      <c r="K130" s="20" t="s">
        <v>7</v>
      </c>
      <c r="L130" s="21">
        <v>5.29177E-11</v>
      </c>
    </row>
    <row r="131" spans="1:12">
      <c r="D131" s="23" t="s">
        <v>40</v>
      </c>
      <c r="E131" s="2">
        <v>8</v>
      </c>
      <c r="K131" s="20" t="s">
        <v>8</v>
      </c>
      <c r="L131" s="21">
        <v>10973700</v>
      </c>
    </row>
    <row r="132" spans="1:12">
      <c r="D132" s="24" t="s">
        <v>36</v>
      </c>
      <c r="E132" s="2">
        <v>3</v>
      </c>
      <c r="K132" s="20" t="s">
        <v>23</v>
      </c>
      <c r="L132" s="2">
        <f>PI()</f>
        <v>3.1415926535897931</v>
      </c>
    </row>
    <row r="135" spans="1:12">
      <c r="D135" s="10" t="s">
        <v>30</v>
      </c>
      <c r="E135" s="16">
        <f>L131*B126^2*L127*((1/E132^2)-(1/E131^2))</f>
        <v>3.8010072596375E+16</v>
      </c>
    </row>
    <row r="137" spans="1:12" s="5" customFormat="1"/>
    <row r="139" spans="1:12">
      <c r="A139" s="2" t="s">
        <v>45</v>
      </c>
    </row>
    <row r="141" spans="1:12">
      <c r="A141" s="33" t="s">
        <v>9</v>
      </c>
      <c r="B141" s="33"/>
      <c r="D141" s="2" t="s">
        <v>22</v>
      </c>
      <c r="G141" s="2" t="s">
        <v>15</v>
      </c>
      <c r="K141" s="2" t="s">
        <v>1</v>
      </c>
      <c r="L141" s="2"/>
    </row>
    <row r="142" spans="1:12">
      <c r="K142" s="20" t="s">
        <v>2</v>
      </c>
      <c r="L142" s="21">
        <v>9.1093800000000005E-31</v>
      </c>
    </row>
    <row r="143" spans="1:12">
      <c r="A143" s="2" t="s">
        <v>17</v>
      </c>
      <c r="B143" s="2">
        <v>8</v>
      </c>
      <c r="D143" s="10" t="s">
        <v>46</v>
      </c>
      <c r="E143" s="26">
        <f>L148*B143^2*L146*L144*((1/B144^2)-(1/B145^2))</f>
        <v>2.6158352528151996E-17</v>
      </c>
      <c r="K143" s="20" t="s">
        <v>3</v>
      </c>
      <c r="L143" s="21">
        <v>1.60217E-19</v>
      </c>
    </row>
    <row r="144" spans="1:12">
      <c r="A144" s="2" t="s">
        <v>36</v>
      </c>
      <c r="B144" s="2">
        <v>2</v>
      </c>
      <c r="K144" s="20" t="s">
        <v>4</v>
      </c>
      <c r="L144" s="21">
        <v>299792000</v>
      </c>
    </row>
    <row r="145" spans="1:12">
      <c r="A145" s="2" t="s">
        <v>40</v>
      </c>
      <c r="B145" s="2">
        <v>4</v>
      </c>
      <c r="K145" s="20" t="s">
        <v>6</v>
      </c>
      <c r="L145" s="21">
        <v>8987550000</v>
      </c>
    </row>
    <row r="146" spans="1:12">
      <c r="K146" s="20" t="s">
        <v>5</v>
      </c>
      <c r="L146" s="21">
        <v>6.6260700000000002E-34</v>
      </c>
    </row>
    <row r="147" spans="1:12">
      <c r="D147" s="18" t="s">
        <v>47</v>
      </c>
      <c r="E147" s="6">
        <f>(L146*L144)/E143</f>
        <v>7.593913933617041E-9</v>
      </c>
      <c r="K147" s="20" t="s">
        <v>7</v>
      </c>
      <c r="L147" s="21">
        <v>5.29177E-11</v>
      </c>
    </row>
    <row r="148" spans="1:12">
      <c r="D148" s="27"/>
      <c r="E148" s="28"/>
      <c r="K148" s="20" t="s">
        <v>8</v>
      </c>
      <c r="L148" s="21">
        <v>10973700</v>
      </c>
    </row>
    <row r="149" spans="1:12">
      <c r="K149" s="20" t="s">
        <v>23</v>
      </c>
      <c r="L149" s="2">
        <f>PI()</f>
        <v>3.1415926535897931</v>
      </c>
    </row>
    <row r="151" spans="1:12">
      <c r="D151" s="25"/>
    </row>
    <row r="152" spans="1:12">
      <c r="D152" s="1"/>
    </row>
    <row r="153" spans="1:12">
      <c r="D153" s="1"/>
    </row>
    <row r="163" spans="1:12" s="29" customFormat="1"/>
    <row r="166" spans="1:12">
      <c r="A166" s="33" t="s">
        <v>48</v>
      </c>
      <c r="B166" s="33"/>
    </row>
    <row r="168" spans="1:12">
      <c r="A168" s="33" t="s">
        <v>9</v>
      </c>
      <c r="B168" s="33"/>
      <c r="D168" s="2" t="s">
        <v>22</v>
      </c>
      <c r="G168" s="2" t="s">
        <v>15</v>
      </c>
      <c r="K168" s="2" t="s">
        <v>1</v>
      </c>
      <c r="L168" s="2"/>
    </row>
    <row r="169" spans="1:12">
      <c r="K169" s="20" t="s">
        <v>2</v>
      </c>
      <c r="L169" s="21">
        <v>9.1093800000000005E-31</v>
      </c>
    </row>
    <row r="170" spans="1:12">
      <c r="A170" s="2" t="s">
        <v>30</v>
      </c>
      <c r="B170" s="6">
        <v>1456000000000000</v>
      </c>
      <c r="K170" s="20" t="s">
        <v>3</v>
      </c>
      <c r="L170" s="21">
        <v>1.60217E-19</v>
      </c>
    </row>
    <row r="171" spans="1:12">
      <c r="A171" s="2" t="s">
        <v>40</v>
      </c>
      <c r="B171" s="2">
        <v>9</v>
      </c>
      <c r="D171" s="2" t="s">
        <v>17</v>
      </c>
      <c r="E171" s="6">
        <f>(B170/(L175*L171*((1/B172^2)-(1/B171^2))))^(1/2)</f>
        <v>4.0004848164702667</v>
      </c>
      <c r="K171" s="20" t="s">
        <v>4</v>
      </c>
      <c r="L171" s="21">
        <v>299792000</v>
      </c>
    </row>
    <row r="172" spans="1:12">
      <c r="A172" s="2" t="s">
        <v>36</v>
      </c>
      <c r="B172" s="2">
        <v>5</v>
      </c>
      <c r="K172" s="20" t="s">
        <v>6</v>
      </c>
      <c r="L172" s="21">
        <v>8987550000</v>
      </c>
    </row>
    <row r="173" spans="1:12">
      <c r="D173" s="10" t="s">
        <v>17</v>
      </c>
      <c r="E173" s="13">
        <v>4</v>
      </c>
      <c r="K173" s="20" t="s">
        <v>5</v>
      </c>
      <c r="L173" s="21">
        <v>6.6260700000000002E-34</v>
      </c>
    </row>
    <row r="174" spans="1:12">
      <c r="K174" s="20" t="s">
        <v>7</v>
      </c>
      <c r="L174" s="21">
        <v>5.29177E-11</v>
      </c>
    </row>
    <row r="175" spans="1:12">
      <c r="K175" s="20" t="s">
        <v>8</v>
      </c>
      <c r="L175" s="21">
        <v>10973700</v>
      </c>
    </row>
    <row r="176" spans="1:12">
      <c r="K176" s="20" t="s">
        <v>23</v>
      </c>
      <c r="L176" s="2">
        <f>PI()</f>
        <v>3.1415926535897931</v>
      </c>
    </row>
    <row r="179" spans="1:12" s="5" customFormat="1"/>
    <row r="181" spans="1:12">
      <c r="A181" s="33" t="s">
        <v>49</v>
      </c>
      <c r="B181" s="33"/>
      <c r="D181" s="2" t="s">
        <v>22</v>
      </c>
      <c r="G181" s="2" t="s">
        <v>15</v>
      </c>
      <c r="K181" s="2" t="s">
        <v>1</v>
      </c>
      <c r="L181" s="2"/>
    </row>
    <row r="182" spans="1:12">
      <c r="K182" s="20" t="s">
        <v>2</v>
      </c>
      <c r="L182" s="21">
        <v>9.1093800000000005E-31</v>
      </c>
    </row>
    <row r="183" spans="1:12">
      <c r="A183" s="33" t="s">
        <v>9</v>
      </c>
      <c r="B183" s="33"/>
      <c r="K183" s="20" t="s">
        <v>3</v>
      </c>
      <c r="L183" s="21">
        <v>1.60217E-19</v>
      </c>
    </row>
    <row r="184" spans="1:12">
      <c r="D184" s="2" t="s">
        <v>24</v>
      </c>
      <c r="E184" s="6">
        <f>(L186)/(B185*L182)</f>
        <v>2500253.6360599953</v>
      </c>
      <c r="K184" s="20" t="s">
        <v>4</v>
      </c>
      <c r="L184" s="21">
        <v>299792000</v>
      </c>
    </row>
    <row r="185" spans="1:12" ht="15.6">
      <c r="A185" s="18" t="s">
        <v>50</v>
      </c>
      <c r="B185" s="6">
        <v>2.9092639999999999E-10</v>
      </c>
      <c r="K185" s="20" t="s">
        <v>6</v>
      </c>
      <c r="L185" s="21">
        <v>8987550000</v>
      </c>
    </row>
    <row r="186" spans="1:12">
      <c r="A186" s="2" t="s">
        <v>17</v>
      </c>
      <c r="B186" s="2">
        <v>8</v>
      </c>
      <c r="D186" s="2" t="s">
        <v>19</v>
      </c>
      <c r="E186" s="6">
        <f>(2*L189*B186*L183^2*L185)/(E184*L186)</f>
        <v>6.999842667498033</v>
      </c>
      <c r="K186" s="20" t="s">
        <v>5</v>
      </c>
      <c r="L186" s="21">
        <v>6.6260700000000002E-34</v>
      </c>
    </row>
    <row r="187" spans="1:12">
      <c r="K187" s="20" t="s">
        <v>7</v>
      </c>
      <c r="L187" s="21">
        <v>5.29177E-11</v>
      </c>
    </row>
    <row r="188" spans="1:12">
      <c r="D188" s="2" t="s">
        <v>16</v>
      </c>
      <c r="E188" s="6">
        <f>L187*E186^2*B186^-1</f>
        <v>3.2410634273399355E-10</v>
      </c>
      <c r="K188" s="20" t="s">
        <v>8</v>
      </c>
      <c r="L188" s="21">
        <v>10973700</v>
      </c>
    </row>
    <row r="189" spans="1:12">
      <c r="K189" s="20" t="s">
        <v>23</v>
      </c>
      <c r="L189" s="2">
        <f>PI()</f>
        <v>3.1415926535897931</v>
      </c>
    </row>
    <row r="190" spans="1:12">
      <c r="D190" s="10" t="s">
        <v>11</v>
      </c>
      <c r="E190" s="15">
        <f>(-B186*L183^2*L185)/E188</f>
        <v>-5.6945704114427901E-18</v>
      </c>
    </row>
    <row r="196" spans="1:12" s="29" customFormat="1"/>
    <row r="198" spans="1:12">
      <c r="A198" s="33" t="s">
        <v>51</v>
      </c>
      <c r="B198" s="33"/>
      <c r="D198" s="2" t="s">
        <v>22</v>
      </c>
      <c r="G198" s="2" t="s">
        <v>15</v>
      </c>
      <c r="K198" s="2" t="s">
        <v>1</v>
      </c>
      <c r="L198" s="2"/>
    </row>
    <row r="199" spans="1:12">
      <c r="K199" s="20" t="s">
        <v>2</v>
      </c>
      <c r="L199" s="21">
        <v>9.1093800000000005E-31</v>
      </c>
    </row>
    <row r="200" spans="1:12">
      <c r="A200" s="33" t="s">
        <v>9</v>
      </c>
      <c r="B200" s="33"/>
      <c r="D200" s="2" t="s">
        <v>16</v>
      </c>
      <c r="E200" s="6">
        <f>(-B202*L183^2*L185)/(2*B203)</f>
        <v>3.6990713976984599E-10</v>
      </c>
      <c r="K200" s="20" t="s">
        <v>3</v>
      </c>
      <c r="L200" s="21">
        <v>1.60217E-19</v>
      </c>
    </row>
    <row r="201" spans="1:12">
      <c r="E201" s="1"/>
      <c r="K201" s="20" t="s">
        <v>4</v>
      </c>
      <c r="L201" s="21">
        <v>299792000</v>
      </c>
    </row>
    <row r="202" spans="1:12">
      <c r="A202" s="2" t="s">
        <v>17</v>
      </c>
      <c r="B202" s="2">
        <v>7</v>
      </c>
      <c r="D202" s="2" t="s">
        <v>19</v>
      </c>
      <c r="E202" s="22">
        <f>((E200*B202)/L187)^(1/2)</f>
        <v>6.9951156174333473</v>
      </c>
      <c r="K202" s="20" t="s">
        <v>6</v>
      </c>
      <c r="L202" s="21">
        <v>8987550000</v>
      </c>
    </row>
    <row r="203" spans="1:12">
      <c r="A203" s="2" t="s">
        <v>52</v>
      </c>
      <c r="B203" s="6">
        <v>-2.1829000000000001E-18</v>
      </c>
      <c r="K203" s="20" t="s">
        <v>5</v>
      </c>
      <c r="L203" s="21">
        <v>6.6260700000000002E-34</v>
      </c>
    </row>
    <row r="204" spans="1:12">
      <c r="D204" s="31" t="s">
        <v>53</v>
      </c>
      <c r="E204" s="30">
        <f>(2*L189*E200)/E202</f>
        <v>3.3225971273874626E-10</v>
      </c>
      <c r="K204" s="20" t="s">
        <v>7</v>
      </c>
      <c r="L204" s="21">
        <v>5.29177E-11</v>
      </c>
    </row>
    <row r="205" spans="1:12">
      <c r="E205" s="1"/>
      <c r="K205" s="20" t="s">
        <v>8</v>
      </c>
      <c r="L205" s="21">
        <v>10973700</v>
      </c>
    </row>
    <row r="206" spans="1:12">
      <c r="E206" s="25"/>
      <c r="K206" s="20" t="s">
        <v>23</v>
      </c>
      <c r="L206" s="2">
        <f>PI()</f>
        <v>3.1415926535897931</v>
      </c>
    </row>
    <row r="209" spans="5:5">
      <c r="E209" s="1"/>
    </row>
    <row r="210" spans="5:5">
      <c r="E210" s="1"/>
    </row>
    <row r="211" spans="5:5" s="9" customFormat="1">
      <c r="E211" s="32"/>
    </row>
  </sheetData>
  <mergeCells count="13">
    <mergeCell ref="A106:B106"/>
    <mergeCell ref="A122:B122"/>
    <mergeCell ref="A4:B4"/>
    <mergeCell ref="A24:B24"/>
    <mergeCell ref="A55:B55"/>
    <mergeCell ref="A81:B81"/>
    <mergeCell ref="A200:B200"/>
    <mergeCell ref="A141:B141"/>
    <mergeCell ref="A166:B166"/>
    <mergeCell ref="A168:B168"/>
    <mergeCell ref="A181:B181"/>
    <mergeCell ref="A183:B183"/>
    <mergeCell ref="A198:B198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WowiWa</dc:creator>
  <cp:lastModifiedBy>WowiWa</cp:lastModifiedBy>
  <dcterms:created xsi:type="dcterms:W3CDTF">2020-10-23T21:36:11Z</dcterms:created>
  <dcterms:modified xsi:type="dcterms:W3CDTF">2020-10-28T21:16:58Z</dcterms:modified>
</cp:coreProperties>
</file>