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OneDrive\Documentos\ProjectTomatodata\DATA\"/>
    </mc:Choice>
  </mc:AlternateContent>
  <xr:revisionPtr revIDLastSave="0" documentId="13_ncr:1_{1A6EE923-E53B-459D-8119-FF29DDA0278D}" xr6:coauthVersionLast="47" xr6:coauthVersionMax="47" xr10:uidLastSave="{00000000-0000-0000-0000-000000000000}"/>
  <bookViews>
    <workbookView xWindow="-108" yWindow="-108" windowWidth="23256" windowHeight="12456" xr2:uid="{7CB70C17-F37E-4A58-8897-3EF4BA12F333}"/>
  </bookViews>
  <sheets>
    <sheet name="P. infestans" sheetId="2" r:id="rId1"/>
    <sheet name="Agronomic" sheetId="1" r:id="rId2"/>
    <sheet name="Biomarkers" sheetId="3" r:id="rId3"/>
    <sheet name="Non-enzymat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7" i="1" l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H77" i="1"/>
  <c r="G77" i="1"/>
  <c r="F77" i="1"/>
  <c r="E77" i="1"/>
  <c r="D77" i="1"/>
  <c r="C77" i="1"/>
  <c r="H76" i="1"/>
  <c r="G76" i="1"/>
  <c r="F76" i="1"/>
  <c r="E76" i="1"/>
  <c r="D76" i="1"/>
  <c r="C76" i="1"/>
  <c r="G75" i="1"/>
  <c r="F75" i="1"/>
  <c r="E75" i="1"/>
  <c r="D75" i="1"/>
  <c r="C75" i="1"/>
  <c r="H74" i="1"/>
  <c r="G74" i="1"/>
  <c r="F74" i="1"/>
  <c r="D74" i="1"/>
  <c r="C74" i="1"/>
  <c r="H73" i="1"/>
  <c r="G73" i="1"/>
  <c r="F73" i="1"/>
  <c r="D73" i="1"/>
  <c r="C73" i="1"/>
  <c r="H72" i="1"/>
  <c r="G72" i="1"/>
  <c r="F72" i="1"/>
  <c r="E72" i="1"/>
  <c r="D72" i="1"/>
  <c r="C72" i="1"/>
  <c r="F71" i="1"/>
  <c r="D71" i="1"/>
  <c r="C71" i="1"/>
  <c r="F70" i="1"/>
  <c r="E70" i="1"/>
  <c r="D70" i="1"/>
  <c r="C70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H66" i="1"/>
  <c r="G66" i="1"/>
  <c r="F66" i="1"/>
  <c r="E66" i="1"/>
  <c r="D66" i="1"/>
  <c r="C66" i="1"/>
  <c r="G65" i="1"/>
  <c r="F65" i="1"/>
  <c r="D65" i="1"/>
  <c r="H64" i="1"/>
  <c r="G64" i="1"/>
  <c r="F64" i="1"/>
  <c r="E64" i="1"/>
  <c r="C64" i="1"/>
  <c r="H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G47" i="1"/>
  <c r="F47" i="1"/>
  <c r="E47" i="1"/>
  <c r="D47" i="1"/>
  <c r="C47" i="1"/>
  <c r="G46" i="1"/>
  <c r="F46" i="1"/>
  <c r="E46" i="1"/>
  <c r="D46" i="1"/>
  <c r="C46" i="1"/>
  <c r="F45" i="1"/>
  <c r="E45" i="1"/>
  <c r="D45" i="1"/>
  <c r="C45" i="1"/>
  <c r="G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G40" i="1"/>
  <c r="F40" i="1"/>
  <c r="E40" i="1"/>
  <c r="D40" i="1"/>
  <c r="C40" i="1"/>
  <c r="G39" i="1"/>
  <c r="F39" i="1"/>
  <c r="E39" i="1"/>
  <c r="D39" i="1"/>
  <c r="C39" i="1"/>
  <c r="G38" i="1"/>
  <c r="F38" i="1"/>
  <c r="E38" i="1"/>
  <c r="D38" i="1"/>
  <c r="C38" i="1"/>
  <c r="G37" i="1"/>
  <c r="E37" i="1"/>
  <c r="D37" i="1"/>
  <c r="C37" i="1"/>
  <c r="F36" i="1"/>
  <c r="E36" i="1"/>
  <c r="D36" i="1"/>
  <c r="C36" i="1"/>
  <c r="F35" i="1"/>
  <c r="E35" i="1"/>
  <c r="D35" i="1"/>
  <c r="C35" i="1"/>
  <c r="G34" i="1"/>
  <c r="F34" i="1"/>
  <c r="E34" i="1"/>
  <c r="D34" i="1"/>
  <c r="C34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H25" i="1"/>
  <c r="G25" i="1"/>
  <c r="F25" i="1"/>
  <c r="E25" i="1"/>
  <c r="D25" i="1"/>
  <c r="C25" i="1"/>
  <c r="H24" i="1"/>
  <c r="F24" i="1"/>
  <c r="E24" i="1"/>
  <c r="D24" i="1"/>
  <c r="C24" i="1"/>
  <c r="H23" i="1"/>
  <c r="G23" i="1"/>
  <c r="F23" i="1"/>
  <c r="E23" i="1"/>
  <c r="D23" i="1"/>
  <c r="C23" i="1"/>
  <c r="H22" i="1"/>
  <c r="F22" i="1"/>
  <c r="E22" i="1"/>
  <c r="D22" i="1"/>
  <c r="C22" i="1"/>
  <c r="G21" i="1"/>
  <c r="F21" i="1"/>
  <c r="E21" i="1"/>
  <c r="D21" i="1"/>
  <c r="C21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G16" i="1"/>
  <c r="F16" i="1"/>
  <c r="E16" i="1"/>
  <c r="D16" i="1"/>
  <c r="C16" i="1"/>
  <c r="H15" i="1"/>
  <c r="F15" i="1"/>
  <c r="E15" i="1"/>
  <c r="D15" i="1"/>
  <c r="C15" i="1"/>
  <c r="H14" i="1"/>
  <c r="G14" i="1"/>
  <c r="D14" i="1"/>
  <c r="C14" i="1"/>
  <c r="H13" i="1"/>
  <c r="G13" i="1"/>
  <c r="E13" i="1"/>
  <c r="D13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D10" i="1"/>
  <c r="C10" i="1"/>
  <c r="G9" i="1"/>
  <c r="F9" i="1"/>
  <c r="E9" i="1"/>
  <c r="D9" i="1"/>
  <c r="C9" i="1"/>
  <c r="G8" i="1"/>
  <c r="E8" i="1"/>
  <c r="D8" i="1"/>
  <c r="C8" i="1"/>
  <c r="G7" i="1"/>
  <c r="F7" i="1"/>
  <c r="E7" i="1"/>
  <c r="D7" i="1"/>
  <c r="C7" i="1"/>
  <c r="F6" i="1"/>
  <c r="E6" i="1"/>
  <c r="D6" i="1"/>
  <c r="C6" i="1"/>
  <c r="H5" i="1"/>
  <c r="G5" i="1"/>
  <c r="E5" i="1"/>
  <c r="D5" i="1"/>
  <c r="C5" i="1"/>
  <c r="H4" i="1"/>
  <c r="G4" i="1"/>
  <c r="E4" i="1"/>
  <c r="D4" i="1"/>
  <c r="H3" i="1"/>
  <c r="G3" i="1"/>
  <c r="E3" i="1"/>
  <c r="D3" i="1"/>
  <c r="C3" i="1"/>
  <c r="I71" i="1" l="1"/>
  <c r="I72" i="1"/>
  <c r="I8" i="1"/>
  <c r="I13" i="1"/>
  <c r="I17" i="1"/>
  <c r="I33" i="1"/>
  <c r="I57" i="1"/>
  <c r="I60" i="1"/>
  <c r="I61" i="1"/>
  <c r="I65" i="1"/>
  <c r="I7" i="1"/>
  <c r="I9" i="1"/>
  <c r="I14" i="1"/>
  <c r="I15" i="1"/>
  <c r="I23" i="1"/>
  <c r="I25" i="1"/>
  <c r="I29" i="1"/>
  <c r="I39" i="1"/>
  <c r="I10" i="1"/>
  <c r="I16" i="1"/>
  <c r="I34" i="1"/>
  <c r="I40" i="1"/>
  <c r="I42" i="1"/>
  <c r="I43" i="1"/>
  <c r="I44" i="1"/>
  <c r="I45" i="1"/>
  <c r="I46" i="1"/>
  <c r="I49" i="1"/>
  <c r="I51" i="1"/>
  <c r="I52" i="1"/>
  <c r="I53" i="1"/>
  <c r="I58" i="1"/>
  <c r="I62" i="1"/>
  <c r="I73" i="1"/>
  <c r="I3" i="1"/>
  <c r="I4" i="1"/>
  <c r="I5" i="1"/>
  <c r="I11" i="1"/>
  <c r="I19" i="1"/>
  <c r="I21" i="1"/>
  <c r="I27" i="1"/>
  <c r="I30" i="1"/>
  <c r="I31" i="1"/>
  <c r="I35" i="1"/>
  <c r="I36" i="1"/>
  <c r="I37" i="1"/>
  <c r="I47" i="1"/>
  <c r="I55" i="1"/>
  <c r="I56" i="1"/>
  <c r="I59" i="1"/>
  <c r="I63" i="1"/>
  <c r="I67" i="1"/>
  <c r="I74" i="1"/>
  <c r="I76" i="1"/>
  <c r="I77" i="1"/>
  <c r="I18" i="1"/>
  <c r="I20" i="1"/>
  <c r="I24" i="1"/>
  <c r="I26" i="1"/>
  <c r="I41" i="1"/>
  <c r="I48" i="1"/>
  <c r="I6" i="1"/>
  <c r="I12" i="1"/>
  <c r="I22" i="1"/>
  <c r="I28" i="1"/>
  <c r="I32" i="1"/>
  <c r="I38" i="1"/>
  <c r="I50" i="1"/>
  <c r="I54" i="1"/>
  <c r="I64" i="1"/>
  <c r="I66" i="1"/>
  <c r="I68" i="1"/>
  <c r="I69" i="1"/>
  <c r="I70" i="1"/>
  <c r="I75" i="1"/>
</calcChain>
</file>

<file path=xl/sharedStrings.xml><?xml version="1.0" encoding="utf-8"?>
<sst xmlns="http://schemas.openxmlformats.org/spreadsheetml/2006/main" count="578" uniqueCount="39">
  <si>
    <t>Fruit yield</t>
  </si>
  <si>
    <t>Number of fruit</t>
  </si>
  <si>
    <t>Average fruit weigth</t>
  </si>
  <si>
    <t>Stem diameter</t>
  </si>
  <si>
    <t>Aereal dry weight</t>
  </si>
  <si>
    <t>Root dry weight</t>
  </si>
  <si>
    <t>Week</t>
  </si>
  <si>
    <t>H202</t>
  </si>
  <si>
    <t>MDA</t>
  </si>
  <si>
    <t>Superoxide anion</t>
  </si>
  <si>
    <t>Samples</t>
  </si>
  <si>
    <t>Day</t>
  </si>
  <si>
    <t>EXAm</t>
  </si>
  <si>
    <t>Infes+EXAm</t>
  </si>
  <si>
    <t>Infes+Captan</t>
  </si>
  <si>
    <t>Infes</t>
  </si>
  <si>
    <t>Control</t>
  </si>
  <si>
    <t>Treatment</t>
  </si>
  <si>
    <t>Phenols</t>
  </si>
  <si>
    <t>Flavonoids</t>
  </si>
  <si>
    <t xml:space="preserve">Vitamin C </t>
  </si>
  <si>
    <t>Chlorophyll A</t>
  </si>
  <si>
    <t>Chlorophyll B</t>
  </si>
  <si>
    <t>Total chlorophyll</t>
  </si>
  <si>
    <t>B carotene</t>
  </si>
  <si>
    <t>Proteins</t>
  </si>
  <si>
    <t>yellow carotenoids</t>
  </si>
  <si>
    <t>Block</t>
  </si>
  <si>
    <t>cluster 1</t>
  </si>
  <si>
    <t>cluster 2</t>
  </si>
  <si>
    <t>cluster 3</t>
  </si>
  <si>
    <t>cluster 4</t>
  </si>
  <si>
    <t>cluster 5</t>
  </si>
  <si>
    <t>cluster 6</t>
  </si>
  <si>
    <t>Total</t>
  </si>
  <si>
    <t>Repetition</t>
  </si>
  <si>
    <t>Average weight</t>
  </si>
  <si>
    <t>average weight of fruits</t>
  </si>
  <si>
    <t>Fruits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</si>
</sst>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badi Extra Light"/>
      <family val="2"/>
    </font>
    <font>
      <sz val="10"/>
      <color theme="1"/>
      <name val="Abadi Extra Light"/>
      <family val="2"/>
    </font>
    <font>
      <sz val="11"/>
      <color theme="1"/>
      <name val="Abadi Extra Light"/>
      <family val="2"/>
    </font>
    <font>
      <b/>
      <sz val="9"/>
      <color theme="1"/>
      <name val="Calibri"/>
      <family val="2"/>
      <scheme val="minor"/>
    </font>
    <font>
      <b/>
      <sz val="9"/>
      <name val="Times New Roman"/>
      <family val="1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badi Extra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4452-C513-4A27-B4F7-B1D1B780B34B}">
  <dimension ref="A1:G27"/>
  <sheetViews>
    <sheetView tabSelected="1" workbookViewId="0">
      <selection activeCell="G8" sqref="G8"/>
    </sheetView>
  </sheetViews>
  <sheetFormatPr baseColWidth="10" defaultRowHeight="14.4" x14ac:dyDescent="0.3"/>
  <cols>
    <col min="1" max="2" width="13.33203125" customWidth="1"/>
  </cols>
  <sheetData>
    <row r="1" spans="1:7" x14ac:dyDescent="0.3">
      <c r="A1" s="26" t="s">
        <v>17</v>
      </c>
      <c r="B1" s="27" t="s">
        <v>27</v>
      </c>
      <c r="C1" s="28" t="s">
        <v>6</v>
      </c>
      <c r="D1" s="28"/>
      <c r="E1" s="28"/>
      <c r="F1" s="28"/>
      <c r="G1" s="28"/>
    </row>
    <row r="2" spans="1:7" x14ac:dyDescent="0.3">
      <c r="A2" s="2"/>
      <c r="B2" s="3"/>
      <c r="C2" s="4">
        <v>1</v>
      </c>
      <c r="D2" s="4">
        <v>3</v>
      </c>
      <c r="E2" s="4">
        <v>5</v>
      </c>
      <c r="F2" s="4">
        <v>7</v>
      </c>
      <c r="G2" s="4">
        <v>9</v>
      </c>
    </row>
    <row r="3" spans="1:7" x14ac:dyDescent="0.3">
      <c r="A3" s="2" t="s">
        <v>16</v>
      </c>
      <c r="B3" s="3">
        <v>1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</row>
    <row r="4" spans="1:7" x14ac:dyDescent="0.3">
      <c r="A4" s="2" t="s">
        <v>16</v>
      </c>
      <c r="B4" s="3">
        <v>2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</row>
    <row r="5" spans="1:7" x14ac:dyDescent="0.3">
      <c r="A5" s="2" t="s">
        <v>16</v>
      </c>
      <c r="B5" s="3">
        <v>3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</row>
    <row r="6" spans="1:7" x14ac:dyDescent="0.3">
      <c r="A6" s="2" t="s">
        <v>16</v>
      </c>
      <c r="B6" s="3">
        <v>4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</row>
    <row r="7" spans="1:7" x14ac:dyDescent="0.3">
      <c r="A7" s="2" t="s">
        <v>16</v>
      </c>
      <c r="B7" s="3">
        <v>5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</row>
    <row r="8" spans="1:7" x14ac:dyDescent="0.3">
      <c r="A8" s="10" t="s">
        <v>12</v>
      </c>
      <c r="B8" s="3">
        <v>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</row>
    <row r="9" spans="1:7" x14ac:dyDescent="0.3">
      <c r="A9" s="10" t="s">
        <v>12</v>
      </c>
      <c r="B9" s="3">
        <v>2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</row>
    <row r="10" spans="1:7" x14ac:dyDescent="0.3">
      <c r="A10" s="10" t="s">
        <v>12</v>
      </c>
      <c r="B10" s="3">
        <v>3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</row>
    <row r="11" spans="1:7" x14ac:dyDescent="0.3">
      <c r="A11" s="10" t="s">
        <v>12</v>
      </c>
      <c r="B11" s="3">
        <v>4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</row>
    <row r="12" spans="1:7" x14ac:dyDescent="0.3">
      <c r="A12" s="10" t="s">
        <v>12</v>
      </c>
      <c r="B12" s="3">
        <v>5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</row>
    <row r="13" spans="1:7" x14ac:dyDescent="0.3">
      <c r="A13" s="10" t="s">
        <v>13</v>
      </c>
      <c r="B13" s="3">
        <v>1</v>
      </c>
      <c r="C13" s="10">
        <v>0</v>
      </c>
      <c r="D13" s="10">
        <v>40</v>
      </c>
      <c r="E13" s="10">
        <v>40</v>
      </c>
      <c r="F13" s="10">
        <v>40</v>
      </c>
      <c r="G13" s="10">
        <v>40</v>
      </c>
    </row>
    <row r="14" spans="1:7" x14ac:dyDescent="0.3">
      <c r="A14" s="10" t="s">
        <v>13</v>
      </c>
      <c r="B14" s="3">
        <v>2</v>
      </c>
      <c r="C14" s="10">
        <v>0</v>
      </c>
      <c r="D14" s="10">
        <v>13</v>
      </c>
      <c r="E14" s="10">
        <v>13</v>
      </c>
      <c r="F14" s="10">
        <v>13</v>
      </c>
      <c r="G14" s="10">
        <v>40</v>
      </c>
    </row>
    <row r="15" spans="1:7" x14ac:dyDescent="0.3">
      <c r="A15" s="10" t="s">
        <v>13</v>
      </c>
      <c r="B15" s="3">
        <v>3</v>
      </c>
      <c r="C15" s="10">
        <v>0</v>
      </c>
      <c r="D15" s="10">
        <v>7</v>
      </c>
      <c r="E15" s="10">
        <v>7</v>
      </c>
      <c r="F15" s="10">
        <v>10</v>
      </c>
      <c r="G15" s="10">
        <v>40</v>
      </c>
    </row>
    <row r="16" spans="1:7" x14ac:dyDescent="0.3">
      <c r="A16" s="10" t="s">
        <v>13</v>
      </c>
      <c r="B16" s="3">
        <v>4</v>
      </c>
      <c r="C16" s="10">
        <v>0</v>
      </c>
      <c r="D16" s="10">
        <v>27</v>
      </c>
      <c r="E16" s="10">
        <v>40</v>
      </c>
      <c r="F16" s="10">
        <v>40</v>
      </c>
      <c r="G16" s="10">
        <v>40</v>
      </c>
    </row>
    <row r="17" spans="1:7" x14ac:dyDescent="0.3">
      <c r="A17" s="10" t="s">
        <v>13</v>
      </c>
      <c r="B17" s="3">
        <v>5</v>
      </c>
      <c r="C17" s="10">
        <v>7</v>
      </c>
      <c r="D17" s="10">
        <v>10</v>
      </c>
      <c r="E17" s="10">
        <v>40</v>
      </c>
      <c r="F17" s="10">
        <v>40</v>
      </c>
      <c r="G17" s="10">
        <v>53</v>
      </c>
    </row>
    <row r="18" spans="1:7" x14ac:dyDescent="0.3">
      <c r="A18" s="10" t="s">
        <v>14</v>
      </c>
      <c r="B18" s="3">
        <v>1</v>
      </c>
      <c r="C18" s="10">
        <v>7</v>
      </c>
      <c r="D18" s="10">
        <v>10</v>
      </c>
      <c r="E18" s="10">
        <v>10</v>
      </c>
      <c r="F18" s="10">
        <v>10</v>
      </c>
      <c r="G18" s="10">
        <v>20</v>
      </c>
    </row>
    <row r="19" spans="1:7" x14ac:dyDescent="0.3">
      <c r="A19" s="10" t="s">
        <v>14</v>
      </c>
      <c r="B19" s="3">
        <v>2</v>
      </c>
      <c r="C19" s="10">
        <v>0</v>
      </c>
      <c r="D19" s="10">
        <v>10</v>
      </c>
      <c r="E19" s="10">
        <v>10</v>
      </c>
      <c r="F19" s="10">
        <v>10</v>
      </c>
      <c r="G19" s="10">
        <v>10</v>
      </c>
    </row>
    <row r="20" spans="1:7" x14ac:dyDescent="0.3">
      <c r="A20" s="10" t="s">
        <v>14</v>
      </c>
      <c r="B20" s="3">
        <v>3</v>
      </c>
      <c r="C20" s="10">
        <v>0</v>
      </c>
      <c r="D20" s="10">
        <v>10</v>
      </c>
      <c r="E20" s="10">
        <v>10</v>
      </c>
      <c r="F20" s="10">
        <v>10</v>
      </c>
      <c r="G20" s="10">
        <v>40</v>
      </c>
    </row>
    <row r="21" spans="1:7" x14ac:dyDescent="0.3">
      <c r="A21" s="10" t="s">
        <v>14</v>
      </c>
      <c r="B21" s="3">
        <v>4</v>
      </c>
      <c r="C21" s="10">
        <v>0</v>
      </c>
      <c r="D21" s="10">
        <v>0</v>
      </c>
      <c r="E21" s="10">
        <v>0</v>
      </c>
      <c r="F21" s="10">
        <v>0</v>
      </c>
      <c r="G21" s="10">
        <v>10</v>
      </c>
    </row>
    <row r="22" spans="1:7" x14ac:dyDescent="0.3">
      <c r="A22" s="10" t="s">
        <v>14</v>
      </c>
      <c r="B22" s="3">
        <v>5</v>
      </c>
      <c r="C22" s="10">
        <v>0</v>
      </c>
      <c r="D22" s="10">
        <v>0</v>
      </c>
      <c r="E22" s="10">
        <v>0</v>
      </c>
      <c r="F22" s="10">
        <v>0</v>
      </c>
      <c r="G22" s="10">
        <v>27</v>
      </c>
    </row>
    <row r="23" spans="1:7" x14ac:dyDescent="0.3">
      <c r="A23" s="10" t="s">
        <v>15</v>
      </c>
      <c r="B23" s="3">
        <v>1</v>
      </c>
      <c r="C23" s="10">
        <v>10</v>
      </c>
      <c r="D23" s="10">
        <v>90</v>
      </c>
      <c r="E23" s="10">
        <v>90</v>
      </c>
      <c r="F23" s="10">
        <v>90</v>
      </c>
      <c r="G23" s="10">
        <v>90</v>
      </c>
    </row>
    <row r="24" spans="1:7" x14ac:dyDescent="0.3">
      <c r="A24" s="10" t="s">
        <v>15</v>
      </c>
      <c r="B24" s="3">
        <v>2</v>
      </c>
      <c r="C24" s="7">
        <v>13.33</v>
      </c>
      <c r="D24" s="7">
        <v>90</v>
      </c>
      <c r="E24" s="10">
        <v>90</v>
      </c>
      <c r="F24" s="10">
        <v>90</v>
      </c>
      <c r="G24" s="10">
        <v>90</v>
      </c>
    </row>
    <row r="25" spans="1:7" x14ac:dyDescent="0.3">
      <c r="A25" s="10" t="s">
        <v>15</v>
      </c>
      <c r="B25" s="3">
        <v>3</v>
      </c>
      <c r="C25" s="7">
        <v>26.67</v>
      </c>
      <c r="D25" s="7">
        <v>90</v>
      </c>
      <c r="E25" s="10">
        <v>90</v>
      </c>
      <c r="F25" s="10">
        <v>90</v>
      </c>
      <c r="G25" s="10">
        <v>90</v>
      </c>
    </row>
    <row r="26" spans="1:7" x14ac:dyDescent="0.3">
      <c r="A26" s="10" t="s">
        <v>15</v>
      </c>
      <c r="B26" s="3">
        <v>4</v>
      </c>
      <c r="C26" s="7">
        <v>10</v>
      </c>
      <c r="D26" s="7">
        <v>90</v>
      </c>
      <c r="E26" s="10">
        <v>90</v>
      </c>
      <c r="F26" s="10">
        <v>90</v>
      </c>
      <c r="G26" s="10">
        <v>90</v>
      </c>
    </row>
    <row r="27" spans="1:7" x14ac:dyDescent="0.3">
      <c r="A27" s="10" t="s">
        <v>15</v>
      </c>
      <c r="B27" s="3">
        <v>5</v>
      </c>
      <c r="C27" s="7">
        <v>10</v>
      </c>
      <c r="D27" s="7">
        <v>26.67</v>
      </c>
      <c r="E27" s="10">
        <v>90</v>
      </c>
      <c r="F27" s="10">
        <v>90</v>
      </c>
      <c r="G27" s="10">
        <v>90</v>
      </c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AEA6-6388-4E38-B4CE-5FEEC0EAA0FC}">
  <dimension ref="A1:AD77"/>
  <sheetViews>
    <sheetView workbookViewId="0">
      <selection activeCell="J16" sqref="J16"/>
    </sheetView>
  </sheetViews>
  <sheetFormatPr baseColWidth="10" defaultRowHeight="14.4" x14ac:dyDescent="0.3"/>
  <cols>
    <col min="23" max="23" width="14.88671875" customWidth="1"/>
  </cols>
  <sheetData>
    <row r="1" spans="1:30" ht="27.6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K1" s="29" t="s">
        <v>1</v>
      </c>
      <c r="L1" s="30"/>
      <c r="M1" s="30"/>
      <c r="N1" s="30"/>
      <c r="O1" s="30"/>
      <c r="P1" s="30"/>
      <c r="Q1" s="30"/>
      <c r="R1" s="30"/>
      <c r="S1" s="30"/>
      <c r="U1" s="31" t="s">
        <v>2</v>
      </c>
      <c r="V1" s="31"/>
      <c r="W1" s="31"/>
      <c r="X1" s="31"/>
      <c r="Z1" s="1" t="s">
        <v>17</v>
      </c>
      <c r="AA1" s="1" t="s">
        <v>27</v>
      </c>
      <c r="AB1" s="23" t="s">
        <v>3</v>
      </c>
      <c r="AC1" s="23" t="s">
        <v>4</v>
      </c>
      <c r="AD1" s="23" t="s">
        <v>5</v>
      </c>
    </row>
    <row r="2" spans="1:30" ht="39.6" x14ac:dyDescent="0.3">
      <c r="A2" s="1" t="s">
        <v>17</v>
      </c>
      <c r="B2" s="1" t="s">
        <v>35</v>
      </c>
      <c r="C2" s="1" t="s">
        <v>28</v>
      </c>
      <c r="D2" s="25" t="s">
        <v>29</v>
      </c>
      <c r="E2" s="1" t="s">
        <v>30</v>
      </c>
      <c r="F2" s="24" t="s">
        <v>31</v>
      </c>
      <c r="G2" s="24" t="s">
        <v>32</v>
      </c>
      <c r="H2" s="24" t="s">
        <v>33</v>
      </c>
      <c r="I2" s="24" t="s">
        <v>34</v>
      </c>
      <c r="K2" s="1" t="s">
        <v>17</v>
      </c>
      <c r="L2" s="1" t="s">
        <v>35</v>
      </c>
      <c r="M2" s="1" t="s">
        <v>28</v>
      </c>
      <c r="N2" s="25" t="s">
        <v>29</v>
      </c>
      <c r="O2" s="1" t="s">
        <v>30</v>
      </c>
      <c r="P2" s="24" t="s">
        <v>31</v>
      </c>
      <c r="Q2" s="24" t="s">
        <v>32</v>
      </c>
      <c r="R2" s="24" t="s">
        <v>33</v>
      </c>
      <c r="S2" s="24" t="s">
        <v>34</v>
      </c>
      <c r="U2" s="1" t="s">
        <v>17</v>
      </c>
      <c r="V2" s="1" t="s">
        <v>38</v>
      </c>
      <c r="W2" s="1" t="s">
        <v>36</v>
      </c>
      <c r="X2" s="20" t="s">
        <v>37</v>
      </c>
      <c r="Z2" s="2" t="s">
        <v>16</v>
      </c>
      <c r="AA2" s="3">
        <v>1</v>
      </c>
      <c r="AB2" s="8">
        <v>18.353333333333335</v>
      </c>
      <c r="AC2" s="3">
        <v>669</v>
      </c>
      <c r="AD2" s="3">
        <v>182</v>
      </c>
    </row>
    <row r="3" spans="1:30" x14ac:dyDescent="0.3">
      <c r="A3" s="2" t="s">
        <v>16</v>
      </c>
      <c r="B3" s="21">
        <v>1</v>
      </c>
      <c r="C3" s="3">
        <f>SUM(148.5,142,131,135.4)</f>
        <v>556.9</v>
      </c>
      <c r="D3" s="3">
        <f>SUM(110.6,140,137.8,150,125.9,154.2,82.7,66.8,131.9,140)</f>
        <v>1239.9000000000001</v>
      </c>
      <c r="E3" s="6">
        <f>SUM(191.1,168.1,128.8,117.6,80.9,158.1,149.4,144.6)</f>
        <v>1138.5999999999999</v>
      </c>
      <c r="F3" s="6">
        <v>0</v>
      </c>
      <c r="G3" s="6">
        <f>SUM(104.8,89.5,158,131.1,124.7,117.8,73.4)</f>
        <v>799.3</v>
      </c>
      <c r="H3" s="6">
        <f>SUM(214.2,165.6,129,111.6)</f>
        <v>620.4</v>
      </c>
      <c r="I3" s="6">
        <f>SUM(C3:H3)</f>
        <v>4355.0999999999995</v>
      </c>
      <c r="K3" s="2" t="s">
        <v>16</v>
      </c>
      <c r="L3" s="21">
        <v>1</v>
      </c>
      <c r="M3" s="3">
        <v>4</v>
      </c>
      <c r="N3" s="6">
        <v>10</v>
      </c>
      <c r="O3" s="6">
        <v>8</v>
      </c>
      <c r="P3" s="6">
        <v>0</v>
      </c>
      <c r="Q3" s="6">
        <v>7</v>
      </c>
      <c r="R3" s="6">
        <v>4</v>
      </c>
      <c r="S3" s="6">
        <f>SUM(M3:R3)</f>
        <v>33</v>
      </c>
      <c r="U3" s="2" t="s">
        <v>16</v>
      </c>
      <c r="V3" s="21">
        <v>36</v>
      </c>
      <c r="W3" s="21">
        <v>4673.7999999999993</v>
      </c>
      <c r="X3" s="8">
        <f>W3/V3</f>
        <v>129.82777777777775</v>
      </c>
      <c r="Z3" s="2" t="s">
        <v>16</v>
      </c>
      <c r="AA3" s="3">
        <v>2</v>
      </c>
      <c r="AB3" s="8">
        <v>20.573333333333334</v>
      </c>
      <c r="AC3" s="3">
        <v>611</v>
      </c>
      <c r="AD3" s="3">
        <v>274</v>
      </c>
    </row>
    <row r="4" spans="1:30" x14ac:dyDescent="0.3">
      <c r="A4" s="2" t="s">
        <v>16</v>
      </c>
      <c r="B4" s="21">
        <v>2</v>
      </c>
      <c r="C4" s="3">
        <v>0</v>
      </c>
      <c r="D4" s="3">
        <f>SUM(148.7,80,155.2,74.6,153.3,109.1,130)</f>
        <v>850.9</v>
      </c>
      <c r="E4" s="6">
        <f>SUM(58.7,112.3,91.2,205.2,182.2,99.9,110.2,68.8)</f>
        <v>928.49999999999989</v>
      </c>
      <c r="F4" s="6">
        <v>0</v>
      </c>
      <c r="G4" s="6">
        <f>SUM(178.4,178.7,98.3,156.7,122,153.8,150,171.7)</f>
        <v>1209.6000000000001</v>
      </c>
      <c r="H4" s="6">
        <f>SUM(110.1,114,74.2,119.7,71.7,202.3)</f>
        <v>692</v>
      </c>
      <c r="I4" s="6">
        <f t="shared" ref="I4:I67" si="0">SUM(C4:H4)</f>
        <v>3681</v>
      </c>
      <c r="K4" s="2" t="s">
        <v>16</v>
      </c>
      <c r="L4" s="21">
        <v>2</v>
      </c>
      <c r="M4" s="3">
        <v>0</v>
      </c>
      <c r="N4" s="6">
        <v>7</v>
      </c>
      <c r="O4" s="6">
        <v>10</v>
      </c>
      <c r="P4" s="6">
        <v>0</v>
      </c>
      <c r="Q4" s="6">
        <v>8</v>
      </c>
      <c r="R4" s="6">
        <v>6</v>
      </c>
      <c r="S4" s="6">
        <f t="shared" ref="S4:S67" si="1">SUM(M4:R4)</f>
        <v>31</v>
      </c>
      <c r="U4" s="2" t="s">
        <v>16</v>
      </c>
      <c r="V4" s="21">
        <v>31</v>
      </c>
      <c r="W4" s="21">
        <v>3681</v>
      </c>
      <c r="X4" s="8">
        <f t="shared" ref="X4:X67" si="2">W4/V4</f>
        <v>118.74193548387096</v>
      </c>
      <c r="Z4" s="2" t="s">
        <v>16</v>
      </c>
      <c r="AA4" s="3">
        <v>3</v>
      </c>
      <c r="AB4" s="8">
        <v>19.893333333333334</v>
      </c>
      <c r="AC4" s="3">
        <v>537</v>
      </c>
      <c r="AD4" s="3">
        <v>227</v>
      </c>
    </row>
    <row r="5" spans="1:30" x14ac:dyDescent="0.3">
      <c r="A5" s="2" t="s">
        <v>16</v>
      </c>
      <c r="B5" s="21">
        <v>3</v>
      </c>
      <c r="C5" s="3">
        <f>SUM(91.2,63.4,127.8,139,98.6,84.4)</f>
        <v>604.4</v>
      </c>
      <c r="D5" s="3">
        <f>SUM(190.1,194.7,136.4,121.9,108.1,136.9,180,134.2,120.7,54)</f>
        <v>1377</v>
      </c>
      <c r="E5" s="6">
        <f>SUM(99.8,179.1,187.1,39.1,87.8,60,63.6,43.6)</f>
        <v>760.1</v>
      </c>
      <c r="F5" s="6">
        <v>0</v>
      </c>
      <c r="G5" s="6">
        <f>SUM(144,113.5,119,83,85.9)</f>
        <v>545.4</v>
      </c>
      <c r="H5" s="6">
        <f>SUM(112.3)</f>
        <v>112.3</v>
      </c>
      <c r="I5" s="6">
        <f t="shared" si="0"/>
        <v>3399.2000000000003</v>
      </c>
      <c r="K5" s="2" t="s">
        <v>16</v>
      </c>
      <c r="L5" s="21">
        <v>3</v>
      </c>
      <c r="M5" s="3">
        <v>6</v>
      </c>
      <c r="N5" s="6">
        <v>10</v>
      </c>
      <c r="O5" s="6">
        <v>8</v>
      </c>
      <c r="P5" s="6">
        <v>0</v>
      </c>
      <c r="Q5" s="6">
        <v>5</v>
      </c>
      <c r="R5" s="6">
        <v>1</v>
      </c>
      <c r="S5" s="6">
        <f t="shared" si="1"/>
        <v>30</v>
      </c>
      <c r="U5" s="2" t="s">
        <v>16</v>
      </c>
      <c r="V5" s="21">
        <v>31</v>
      </c>
      <c r="W5" s="21">
        <v>3465.9</v>
      </c>
      <c r="X5" s="8">
        <f t="shared" si="2"/>
        <v>111.80322580645162</v>
      </c>
      <c r="Z5" s="2" t="s">
        <v>16</v>
      </c>
      <c r="AA5" s="3">
        <v>4</v>
      </c>
      <c r="AB5" s="8">
        <v>20.396666666666668</v>
      </c>
      <c r="AC5" s="3">
        <v>1275</v>
      </c>
      <c r="AD5" s="3">
        <v>364</v>
      </c>
    </row>
    <row r="6" spans="1:30" x14ac:dyDescent="0.3">
      <c r="A6" s="2" t="s">
        <v>16</v>
      </c>
      <c r="B6" s="21">
        <v>1</v>
      </c>
      <c r="C6" s="3">
        <f>SUM(108,85.2,118,124)</f>
        <v>435.2</v>
      </c>
      <c r="D6" s="6">
        <f>SUM(173.4,121.6,153.5,128.1,122.1216,141.7,118.4,137.9,101.4,93.7)</f>
        <v>1291.8216000000002</v>
      </c>
      <c r="E6" s="6">
        <f>SUM(179,154.8,175,149.6,170.5)</f>
        <v>828.9</v>
      </c>
      <c r="F6" s="6">
        <f>SUM(170.8,182.2,129,148,136,150)</f>
        <v>916</v>
      </c>
      <c r="G6" s="6">
        <v>0</v>
      </c>
      <c r="H6" s="6">
        <v>0</v>
      </c>
      <c r="I6" s="6">
        <f t="shared" si="0"/>
        <v>3471.9216000000001</v>
      </c>
      <c r="K6" s="2" t="s">
        <v>16</v>
      </c>
      <c r="L6" s="21">
        <v>1</v>
      </c>
      <c r="M6" s="3">
        <v>4</v>
      </c>
      <c r="N6" s="6">
        <v>10</v>
      </c>
      <c r="O6" s="6">
        <v>5</v>
      </c>
      <c r="P6" s="6">
        <v>6</v>
      </c>
      <c r="Q6" s="6">
        <v>0</v>
      </c>
      <c r="R6" s="6">
        <v>0</v>
      </c>
      <c r="S6" s="6">
        <f t="shared" si="1"/>
        <v>25</v>
      </c>
      <c r="U6" s="2" t="s">
        <v>16</v>
      </c>
      <c r="V6" s="21">
        <v>26</v>
      </c>
      <c r="W6" s="21">
        <v>3471.9216000000001</v>
      </c>
      <c r="X6" s="8">
        <f t="shared" si="2"/>
        <v>133.53544615384615</v>
      </c>
      <c r="Z6" s="2" t="s">
        <v>16</v>
      </c>
      <c r="AA6" s="3">
        <v>5</v>
      </c>
      <c r="AB6" s="8">
        <v>21.853333333333335</v>
      </c>
      <c r="AC6" s="3">
        <v>811</v>
      </c>
      <c r="AD6" s="3">
        <v>363</v>
      </c>
    </row>
    <row r="7" spans="1:30" x14ac:dyDescent="0.3">
      <c r="A7" s="2" t="s">
        <v>16</v>
      </c>
      <c r="B7" s="21">
        <v>2</v>
      </c>
      <c r="C7" s="3">
        <f>SUM(112.7,43.9,104.8,112.7)</f>
        <v>374.09999999999997</v>
      </c>
      <c r="D7" s="6">
        <f>SUM(117.4,138,144.9,153.3,124.9,147,154.5,103.2,150)</f>
        <v>1233.2</v>
      </c>
      <c r="E7" s="6">
        <f>SUM(105.7,211.7,1893.7,143.7,164.5,130.6)</f>
        <v>2649.8999999999996</v>
      </c>
      <c r="F7" s="6">
        <f>SUM(76.1,174.3,158.4,129.8,159.5,117)</f>
        <v>815.1</v>
      </c>
      <c r="G7" s="6">
        <f>SUM(72.1,101.1,88.1)</f>
        <v>261.29999999999995</v>
      </c>
      <c r="H7" s="6">
        <v>0</v>
      </c>
      <c r="I7" s="6">
        <f t="shared" si="0"/>
        <v>5333.6</v>
      </c>
      <c r="K7" s="2" t="s">
        <v>16</v>
      </c>
      <c r="L7" s="21">
        <v>2</v>
      </c>
      <c r="M7" s="3">
        <v>4</v>
      </c>
      <c r="N7" s="6">
        <v>10</v>
      </c>
      <c r="O7" s="6">
        <v>6</v>
      </c>
      <c r="P7" s="6">
        <v>6</v>
      </c>
      <c r="Q7" s="6">
        <v>3</v>
      </c>
      <c r="R7" s="6">
        <v>0</v>
      </c>
      <c r="S7" s="6">
        <f t="shared" si="1"/>
        <v>29</v>
      </c>
      <c r="U7" s="2" t="s">
        <v>16</v>
      </c>
      <c r="V7" s="21">
        <v>29</v>
      </c>
      <c r="W7" s="21">
        <v>5434.6</v>
      </c>
      <c r="X7" s="8">
        <f t="shared" si="2"/>
        <v>187.4</v>
      </c>
      <c r="Z7" s="3" t="s">
        <v>12</v>
      </c>
      <c r="AA7" s="3">
        <v>1</v>
      </c>
      <c r="AB7" s="8">
        <v>21.916666666666668</v>
      </c>
      <c r="AC7" s="3">
        <v>1135</v>
      </c>
      <c r="AD7" s="3">
        <v>310</v>
      </c>
    </row>
    <row r="8" spans="1:30" x14ac:dyDescent="0.3">
      <c r="A8" s="2" t="s">
        <v>16</v>
      </c>
      <c r="B8" s="21">
        <v>3</v>
      </c>
      <c r="C8" s="3">
        <f>SUM(105.6,135.5,129.5,133.2,125.9)</f>
        <v>629.70000000000005</v>
      </c>
      <c r="D8" s="6">
        <f>SUM(137.6,135,137,64.2,4,112.7,91.6,135.3,130,139.37,133.2)</f>
        <v>1219.97</v>
      </c>
      <c r="E8" s="6">
        <f>SUM(178,108,143.6,172.2,162.3987,155.9,160.9,156.9)</f>
        <v>1237.8987</v>
      </c>
      <c r="F8" s="6">
        <v>0</v>
      </c>
      <c r="G8" s="6">
        <f>SUM(102.2,85.6,123.5,102.7,97.5,114.6,114.6,98.9,77.1,65.5)</f>
        <v>982.2</v>
      </c>
      <c r="H8" s="6">
        <v>0</v>
      </c>
      <c r="I8" s="6">
        <f t="shared" si="0"/>
        <v>4069.7686999999996</v>
      </c>
      <c r="K8" s="2" t="s">
        <v>16</v>
      </c>
      <c r="L8" s="21">
        <v>3</v>
      </c>
      <c r="M8" s="3">
        <v>6</v>
      </c>
      <c r="N8" s="6">
        <v>10</v>
      </c>
      <c r="O8" s="6">
        <v>9</v>
      </c>
      <c r="P8" s="6">
        <v>0</v>
      </c>
      <c r="Q8" s="6">
        <v>9</v>
      </c>
      <c r="R8" s="6">
        <v>0</v>
      </c>
      <c r="S8" s="6">
        <f t="shared" si="1"/>
        <v>34</v>
      </c>
      <c r="U8" s="2" t="s">
        <v>16</v>
      </c>
      <c r="V8" s="21">
        <v>34</v>
      </c>
      <c r="W8" s="21">
        <v>4069.7686999999996</v>
      </c>
      <c r="X8" s="8">
        <f t="shared" si="2"/>
        <v>119.6990794117647</v>
      </c>
      <c r="Z8" s="3" t="s">
        <v>12</v>
      </c>
      <c r="AA8" s="3">
        <v>2</v>
      </c>
      <c r="AB8" s="8">
        <v>21.41333333333333</v>
      </c>
      <c r="AC8" s="3">
        <v>694</v>
      </c>
      <c r="AD8" s="3">
        <v>237</v>
      </c>
    </row>
    <row r="9" spans="1:30" x14ac:dyDescent="0.3">
      <c r="A9" s="2" t="s">
        <v>16</v>
      </c>
      <c r="B9" s="21">
        <v>1</v>
      </c>
      <c r="C9" s="3">
        <f>SUM(112,120,112.1,98.7,126.8,130.6,71.1)</f>
        <v>771.30000000000007</v>
      </c>
      <c r="D9" s="6">
        <f>SUM(126.29,135.2,148.1,92,117.7,148.7,56.3,120,90.3,107.9,118.6)</f>
        <v>1261.0899999999999</v>
      </c>
      <c r="E9" s="6">
        <f>SUM(122.4,169.1,169.7,135.5,168.2,84.7,176.7,73.8)</f>
        <v>1100.1000000000001</v>
      </c>
      <c r="F9" s="6">
        <f>SUM(198.6,170.3,140.7,131.1,153,153)</f>
        <v>946.69999999999993</v>
      </c>
      <c r="G9" s="6">
        <f>SUM(145,143.5,145)</f>
        <v>433.5</v>
      </c>
      <c r="H9" s="6">
        <v>0</v>
      </c>
      <c r="I9" s="6">
        <f t="shared" si="0"/>
        <v>4512.6899999999996</v>
      </c>
      <c r="K9" s="2" t="s">
        <v>16</v>
      </c>
      <c r="L9" s="21">
        <v>1</v>
      </c>
      <c r="M9" s="3">
        <v>7</v>
      </c>
      <c r="N9" s="6">
        <v>11</v>
      </c>
      <c r="O9" s="6">
        <v>8</v>
      </c>
      <c r="P9" s="6">
        <v>6</v>
      </c>
      <c r="Q9" s="6">
        <v>3</v>
      </c>
      <c r="R9" s="6">
        <v>0</v>
      </c>
      <c r="S9" s="6">
        <f t="shared" si="1"/>
        <v>35</v>
      </c>
      <c r="U9" s="2" t="s">
        <v>16</v>
      </c>
      <c r="V9" s="21">
        <v>35</v>
      </c>
      <c r="W9" s="21">
        <v>4512.6899999999996</v>
      </c>
      <c r="X9" s="8">
        <f t="shared" si="2"/>
        <v>128.934</v>
      </c>
      <c r="Z9" s="3" t="s">
        <v>12</v>
      </c>
      <c r="AA9" s="3">
        <v>3</v>
      </c>
      <c r="AB9" s="8">
        <v>21.476666666666663</v>
      </c>
      <c r="AC9" s="3">
        <v>588</v>
      </c>
      <c r="AD9" s="3">
        <v>296</v>
      </c>
    </row>
    <row r="10" spans="1:30" x14ac:dyDescent="0.3">
      <c r="A10" s="2" t="s">
        <v>16</v>
      </c>
      <c r="B10" s="21">
        <v>2</v>
      </c>
      <c r="C10" s="3">
        <f>SUM(131,98,107.5,131.5,48.8,125.6,122,142.1)</f>
        <v>906.5</v>
      </c>
      <c r="D10" s="6">
        <f>SUM(160,180,136.4,150,184,169.4,158.4)</f>
        <v>1138.2</v>
      </c>
      <c r="E10" s="6">
        <v>0</v>
      </c>
      <c r="F10" s="6">
        <f>SUM(205.3,188.3,126,93,82,70)</f>
        <v>764.6</v>
      </c>
      <c r="G10" s="6">
        <f>SUM(156,84,125.5,87,124.6,112.6,102.7)</f>
        <v>792.40000000000009</v>
      </c>
      <c r="H10" s="6">
        <v>0</v>
      </c>
      <c r="I10" s="6">
        <f t="shared" si="0"/>
        <v>3601.7000000000003</v>
      </c>
      <c r="K10" s="2" t="s">
        <v>16</v>
      </c>
      <c r="L10" s="21">
        <v>2</v>
      </c>
      <c r="M10" s="3">
        <v>8</v>
      </c>
      <c r="N10" s="6">
        <v>8</v>
      </c>
      <c r="O10" s="6">
        <v>0</v>
      </c>
      <c r="P10" s="6">
        <v>6</v>
      </c>
      <c r="Q10" s="6">
        <v>7</v>
      </c>
      <c r="R10" s="6">
        <v>0</v>
      </c>
      <c r="S10" s="6">
        <f t="shared" si="1"/>
        <v>29</v>
      </c>
      <c r="U10" s="2" t="s">
        <v>16</v>
      </c>
      <c r="V10" s="21">
        <v>38</v>
      </c>
      <c r="W10" s="21">
        <v>4998.8000000000011</v>
      </c>
      <c r="X10" s="8">
        <f t="shared" si="2"/>
        <v>131.54736842105265</v>
      </c>
      <c r="Z10" s="3" t="s">
        <v>12</v>
      </c>
      <c r="AA10" s="3">
        <v>4</v>
      </c>
      <c r="AB10" s="8">
        <v>22.33666666666667</v>
      </c>
      <c r="AC10" s="3">
        <v>931</v>
      </c>
      <c r="AD10" s="3">
        <v>260</v>
      </c>
    </row>
    <row r="11" spans="1:30" x14ac:dyDescent="0.3">
      <c r="A11" s="2" t="s">
        <v>16</v>
      </c>
      <c r="B11" s="21">
        <v>3</v>
      </c>
      <c r="C11" s="3">
        <f>SUM(127.7,119.5,135.4,131.4,139.7,125.1,140.6)</f>
        <v>919.40000000000009</v>
      </c>
      <c r="D11" s="6">
        <f>SUM(132.9,119.8,88.9,138.5,63.8,89,120,99.5,125)</f>
        <v>977.4</v>
      </c>
      <c r="E11" s="6">
        <f>SUM(177.9,183,176.9,212.7,139.3)</f>
        <v>889.8</v>
      </c>
      <c r="F11" s="6">
        <f>SUM(197,180.6,192.4,135,117.8,137.2)</f>
        <v>960</v>
      </c>
      <c r="G11" s="6">
        <f>SUM(156.2,103.4,136.2,11.6,68.5,118.9,89.6)</f>
        <v>684.40000000000009</v>
      </c>
      <c r="H11" s="6">
        <v>0</v>
      </c>
      <c r="I11" s="6">
        <f t="shared" si="0"/>
        <v>4431</v>
      </c>
      <c r="K11" s="2" t="s">
        <v>16</v>
      </c>
      <c r="L11" s="21">
        <v>3</v>
      </c>
      <c r="M11" s="3">
        <v>7</v>
      </c>
      <c r="N11" s="6">
        <v>9</v>
      </c>
      <c r="O11" s="6">
        <v>5</v>
      </c>
      <c r="P11" s="6">
        <v>6</v>
      </c>
      <c r="Q11" s="6">
        <v>7</v>
      </c>
      <c r="R11" s="6">
        <v>0</v>
      </c>
      <c r="S11" s="6">
        <f t="shared" si="1"/>
        <v>34</v>
      </c>
      <c r="U11" s="2" t="s">
        <v>16</v>
      </c>
      <c r="V11" s="21">
        <v>34</v>
      </c>
      <c r="W11" s="21">
        <v>4431</v>
      </c>
      <c r="X11" s="8">
        <f t="shared" si="2"/>
        <v>130.3235294117647</v>
      </c>
      <c r="Z11" s="3" t="s">
        <v>12</v>
      </c>
      <c r="AA11" s="3">
        <v>5</v>
      </c>
      <c r="AB11" s="8">
        <v>22.03</v>
      </c>
      <c r="AC11" s="3">
        <v>895</v>
      </c>
      <c r="AD11" s="3">
        <v>398</v>
      </c>
    </row>
    <row r="12" spans="1:30" x14ac:dyDescent="0.3">
      <c r="A12" s="2" t="s">
        <v>16</v>
      </c>
      <c r="B12" s="21">
        <v>1</v>
      </c>
      <c r="C12" s="3">
        <f>SUM(135.5,119.3,114,126.1,120.4,101.6,110.4)</f>
        <v>827.3</v>
      </c>
      <c r="D12" s="6">
        <f>SUM(105.3,84.1,52.7,120.9,27.4,125,90.5,140.8,157)</f>
        <v>903.7</v>
      </c>
      <c r="E12" s="6">
        <f>SUM(178,196.3,196.4,225.8,144.3,109.5)</f>
        <v>1050.3</v>
      </c>
      <c r="F12" s="6">
        <f>SUM(201.7,170.2)</f>
        <v>371.9</v>
      </c>
      <c r="G12" s="6">
        <f>SUM(150.6,148.4,162.6,120.2,150.3)</f>
        <v>732.10000000000014</v>
      </c>
      <c r="H12" s="6">
        <v>0</v>
      </c>
      <c r="I12" s="6">
        <f t="shared" si="0"/>
        <v>3885.3</v>
      </c>
      <c r="K12" s="2" t="s">
        <v>16</v>
      </c>
      <c r="L12" s="21">
        <v>1</v>
      </c>
      <c r="M12" s="3">
        <v>7</v>
      </c>
      <c r="N12" s="6">
        <v>9</v>
      </c>
      <c r="O12" s="6">
        <v>6</v>
      </c>
      <c r="P12" s="6">
        <v>2</v>
      </c>
      <c r="Q12" s="6">
        <v>5</v>
      </c>
      <c r="R12" s="6">
        <v>0</v>
      </c>
      <c r="S12" s="6">
        <f t="shared" si="1"/>
        <v>29</v>
      </c>
      <c r="U12" s="2" t="s">
        <v>16</v>
      </c>
      <c r="V12" s="21">
        <v>29</v>
      </c>
      <c r="W12" s="21">
        <v>3885.3</v>
      </c>
      <c r="X12" s="8">
        <f t="shared" si="2"/>
        <v>133.97586206896551</v>
      </c>
      <c r="Z12" s="3" t="s">
        <v>15</v>
      </c>
      <c r="AA12" s="3">
        <v>1</v>
      </c>
      <c r="AB12" s="8">
        <v>14.976666666666667</v>
      </c>
      <c r="AC12" s="3">
        <v>805</v>
      </c>
      <c r="AD12" s="3">
        <v>237</v>
      </c>
    </row>
    <row r="13" spans="1:30" x14ac:dyDescent="0.3">
      <c r="A13" s="2" t="s">
        <v>16</v>
      </c>
      <c r="B13" s="21">
        <v>2</v>
      </c>
      <c r="C13" s="3">
        <f>SUM(152.6,109.3,140,100.2,140,142.3,112.8)</f>
        <v>897.19999999999982</v>
      </c>
      <c r="D13" s="6">
        <f>SUM(143.5,92.1,140,94.6,88.5,125,74.1,109,19)</f>
        <v>885.80000000000007</v>
      </c>
      <c r="E13" s="6">
        <f>SUM(200.3,183.1,133,89,54,53)</f>
        <v>712.4</v>
      </c>
      <c r="F13" s="6">
        <v>0</v>
      </c>
      <c r="G13" s="6">
        <f>SUM(157.1,154.4,160.1,110.9,137,82.4,72.9)</f>
        <v>874.8</v>
      </c>
      <c r="H13" s="6">
        <f>SUM(218.7,105.5,114.5,116.7)</f>
        <v>555.4</v>
      </c>
      <c r="I13" s="6">
        <f t="shared" si="0"/>
        <v>3925.6</v>
      </c>
      <c r="K13" s="2" t="s">
        <v>16</v>
      </c>
      <c r="L13" s="21">
        <v>2</v>
      </c>
      <c r="M13" s="3">
        <v>7</v>
      </c>
      <c r="N13" s="6">
        <v>9</v>
      </c>
      <c r="O13" s="6">
        <v>6</v>
      </c>
      <c r="P13" s="6">
        <v>0</v>
      </c>
      <c r="Q13" s="6">
        <v>7</v>
      </c>
      <c r="R13" s="6">
        <v>4</v>
      </c>
      <c r="S13" s="6">
        <f t="shared" si="1"/>
        <v>33</v>
      </c>
      <c r="U13" s="2" t="s">
        <v>16</v>
      </c>
      <c r="V13" s="21">
        <v>33</v>
      </c>
      <c r="W13" s="21">
        <v>3925.6</v>
      </c>
      <c r="X13" s="8">
        <f t="shared" si="2"/>
        <v>118.95757575757575</v>
      </c>
      <c r="Z13" s="3" t="s">
        <v>15</v>
      </c>
      <c r="AA13" s="3">
        <v>2</v>
      </c>
      <c r="AB13" s="8">
        <v>17.533333333333331</v>
      </c>
      <c r="AC13" s="3">
        <v>694</v>
      </c>
      <c r="AD13" s="3">
        <v>237</v>
      </c>
    </row>
    <row r="14" spans="1:30" x14ac:dyDescent="0.3">
      <c r="A14" s="2" t="s">
        <v>16</v>
      </c>
      <c r="B14" s="21">
        <v>3</v>
      </c>
      <c r="C14" s="3">
        <f>SUM(120.8,117.4,111,128.3,65.9,95.4,122.2,106)</f>
        <v>867</v>
      </c>
      <c r="D14" s="6">
        <f>SUM(119.4,137.8,114.9,87.7,126,127,114,109)</f>
        <v>935.8</v>
      </c>
      <c r="E14" s="6">
        <v>0</v>
      </c>
      <c r="F14" s="6">
        <v>0</v>
      </c>
      <c r="G14" s="6">
        <f>SUM(121.6,122.4,136.3,109.1,122.2,117.8,74.8)</f>
        <v>804.19999999999993</v>
      </c>
      <c r="H14" s="6">
        <f>SUM(113.8,78.5,138.5,124.3)</f>
        <v>455.1</v>
      </c>
      <c r="I14" s="6">
        <f t="shared" si="0"/>
        <v>3062.1</v>
      </c>
      <c r="K14" s="2" t="s">
        <v>16</v>
      </c>
      <c r="L14" s="21">
        <v>3</v>
      </c>
      <c r="M14" s="3">
        <v>8</v>
      </c>
      <c r="N14" s="6">
        <v>8</v>
      </c>
      <c r="O14" s="6">
        <v>0</v>
      </c>
      <c r="P14" s="6">
        <v>0</v>
      </c>
      <c r="Q14" s="6">
        <v>7</v>
      </c>
      <c r="R14" s="6">
        <v>4</v>
      </c>
      <c r="S14" s="6">
        <f t="shared" si="1"/>
        <v>27</v>
      </c>
      <c r="U14" s="2" t="s">
        <v>16</v>
      </c>
      <c r="V14" s="21">
        <v>27</v>
      </c>
      <c r="W14" s="21">
        <v>3062.1</v>
      </c>
      <c r="X14" s="8">
        <f t="shared" si="2"/>
        <v>113.41111111111111</v>
      </c>
      <c r="Z14" s="3" t="s">
        <v>15</v>
      </c>
      <c r="AA14" s="3">
        <v>3</v>
      </c>
      <c r="AB14" s="8">
        <v>17.680000000000003</v>
      </c>
      <c r="AC14" s="3">
        <v>810</v>
      </c>
      <c r="AD14" s="3">
        <v>247</v>
      </c>
    </row>
    <row r="15" spans="1:30" x14ac:dyDescent="0.3">
      <c r="A15" s="2" t="s">
        <v>16</v>
      </c>
      <c r="B15" s="21">
        <v>1</v>
      </c>
      <c r="C15" s="3">
        <f>SUM(136.4,145.9,164.6,151.9,142.2,26.2,48.6)</f>
        <v>815.80000000000007</v>
      </c>
      <c r="D15" s="6">
        <f>SUM(160,113,132,155.4)</f>
        <v>560.4</v>
      </c>
      <c r="E15" s="6">
        <f>SUM(75,166,96,153,139,178,205,83)</f>
        <v>1095</v>
      </c>
      <c r="F15" s="6">
        <f>SUM(172,120,154,108,110,113)</f>
        <v>777</v>
      </c>
      <c r="G15" s="6">
        <v>0</v>
      </c>
      <c r="H15" s="6">
        <f>SUM(222.5,218.3,134.1,194.7)</f>
        <v>769.59999999999991</v>
      </c>
      <c r="I15" s="6">
        <f t="shared" si="0"/>
        <v>4017.7999999999997</v>
      </c>
      <c r="K15" s="2" t="s">
        <v>16</v>
      </c>
      <c r="L15" s="21">
        <v>1</v>
      </c>
      <c r="M15" s="3">
        <v>7</v>
      </c>
      <c r="N15" s="6">
        <v>4</v>
      </c>
      <c r="O15" s="6">
        <v>8</v>
      </c>
      <c r="P15" s="6">
        <v>6</v>
      </c>
      <c r="Q15" s="6">
        <v>0</v>
      </c>
      <c r="R15" s="6">
        <v>4</v>
      </c>
      <c r="S15" s="6">
        <f t="shared" si="1"/>
        <v>29</v>
      </c>
      <c r="U15" s="2" t="s">
        <v>16</v>
      </c>
      <c r="V15" s="21">
        <v>29</v>
      </c>
      <c r="W15" s="21">
        <v>4017.7999999999997</v>
      </c>
      <c r="X15" s="8">
        <f t="shared" si="2"/>
        <v>138.54482758620688</v>
      </c>
      <c r="Z15" s="3" t="s">
        <v>15</v>
      </c>
      <c r="AA15" s="3">
        <v>4</v>
      </c>
      <c r="AB15" s="8">
        <v>16.816666666666666</v>
      </c>
      <c r="AC15" s="3">
        <v>823</v>
      </c>
      <c r="AD15" s="3">
        <v>457</v>
      </c>
    </row>
    <row r="16" spans="1:30" x14ac:dyDescent="0.3">
      <c r="A16" s="2" t="s">
        <v>16</v>
      </c>
      <c r="B16" s="21">
        <v>2</v>
      </c>
      <c r="C16" s="3">
        <f>SUM(117.2,131.1,119,125.8,156.3,152,152.4)</f>
        <v>953.80000000000007</v>
      </c>
      <c r="D16" s="6">
        <f>SUM(171,120.5,116.3,43,72.8,44.7,49.6,91.2,155.5)</f>
        <v>864.60000000000014</v>
      </c>
      <c r="E16" s="6">
        <f>SUM(168,180,147.3,168.7,153.8,83,73.5,181)</f>
        <v>1155.3</v>
      </c>
      <c r="F16" s="6">
        <f>SUM(172,120,154,120,92,113)</f>
        <v>771</v>
      </c>
      <c r="G16" s="6">
        <f>SUM(106,175,180.7,132.7,86.3)</f>
        <v>680.69999999999993</v>
      </c>
      <c r="H16" s="6">
        <v>0</v>
      </c>
      <c r="I16" s="6">
        <f t="shared" si="0"/>
        <v>4425.3999999999996</v>
      </c>
      <c r="K16" s="2" t="s">
        <v>16</v>
      </c>
      <c r="L16" s="21">
        <v>2</v>
      </c>
      <c r="M16" s="3">
        <v>7</v>
      </c>
      <c r="N16" s="6">
        <v>9</v>
      </c>
      <c r="O16" s="6">
        <v>8</v>
      </c>
      <c r="P16" s="6">
        <v>6</v>
      </c>
      <c r="Q16" s="6">
        <v>5</v>
      </c>
      <c r="R16" s="6">
        <v>0</v>
      </c>
      <c r="S16" s="6">
        <f t="shared" si="1"/>
        <v>35</v>
      </c>
      <c r="U16" s="2" t="s">
        <v>16</v>
      </c>
      <c r="V16" s="21">
        <v>35</v>
      </c>
      <c r="W16" s="21">
        <v>4425.3999999999996</v>
      </c>
      <c r="X16" s="8">
        <f t="shared" si="2"/>
        <v>126.43999999999998</v>
      </c>
      <c r="Z16" s="3" t="s">
        <v>15</v>
      </c>
      <c r="AA16" s="3">
        <v>5</v>
      </c>
      <c r="AB16" s="8">
        <v>16.526666666666667</v>
      </c>
      <c r="AC16" s="3">
        <v>1038</v>
      </c>
      <c r="AD16" s="3">
        <v>282</v>
      </c>
    </row>
    <row r="17" spans="1:30" x14ac:dyDescent="0.3">
      <c r="A17" s="2" t="s">
        <v>16</v>
      </c>
      <c r="B17" s="21">
        <v>3</v>
      </c>
      <c r="C17" s="3">
        <f>SUM(104.1,105.1,136.9,69,148.6,104.3,127.1,100.6,47.2)</f>
        <v>942.90000000000009</v>
      </c>
      <c r="D17" s="6">
        <f>SUM(81.8,240,158.1,142,126.1,115,141)</f>
        <v>1004</v>
      </c>
      <c r="E17" s="6">
        <f>SUM(156,187,94,149,110,152,170,89)</f>
        <v>1107</v>
      </c>
      <c r="F17" s="6">
        <f>SUM(98,74,56,89,64,80)</f>
        <v>461</v>
      </c>
      <c r="G17" s="6">
        <f>SUM(184,185.5,189.6,75.16,149.9,176,129.7)</f>
        <v>1089.8599999999999</v>
      </c>
      <c r="H17" s="6">
        <f>SUM(112.6,155.9,119.2,135)</f>
        <v>522.70000000000005</v>
      </c>
      <c r="I17" s="6">
        <f t="shared" si="0"/>
        <v>5127.46</v>
      </c>
      <c r="K17" s="2" t="s">
        <v>16</v>
      </c>
      <c r="L17" s="21">
        <v>3</v>
      </c>
      <c r="M17" s="3">
        <v>10</v>
      </c>
      <c r="N17" s="6">
        <v>7</v>
      </c>
      <c r="O17" s="6">
        <v>8</v>
      </c>
      <c r="P17" s="6">
        <v>6</v>
      </c>
      <c r="Q17" s="6">
        <v>7</v>
      </c>
      <c r="R17" s="6">
        <v>4</v>
      </c>
      <c r="S17" s="6">
        <f t="shared" si="1"/>
        <v>42</v>
      </c>
      <c r="U17" s="2" t="s">
        <v>16</v>
      </c>
      <c r="V17" s="21">
        <v>42</v>
      </c>
      <c r="W17" s="21">
        <v>5127.46</v>
      </c>
      <c r="X17" s="8">
        <f t="shared" si="2"/>
        <v>122.08238095238096</v>
      </c>
      <c r="Z17" s="3" t="s">
        <v>13</v>
      </c>
      <c r="AA17" s="3">
        <v>1</v>
      </c>
      <c r="AB17" s="8">
        <v>17.596666666666668</v>
      </c>
      <c r="AC17" s="3">
        <v>775</v>
      </c>
      <c r="AD17" s="3">
        <v>251</v>
      </c>
    </row>
    <row r="18" spans="1:30" x14ac:dyDescent="0.3">
      <c r="A18" s="3" t="s">
        <v>12</v>
      </c>
      <c r="B18" s="21">
        <v>1</v>
      </c>
      <c r="C18" s="3">
        <f>SUM(221.2,104.2,117.6,185.2)</f>
        <v>628.20000000000005</v>
      </c>
      <c r="D18" s="6">
        <f>SUM(118.1,152.5,125.3,134,99.9,74.4,115.3,136.1,68.9,136.7,107.9,137.8,133.6,126.8,150.9,78.9,95.3)</f>
        <v>1992.4</v>
      </c>
      <c r="E18" s="6">
        <f>SUM(141.1,173.1,113.6,128.6,144.1,88.8,175.9)</f>
        <v>965.19999999999993</v>
      </c>
      <c r="F18" s="6">
        <f>SUM(86.8,127,98,97,106,68,63)</f>
        <v>645.79999999999995</v>
      </c>
      <c r="G18" s="6">
        <f>SUM(198.5,176.3,99.3,159.2,123.5)</f>
        <v>756.8</v>
      </c>
      <c r="H18" s="6">
        <f>SUM(173.5,103.7,159.4,147.9,118.6,92.5,116.1)</f>
        <v>911.7</v>
      </c>
      <c r="I18" s="6">
        <f t="shared" si="0"/>
        <v>5900.1</v>
      </c>
      <c r="K18" s="3" t="s">
        <v>12</v>
      </c>
      <c r="L18" s="21">
        <v>1</v>
      </c>
      <c r="M18" s="3">
        <v>4</v>
      </c>
      <c r="N18" s="6">
        <v>17</v>
      </c>
      <c r="O18" s="6">
        <v>7</v>
      </c>
      <c r="P18" s="6">
        <v>7</v>
      </c>
      <c r="Q18" s="6">
        <v>5</v>
      </c>
      <c r="R18" s="6">
        <v>7</v>
      </c>
      <c r="S18" s="6">
        <f t="shared" si="1"/>
        <v>47</v>
      </c>
      <c r="U18" s="3" t="s">
        <v>12</v>
      </c>
      <c r="V18" s="21">
        <v>47</v>
      </c>
      <c r="W18" s="21">
        <v>5900.1</v>
      </c>
      <c r="X18" s="8">
        <f t="shared" si="2"/>
        <v>125.5340425531915</v>
      </c>
      <c r="Z18" s="3" t="s">
        <v>13</v>
      </c>
      <c r="AA18" s="3">
        <v>2</v>
      </c>
      <c r="AB18" s="8">
        <v>19.599999999999998</v>
      </c>
      <c r="AC18" s="3">
        <v>922</v>
      </c>
      <c r="AD18" s="3">
        <v>221</v>
      </c>
    </row>
    <row r="19" spans="1:30" x14ac:dyDescent="0.3">
      <c r="A19" s="3" t="s">
        <v>12</v>
      </c>
      <c r="B19" s="21">
        <v>2</v>
      </c>
      <c r="C19" s="3">
        <f>SUM(133.2,173.3,154.3,82,148.4,176.6,155.5)</f>
        <v>1023.3</v>
      </c>
      <c r="D19" s="6">
        <f>SUM(156.5,139.5,159,157.4,149.7,88.5,107.3,158.3)</f>
        <v>1116.1999999999998</v>
      </c>
      <c r="E19" s="6">
        <f>SUM(197.8,156.6,173.7,195.1,183.1)</f>
        <v>906.3</v>
      </c>
      <c r="F19" s="6">
        <f>SUM(140,116,138,108,142,98)</f>
        <v>742</v>
      </c>
      <c r="G19" s="6">
        <f>SUM(100.8,178.6)</f>
        <v>279.39999999999998</v>
      </c>
      <c r="H19" s="6">
        <f>SUM(96,74.44,110.4,109.6,111.7,108.8,133.8)</f>
        <v>744.74</v>
      </c>
      <c r="I19" s="6">
        <f t="shared" si="0"/>
        <v>4811.9400000000005</v>
      </c>
      <c r="K19" s="3" t="s">
        <v>12</v>
      </c>
      <c r="L19" s="21">
        <v>2</v>
      </c>
      <c r="M19" s="3">
        <v>7</v>
      </c>
      <c r="N19" s="6">
        <v>8</v>
      </c>
      <c r="O19" s="6">
        <v>5</v>
      </c>
      <c r="P19" s="6">
        <v>6</v>
      </c>
      <c r="Q19" s="6">
        <v>2</v>
      </c>
      <c r="R19" s="6">
        <v>7</v>
      </c>
      <c r="S19" s="6">
        <f t="shared" si="1"/>
        <v>35</v>
      </c>
      <c r="U19" s="3" t="s">
        <v>12</v>
      </c>
      <c r="V19" s="21">
        <v>35</v>
      </c>
      <c r="W19" s="21">
        <v>4811.9400000000005</v>
      </c>
      <c r="X19" s="8">
        <f t="shared" si="2"/>
        <v>137.48400000000001</v>
      </c>
      <c r="Z19" s="3" t="s">
        <v>13</v>
      </c>
      <c r="AA19" s="3">
        <v>3</v>
      </c>
      <c r="AB19" s="8">
        <v>19.310000000000002</v>
      </c>
      <c r="AC19" s="3">
        <v>818</v>
      </c>
      <c r="AD19" s="3">
        <v>325</v>
      </c>
    </row>
    <row r="20" spans="1:30" x14ac:dyDescent="0.3">
      <c r="A20" s="3" t="s">
        <v>12</v>
      </c>
      <c r="B20" s="21">
        <v>3</v>
      </c>
      <c r="C20" s="3">
        <f>SUM(107.1,107.9,138.4,108.1,109.3,117.8,106.2)</f>
        <v>794.8</v>
      </c>
      <c r="D20" s="6">
        <f>SUM(223.7,175,141.6,163.5)</f>
        <v>703.8</v>
      </c>
      <c r="E20" s="6">
        <f>SUM(139.4,153.3,97.5,134,73.3,134,73.3,149.5,83,86.2)</f>
        <v>1123.5</v>
      </c>
      <c r="F20" s="6">
        <f>SUM(167,112,128,112,192,160)</f>
        <v>871</v>
      </c>
      <c r="G20" s="6">
        <f>SUM(241.6,209.8,194.7,190.1)</f>
        <v>836.19999999999993</v>
      </c>
      <c r="H20" s="6">
        <v>0</v>
      </c>
      <c r="I20" s="6">
        <f t="shared" si="0"/>
        <v>4329.3</v>
      </c>
      <c r="K20" s="3" t="s">
        <v>12</v>
      </c>
      <c r="L20" s="21">
        <v>3</v>
      </c>
      <c r="M20" s="3">
        <v>7</v>
      </c>
      <c r="N20" s="6">
        <v>4</v>
      </c>
      <c r="O20" s="6">
        <v>8</v>
      </c>
      <c r="P20" s="6">
        <v>6</v>
      </c>
      <c r="Q20" s="6">
        <v>4</v>
      </c>
      <c r="R20" s="6">
        <v>0</v>
      </c>
      <c r="S20" s="6">
        <f t="shared" si="1"/>
        <v>29</v>
      </c>
      <c r="U20" s="3" t="s">
        <v>12</v>
      </c>
      <c r="V20" s="21">
        <v>29</v>
      </c>
      <c r="W20" s="21">
        <v>4329.3</v>
      </c>
      <c r="X20" s="8">
        <f t="shared" si="2"/>
        <v>149.28620689655173</v>
      </c>
      <c r="Z20" s="3" t="s">
        <v>13</v>
      </c>
      <c r="AA20" s="3">
        <v>4</v>
      </c>
      <c r="AB20" s="8">
        <v>19.570000000000004</v>
      </c>
      <c r="AC20" s="3">
        <v>763</v>
      </c>
      <c r="AD20" s="3">
        <v>304</v>
      </c>
    </row>
    <row r="21" spans="1:30" x14ac:dyDescent="0.3">
      <c r="A21" s="3" t="s">
        <v>12</v>
      </c>
      <c r="B21" s="21">
        <v>1</v>
      </c>
      <c r="C21" s="3">
        <f>SUM(114.2,209.8,50.4,221.8,101.3)</f>
        <v>697.5</v>
      </c>
      <c r="D21" s="6">
        <f>SUM(164,108,133.7,125.8,143.3,111.4,135.6,160,52.8,124.7)</f>
        <v>1259.3</v>
      </c>
      <c r="E21" s="6">
        <f>SUM(188.6,176.2,213.2,155.8,236.7,165.1,75.5)</f>
        <v>1211.0999999999999</v>
      </c>
      <c r="F21" s="6">
        <f>SUM(215,212,70,148,191,170)</f>
        <v>1006</v>
      </c>
      <c r="G21" s="6">
        <f>SUM(163.4,168.3)</f>
        <v>331.70000000000005</v>
      </c>
      <c r="H21" s="6">
        <v>0</v>
      </c>
      <c r="I21" s="6">
        <f t="shared" si="0"/>
        <v>4505.5999999999995</v>
      </c>
      <c r="K21" s="3" t="s">
        <v>12</v>
      </c>
      <c r="L21" s="21">
        <v>1</v>
      </c>
      <c r="M21" s="3">
        <v>5</v>
      </c>
      <c r="N21" s="6">
        <v>11</v>
      </c>
      <c r="O21" s="6">
        <v>7</v>
      </c>
      <c r="P21" s="6">
        <v>6</v>
      </c>
      <c r="Q21" s="6">
        <v>2</v>
      </c>
      <c r="R21" s="6">
        <v>0</v>
      </c>
      <c r="S21" s="6">
        <f t="shared" si="1"/>
        <v>31</v>
      </c>
      <c r="U21" s="3" t="s">
        <v>12</v>
      </c>
      <c r="V21" s="21">
        <v>31</v>
      </c>
      <c r="W21" s="21">
        <v>4505.5999999999995</v>
      </c>
      <c r="X21" s="8">
        <f t="shared" si="2"/>
        <v>145.34193548387094</v>
      </c>
      <c r="Z21" s="3" t="s">
        <v>13</v>
      </c>
      <c r="AA21" s="3">
        <v>5</v>
      </c>
      <c r="AB21" s="8">
        <v>20.766666666666666</v>
      </c>
      <c r="AC21" s="3">
        <v>1038</v>
      </c>
      <c r="AD21" s="3">
        <v>333</v>
      </c>
    </row>
    <row r="22" spans="1:30" x14ac:dyDescent="0.3">
      <c r="A22" s="3" t="s">
        <v>12</v>
      </c>
      <c r="B22" s="21">
        <v>2</v>
      </c>
      <c r="C22" s="3">
        <f>SUM(160.4,164.1,184.6,112.1)</f>
        <v>621.20000000000005</v>
      </c>
      <c r="D22" s="6">
        <f>SUM(91.8,105.3,132.3,118.8,161,150,130,119,138.5,122.5,126)</f>
        <v>1395.2</v>
      </c>
      <c r="E22" s="6">
        <f>SUM(193.6,181.1,228,194.7,121.5,92.4,173.6,156.8,158.6,126.4,92.4)</f>
        <v>1719.1000000000001</v>
      </c>
      <c r="F22" s="6">
        <f>SUM(158,177,119,105,196,192)</f>
        <v>947</v>
      </c>
      <c r="G22" s="6">
        <v>0</v>
      </c>
      <c r="H22" s="6">
        <f>SUM(105.8,54.5,92.1)</f>
        <v>252.4</v>
      </c>
      <c r="I22" s="6">
        <f t="shared" si="0"/>
        <v>4934.8999999999996</v>
      </c>
      <c r="K22" s="3" t="s">
        <v>12</v>
      </c>
      <c r="L22" s="21">
        <v>2</v>
      </c>
      <c r="M22" s="3">
        <v>4</v>
      </c>
      <c r="N22" s="6">
        <v>11</v>
      </c>
      <c r="O22" s="6">
        <v>11</v>
      </c>
      <c r="P22" s="6">
        <v>6</v>
      </c>
      <c r="Q22" s="6">
        <v>0</v>
      </c>
      <c r="R22" s="6">
        <v>3</v>
      </c>
      <c r="S22" s="6">
        <f t="shared" si="1"/>
        <v>35</v>
      </c>
      <c r="U22" s="3" t="s">
        <v>12</v>
      </c>
      <c r="V22" s="21">
        <v>35</v>
      </c>
      <c r="W22" s="21">
        <v>4934.8999999999996</v>
      </c>
      <c r="X22" s="8">
        <f t="shared" si="2"/>
        <v>140.99714285714285</v>
      </c>
      <c r="Z22" s="3" t="s">
        <v>14</v>
      </c>
      <c r="AA22" s="3">
        <v>1</v>
      </c>
      <c r="AB22" s="8">
        <v>12.790000000000001</v>
      </c>
      <c r="AC22" s="3">
        <v>775</v>
      </c>
      <c r="AD22" s="3">
        <v>251</v>
      </c>
    </row>
    <row r="23" spans="1:30" x14ac:dyDescent="0.3">
      <c r="A23" s="3" t="s">
        <v>12</v>
      </c>
      <c r="B23" s="21">
        <v>3</v>
      </c>
      <c r="C23" s="3">
        <f>SUM(239.3,243.7,225,253.6,230.4)</f>
        <v>1192</v>
      </c>
      <c r="D23" s="6">
        <f>SUM(116.9,128.4,144,115.1,146,143.1,114.8,109.6)</f>
        <v>1017.9</v>
      </c>
      <c r="E23" s="6">
        <f>SUM(126,166.4,166.4,120.1,186.1,104.4,132.5,158.2)</f>
        <v>1160.0999999999999</v>
      </c>
      <c r="F23" s="6">
        <f>SUM(178,127,133,116,120,122)</f>
        <v>796</v>
      </c>
      <c r="G23" s="6">
        <f>SUM(106.6,161.6,147.7,114.3,112.4,81.8,143.8,107.9,86.6,96.1)</f>
        <v>1158.7999999999997</v>
      </c>
      <c r="H23" s="6">
        <f>SUM(154.8,103.3,82.3,153.8,120.1)</f>
        <v>614.30000000000007</v>
      </c>
      <c r="I23" s="6">
        <f t="shared" si="0"/>
        <v>5939.0999999999995</v>
      </c>
      <c r="K23" s="3" t="s">
        <v>12</v>
      </c>
      <c r="L23" s="21">
        <v>3</v>
      </c>
      <c r="M23" s="3">
        <v>5</v>
      </c>
      <c r="N23" s="6">
        <v>8</v>
      </c>
      <c r="O23" s="6">
        <v>8</v>
      </c>
      <c r="P23" s="6">
        <v>6</v>
      </c>
      <c r="Q23" s="6">
        <v>10</v>
      </c>
      <c r="R23" s="6">
        <v>5</v>
      </c>
      <c r="S23" s="6">
        <f t="shared" si="1"/>
        <v>42</v>
      </c>
      <c r="U23" s="3" t="s">
        <v>12</v>
      </c>
      <c r="V23" s="21">
        <v>42</v>
      </c>
      <c r="W23" s="21">
        <v>5939.0999999999995</v>
      </c>
      <c r="X23" s="8">
        <f t="shared" si="2"/>
        <v>141.40714285714284</v>
      </c>
      <c r="Z23" s="3" t="s">
        <v>14</v>
      </c>
      <c r="AA23" s="3">
        <v>2</v>
      </c>
      <c r="AB23" s="8">
        <v>18.776666666666667</v>
      </c>
      <c r="AC23" s="3">
        <v>878</v>
      </c>
      <c r="AD23" s="3">
        <v>237</v>
      </c>
    </row>
    <row r="24" spans="1:30" x14ac:dyDescent="0.3">
      <c r="A24" s="3" t="s">
        <v>12</v>
      </c>
      <c r="B24" s="21">
        <v>1</v>
      </c>
      <c r="C24" s="3">
        <f>SUM(196.5,199.4,114.2,99.8,190.5,123.7)</f>
        <v>924.1</v>
      </c>
      <c r="D24" s="6">
        <f>SUM(111,105.4,128,121,87.6,136,114.6,69)</f>
        <v>872.6</v>
      </c>
      <c r="E24" s="6">
        <f>SUM(191.1,193.7,186.6,153.1,189,157.2,147.4,144.1)</f>
        <v>1362.2</v>
      </c>
      <c r="F24" s="6">
        <f>SUM(197,162,108,127,111,111)</f>
        <v>816</v>
      </c>
      <c r="G24" s="6">
        <v>0</v>
      </c>
      <c r="H24" s="6">
        <f>SUM(116.4,149,131.7,108.7,99.2)</f>
        <v>605</v>
      </c>
      <c r="I24" s="6">
        <f t="shared" si="0"/>
        <v>4579.8999999999996</v>
      </c>
      <c r="K24" s="3" t="s">
        <v>12</v>
      </c>
      <c r="L24" s="21">
        <v>1</v>
      </c>
      <c r="M24" s="3">
        <v>7</v>
      </c>
      <c r="N24" s="6">
        <v>8</v>
      </c>
      <c r="O24" s="6">
        <v>8</v>
      </c>
      <c r="P24" s="6">
        <v>6</v>
      </c>
      <c r="Q24" s="6">
        <v>0</v>
      </c>
      <c r="R24" s="6">
        <v>5</v>
      </c>
      <c r="S24" s="6">
        <f t="shared" si="1"/>
        <v>34</v>
      </c>
      <c r="U24" s="3" t="s">
        <v>12</v>
      </c>
      <c r="V24" s="21">
        <v>34</v>
      </c>
      <c r="W24" s="21">
        <v>4579.8999999999996</v>
      </c>
      <c r="X24" s="8">
        <f t="shared" si="2"/>
        <v>134.70294117647057</v>
      </c>
      <c r="Z24" s="3" t="s">
        <v>14</v>
      </c>
      <c r="AA24" s="3">
        <v>3</v>
      </c>
      <c r="AB24" s="8">
        <v>16.91333333333333</v>
      </c>
      <c r="AC24" s="3">
        <v>810</v>
      </c>
      <c r="AD24" s="3">
        <v>243</v>
      </c>
    </row>
    <row r="25" spans="1:30" x14ac:dyDescent="0.3">
      <c r="A25" s="3" t="s">
        <v>12</v>
      </c>
      <c r="B25" s="21">
        <v>2</v>
      </c>
      <c r="C25" s="3">
        <f>SUM(211.4,126.8,120.3,220.7,137.6,116.6,204.8)</f>
        <v>1138.2</v>
      </c>
      <c r="D25" s="6">
        <f>SUM(119.6,137,159.4,90.5,87.7,107.9,144.4)</f>
        <v>846.5</v>
      </c>
      <c r="E25" s="6">
        <f>SUM(194.4,175.9,177.8,136.2,161.1,113.8,92.7,66.8,107.7,102.2)</f>
        <v>1328.6</v>
      </c>
      <c r="F25" s="6">
        <f>SUM(195,98,139,122,137,201)</f>
        <v>892</v>
      </c>
      <c r="G25" s="6">
        <f>SUM(211.9,200.1)</f>
        <v>412</v>
      </c>
      <c r="H25" s="6">
        <f>SUM(137.1,97,60.2,130.8,94.1,91.7,85.7,90)</f>
        <v>786.60000000000014</v>
      </c>
      <c r="I25" s="6">
        <f t="shared" si="0"/>
        <v>5403.9000000000005</v>
      </c>
      <c r="K25" s="3" t="s">
        <v>12</v>
      </c>
      <c r="L25" s="21">
        <v>2</v>
      </c>
      <c r="M25" s="3">
        <v>7</v>
      </c>
      <c r="N25" s="6">
        <v>7</v>
      </c>
      <c r="O25" s="6">
        <v>10</v>
      </c>
      <c r="P25" s="6">
        <v>6</v>
      </c>
      <c r="Q25" s="6">
        <v>2</v>
      </c>
      <c r="R25" s="6">
        <v>8</v>
      </c>
      <c r="S25" s="6">
        <f t="shared" si="1"/>
        <v>40</v>
      </c>
      <c r="U25" s="3" t="s">
        <v>12</v>
      </c>
      <c r="V25" s="21">
        <v>40</v>
      </c>
      <c r="W25" s="21">
        <v>5403.9000000000005</v>
      </c>
      <c r="X25" s="8">
        <f t="shared" si="2"/>
        <v>135.09750000000003</v>
      </c>
      <c r="Z25" s="3" t="s">
        <v>14</v>
      </c>
      <c r="AA25" s="3">
        <v>4</v>
      </c>
      <c r="AB25" s="8">
        <v>20.043333333333333</v>
      </c>
      <c r="AC25" s="3">
        <v>834</v>
      </c>
      <c r="AD25" s="3">
        <v>334</v>
      </c>
    </row>
    <row r="26" spans="1:30" x14ac:dyDescent="0.3">
      <c r="A26" s="3" t="s">
        <v>12</v>
      </c>
      <c r="B26" s="21">
        <v>3</v>
      </c>
      <c r="C26" s="3">
        <f>SUM(185.7,125.1,115.6,123.1,207.6,174.9,107.3)</f>
        <v>1039.3</v>
      </c>
      <c r="D26" s="6">
        <f>SUM(203,234,235.3,248.6,112,107.2)</f>
        <v>1140.1000000000001</v>
      </c>
      <c r="E26" s="6">
        <f>SUM(142,188.7,143.3,106.4,153.8,153.3,163.5,114.9)</f>
        <v>1165.9000000000001</v>
      </c>
      <c r="F26" s="6">
        <f>SUM(185,172,192,127,159,135)</f>
        <v>970</v>
      </c>
      <c r="G26" s="6">
        <f>SUM(11.3,119,185,131.4,135.1,139.9,93.7,1114,108)</f>
        <v>2037.4</v>
      </c>
      <c r="H26" s="6">
        <v>0</v>
      </c>
      <c r="I26" s="6">
        <f t="shared" si="0"/>
        <v>6352.7000000000007</v>
      </c>
      <c r="K26" s="3" t="s">
        <v>12</v>
      </c>
      <c r="L26" s="21">
        <v>3</v>
      </c>
      <c r="M26" s="3">
        <v>7</v>
      </c>
      <c r="N26" s="6">
        <v>6</v>
      </c>
      <c r="O26" s="6">
        <v>8</v>
      </c>
      <c r="P26" s="6">
        <v>6</v>
      </c>
      <c r="Q26" s="6">
        <v>9</v>
      </c>
      <c r="R26" s="6">
        <v>0</v>
      </c>
      <c r="S26" s="6">
        <f t="shared" si="1"/>
        <v>36</v>
      </c>
      <c r="U26" s="3" t="s">
        <v>12</v>
      </c>
      <c r="V26" s="21">
        <v>36</v>
      </c>
      <c r="W26" s="21">
        <v>6352.7000000000007</v>
      </c>
      <c r="X26" s="8">
        <f t="shared" si="2"/>
        <v>176.4638888888889</v>
      </c>
      <c r="Z26" s="3" t="s">
        <v>14</v>
      </c>
      <c r="AA26" s="3">
        <v>5</v>
      </c>
      <c r="AB26" s="8">
        <v>18.633333333333329</v>
      </c>
      <c r="AC26" s="3">
        <v>1438</v>
      </c>
      <c r="AD26" s="3">
        <v>424</v>
      </c>
    </row>
    <row r="27" spans="1:30" x14ac:dyDescent="0.3">
      <c r="A27" s="3" t="s">
        <v>12</v>
      </c>
      <c r="B27" s="21">
        <v>1</v>
      </c>
      <c r="C27" s="3">
        <f>SUM(215.1,110,202.7,112.5,222.4,109.1,220.4)</f>
        <v>1192.2</v>
      </c>
      <c r="D27" s="6">
        <f>SUM(140,148,120,137,140,44,98,46,139)</f>
        <v>1012</v>
      </c>
      <c r="E27" s="6">
        <f>SUM(212.5,214,200.3,202,182,69)</f>
        <v>1079.8</v>
      </c>
      <c r="F27" s="6">
        <f>SUM(138,150,176,200,119,159,87)</f>
        <v>1029</v>
      </c>
      <c r="G27" s="6">
        <f>SUM(114.2,196.2,182.5,201.6,126.9)</f>
        <v>821.4</v>
      </c>
      <c r="H27" s="6">
        <v>0</v>
      </c>
      <c r="I27" s="6">
        <f t="shared" si="0"/>
        <v>5134.3999999999996</v>
      </c>
      <c r="K27" s="3" t="s">
        <v>12</v>
      </c>
      <c r="L27" s="21">
        <v>1</v>
      </c>
      <c r="M27" s="3">
        <v>7</v>
      </c>
      <c r="N27" s="6">
        <v>9</v>
      </c>
      <c r="O27" s="6">
        <v>6</v>
      </c>
      <c r="P27" s="6">
        <v>7</v>
      </c>
      <c r="Q27" s="6">
        <v>6</v>
      </c>
      <c r="R27" s="6">
        <v>0</v>
      </c>
      <c r="S27" s="6">
        <f t="shared" si="1"/>
        <v>35</v>
      </c>
      <c r="U27" s="3" t="s">
        <v>12</v>
      </c>
      <c r="V27" s="21">
        <v>35</v>
      </c>
      <c r="W27" s="21">
        <v>5134.3999999999996</v>
      </c>
      <c r="X27" s="8">
        <f t="shared" si="2"/>
        <v>146.69714285714284</v>
      </c>
    </row>
    <row r="28" spans="1:30" x14ac:dyDescent="0.3">
      <c r="A28" s="3" t="s">
        <v>12</v>
      </c>
      <c r="B28" s="21">
        <v>2</v>
      </c>
      <c r="C28" s="3">
        <f>SUM(200.7,206.1,210.9,111.1,211.3,106.8)</f>
        <v>1046.8999999999999</v>
      </c>
      <c r="D28" s="6">
        <f>SUM(163.3,128.5,135,135,118,120,112,130)</f>
        <v>1041.8</v>
      </c>
      <c r="E28" s="6">
        <f>SUM(209.5,213.2,172.5,163.4,124,166.9,131.7)</f>
        <v>1181.2</v>
      </c>
      <c r="F28" s="6">
        <f>SUM(163,80,187,176,155,130)</f>
        <v>891</v>
      </c>
      <c r="G28" s="6">
        <f>SUM(94.4,139.1,93.9,127.3,163.8,127.4,96.2,76.2,78,79.5)</f>
        <v>1075.8000000000002</v>
      </c>
      <c r="H28" s="6">
        <f>SUM(160.4,170.8,104.5,69.9,119.6,165.3,124.7,79.3)</f>
        <v>994.5</v>
      </c>
      <c r="I28" s="6">
        <f t="shared" si="0"/>
        <v>6231.2</v>
      </c>
      <c r="K28" s="3" t="s">
        <v>12</v>
      </c>
      <c r="L28" s="21">
        <v>2</v>
      </c>
      <c r="M28" s="3">
        <v>7</v>
      </c>
      <c r="N28" s="6">
        <v>8</v>
      </c>
      <c r="O28" s="6">
        <v>7</v>
      </c>
      <c r="P28" s="6">
        <v>6</v>
      </c>
      <c r="Q28" s="6">
        <v>10</v>
      </c>
      <c r="R28" s="6">
        <v>8</v>
      </c>
      <c r="S28" s="6">
        <f t="shared" si="1"/>
        <v>46</v>
      </c>
      <c r="U28" s="3" t="s">
        <v>12</v>
      </c>
      <c r="V28" s="21">
        <v>46</v>
      </c>
      <c r="W28" s="21">
        <v>6231.2</v>
      </c>
      <c r="X28" s="8">
        <f t="shared" si="2"/>
        <v>135.46086956521739</v>
      </c>
    </row>
    <row r="29" spans="1:30" x14ac:dyDescent="0.3">
      <c r="A29" s="3" t="s">
        <v>12</v>
      </c>
      <c r="B29" s="21">
        <v>3</v>
      </c>
      <c r="C29" s="3">
        <f>SUM(183,131.4,193.6,145.9,107.5,133.3,183.4)</f>
        <v>1078.1000000000001</v>
      </c>
      <c r="D29" s="6">
        <f>SUM(95,131.1,125,140,125,101,126,81,86.6)</f>
        <v>1010.7</v>
      </c>
      <c r="E29" s="6">
        <f>SUM(165.9,166.2,97.1,182.1,69.71352,187.1,130.6,79.7)</f>
        <v>1078.4135200000001</v>
      </c>
      <c r="F29" s="6">
        <f>SUM(177,235,50,247,253,242)</f>
        <v>1204</v>
      </c>
      <c r="G29" s="6">
        <f>SUM(146,138.9,169.2,107.6,189.2)</f>
        <v>750.89999999999986</v>
      </c>
      <c r="H29" s="6">
        <f>SUM(131,134.7,114.8,117.3)</f>
        <v>497.8</v>
      </c>
      <c r="I29" s="6">
        <f t="shared" si="0"/>
        <v>5619.9135200000001</v>
      </c>
      <c r="K29" s="3" t="s">
        <v>12</v>
      </c>
      <c r="L29" s="21">
        <v>3</v>
      </c>
      <c r="M29" s="3">
        <v>8</v>
      </c>
      <c r="N29" s="6">
        <v>9</v>
      </c>
      <c r="O29" s="6">
        <v>9</v>
      </c>
      <c r="P29" s="6">
        <v>6</v>
      </c>
      <c r="Q29" s="6">
        <v>5</v>
      </c>
      <c r="R29" s="6">
        <v>4</v>
      </c>
      <c r="S29" s="6">
        <f t="shared" si="1"/>
        <v>41</v>
      </c>
      <c r="U29" s="3" t="s">
        <v>12</v>
      </c>
      <c r="V29" s="21">
        <v>41</v>
      </c>
      <c r="W29" s="21">
        <v>5619.9135200000001</v>
      </c>
      <c r="X29" s="8">
        <f t="shared" si="2"/>
        <v>137.07106146341462</v>
      </c>
    </row>
    <row r="30" spans="1:30" x14ac:dyDescent="0.3">
      <c r="A30" s="3" t="s">
        <v>12</v>
      </c>
      <c r="B30" s="21">
        <v>1</v>
      </c>
      <c r="C30" s="3">
        <f>SUM(221.5,136.2,215.5,137.3,123.5,178,29.1,140.7)</f>
        <v>1181.8</v>
      </c>
      <c r="D30" s="6">
        <f>SUM(150,130,160,130,150,187,186,94.1)</f>
        <v>1187.0999999999999</v>
      </c>
      <c r="E30" s="6">
        <f>SUM(208.4,100.2,174.5,125.4,153.4,199.2)</f>
        <v>961.09999999999991</v>
      </c>
      <c r="F30" s="6">
        <f>SUM(136,150,105,147,136,150)</f>
        <v>824</v>
      </c>
      <c r="G30" s="6">
        <f>SUM(537,101.8,123.5,130.5,138.2)</f>
        <v>1031</v>
      </c>
      <c r="H30" s="6">
        <f>SUM(156.1,108.2)</f>
        <v>264.3</v>
      </c>
      <c r="I30" s="6">
        <f>SUM(C30:H30)</f>
        <v>5449.3</v>
      </c>
      <c r="K30" s="3" t="s">
        <v>12</v>
      </c>
      <c r="L30" s="21">
        <v>1</v>
      </c>
      <c r="M30" s="3">
        <v>8</v>
      </c>
      <c r="N30" s="6">
        <v>8</v>
      </c>
      <c r="O30" s="6">
        <v>6</v>
      </c>
      <c r="P30" s="6">
        <v>6</v>
      </c>
      <c r="Q30" s="6">
        <v>5</v>
      </c>
      <c r="R30" s="6">
        <v>2</v>
      </c>
      <c r="S30" s="6">
        <f t="shared" si="1"/>
        <v>35</v>
      </c>
      <c r="U30" s="3" t="s">
        <v>12</v>
      </c>
      <c r="V30" s="21">
        <v>35</v>
      </c>
      <c r="W30" s="21">
        <v>5449.3</v>
      </c>
      <c r="X30" s="8">
        <f t="shared" si="2"/>
        <v>155.69428571428571</v>
      </c>
    </row>
    <row r="31" spans="1:30" x14ac:dyDescent="0.3">
      <c r="A31" s="3" t="s">
        <v>12</v>
      </c>
      <c r="B31" s="21">
        <v>2</v>
      </c>
      <c r="C31" s="3">
        <f>SUM(193.2,126.4,210.5,146.8,138.8,184,225,147.6)</f>
        <v>1372.3</v>
      </c>
      <c r="D31" s="6">
        <f>SUM(140,135,154,120,150,160,120,150,99,68,60,68,120)</f>
        <v>1544</v>
      </c>
      <c r="E31" s="6">
        <f>SUM(152.7,152.4,180,146.5,147.8,145,191.2)</f>
        <v>1115.6000000000001</v>
      </c>
      <c r="F31" s="6">
        <f>SUM(199,158,224,130,107,168)</f>
        <v>986</v>
      </c>
      <c r="G31" s="6">
        <f>SUM(142.8,226,189.9,127.2,189.9,186.5,116.6)</f>
        <v>1178.9000000000001</v>
      </c>
      <c r="H31" s="6">
        <f>SUM(108.5,169.8)</f>
        <v>278.3</v>
      </c>
      <c r="I31" s="6">
        <f>SUM(C31:H31)</f>
        <v>6475.1000000000013</v>
      </c>
      <c r="K31" s="3" t="s">
        <v>12</v>
      </c>
      <c r="L31" s="21">
        <v>2</v>
      </c>
      <c r="M31" s="3">
        <v>8</v>
      </c>
      <c r="N31" s="6">
        <v>13</v>
      </c>
      <c r="O31" s="6">
        <v>7</v>
      </c>
      <c r="P31" s="6">
        <v>6</v>
      </c>
      <c r="Q31" s="6">
        <v>7</v>
      </c>
      <c r="R31" s="6">
        <v>2</v>
      </c>
      <c r="S31" s="6">
        <f t="shared" si="1"/>
        <v>43</v>
      </c>
      <c r="U31" s="3" t="s">
        <v>12</v>
      </c>
      <c r="V31" s="21">
        <v>43</v>
      </c>
      <c r="W31" s="21">
        <v>6475.1000000000013</v>
      </c>
      <c r="X31" s="8">
        <f t="shared" si="2"/>
        <v>150.5837209302326</v>
      </c>
    </row>
    <row r="32" spans="1:30" x14ac:dyDescent="0.3">
      <c r="A32" s="3" t="s">
        <v>12</v>
      </c>
      <c r="B32" s="21">
        <v>3</v>
      </c>
      <c r="C32" s="3">
        <f>SUM(229,225.6,215.6,223.9)</f>
        <v>894.1</v>
      </c>
      <c r="D32" s="6">
        <f>SUM(134,110,80,100,83.5,141.1,119.9,168,113.8)</f>
        <v>1050.3</v>
      </c>
      <c r="E32" s="6">
        <f>SUM(178.9,159.7,91.7,159.9,70,176,170.1,153.5,199.2)</f>
        <v>1359.0000000000002</v>
      </c>
      <c r="F32" s="22">
        <f>SUM(136,150,168,180,120,129)</f>
        <v>883</v>
      </c>
      <c r="G32" s="6">
        <f>SUM(135.5,158.4,170.5,118.2,128.6,112.4,102.7,86,97.7)</f>
        <v>1110</v>
      </c>
      <c r="H32" s="6">
        <f>SUM(125.9,95.8,126.2)</f>
        <v>347.9</v>
      </c>
      <c r="I32" s="6">
        <f>SUM(C32:H32)</f>
        <v>5644.3</v>
      </c>
      <c r="K32" s="3" t="s">
        <v>12</v>
      </c>
      <c r="L32" s="21">
        <v>3</v>
      </c>
      <c r="M32" s="3">
        <v>7</v>
      </c>
      <c r="N32" s="6">
        <v>9</v>
      </c>
      <c r="O32" s="6">
        <v>9</v>
      </c>
      <c r="P32" s="22">
        <v>6</v>
      </c>
      <c r="Q32" s="6">
        <v>9</v>
      </c>
      <c r="R32" s="6">
        <v>3</v>
      </c>
      <c r="S32" s="6">
        <f t="shared" si="1"/>
        <v>43</v>
      </c>
      <c r="U32" s="3" t="s">
        <v>12</v>
      </c>
      <c r="V32" s="21">
        <v>43</v>
      </c>
      <c r="W32" s="21">
        <v>5644.3</v>
      </c>
      <c r="X32" s="8">
        <f t="shared" si="2"/>
        <v>131.26279069767443</v>
      </c>
    </row>
    <row r="33" spans="1:24" x14ac:dyDescent="0.3">
      <c r="A33" s="3" t="s">
        <v>15</v>
      </c>
      <c r="B33" s="21">
        <v>1</v>
      </c>
      <c r="C33" s="3">
        <f>SUM(125.8,135.6,144,130.8,90.4,146.4,143.8)</f>
        <v>916.8</v>
      </c>
      <c r="D33" s="6">
        <f>SUM(177.3,74.5,155.9,116.5,177.2,143.8,86)</f>
        <v>931.2</v>
      </c>
      <c r="E33" s="6">
        <f>SUM(73.4,68.3,124.1,122,89.3,218.4,86.6)</f>
        <v>782.1</v>
      </c>
      <c r="F33" s="22">
        <f>SUM(221.1,117.6,97.6,92,123,76,80)</f>
        <v>807.3</v>
      </c>
      <c r="G33" s="6">
        <f>SUM(223.4,218.3)</f>
        <v>441.70000000000005</v>
      </c>
      <c r="H33" s="6">
        <v>0</v>
      </c>
      <c r="I33" s="6">
        <f t="shared" si="0"/>
        <v>3879.0999999999995</v>
      </c>
      <c r="K33" s="3" t="s">
        <v>15</v>
      </c>
      <c r="L33" s="21">
        <v>1</v>
      </c>
      <c r="M33" s="3">
        <v>7</v>
      </c>
      <c r="N33" s="6">
        <v>7</v>
      </c>
      <c r="O33" s="6">
        <v>7</v>
      </c>
      <c r="P33" s="22">
        <v>7</v>
      </c>
      <c r="Q33" s="6">
        <v>2</v>
      </c>
      <c r="R33" s="6">
        <v>0</v>
      </c>
      <c r="S33" s="6">
        <f t="shared" si="1"/>
        <v>30</v>
      </c>
      <c r="U33" s="3" t="s">
        <v>15</v>
      </c>
      <c r="V33" s="21">
        <v>30</v>
      </c>
      <c r="W33" s="21">
        <v>3879.0999999999995</v>
      </c>
      <c r="X33" s="8">
        <f t="shared" si="2"/>
        <v>129.30333333333331</v>
      </c>
    </row>
    <row r="34" spans="1:24" x14ac:dyDescent="0.3">
      <c r="A34" s="3" t="s">
        <v>15</v>
      </c>
      <c r="B34" s="21">
        <v>2</v>
      </c>
      <c r="C34" s="3">
        <f>SUM(144.7,106.9,112.6,104.1,118.3,130.5)</f>
        <v>717.09999999999991</v>
      </c>
      <c r="D34" s="6">
        <f>SUM(90,129.4,127.8,171.4,127.2,138.7,158,133.5,154,150,137.8,80,86.8)</f>
        <v>1684.6</v>
      </c>
      <c r="E34" s="6">
        <f>SUM(217.8,131.7,113.7,166.3,49.9,157.1,11.1,66.7)</f>
        <v>914.30000000000007</v>
      </c>
      <c r="F34" s="22">
        <f>SUM(185,124,92,86,116,116,70)</f>
        <v>789</v>
      </c>
      <c r="G34" s="6">
        <f>SUM(98.6,145)</f>
        <v>243.6</v>
      </c>
      <c r="H34" s="6">
        <v>0</v>
      </c>
      <c r="I34" s="6">
        <f t="shared" si="0"/>
        <v>4348.6000000000004</v>
      </c>
      <c r="K34" s="3" t="s">
        <v>15</v>
      </c>
      <c r="L34" s="21">
        <v>2</v>
      </c>
      <c r="M34" s="3">
        <v>6</v>
      </c>
      <c r="N34" s="6">
        <v>13</v>
      </c>
      <c r="O34" s="6">
        <v>8</v>
      </c>
      <c r="P34" s="22">
        <v>6</v>
      </c>
      <c r="Q34" s="6">
        <v>2</v>
      </c>
      <c r="R34" s="6">
        <v>0</v>
      </c>
      <c r="S34" s="6">
        <f t="shared" si="1"/>
        <v>35</v>
      </c>
      <c r="U34" s="3" t="s">
        <v>15</v>
      </c>
      <c r="V34" s="21">
        <v>35</v>
      </c>
      <c r="W34" s="21">
        <v>4348.6000000000004</v>
      </c>
      <c r="X34" s="8">
        <f t="shared" si="2"/>
        <v>124.2457142857143</v>
      </c>
    </row>
    <row r="35" spans="1:24" x14ac:dyDescent="0.3">
      <c r="A35" s="3" t="s">
        <v>15</v>
      </c>
      <c r="B35" s="21">
        <v>3</v>
      </c>
      <c r="C35" s="3">
        <f>SUM(157.4,144.3,150,143.8)</f>
        <v>595.5</v>
      </c>
      <c r="D35" s="6">
        <f>SUM(146.4,164.1,156.5,104.9,127.4,81.6,86.2,101.7,64.2)</f>
        <v>1033</v>
      </c>
      <c r="E35" s="6">
        <f>SUM(177.7,159.7,181.3,155.9,214,87.4,54.6,216.9,116.2,106.7,126.4)</f>
        <v>1596.8000000000002</v>
      </c>
      <c r="F35" s="22">
        <f>SUM(204.4,126,98,188,154,169)</f>
        <v>939.4</v>
      </c>
      <c r="G35" s="6">
        <v>0</v>
      </c>
      <c r="H35" s="6">
        <v>0</v>
      </c>
      <c r="I35" s="6">
        <f t="shared" si="0"/>
        <v>4164.7</v>
      </c>
      <c r="K35" s="3" t="s">
        <v>15</v>
      </c>
      <c r="L35" s="21">
        <v>3</v>
      </c>
      <c r="M35" s="3">
        <v>4</v>
      </c>
      <c r="N35" s="6">
        <v>9</v>
      </c>
      <c r="O35" s="6">
        <v>11</v>
      </c>
      <c r="P35" s="22">
        <v>6</v>
      </c>
      <c r="Q35" s="6">
        <v>0</v>
      </c>
      <c r="R35" s="6">
        <v>0</v>
      </c>
      <c r="S35" s="6">
        <f t="shared" si="1"/>
        <v>30</v>
      </c>
      <c r="U35" s="3" t="s">
        <v>15</v>
      </c>
      <c r="V35" s="21">
        <v>30</v>
      </c>
      <c r="W35" s="21">
        <v>4164.7</v>
      </c>
      <c r="X35" s="8">
        <f t="shared" si="2"/>
        <v>138.82333333333332</v>
      </c>
    </row>
    <row r="36" spans="1:24" x14ac:dyDescent="0.3">
      <c r="A36" s="3" t="s">
        <v>15</v>
      </c>
      <c r="B36" s="21">
        <v>1</v>
      </c>
      <c r="C36" s="3">
        <f>SUM(144.3,99,148.3,165.7,134.9,49)</f>
        <v>741.19999999999993</v>
      </c>
      <c r="D36" s="6">
        <f>SUM(131.3,143,73,142.4,129,141,136,152.5,97,128)</f>
        <v>1273.2</v>
      </c>
      <c r="E36" s="6">
        <f>SUM(125.8,142.7,187.9,125.6,116.5,163.1,149,109.6,150.5,86.8,177.3,103)</f>
        <v>1637.8</v>
      </c>
      <c r="F36" s="22">
        <f>SUM(164,135,126,120,99,192)</f>
        <v>836</v>
      </c>
      <c r="G36" s="6">
        <v>0</v>
      </c>
      <c r="H36" s="6">
        <v>0</v>
      </c>
      <c r="I36" s="6">
        <f t="shared" si="0"/>
        <v>4488.2</v>
      </c>
      <c r="K36" s="3" t="s">
        <v>15</v>
      </c>
      <c r="L36" s="21">
        <v>1</v>
      </c>
      <c r="M36" s="3">
        <v>6</v>
      </c>
      <c r="N36" s="6">
        <v>10</v>
      </c>
      <c r="O36" s="6">
        <v>12</v>
      </c>
      <c r="P36" s="22">
        <v>0</v>
      </c>
      <c r="Q36" s="6">
        <v>0</v>
      </c>
      <c r="R36" s="6">
        <v>0</v>
      </c>
      <c r="S36" s="6">
        <f t="shared" si="1"/>
        <v>28</v>
      </c>
      <c r="U36" s="3" t="s">
        <v>15</v>
      </c>
      <c r="V36" s="21">
        <v>28</v>
      </c>
      <c r="W36" s="21">
        <v>4488.2</v>
      </c>
      <c r="X36" s="8">
        <f t="shared" si="2"/>
        <v>160.29285714285714</v>
      </c>
    </row>
    <row r="37" spans="1:24" x14ac:dyDescent="0.3">
      <c r="A37" s="3" t="s">
        <v>15</v>
      </c>
      <c r="B37" s="21">
        <v>2</v>
      </c>
      <c r="C37" s="3">
        <f>SUM(114.9,128.1,121.1,125.5,95.3,73.2,103.7)</f>
        <v>761.80000000000007</v>
      </c>
      <c r="D37" s="6">
        <f>SUM(114.2,120,116.7,172,100.3,145,157,112.4)</f>
        <v>1037.5999999999999</v>
      </c>
      <c r="E37" s="6">
        <f>SUM(11.6,109.4,105.4,102,96.1,82.6,107.2,100.5,70.5,96.3,104.3)</f>
        <v>985.9</v>
      </c>
      <c r="F37" s="22">
        <v>0</v>
      </c>
      <c r="G37" s="6">
        <f>SUM(100.3,132.9)</f>
        <v>233.2</v>
      </c>
      <c r="H37" s="6">
        <v>0</v>
      </c>
      <c r="I37" s="6">
        <f t="shared" si="0"/>
        <v>3018.5</v>
      </c>
      <c r="K37" s="3" t="s">
        <v>15</v>
      </c>
      <c r="L37" s="21">
        <v>2</v>
      </c>
      <c r="M37" s="3">
        <v>7</v>
      </c>
      <c r="N37" s="6">
        <v>8</v>
      </c>
      <c r="O37" s="6">
        <v>11</v>
      </c>
      <c r="P37" s="22">
        <v>8</v>
      </c>
      <c r="Q37" s="6">
        <v>2</v>
      </c>
      <c r="R37" s="6">
        <v>0</v>
      </c>
      <c r="S37" s="6">
        <f t="shared" si="1"/>
        <v>36</v>
      </c>
      <c r="U37" s="3" t="s">
        <v>15</v>
      </c>
      <c r="V37" s="21">
        <v>36</v>
      </c>
      <c r="W37" s="21">
        <v>3018.5</v>
      </c>
      <c r="X37" s="8">
        <f t="shared" si="2"/>
        <v>83.847222222222229</v>
      </c>
    </row>
    <row r="38" spans="1:24" x14ac:dyDescent="0.3">
      <c r="A38" s="3" t="s">
        <v>15</v>
      </c>
      <c r="B38" s="21">
        <v>3</v>
      </c>
      <c r="C38" s="3">
        <f>SUM(158.8,118.8,141.7,141.5,111.2,112.9)</f>
        <v>784.9</v>
      </c>
      <c r="D38" s="6">
        <f>SUM(70.3,76,109.7,101.3,73.3)</f>
        <v>430.6</v>
      </c>
      <c r="E38" s="6">
        <f>SUM(211.4,196.5,169.9,152,175.6,178.8,188)</f>
        <v>1272.2</v>
      </c>
      <c r="F38" s="22">
        <f>SUM(223.4,202.3,143.8,86,133,101,92,120)</f>
        <v>1101.5</v>
      </c>
      <c r="G38" s="6">
        <f>SUM(145.2,92.5,121.6)</f>
        <v>359.29999999999995</v>
      </c>
      <c r="H38" s="6">
        <v>0</v>
      </c>
      <c r="I38" s="6">
        <f t="shared" si="0"/>
        <v>3948.5</v>
      </c>
      <c r="K38" s="3" t="s">
        <v>15</v>
      </c>
      <c r="L38" s="21">
        <v>3</v>
      </c>
      <c r="M38" s="3">
        <v>6</v>
      </c>
      <c r="N38" s="6">
        <v>5</v>
      </c>
      <c r="O38" s="6">
        <v>7</v>
      </c>
      <c r="P38" s="22">
        <v>8</v>
      </c>
      <c r="Q38" s="6">
        <v>3</v>
      </c>
      <c r="R38" s="6">
        <v>0</v>
      </c>
      <c r="S38" s="6">
        <f t="shared" si="1"/>
        <v>29</v>
      </c>
      <c r="U38" s="3" t="s">
        <v>15</v>
      </c>
      <c r="V38" s="21">
        <v>29</v>
      </c>
      <c r="W38" s="21">
        <v>3948.5</v>
      </c>
      <c r="X38" s="8">
        <f t="shared" si="2"/>
        <v>136.15517241379311</v>
      </c>
    </row>
    <row r="39" spans="1:24" x14ac:dyDescent="0.3">
      <c r="A39" s="3" t="s">
        <v>15</v>
      </c>
      <c r="B39" s="21">
        <v>1</v>
      </c>
      <c r="C39" s="3">
        <f>SUM(106.9,109.6,114.5,117.5,122.7,101)</f>
        <v>672.2</v>
      </c>
      <c r="D39" s="6">
        <f>SUM(132.4,147,118,78.4,77.8,129.2,130)</f>
        <v>812.8</v>
      </c>
      <c r="E39" s="6">
        <f>SUM(156.5,149.2,120.4,81.5,78.3,134.8,35.9)</f>
        <v>756.6</v>
      </c>
      <c r="F39" s="22">
        <f>SUM(68,53,173,141,87,92)</f>
        <v>614</v>
      </c>
      <c r="G39" s="6">
        <f>SUM(95.6,73.8)</f>
        <v>169.39999999999998</v>
      </c>
      <c r="H39" s="6">
        <v>0</v>
      </c>
      <c r="I39" s="6">
        <f t="shared" si="0"/>
        <v>3025</v>
      </c>
      <c r="K39" s="3" t="s">
        <v>15</v>
      </c>
      <c r="L39" s="21">
        <v>1</v>
      </c>
      <c r="M39" s="3">
        <v>6</v>
      </c>
      <c r="N39" s="6">
        <v>7</v>
      </c>
      <c r="O39" s="6">
        <v>4</v>
      </c>
      <c r="P39" s="22">
        <v>6</v>
      </c>
      <c r="Q39" s="6">
        <v>2</v>
      </c>
      <c r="R39" s="6">
        <v>0</v>
      </c>
      <c r="S39" s="6">
        <f t="shared" si="1"/>
        <v>25</v>
      </c>
      <c r="U39" s="3" t="s">
        <v>15</v>
      </c>
      <c r="V39" s="21">
        <v>25</v>
      </c>
      <c r="W39" s="21">
        <v>3025</v>
      </c>
      <c r="X39" s="8">
        <f t="shared" si="2"/>
        <v>121</v>
      </c>
    </row>
    <row r="40" spans="1:24" x14ac:dyDescent="0.3">
      <c r="A40" s="3" t="s">
        <v>15</v>
      </c>
      <c r="B40" s="21">
        <v>2</v>
      </c>
      <c r="C40" s="3">
        <f>SUM(115.9,118.7,124.9,129.1,119.1,40.2,93.4,101.1,98.5)</f>
        <v>940.90000000000009</v>
      </c>
      <c r="D40" s="6">
        <f>SUM(139.1,109.1,150.7,113.5,58.5,135.9,127.8,115.4,134.4,73.6)</f>
        <v>1157.9999999999998</v>
      </c>
      <c r="E40" s="6">
        <f>SUM(162,156.9,164.9,168.5,131.6)</f>
        <v>783.9</v>
      </c>
      <c r="F40" s="22">
        <f>SUM(196,125,168,172,80,131)</f>
        <v>872</v>
      </c>
      <c r="G40" s="6">
        <f>SUM(168.2,108.4)</f>
        <v>276.60000000000002</v>
      </c>
      <c r="H40" s="6">
        <v>0</v>
      </c>
      <c r="I40" s="6">
        <f t="shared" si="0"/>
        <v>4031.3999999999996</v>
      </c>
      <c r="K40" s="3" t="s">
        <v>15</v>
      </c>
      <c r="L40" s="21">
        <v>2</v>
      </c>
      <c r="M40" s="3">
        <v>9</v>
      </c>
      <c r="N40" s="6">
        <v>10</v>
      </c>
      <c r="O40" s="6">
        <v>5</v>
      </c>
      <c r="P40" s="22">
        <v>6</v>
      </c>
      <c r="Q40" s="6">
        <v>2</v>
      </c>
      <c r="R40" s="6">
        <v>0</v>
      </c>
      <c r="S40" s="6">
        <f t="shared" si="1"/>
        <v>32</v>
      </c>
      <c r="U40" s="3" t="s">
        <v>15</v>
      </c>
      <c r="V40" s="21">
        <v>32</v>
      </c>
      <c r="W40" s="21">
        <v>4031.3999999999996</v>
      </c>
      <c r="X40" s="8">
        <f t="shared" si="2"/>
        <v>125.98124999999999</v>
      </c>
    </row>
    <row r="41" spans="1:24" x14ac:dyDescent="0.3">
      <c r="A41" s="3" t="s">
        <v>15</v>
      </c>
      <c r="B41" s="21">
        <v>3</v>
      </c>
      <c r="C41" s="3">
        <f>SUM(96.1,103.4,113.1,102,119.6,117.7,120.9,140.4)</f>
        <v>913.2</v>
      </c>
      <c r="D41" s="6">
        <f>SUM(156.2,107,44.3,144.7,36.4,136,140,80,97.8)</f>
        <v>942.39999999999986</v>
      </c>
      <c r="E41" s="6">
        <f>SUM(83.9,35.7,90.8,197.6,69.9,174.8,135.4,85.2)</f>
        <v>873.30000000000007</v>
      </c>
      <c r="F41" s="22">
        <f>SUM(178,172,137)</f>
        <v>487</v>
      </c>
      <c r="G41" s="6">
        <v>0</v>
      </c>
      <c r="H41" s="6">
        <v>0</v>
      </c>
      <c r="I41" s="6">
        <f t="shared" si="0"/>
        <v>3215.9</v>
      </c>
      <c r="K41" s="3" t="s">
        <v>15</v>
      </c>
      <c r="L41" s="21">
        <v>3</v>
      </c>
      <c r="M41" s="3">
        <v>8</v>
      </c>
      <c r="N41" s="6">
        <v>9</v>
      </c>
      <c r="O41" s="6">
        <v>8</v>
      </c>
      <c r="P41" s="22">
        <v>3</v>
      </c>
      <c r="Q41" s="6">
        <v>0</v>
      </c>
      <c r="R41" s="6">
        <v>0</v>
      </c>
      <c r="S41" s="6">
        <f t="shared" si="1"/>
        <v>28</v>
      </c>
      <c r="U41" s="3" t="s">
        <v>15</v>
      </c>
      <c r="V41" s="21">
        <v>28</v>
      </c>
      <c r="W41" s="21">
        <v>3215.9</v>
      </c>
      <c r="X41" s="8">
        <f t="shared" si="2"/>
        <v>114.85357142857143</v>
      </c>
    </row>
    <row r="42" spans="1:24" x14ac:dyDescent="0.3">
      <c r="A42" s="3" t="s">
        <v>15</v>
      </c>
      <c r="B42" s="21">
        <v>1</v>
      </c>
      <c r="C42" s="3">
        <f>SUM(141,158.8,34.2,127.1,46.8,134,91.2,95.3,158.1)</f>
        <v>986.50000000000011</v>
      </c>
      <c r="D42" s="6">
        <f>SUM(150,122.1,100.4,121.6,53.3,70,140.2,60)</f>
        <v>817.59999999999991</v>
      </c>
      <c r="E42" s="6">
        <f>SUM(139,149.3,144,155.9,114.8)</f>
        <v>703</v>
      </c>
      <c r="F42" s="22">
        <f>SUM(73,167,152,152,120,92,76)</f>
        <v>832</v>
      </c>
      <c r="G42" s="6">
        <v>0</v>
      </c>
      <c r="H42" s="6">
        <v>0</v>
      </c>
      <c r="I42" s="6">
        <f t="shared" si="0"/>
        <v>3339.1</v>
      </c>
      <c r="K42" s="3" t="s">
        <v>15</v>
      </c>
      <c r="L42" s="21">
        <v>1</v>
      </c>
      <c r="M42" s="3">
        <v>9</v>
      </c>
      <c r="N42" s="6">
        <v>8</v>
      </c>
      <c r="O42" s="6">
        <v>5</v>
      </c>
      <c r="P42" s="22">
        <v>6</v>
      </c>
      <c r="Q42" s="6">
        <v>0</v>
      </c>
      <c r="R42" s="6">
        <v>0</v>
      </c>
      <c r="S42" s="6">
        <f t="shared" si="1"/>
        <v>28</v>
      </c>
      <c r="U42" s="3" t="s">
        <v>15</v>
      </c>
      <c r="V42" s="21">
        <v>28</v>
      </c>
      <c r="W42" s="21">
        <v>3339.1</v>
      </c>
      <c r="X42" s="8">
        <f t="shared" si="2"/>
        <v>119.25357142857142</v>
      </c>
    </row>
    <row r="43" spans="1:24" x14ac:dyDescent="0.3">
      <c r="A43" s="3" t="s">
        <v>15</v>
      </c>
      <c r="B43" s="21">
        <v>2</v>
      </c>
      <c r="C43" s="3">
        <f>SUM(131.3,140.5,153.5,128,124.3,175)</f>
        <v>852.59999999999991</v>
      </c>
      <c r="D43" s="6">
        <f>SUM(165.3,150,150,87.8,57.6,156.5,98,43)</f>
        <v>908.2</v>
      </c>
      <c r="E43" s="6">
        <f>SUM(167.9,238.3,151.3,175.1)</f>
        <v>732.6</v>
      </c>
      <c r="F43" s="22">
        <f>SUM(110,75,143,74,143,86)</f>
        <v>631</v>
      </c>
      <c r="G43" s="6">
        <v>0</v>
      </c>
      <c r="H43" s="6">
        <v>0</v>
      </c>
      <c r="I43" s="6">
        <f t="shared" si="0"/>
        <v>3124.4</v>
      </c>
      <c r="K43" s="3" t="s">
        <v>15</v>
      </c>
      <c r="L43" s="21">
        <v>2</v>
      </c>
      <c r="M43" s="3">
        <v>6</v>
      </c>
      <c r="N43" s="6">
        <v>8</v>
      </c>
      <c r="O43" s="6">
        <v>4</v>
      </c>
      <c r="P43" s="22">
        <v>6</v>
      </c>
      <c r="Q43" s="6">
        <v>0</v>
      </c>
      <c r="R43" s="6">
        <v>0</v>
      </c>
      <c r="S43" s="6">
        <f t="shared" si="1"/>
        <v>24</v>
      </c>
      <c r="U43" s="3" t="s">
        <v>15</v>
      </c>
      <c r="V43" s="21">
        <v>24</v>
      </c>
      <c r="W43" s="21">
        <v>3124.4</v>
      </c>
      <c r="X43" s="8">
        <f t="shared" si="2"/>
        <v>130.18333333333334</v>
      </c>
    </row>
    <row r="44" spans="1:24" x14ac:dyDescent="0.3">
      <c r="A44" s="3" t="s">
        <v>15</v>
      </c>
      <c r="B44" s="21">
        <v>3</v>
      </c>
      <c r="C44" s="3">
        <f>SUM(42.1,148.1,121.6,132.8,127.5,101.7,64)</f>
        <v>737.8</v>
      </c>
      <c r="D44" s="6">
        <f>SUM(123,115,131,154,160,90,123,173.5)</f>
        <v>1069.5</v>
      </c>
      <c r="E44" s="6">
        <f>SUM(177.5,146.3,173.4,198.3,159.4,218.6,187.3)</f>
        <v>1260.8</v>
      </c>
      <c r="F44" s="22">
        <v>0</v>
      </c>
      <c r="G44" s="3">
        <f>SUM(93.7,111,109.4)</f>
        <v>314.10000000000002</v>
      </c>
      <c r="H44" s="6">
        <v>0</v>
      </c>
      <c r="I44" s="6">
        <f t="shared" si="0"/>
        <v>3382.2</v>
      </c>
      <c r="K44" s="3" t="s">
        <v>15</v>
      </c>
      <c r="L44" s="21">
        <v>3</v>
      </c>
      <c r="M44" s="3">
        <v>7</v>
      </c>
      <c r="N44" s="6">
        <v>8</v>
      </c>
      <c r="O44" s="6">
        <v>5</v>
      </c>
      <c r="P44" s="22">
        <v>0</v>
      </c>
      <c r="Q44" s="3">
        <v>3</v>
      </c>
      <c r="R44" s="6">
        <v>0</v>
      </c>
      <c r="S44" s="6">
        <f t="shared" si="1"/>
        <v>23</v>
      </c>
      <c r="U44" s="3" t="s">
        <v>15</v>
      </c>
      <c r="V44" s="21">
        <v>23</v>
      </c>
      <c r="W44" s="21">
        <v>3382.2</v>
      </c>
      <c r="X44" s="8">
        <f t="shared" si="2"/>
        <v>147.05217391304348</v>
      </c>
    </row>
    <row r="45" spans="1:24" x14ac:dyDescent="0.3">
      <c r="A45" s="3" t="s">
        <v>15</v>
      </c>
      <c r="B45" s="21">
        <v>1</v>
      </c>
      <c r="C45" s="3">
        <f>SUM(155,83.6,139.9,59.2,141.6,130.5,127.5)</f>
        <v>837.3</v>
      </c>
      <c r="D45" s="6">
        <f>SUM(115.5,100,120,161,121,160,81,151,134,138.1)</f>
        <v>1281.5999999999999</v>
      </c>
      <c r="E45" s="6">
        <f>SUM(182.5,162.8,85.8,85.8,173.6,134,149,159,118)</f>
        <v>1250.5</v>
      </c>
      <c r="F45" s="22">
        <f>SUM(169,153,169,175,169,140)</f>
        <v>975</v>
      </c>
      <c r="G45" s="6">
        <v>0</v>
      </c>
      <c r="H45" s="6">
        <v>0</v>
      </c>
      <c r="I45" s="6">
        <f t="shared" si="0"/>
        <v>4344.3999999999996</v>
      </c>
      <c r="K45" s="3" t="s">
        <v>15</v>
      </c>
      <c r="L45" s="21">
        <v>1</v>
      </c>
      <c r="M45" s="3">
        <v>7</v>
      </c>
      <c r="N45" s="6">
        <v>10</v>
      </c>
      <c r="O45" s="6">
        <v>8</v>
      </c>
      <c r="P45" s="22">
        <v>6</v>
      </c>
      <c r="Q45" s="6">
        <v>0</v>
      </c>
      <c r="R45" s="6">
        <v>0</v>
      </c>
      <c r="S45" s="6">
        <f t="shared" si="1"/>
        <v>31</v>
      </c>
      <c r="U45" s="3" t="s">
        <v>15</v>
      </c>
      <c r="V45" s="21">
        <v>31</v>
      </c>
      <c r="W45" s="21">
        <v>4344.3999999999996</v>
      </c>
      <c r="X45" s="8">
        <f t="shared" si="2"/>
        <v>140.14193548387095</v>
      </c>
    </row>
    <row r="46" spans="1:24" x14ac:dyDescent="0.3">
      <c r="A46" s="3" t="s">
        <v>15</v>
      </c>
      <c r="B46" s="21">
        <v>2</v>
      </c>
      <c r="C46" s="3">
        <f>SUM(120.1,80.7,149,118.1)</f>
        <v>467.9</v>
      </c>
      <c r="D46" s="6">
        <f>SUM(115,160,160,165,165,134,122.5,140,144,125.1,67,86)</f>
        <v>1583.6</v>
      </c>
      <c r="E46" s="6">
        <f>SUM(154.8,106.6,112,125,92,192)</f>
        <v>782.4</v>
      </c>
      <c r="F46" s="22">
        <f>SUM(120,82,124,124,120,82)</f>
        <v>652</v>
      </c>
      <c r="G46" s="6">
        <f>SUM(168,101.7)</f>
        <v>269.7</v>
      </c>
      <c r="H46" s="6">
        <v>0</v>
      </c>
      <c r="I46" s="6">
        <f t="shared" si="0"/>
        <v>3755.6</v>
      </c>
      <c r="K46" s="3" t="s">
        <v>15</v>
      </c>
      <c r="L46" s="21">
        <v>2</v>
      </c>
      <c r="M46" s="3">
        <v>4</v>
      </c>
      <c r="N46" s="6">
        <v>12</v>
      </c>
      <c r="O46" s="6">
        <v>6</v>
      </c>
      <c r="P46" s="22">
        <v>6</v>
      </c>
      <c r="Q46" s="6">
        <v>2</v>
      </c>
      <c r="R46" s="6">
        <v>0</v>
      </c>
      <c r="S46" s="6">
        <f t="shared" si="1"/>
        <v>30</v>
      </c>
      <c r="U46" s="3" t="s">
        <v>15</v>
      </c>
      <c r="V46" s="21">
        <v>30</v>
      </c>
      <c r="W46" s="21">
        <v>3755.6</v>
      </c>
      <c r="X46" s="8">
        <f t="shared" si="2"/>
        <v>125.18666666666667</v>
      </c>
    </row>
    <row r="47" spans="1:24" x14ac:dyDescent="0.3">
      <c r="A47" s="3" t="s">
        <v>15</v>
      </c>
      <c r="B47" s="21">
        <v>3</v>
      </c>
      <c r="C47" s="3">
        <f>SUM(144,120.7,92.4,118.6,104.4,132.3,103)</f>
        <v>815.40000000000009</v>
      </c>
      <c r="D47" s="6">
        <f>SUM(70,70,180,140,112,108,134,83,118.5,84.7)</f>
        <v>1100.2</v>
      </c>
      <c r="E47" s="6">
        <f>SUM(152.8,170,66,68,50,187)</f>
        <v>693.8</v>
      </c>
      <c r="F47" s="22">
        <f>SUM(82,122,150,84,176,116)</f>
        <v>730</v>
      </c>
      <c r="G47" s="6">
        <f>SUM(150.5,74.4)</f>
        <v>224.9</v>
      </c>
      <c r="H47" s="6">
        <v>0</v>
      </c>
      <c r="I47" s="6">
        <f t="shared" si="0"/>
        <v>3564.3</v>
      </c>
      <c r="K47" s="3" t="s">
        <v>15</v>
      </c>
      <c r="L47" s="21">
        <v>3</v>
      </c>
      <c r="M47" s="3">
        <v>7</v>
      </c>
      <c r="N47" s="6">
        <v>11</v>
      </c>
      <c r="O47" s="6">
        <v>6</v>
      </c>
      <c r="P47" s="22">
        <v>6</v>
      </c>
      <c r="Q47" s="6">
        <v>2</v>
      </c>
      <c r="R47" s="6">
        <v>0</v>
      </c>
      <c r="S47" s="6">
        <f t="shared" si="1"/>
        <v>32</v>
      </c>
      <c r="U47" s="3" t="s">
        <v>15</v>
      </c>
      <c r="V47" s="3">
        <v>32</v>
      </c>
      <c r="W47" s="3">
        <v>3564.3</v>
      </c>
      <c r="X47" s="8">
        <f t="shared" si="2"/>
        <v>111.38437500000001</v>
      </c>
    </row>
    <row r="48" spans="1:24" x14ac:dyDescent="0.3">
      <c r="A48" s="3" t="s">
        <v>13</v>
      </c>
      <c r="B48" s="21">
        <v>1</v>
      </c>
      <c r="C48" s="19">
        <f>SUM(174.8,155.5,176.3,64.4,61.4,61.9,124.7)</f>
        <v>819</v>
      </c>
      <c r="D48" s="6">
        <f>SUM(160,123.6,143.6,114,141.8,168.3,144.4,108.2)</f>
        <v>1103.8999999999999</v>
      </c>
      <c r="E48" s="6">
        <f>SUM(193.7,181.2,105.7,189.6,137.9,181.3)</f>
        <v>989.39999999999986</v>
      </c>
      <c r="F48" s="22">
        <f>SUM(138.8,146.8,182,208,123,124,159)</f>
        <v>1081.5999999999999</v>
      </c>
      <c r="G48" s="6">
        <f>SUM(124,165,187.1,69.8,72.1,110.3,98.1,65.7)</f>
        <v>892.1</v>
      </c>
      <c r="H48" s="6">
        <f>SUM(165.8,93.5,143.2,121.5,88.9,106.8,97.6,97.6,56.9)</f>
        <v>971.8</v>
      </c>
      <c r="I48" s="6">
        <f t="shared" si="0"/>
        <v>5857.8</v>
      </c>
      <c r="K48" s="3" t="s">
        <v>13</v>
      </c>
      <c r="L48" s="21">
        <v>1</v>
      </c>
      <c r="M48" s="19">
        <v>6</v>
      </c>
      <c r="N48" s="6">
        <v>8</v>
      </c>
      <c r="O48" s="6">
        <v>6</v>
      </c>
      <c r="P48" s="22">
        <v>7</v>
      </c>
      <c r="Q48" s="6">
        <v>8</v>
      </c>
      <c r="R48" s="6">
        <v>9</v>
      </c>
      <c r="S48" s="6">
        <f t="shared" si="1"/>
        <v>44</v>
      </c>
      <c r="U48" s="3" t="s">
        <v>13</v>
      </c>
      <c r="V48" s="3">
        <v>44</v>
      </c>
      <c r="W48" s="3">
        <v>5857.8</v>
      </c>
      <c r="X48" s="8">
        <f t="shared" si="2"/>
        <v>133.13181818181818</v>
      </c>
    </row>
    <row r="49" spans="1:24" x14ac:dyDescent="0.3">
      <c r="A49" s="3" t="s">
        <v>13</v>
      </c>
      <c r="B49" s="21">
        <v>2</v>
      </c>
      <c r="C49" s="19">
        <f>SUM(117.7,112.1,133,123.2,127.7)</f>
        <v>613.70000000000005</v>
      </c>
      <c r="D49" s="6">
        <f>SUM(117.8,106.4,106,162.4,86.4,91.6,132.8)</f>
        <v>803.40000000000009</v>
      </c>
      <c r="E49" s="6">
        <f>SUM(195.3,129.3,154.2,56,103.08,27.4)</f>
        <v>665.28</v>
      </c>
      <c r="F49" s="22">
        <f>SUM(135.2,158.8,158.3,119.7,102.5,144.6)</f>
        <v>819.1</v>
      </c>
      <c r="G49" s="6">
        <f>SUM(134.1,126.7,1913.7,159,149.7,137.8)</f>
        <v>2621</v>
      </c>
      <c r="H49" s="6">
        <f>SUM(165.4,119.3,73.1,103.9,114.7,90.6,89.6)</f>
        <v>756.6</v>
      </c>
      <c r="I49" s="6">
        <f t="shared" si="0"/>
        <v>6279.08</v>
      </c>
      <c r="K49" s="3" t="s">
        <v>13</v>
      </c>
      <c r="L49" s="21">
        <v>2</v>
      </c>
      <c r="M49" s="19">
        <v>5</v>
      </c>
      <c r="N49" s="6">
        <v>7</v>
      </c>
      <c r="O49" s="6">
        <v>6</v>
      </c>
      <c r="P49" s="22">
        <v>6</v>
      </c>
      <c r="Q49" s="6">
        <v>6</v>
      </c>
      <c r="R49" s="6">
        <v>7</v>
      </c>
      <c r="S49" s="6">
        <f t="shared" si="1"/>
        <v>37</v>
      </c>
      <c r="U49" s="3" t="s">
        <v>13</v>
      </c>
      <c r="V49" s="3">
        <v>37</v>
      </c>
      <c r="W49" s="3">
        <v>6279.08</v>
      </c>
      <c r="X49" s="8">
        <f t="shared" si="2"/>
        <v>169.70486486486487</v>
      </c>
    </row>
    <row r="50" spans="1:24" x14ac:dyDescent="0.3">
      <c r="A50" s="3" t="s">
        <v>13</v>
      </c>
      <c r="B50" s="21">
        <v>3</v>
      </c>
      <c r="C50" s="19">
        <f>SUM(113,145.5,126.2,124.4,120.3,108.6,127.2)</f>
        <v>865.2</v>
      </c>
      <c r="D50" s="6">
        <f>SUM(159.3,121.7,140.8,155.3,98.4,160.6,158.8,140.3)</f>
        <v>1135.2</v>
      </c>
      <c r="E50" s="6">
        <f>SUM(257.9,49.8,95.9,82.6)</f>
        <v>486.20000000000005</v>
      </c>
      <c r="F50" s="22">
        <f>SUM(164.4,149,204.7,123,153,90)</f>
        <v>884.09999999999991</v>
      </c>
      <c r="G50" s="6">
        <f>SUM(130.1,145.3,112.2,105,112.9)</f>
        <v>605.5</v>
      </c>
      <c r="H50" s="6">
        <f>SUM(117.9,200.1,181.5)</f>
        <v>499.5</v>
      </c>
      <c r="I50" s="6">
        <f t="shared" si="0"/>
        <v>4475.7000000000007</v>
      </c>
      <c r="K50" s="3" t="s">
        <v>13</v>
      </c>
      <c r="L50" s="21">
        <v>3</v>
      </c>
      <c r="M50" s="19">
        <v>7</v>
      </c>
      <c r="N50" s="6">
        <v>8</v>
      </c>
      <c r="O50" s="6">
        <v>4</v>
      </c>
      <c r="P50" s="22">
        <v>6</v>
      </c>
      <c r="Q50" s="6">
        <v>5</v>
      </c>
      <c r="R50" s="6">
        <v>3</v>
      </c>
      <c r="S50" s="6">
        <f t="shared" si="1"/>
        <v>33</v>
      </c>
      <c r="U50" s="3" t="s">
        <v>13</v>
      </c>
      <c r="V50" s="3">
        <v>33</v>
      </c>
      <c r="W50" s="3">
        <v>4475.7000000000007</v>
      </c>
      <c r="X50" s="8">
        <f t="shared" si="2"/>
        <v>135.62727272727275</v>
      </c>
    </row>
    <row r="51" spans="1:24" x14ac:dyDescent="0.3">
      <c r="A51" s="3" t="s">
        <v>13</v>
      </c>
      <c r="B51" s="21">
        <v>1</v>
      </c>
      <c r="C51" s="19">
        <f>SUM(130.9,109.7,133.8,98.3,124)</f>
        <v>596.70000000000005</v>
      </c>
      <c r="D51" s="6">
        <f>SUM(136.8,128.2,121.3,44.5,116.6,128,119,113.5,114.5,89,97.1,103.1)</f>
        <v>1311.6</v>
      </c>
      <c r="E51" s="6">
        <f>SUM(150,192.9,183.9,172.3,177.3,190.7)</f>
        <v>1067.0999999999999</v>
      </c>
      <c r="F51" s="22">
        <f>SUM(96,213.3,162.9,147.1,154.9,154.5,169,199.6,149.6)</f>
        <v>1446.8999999999999</v>
      </c>
      <c r="G51" s="6">
        <f>SUM(112.1,161.3,80.1)</f>
        <v>353.5</v>
      </c>
      <c r="H51" s="6">
        <f>SUM(165.3,142.1,178)</f>
        <v>485.4</v>
      </c>
      <c r="I51" s="6">
        <f t="shared" si="0"/>
        <v>5261.1999999999989</v>
      </c>
      <c r="K51" s="3" t="s">
        <v>13</v>
      </c>
      <c r="L51" s="21">
        <v>1</v>
      </c>
      <c r="M51" s="19">
        <v>5</v>
      </c>
      <c r="N51" s="6">
        <v>12</v>
      </c>
      <c r="O51" s="6">
        <v>6</v>
      </c>
      <c r="P51" s="22">
        <v>9</v>
      </c>
      <c r="Q51" s="6">
        <v>3</v>
      </c>
      <c r="R51" s="6">
        <v>3</v>
      </c>
      <c r="S51" s="6">
        <f t="shared" si="1"/>
        <v>38</v>
      </c>
      <c r="U51" s="3" t="s">
        <v>13</v>
      </c>
      <c r="V51" s="3">
        <v>38</v>
      </c>
      <c r="W51" s="3">
        <v>5261.1999999999989</v>
      </c>
      <c r="X51" s="8">
        <f t="shared" si="2"/>
        <v>138.45263157894735</v>
      </c>
    </row>
    <row r="52" spans="1:24" x14ac:dyDescent="0.3">
      <c r="A52" s="3" t="s">
        <v>13</v>
      </c>
      <c r="B52" s="21">
        <v>2</v>
      </c>
      <c r="C52" s="19">
        <f>SUM(68.4,103.8,137.6,119,55.7)</f>
        <v>484.49999999999994</v>
      </c>
      <c r="D52" s="6">
        <f>SUM(148.7,126.5,161.5,90,130,156.7,118.6)</f>
        <v>932.00000000000011</v>
      </c>
      <c r="E52" s="6">
        <f>SUM(147.6,152.3,149.2,137.1,138.4,161.2)</f>
        <v>885.8</v>
      </c>
      <c r="F52" s="22">
        <f>SUM(169,169,111,120,127)</f>
        <v>696</v>
      </c>
      <c r="G52" s="6">
        <f>SUM(60.5,109.8,112.1,129.4,91.9,90.1)</f>
        <v>593.79999999999995</v>
      </c>
      <c r="H52" s="6">
        <f>SUM(145.1,123.6,178.2)</f>
        <v>446.9</v>
      </c>
      <c r="I52" s="6">
        <f t="shared" si="0"/>
        <v>4039.0000000000005</v>
      </c>
      <c r="K52" s="3" t="s">
        <v>13</v>
      </c>
      <c r="L52" s="21">
        <v>2</v>
      </c>
      <c r="M52" s="19">
        <v>5</v>
      </c>
      <c r="N52" s="6">
        <v>7</v>
      </c>
      <c r="O52" s="6">
        <v>6</v>
      </c>
      <c r="P52" s="22">
        <v>6</v>
      </c>
      <c r="Q52" s="6">
        <v>6</v>
      </c>
      <c r="R52" s="6">
        <v>3</v>
      </c>
      <c r="S52" s="6">
        <f t="shared" si="1"/>
        <v>33</v>
      </c>
      <c r="U52" s="3" t="s">
        <v>13</v>
      </c>
      <c r="V52" s="3">
        <v>33</v>
      </c>
      <c r="W52" s="3">
        <v>4039.0000000000005</v>
      </c>
      <c r="X52" s="8">
        <f t="shared" si="2"/>
        <v>122.39393939393941</v>
      </c>
    </row>
    <row r="53" spans="1:24" x14ac:dyDescent="0.3">
      <c r="A53" s="3" t="s">
        <v>13</v>
      </c>
      <c r="B53" s="21">
        <v>3</v>
      </c>
      <c r="C53" s="19">
        <f>SUM(123.6,128.8,110.9,118.5,143.9,127)</f>
        <v>752.7</v>
      </c>
      <c r="D53" s="6">
        <f>SUM(106.1,78,135.8,121,126.3,87.7,122.7,117.7,130.2,62)</f>
        <v>1087.5</v>
      </c>
      <c r="E53" s="6">
        <f>SUM(124.2,82.3,156.3,127.5,127.1,142.2,81.5,72.3)</f>
        <v>913.39999999999986</v>
      </c>
      <c r="F53" s="22">
        <f>SUM(82,96,56,114,57,82)</f>
        <v>487</v>
      </c>
      <c r="G53" s="6">
        <f>SUM(121.2,96.7,67.7,109.7,11.3,71.8,124.3,87.3,96.4,100.4,82.2)</f>
        <v>969</v>
      </c>
      <c r="H53" s="6">
        <f>SUM(102.9,137.5)</f>
        <v>240.4</v>
      </c>
      <c r="I53" s="6">
        <f t="shared" si="0"/>
        <v>4450</v>
      </c>
      <c r="K53" s="3" t="s">
        <v>13</v>
      </c>
      <c r="L53" s="21">
        <v>3</v>
      </c>
      <c r="M53" s="19">
        <v>6</v>
      </c>
      <c r="N53" s="6">
        <v>10</v>
      </c>
      <c r="O53" s="6">
        <v>8</v>
      </c>
      <c r="P53" s="22">
        <v>6</v>
      </c>
      <c r="Q53" s="6">
        <v>11</v>
      </c>
      <c r="R53" s="6">
        <v>2</v>
      </c>
      <c r="S53" s="6">
        <f t="shared" si="1"/>
        <v>43</v>
      </c>
      <c r="U53" s="3" t="s">
        <v>13</v>
      </c>
      <c r="V53" s="3">
        <v>43</v>
      </c>
      <c r="W53" s="3">
        <v>4450</v>
      </c>
      <c r="X53" s="8">
        <f t="shared" si="2"/>
        <v>103.48837209302326</v>
      </c>
    </row>
    <row r="54" spans="1:24" x14ac:dyDescent="0.3">
      <c r="A54" s="3" t="s">
        <v>13</v>
      </c>
      <c r="B54" s="21">
        <v>1</v>
      </c>
      <c r="C54" s="19">
        <f>SUM(119,113.3,32.5,97.2)</f>
        <v>362</v>
      </c>
      <c r="D54" s="6">
        <f>SUM(982,149,135.2,137,114.3,153.2,46.3)</f>
        <v>1717</v>
      </c>
      <c r="E54" s="6">
        <f>SUM(226.5,157.2,107.3,134.2,123.7,125.1,121.8,114.13,69.3)</f>
        <v>1179.23</v>
      </c>
      <c r="F54" s="22">
        <f>SUM(180.5,90,156.6,174.8,204.6,139.9)</f>
        <v>946.40000000000009</v>
      </c>
      <c r="G54" s="3">
        <v>0</v>
      </c>
      <c r="H54" s="6">
        <f>SUM(63.6)</f>
        <v>63.6</v>
      </c>
      <c r="I54" s="6">
        <f t="shared" si="0"/>
        <v>4268.2300000000005</v>
      </c>
      <c r="K54" s="3" t="s">
        <v>13</v>
      </c>
      <c r="L54" s="21">
        <v>1</v>
      </c>
      <c r="M54" s="19">
        <v>4</v>
      </c>
      <c r="N54" s="6">
        <v>7</v>
      </c>
      <c r="O54" s="6">
        <v>9</v>
      </c>
      <c r="P54" s="22">
        <v>6</v>
      </c>
      <c r="Q54" s="3">
        <v>0</v>
      </c>
      <c r="R54" s="6">
        <v>1</v>
      </c>
      <c r="S54" s="6">
        <f t="shared" si="1"/>
        <v>27</v>
      </c>
      <c r="U54" s="3" t="s">
        <v>13</v>
      </c>
      <c r="V54" s="3">
        <v>27</v>
      </c>
      <c r="W54" s="3">
        <v>4268.2300000000005</v>
      </c>
      <c r="X54" s="8">
        <f t="shared" si="2"/>
        <v>158.08259259259262</v>
      </c>
    </row>
    <row r="55" spans="1:24" x14ac:dyDescent="0.3">
      <c r="A55" s="3" t="s">
        <v>13</v>
      </c>
      <c r="B55" s="21">
        <v>2</v>
      </c>
      <c r="C55" s="19">
        <f>SUM(136.2,94.1,140.1,114.6,60.6,120.3,86.8)</f>
        <v>752.69999999999993</v>
      </c>
      <c r="D55" s="6">
        <f>SUM(94.5,172.7,126,189.2,120,143.7,134.3,138.7)</f>
        <v>1119.0999999999999</v>
      </c>
      <c r="E55" s="6">
        <f>SUM(197,176.9,126,150,187.2,127.9,87.5,78,78.9,94.7,95.9)</f>
        <v>1400.0000000000002</v>
      </c>
      <c r="F55" s="22">
        <f>SUM(180.9,154.6,162,193,1938.3,169)</f>
        <v>2797.8</v>
      </c>
      <c r="G55" s="3">
        <f>SUM(128.6,134.5,99.2)</f>
        <v>362.3</v>
      </c>
      <c r="H55" s="6">
        <f>SUM(189.6,147.3)</f>
        <v>336.9</v>
      </c>
      <c r="I55" s="6">
        <f t="shared" si="0"/>
        <v>6768.8</v>
      </c>
      <c r="K55" s="3" t="s">
        <v>13</v>
      </c>
      <c r="L55" s="21">
        <v>2</v>
      </c>
      <c r="M55" s="19">
        <v>7</v>
      </c>
      <c r="N55" s="6">
        <v>8</v>
      </c>
      <c r="O55" s="6">
        <v>11</v>
      </c>
      <c r="P55" s="22">
        <v>6</v>
      </c>
      <c r="Q55" s="3">
        <v>3</v>
      </c>
      <c r="R55" s="6">
        <v>2</v>
      </c>
      <c r="S55" s="6">
        <f t="shared" si="1"/>
        <v>37</v>
      </c>
      <c r="U55" s="3" t="s">
        <v>13</v>
      </c>
      <c r="V55" s="3">
        <v>37</v>
      </c>
      <c r="W55" s="3">
        <v>6768.8</v>
      </c>
      <c r="X55" s="8">
        <f t="shared" si="2"/>
        <v>182.94054054054055</v>
      </c>
    </row>
    <row r="56" spans="1:24" x14ac:dyDescent="0.3">
      <c r="A56" s="3" t="s">
        <v>13</v>
      </c>
      <c r="B56" s="21">
        <v>3</v>
      </c>
      <c r="C56" s="19">
        <f>SUM(130.8,117.1,126.3,152.6,140)</f>
        <v>666.8</v>
      </c>
      <c r="D56" s="6">
        <f>SUM(151.5,176.2,163.7,174.5,105.6,148.7,140)</f>
        <v>1060.2</v>
      </c>
      <c r="E56" s="6">
        <f>SUM(110,155.9,139.2)</f>
        <v>405.09999999999997</v>
      </c>
      <c r="F56" s="22">
        <f>SUM(96,117,121,105,114)</f>
        <v>553</v>
      </c>
      <c r="G56" s="3">
        <f>SUM(176.5,106.5)</f>
        <v>283</v>
      </c>
      <c r="H56" s="6">
        <f>SUM(124.7,110.7,78,82.3,69.5)</f>
        <v>465.2</v>
      </c>
      <c r="I56" s="6">
        <f t="shared" si="0"/>
        <v>3433.2999999999997</v>
      </c>
      <c r="K56" s="3" t="s">
        <v>13</v>
      </c>
      <c r="L56" s="21">
        <v>3</v>
      </c>
      <c r="M56" s="19">
        <v>5</v>
      </c>
      <c r="N56" s="6">
        <v>7</v>
      </c>
      <c r="O56" s="6">
        <v>8</v>
      </c>
      <c r="P56" s="22">
        <v>6</v>
      </c>
      <c r="Q56" s="3">
        <v>2</v>
      </c>
      <c r="R56" s="6">
        <v>5</v>
      </c>
      <c r="S56" s="6">
        <f t="shared" si="1"/>
        <v>33</v>
      </c>
      <c r="U56" s="3" t="s">
        <v>13</v>
      </c>
      <c r="V56" s="3">
        <v>33</v>
      </c>
      <c r="W56" s="3">
        <v>3433.2999999999997</v>
      </c>
      <c r="X56" s="8">
        <f t="shared" si="2"/>
        <v>104.03939393939393</v>
      </c>
    </row>
    <row r="57" spans="1:24" x14ac:dyDescent="0.3">
      <c r="A57" s="3" t="s">
        <v>13</v>
      </c>
      <c r="B57" s="21">
        <v>1</v>
      </c>
      <c r="C57" s="19">
        <f>SUM(120.2,18.4,122.9,40.7,111.3,127.7)</f>
        <v>541.20000000000005</v>
      </c>
      <c r="D57" s="6">
        <f>SUM(160,160,140.145,165,130,150,180)</f>
        <v>1085.145</v>
      </c>
      <c r="E57" s="3">
        <f>SUM(140,166.6,184,195.5)</f>
        <v>686.1</v>
      </c>
      <c r="F57" s="22">
        <f>SUM(139,177,137,133,132,88)</f>
        <v>806</v>
      </c>
      <c r="G57" s="6">
        <v>0</v>
      </c>
      <c r="H57" s="6">
        <f>SUM(94,147.2,199,89)</f>
        <v>529.20000000000005</v>
      </c>
      <c r="I57" s="6">
        <f t="shared" si="0"/>
        <v>3647.6450000000004</v>
      </c>
      <c r="K57" s="3" t="s">
        <v>13</v>
      </c>
      <c r="L57" s="21">
        <v>1</v>
      </c>
      <c r="M57" s="19">
        <v>6</v>
      </c>
      <c r="N57" s="6">
        <v>8</v>
      </c>
      <c r="O57" s="6">
        <v>5</v>
      </c>
      <c r="P57" s="22">
        <v>6</v>
      </c>
      <c r="Q57" s="6">
        <v>0</v>
      </c>
      <c r="R57" s="6">
        <v>4</v>
      </c>
      <c r="S57" s="6">
        <f t="shared" si="1"/>
        <v>29</v>
      </c>
      <c r="U57" s="3" t="s">
        <v>13</v>
      </c>
      <c r="V57" s="3">
        <v>29</v>
      </c>
      <c r="W57" s="3">
        <v>3647.6450000000004</v>
      </c>
      <c r="X57" s="8">
        <f t="shared" si="2"/>
        <v>125.78086206896553</v>
      </c>
    </row>
    <row r="58" spans="1:24" x14ac:dyDescent="0.3">
      <c r="A58" s="3" t="s">
        <v>13</v>
      </c>
      <c r="B58" s="21">
        <v>2</v>
      </c>
      <c r="C58" s="19">
        <f>SUM(128.9,159.2,142.9,114,149.8,105.7)</f>
        <v>800.5</v>
      </c>
      <c r="D58" s="6">
        <f>SUM(132,134,112.6,97.6,103.2,118,132.2)</f>
        <v>829.60000000000014</v>
      </c>
      <c r="E58" s="3">
        <f>SUM(145.2,143.2,107.1,157.6,154.3,86.5)</f>
        <v>793.90000000000009</v>
      </c>
      <c r="F58" s="22">
        <f>SUM(108,76,100,97,132,162)</f>
        <v>675</v>
      </c>
      <c r="G58" s="6">
        <v>0</v>
      </c>
      <c r="H58" s="6">
        <f>SUM(158,175.3)</f>
        <v>333.3</v>
      </c>
      <c r="I58" s="6">
        <f t="shared" si="0"/>
        <v>3432.3</v>
      </c>
      <c r="K58" s="3" t="s">
        <v>13</v>
      </c>
      <c r="L58" s="21">
        <v>2</v>
      </c>
      <c r="M58" s="19">
        <v>6</v>
      </c>
      <c r="N58" s="6">
        <v>7</v>
      </c>
      <c r="O58" s="6">
        <v>6</v>
      </c>
      <c r="P58" s="22">
        <v>6</v>
      </c>
      <c r="Q58" s="6">
        <v>0</v>
      </c>
      <c r="R58" s="6">
        <v>2</v>
      </c>
      <c r="S58" s="6">
        <f t="shared" si="1"/>
        <v>27</v>
      </c>
      <c r="U58" s="3" t="s">
        <v>13</v>
      </c>
      <c r="V58" s="3">
        <v>27</v>
      </c>
      <c r="W58" s="3">
        <v>3432.3</v>
      </c>
      <c r="X58" s="8">
        <f t="shared" si="2"/>
        <v>127.12222222222223</v>
      </c>
    </row>
    <row r="59" spans="1:24" x14ac:dyDescent="0.3">
      <c r="A59" s="3" t="s">
        <v>13</v>
      </c>
      <c r="B59" s="21">
        <v>3</v>
      </c>
      <c r="C59" s="19">
        <f>SUM(141.1118,144.2,117.7,30,128.1)</f>
        <v>561.1117999999999</v>
      </c>
      <c r="D59" s="6">
        <f>SUM(102.4,141.2,108.8,123.7)</f>
        <v>476.09999999999997</v>
      </c>
      <c r="E59" s="3">
        <f>SUM(163.9,165,188.1,117.9,174.9,88.2)</f>
        <v>898</v>
      </c>
      <c r="F59" s="22">
        <f>SUM(102,96,98,217,96,73)</f>
        <v>682</v>
      </c>
      <c r="G59" s="6">
        <f>SUM(142.4,81.2,134.7,145.8,85.11)</f>
        <v>589.21</v>
      </c>
      <c r="H59" s="6">
        <f>SUM(64.3,109.9,101)</f>
        <v>275.2</v>
      </c>
      <c r="I59" s="6">
        <f t="shared" si="0"/>
        <v>3481.6217999999999</v>
      </c>
      <c r="K59" s="3" t="s">
        <v>13</v>
      </c>
      <c r="L59" s="21">
        <v>3</v>
      </c>
      <c r="M59" s="19">
        <v>6</v>
      </c>
      <c r="N59" s="6">
        <v>4</v>
      </c>
      <c r="O59" s="6">
        <v>6</v>
      </c>
      <c r="P59" s="22">
        <v>6</v>
      </c>
      <c r="Q59" s="6">
        <v>5</v>
      </c>
      <c r="R59" s="6">
        <v>3</v>
      </c>
      <c r="S59" s="6">
        <f t="shared" si="1"/>
        <v>30</v>
      </c>
      <c r="U59" s="3" t="s">
        <v>13</v>
      </c>
      <c r="V59" s="3">
        <v>30</v>
      </c>
      <c r="W59" s="3">
        <v>3481.6217999999999</v>
      </c>
      <c r="X59" s="8">
        <f t="shared" si="2"/>
        <v>116.05405999999999</v>
      </c>
    </row>
    <row r="60" spans="1:24" x14ac:dyDescent="0.3">
      <c r="A60" s="3" t="s">
        <v>13</v>
      </c>
      <c r="B60" s="21">
        <v>1</v>
      </c>
      <c r="C60" s="19">
        <f>SUM(149.5,153.5,183.1,94.5,153.5,88.4,105.3,135.3,35.1)</f>
        <v>1098.1999999999998</v>
      </c>
      <c r="D60" s="6">
        <f>SUM(170,83.5,84.2,63.3,43.7,76.7,62.9,85.4,75.4,105.2)</f>
        <v>850.3</v>
      </c>
      <c r="E60" s="6">
        <f>SUM(232.4,200.7,127,137,109,92)</f>
        <v>898.1</v>
      </c>
      <c r="F60" s="22">
        <f>SUM(196.5,174.3,141.8,124,101,177)</f>
        <v>914.6</v>
      </c>
      <c r="G60" s="6">
        <f>SUM(168.3,142.4,105.1,110.1,89.3)</f>
        <v>615.20000000000005</v>
      </c>
      <c r="H60" s="6">
        <f>SUM(162,177.1,166.9,163.4,118.1,105,106.8,76.1)</f>
        <v>1075.3999999999999</v>
      </c>
      <c r="I60" s="6">
        <f t="shared" si="0"/>
        <v>5451.7999999999993</v>
      </c>
      <c r="K60" s="3" t="s">
        <v>13</v>
      </c>
      <c r="L60" s="21">
        <v>1</v>
      </c>
      <c r="M60" s="19">
        <v>9</v>
      </c>
      <c r="N60" s="6">
        <v>10</v>
      </c>
      <c r="O60" s="6">
        <v>6</v>
      </c>
      <c r="P60" s="22">
        <v>6</v>
      </c>
      <c r="Q60" s="6">
        <v>5</v>
      </c>
      <c r="R60" s="6">
        <v>7</v>
      </c>
      <c r="S60" s="6">
        <f t="shared" si="1"/>
        <v>43</v>
      </c>
      <c r="U60" s="3" t="s">
        <v>13</v>
      </c>
      <c r="V60" s="3">
        <v>43</v>
      </c>
      <c r="W60" s="3">
        <v>5451.7999999999993</v>
      </c>
      <c r="X60" s="8">
        <f t="shared" si="2"/>
        <v>126.78604651162789</v>
      </c>
    </row>
    <row r="61" spans="1:24" x14ac:dyDescent="0.3">
      <c r="A61" s="3" t="s">
        <v>13</v>
      </c>
      <c r="B61" s="21">
        <v>2</v>
      </c>
      <c r="C61" s="19">
        <f>SUM(106.7,122,105.4,124.1,127.5,131,123.7,124.3)</f>
        <v>964.7</v>
      </c>
      <c r="D61" s="6">
        <f>SUM(150,140,180,132.3,140,121,87.2,75.6)</f>
        <v>1026.0999999999999</v>
      </c>
      <c r="E61" s="6">
        <f>SUM(184.9,208.5,176.9,126.7,88.2,203.3,132.7,173)</f>
        <v>1294.2</v>
      </c>
      <c r="F61" s="22">
        <f>SUM(102.9,130.8,176,120,86,84)</f>
        <v>699.7</v>
      </c>
      <c r="G61" s="6">
        <f>SUM(105.6,108.7,95.3,115.2,113.2,99.4)</f>
        <v>637.4</v>
      </c>
      <c r="H61" s="6">
        <f>SUM(86,120.6,56.1)</f>
        <v>262.7</v>
      </c>
      <c r="I61" s="6">
        <f t="shared" si="0"/>
        <v>4884.7999999999993</v>
      </c>
      <c r="K61" s="3" t="s">
        <v>13</v>
      </c>
      <c r="L61" s="21">
        <v>2</v>
      </c>
      <c r="M61" s="19">
        <v>8</v>
      </c>
      <c r="N61" s="6">
        <v>8</v>
      </c>
      <c r="O61" s="6">
        <v>8</v>
      </c>
      <c r="P61" s="22">
        <v>6</v>
      </c>
      <c r="Q61" s="6">
        <v>8</v>
      </c>
      <c r="R61" s="6">
        <v>3</v>
      </c>
      <c r="S61" s="6">
        <f t="shared" si="1"/>
        <v>41</v>
      </c>
      <c r="U61" s="3" t="s">
        <v>13</v>
      </c>
      <c r="V61" s="3">
        <v>41</v>
      </c>
      <c r="W61" s="3">
        <v>4884.7999999999993</v>
      </c>
      <c r="X61" s="8">
        <f t="shared" si="2"/>
        <v>119.14146341463413</v>
      </c>
    </row>
    <row r="62" spans="1:24" x14ac:dyDescent="0.3">
      <c r="A62" s="3" t="s">
        <v>13</v>
      </c>
      <c r="B62" s="21">
        <v>3</v>
      </c>
      <c r="C62" s="19">
        <f>SUM(53.3,109.7,125.2,107,105.7,119.3,119.3)</f>
        <v>739.49999999999989</v>
      </c>
      <c r="D62" s="6">
        <f>SUM(98,98,140,150,117,128,803,43,92)</f>
        <v>1669</v>
      </c>
      <c r="E62" s="6">
        <f>SUM(132.5,127.3,199,131,267.3,267.3)</f>
        <v>1124.3999999999999</v>
      </c>
      <c r="F62" s="22">
        <f>SUM(82,77,138,11,180,110)</f>
        <v>598</v>
      </c>
      <c r="G62" s="6">
        <f>SUM(11.1,151,92.3,172,99.3)</f>
        <v>525.69999999999993</v>
      </c>
      <c r="H62" s="6">
        <f>SUM(104,107,106.6)</f>
        <v>317.60000000000002</v>
      </c>
      <c r="I62" s="6">
        <f t="shared" si="0"/>
        <v>4974.2</v>
      </c>
      <c r="K62" s="3" t="s">
        <v>13</v>
      </c>
      <c r="L62" s="21">
        <v>3</v>
      </c>
      <c r="M62" s="19">
        <v>7</v>
      </c>
      <c r="N62" s="6">
        <v>9</v>
      </c>
      <c r="O62" s="6">
        <v>6</v>
      </c>
      <c r="P62" s="22">
        <v>6</v>
      </c>
      <c r="Q62" s="6">
        <v>5</v>
      </c>
      <c r="R62" s="6">
        <v>4</v>
      </c>
      <c r="S62" s="6">
        <f t="shared" si="1"/>
        <v>37</v>
      </c>
      <c r="U62" s="3" t="s">
        <v>13</v>
      </c>
      <c r="V62" s="3">
        <v>37</v>
      </c>
      <c r="W62" s="3">
        <v>4974.2</v>
      </c>
      <c r="X62" s="8">
        <f t="shared" si="2"/>
        <v>134.43783783783783</v>
      </c>
    </row>
    <row r="63" spans="1:24" x14ac:dyDescent="0.3">
      <c r="A63" s="3" t="s">
        <v>14</v>
      </c>
      <c r="B63" s="21">
        <v>1</v>
      </c>
      <c r="C63" s="19">
        <f>SUM(108.1,24.6,50,83.8,122.2)</f>
        <v>388.7</v>
      </c>
      <c r="D63" s="6">
        <f>SUM(94.8,105.5,118.7,131.7,146.5,142.7,137.3,114.2,140.6,117.9)</f>
        <v>1249.9000000000001</v>
      </c>
      <c r="E63" s="6">
        <f>SUM(182.5,204.3,160.5,160.2,109.8,142.1,83.4,117.1,153)</f>
        <v>1312.8999999999999</v>
      </c>
      <c r="F63" s="22">
        <f>SUM(134.5,118.5,94,101.8,143.2,160,185)</f>
        <v>937</v>
      </c>
      <c r="G63" s="6">
        <v>0</v>
      </c>
      <c r="H63" s="6">
        <f>SUM(144,124.5,106.4,122.7,115.4)</f>
        <v>613</v>
      </c>
      <c r="I63" s="6">
        <f t="shared" si="0"/>
        <v>4501.5</v>
      </c>
      <c r="K63" s="3" t="s">
        <v>14</v>
      </c>
      <c r="L63" s="21">
        <v>1</v>
      </c>
      <c r="M63" s="19">
        <v>5</v>
      </c>
      <c r="N63" s="6">
        <v>10</v>
      </c>
      <c r="O63" s="6">
        <v>9</v>
      </c>
      <c r="P63" s="22">
        <v>7</v>
      </c>
      <c r="Q63" s="6">
        <v>0</v>
      </c>
      <c r="R63" s="6">
        <v>5</v>
      </c>
      <c r="S63" s="6">
        <f t="shared" si="1"/>
        <v>36</v>
      </c>
      <c r="U63" s="3" t="s">
        <v>14</v>
      </c>
      <c r="V63" s="3">
        <v>36</v>
      </c>
      <c r="W63" s="3">
        <v>4501.5</v>
      </c>
      <c r="X63" s="8">
        <f t="shared" si="2"/>
        <v>125.04166666666667</v>
      </c>
    </row>
    <row r="64" spans="1:24" x14ac:dyDescent="0.3">
      <c r="A64" s="3" t="s">
        <v>14</v>
      </c>
      <c r="B64" s="21">
        <v>2</v>
      </c>
      <c r="C64" s="19">
        <f>SUM(148.7,131.8,145.2,131,133.9,150.6)</f>
        <v>841.2</v>
      </c>
      <c r="D64" s="6">
        <v>0</v>
      </c>
      <c r="E64" s="6">
        <f>SUM(200.2,194.9,64.3,193.4,54.6,212.8,144.3,109.7,172.2)</f>
        <v>1346.4</v>
      </c>
      <c r="F64" s="22">
        <f>SUM(152,89,87,178,119,70)</f>
        <v>695</v>
      </c>
      <c r="G64" s="6">
        <f>SUM(101.4,146.8,70.2,92.4,97.7)</f>
        <v>508.50000000000006</v>
      </c>
      <c r="H64" s="6">
        <f>SUM(138.9,100,63.6,94.6,71.1)</f>
        <v>468.20000000000005</v>
      </c>
      <c r="I64" s="6">
        <f t="shared" si="0"/>
        <v>3859.3</v>
      </c>
      <c r="K64" s="3" t="s">
        <v>14</v>
      </c>
      <c r="L64" s="21">
        <v>2</v>
      </c>
      <c r="M64" s="19">
        <v>7</v>
      </c>
      <c r="N64" s="6">
        <v>0</v>
      </c>
      <c r="O64" s="6">
        <v>9</v>
      </c>
      <c r="P64" s="22">
        <v>6</v>
      </c>
      <c r="Q64" s="6">
        <v>5</v>
      </c>
      <c r="R64" s="6">
        <v>5</v>
      </c>
      <c r="S64" s="6">
        <f t="shared" si="1"/>
        <v>32</v>
      </c>
      <c r="U64" s="3" t="s">
        <v>14</v>
      </c>
      <c r="V64" s="3">
        <v>32</v>
      </c>
      <c r="W64" s="3">
        <v>3859.3</v>
      </c>
      <c r="X64" s="8">
        <f t="shared" si="2"/>
        <v>120.60312500000001</v>
      </c>
    </row>
    <row r="65" spans="1:24" x14ac:dyDescent="0.3">
      <c r="A65" s="3" t="s">
        <v>14</v>
      </c>
      <c r="B65" s="21">
        <v>3</v>
      </c>
      <c r="C65" s="19">
        <v>0</v>
      </c>
      <c r="D65" s="6">
        <f>SUM(148.7,78.9,130.4,151.2,169.4,179.4,135.4)</f>
        <v>993.4</v>
      </c>
      <c r="E65" s="6">
        <v>0</v>
      </c>
      <c r="F65" s="22">
        <f>SUM(134.5,118.5,94,101.8,143.2,160)</f>
        <v>752</v>
      </c>
      <c r="G65" s="6">
        <f>SUM(118.4,108.5,88.5,83,81.8,88.8)</f>
        <v>569</v>
      </c>
      <c r="H65" s="6">
        <v>0</v>
      </c>
      <c r="I65" s="6">
        <f t="shared" si="0"/>
        <v>2314.4</v>
      </c>
      <c r="K65" s="3" t="s">
        <v>14</v>
      </c>
      <c r="L65" s="21">
        <v>3</v>
      </c>
      <c r="M65" s="19">
        <v>0</v>
      </c>
      <c r="N65" s="6">
        <v>7</v>
      </c>
      <c r="O65" s="6">
        <v>0</v>
      </c>
      <c r="P65" s="22">
        <v>6</v>
      </c>
      <c r="Q65" s="6">
        <v>6</v>
      </c>
      <c r="R65" s="6">
        <v>0</v>
      </c>
      <c r="S65" s="6">
        <f t="shared" si="1"/>
        <v>19</v>
      </c>
      <c r="U65" s="3" t="s">
        <v>14</v>
      </c>
      <c r="V65" s="3">
        <v>19</v>
      </c>
      <c r="W65" s="3">
        <v>2314.4</v>
      </c>
      <c r="X65" s="8">
        <f t="shared" si="2"/>
        <v>121.81052631578947</v>
      </c>
    </row>
    <row r="66" spans="1:24" x14ac:dyDescent="0.3">
      <c r="A66" s="3" t="s">
        <v>14</v>
      </c>
      <c r="B66" s="21">
        <v>1</v>
      </c>
      <c r="C66" s="19">
        <f>SUM(111.1,123.6,125.4,136.6,97.2,130,145.3)</f>
        <v>869.2</v>
      </c>
      <c r="D66" s="6">
        <f>SUM(134.1,145.5,149.3,145.6,116.2,136.8,123.5,113.3)</f>
        <v>1064.3</v>
      </c>
      <c r="E66" s="6">
        <f>SUM(161.5,178.6,161.2,162.6,134.7,1873.6,109)</f>
        <v>2781.2</v>
      </c>
      <c r="F66" s="22">
        <f>SUM(168,156,100,13,104,107)</f>
        <v>648</v>
      </c>
      <c r="G66" s="6">
        <f>SUM(100.5,57,66.1,78.6,53.7)</f>
        <v>355.9</v>
      </c>
      <c r="H66" s="6">
        <f>SUM(83.7,58.2,112.6)</f>
        <v>254.5</v>
      </c>
      <c r="I66" s="6">
        <f t="shared" si="0"/>
        <v>5973.0999999999995</v>
      </c>
      <c r="K66" s="3" t="s">
        <v>14</v>
      </c>
      <c r="L66" s="21">
        <v>1</v>
      </c>
      <c r="M66" s="19">
        <v>7</v>
      </c>
      <c r="N66" s="6">
        <v>8</v>
      </c>
      <c r="O66" s="6">
        <v>7</v>
      </c>
      <c r="P66" s="22">
        <v>6</v>
      </c>
      <c r="Q66" s="6">
        <v>5</v>
      </c>
      <c r="R66" s="6">
        <v>3</v>
      </c>
      <c r="S66" s="6">
        <f t="shared" si="1"/>
        <v>36</v>
      </c>
      <c r="U66" s="3" t="s">
        <v>14</v>
      </c>
      <c r="V66" s="3">
        <v>36</v>
      </c>
      <c r="W66" s="3">
        <v>5973.0999999999995</v>
      </c>
      <c r="X66" s="8">
        <f t="shared" si="2"/>
        <v>165.91944444444442</v>
      </c>
    </row>
    <row r="67" spans="1:24" x14ac:dyDescent="0.3">
      <c r="A67" s="3" t="s">
        <v>14</v>
      </c>
      <c r="B67" s="21">
        <v>2</v>
      </c>
      <c r="C67" s="19">
        <f>SUM(111,96.1)</f>
        <v>207.1</v>
      </c>
      <c r="D67" s="6">
        <f>SUM(150.4,140.6,121.2,110.7,131.7,93.1,132.5,55.1)</f>
        <v>935.3</v>
      </c>
      <c r="E67" s="6">
        <f>SUM(175.7,190.3,164.2,102.4,97.2,120,109,137.2)</f>
        <v>1096</v>
      </c>
      <c r="F67" s="22">
        <f>SUM(99,76,103,209,153,166,136)</f>
        <v>942</v>
      </c>
      <c r="G67" s="6">
        <f>SUM(93.5,115.11,121.7,123.3,117.7)</f>
        <v>571.31000000000006</v>
      </c>
      <c r="H67" s="6">
        <v>0</v>
      </c>
      <c r="I67" s="6">
        <f t="shared" si="0"/>
        <v>3751.7099999999996</v>
      </c>
      <c r="K67" s="3" t="s">
        <v>14</v>
      </c>
      <c r="L67" s="21">
        <v>2</v>
      </c>
      <c r="M67" s="19">
        <v>2</v>
      </c>
      <c r="N67" s="6">
        <v>8</v>
      </c>
      <c r="O67" s="6">
        <v>8</v>
      </c>
      <c r="P67" s="22">
        <v>6</v>
      </c>
      <c r="Q67" s="6">
        <v>5</v>
      </c>
      <c r="R67" s="6">
        <v>0</v>
      </c>
      <c r="S67" s="6">
        <f t="shared" si="1"/>
        <v>29</v>
      </c>
      <c r="U67" s="3" t="s">
        <v>14</v>
      </c>
      <c r="V67" s="3">
        <v>29</v>
      </c>
      <c r="W67" s="3">
        <v>3751.7099999999996</v>
      </c>
      <c r="X67" s="8">
        <f t="shared" si="2"/>
        <v>129.36931034482757</v>
      </c>
    </row>
    <row r="68" spans="1:24" x14ac:dyDescent="0.3">
      <c r="A68" s="3" t="s">
        <v>14</v>
      </c>
      <c r="B68" s="21">
        <v>3</v>
      </c>
      <c r="C68" s="19">
        <f>SUM(118,85.6,119.7,124.9,128.3,23.1,117.7,134.2)</f>
        <v>851.5</v>
      </c>
      <c r="D68" s="6">
        <f>SUM(106.1,109.5,95.2,106.3,77.5,135.8)</f>
        <v>630.40000000000009</v>
      </c>
      <c r="E68" s="6">
        <f>SUM(120.1,195.2,197.5,178.7,205.9,122.8,173.2,219.7,159.7)</f>
        <v>1572.8</v>
      </c>
      <c r="F68" s="22">
        <f>SUM(168,97,144,155,155,197)</f>
        <v>916</v>
      </c>
      <c r="G68" s="6">
        <f>SUM(78.2,139,133.6,128.3,127.3,81.7,126.9,88.4,101.4,104.2,101.1,93,82.7,92.6)</f>
        <v>1478.3999999999999</v>
      </c>
      <c r="H68" s="6">
        <v>0</v>
      </c>
      <c r="I68" s="6">
        <f t="shared" ref="I68:I77" si="3">SUM(C68:H68)</f>
        <v>5449.0999999999995</v>
      </c>
      <c r="K68" s="3" t="s">
        <v>14</v>
      </c>
      <c r="L68" s="21">
        <v>3</v>
      </c>
      <c r="M68" s="19">
        <v>8</v>
      </c>
      <c r="N68" s="6">
        <v>6</v>
      </c>
      <c r="O68" s="6">
        <v>9</v>
      </c>
      <c r="P68" s="22">
        <v>6</v>
      </c>
      <c r="Q68" s="6">
        <v>14</v>
      </c>
      <c r="R68" s="6">
        <v>0</v>
      </c>
      <c r="S68" s="6">
        <f t="shared" ref="S68:S77" si="4">SUM(M68:R68)</f>
        <v>43</v>
      </c>
      <c r="U68" s="3" t="s">
        <v>14</v>
      </c>
      <c r="V68" s="3">
        <v>43</v>
      </c>
      <c r="W68" s="3">
        <v>5449.0999999999995</v>
      </c>
      <c r="X68" s="8">
        <f t="shared" ref="X68:X77" si="5">W68/V68</f>
        <v>126.72325581395347</v>
      </c>
    </row>
    <row r="69" spans="1:24" x14ac:dyDescent="0.3">
      <c r="A69" s="3" t="s">
        <v>14</v>
      </c>
      <c r="B69" s="21">
        <v>1</v>
      </c>
      <c r="C69" s="19">
        <f>SUM(121.9,110.8,119.9,81.5)</f>
        <v>434.1</v>
      </c>
      <c r="D69" s="6">
        <f>SUM(125,104.6,150,128,133.7,96,116.6,129.3,129)</f>
        <v>1112.2</v>
      </c>
      <c r="E69" s="6">
        <f>SUM(175.1,164.6,112.6136,164.9,136.8,79.1,174.3)</f>
        <v>1007.4136000000001</v>
      </c>
      <c r="F69" s="22">
        <f>SUM(123,87,71,148,85,183)</f>
        <v>697</v>
      </c>
      <c r="G69" s="6">
        <v>0</v>
      </c>
      <c r="H69" s="6">
        <v>0</v>
      </c>
      <c r="I69" s="6">
        <f t="shared" si="3"/>
        <v>3250.7136</v>
      </c>
      <c r="K69" s="3" t="s">
        <v>14</v>
      </c>
      <c r="L69" s="21">
        <v>1</v>
      </c>
      <c r="M69" s="19">
        <v>4</v>
      </c>
      <c r="N69" s="6">
        <v>9</v>
      </c>
      <c r="O69" s="6">
        <v>8</v>
      </c>
      <c r="P69" s="22">
        <v>6</v>
      </c>
      <c r="Q69" s="6">
        <v>0</v>
      </c>
      <c r="R69" s="6">
        <v>0</v>
      </c>
      <c r="S69" s="6">
        <f t="shared" si="4"/>
        <v>27</v>
      </c>
      <c r="U69" s="3" t="s">
        <v>14</v>
      </c>
      <c r="V69" s="3">
        <v>27</v>
      </c>
      <c r="W69" s="3">
        <v>3250.7136</v>
      </c>
      <c r="X69" s="8">
        <f t="shared" si="5"/>
        <v>120.3968</v>
      </c>
    </row>
    <row r="70" spans="1:24" x14ac:dyDescent="0.3">
      <c r="A70" s="3" t="s">
        <v>14</v>
      </c>
      <c r="B70" s="21">
        <v>2</v>
      </c>
      <c r="C70" s="19">
        <f>SUM(126.3,123.9,109.7,125,101.7,105.9,127.5)</f>
        <v>820</v>
      </c>
      <c r="D70" s="6">
        <f>SUM(137,172.9,113.6,142.9,69.8,130.6,153,140,159)</f>
        <v>1218.8</v>
      </c>
      <c r="E70" s="6">
        <f>SUM(170,185.6,170.6,187.2,180.1,171.5,134.8,136)</f>
        <v>1335.8</v>
      </c>
      <c r="F70" s="22">
        <f>SUM(102,71,125,162,139,100)</f>
        <v>699</v>
      </c>
      <c r="G70" s="6">
        <v>0</v>
      </c>
      <c r="H70" s="6">
        <v>0</v>
      </c>
      <c r="I70" s="6">
        <f t="shared" si="3"/>
        <v>4073.6</v>
      </c>
      <c r="K70" s="3" t="s">
        <v>14</v>
      </c>
      <c r="L70" s="21">
        <v>2</v>
      </c>
      <c r="M70" s="19">
        <v>7</v>
      </c>
      <c r="N70" s="6">
        <v>9</v>
      </c>
      <c r="O70" s="6">
        <v>8</v>
      </c>
      <c r="P70" s="22">
        <v>6</v>
      </c>
      <c r="Q70" s="6">
        <v>0</v>
      </c>
      <c r="R70" s="6">
        <v>0</v>
      </c>
      <c r="S70" s="6">
        <f t="shared" si="4"/>
        <v>30</v>
      </c>
      <c r="U70" s="3" t="s">
        <v>14</v>
      </c>
      <c r="V70" s="3">
        <v>30</v>
      </c>
      <c r="W70" s="3">
        <v>4073.6</v>
      </c>
      <c r="X70" s="8">
        <f t="shared" si="5"/>
        <v>135.78666666666666</v>
      </c>
    </row>
    <row r="71" spans="1:24" x14ac:dyDescent="0.3">
      <c r="A71" s="3" t="s">
        <v>14</v>
      </c>
      <c r="B71" s="21">
        <v>3</v>
      </c>
      <c r="C71" s="19">
        <f>SUM(65.4,110,103.2,145.2,140.7,128.9,130.2,58.8,122.6)</f>
        <v>1004.9999999999999</v>
      </c>
      <c r="D71" s="6">
        <f>SUM(77.6,135.8,97.4,136.7,152,136.5,98.8,170)</f>
        <v>1004.8</v>
      </c>
      <c r="E71" s="6">
        <v>0</v>
      </c>
      <c r="F71" s="22">
        <f>SUM(196,138,178,92,216)</f>
        <v>820</v>
      </c>
      <c r="G71" s="6">
        <v>0</v>
      </c>
      <c r="H71" s="6">
        <v>0</v>
      </c>
      <c r="I71" s="6">
        <f t="shared" si="3"/>
        <v>2829.7999999999997</v>
      </c>
      <c r="K71" s="3" t="s">
        <v>14</v>
      </c>
      <c r="L71" s="21">
        <v>3</v>
      </c>
      <c r="M71" s="19">
        <v>9</v>
      </c>
      <c r="N71" s="6">
        <v>8</v>
      </c>
      <c r="O71" s="6">
        <v>0</v>
      </c>
      <c r="P71" s="22">
        <v>6</v>
      </c>
      <c r="Q71" s="6">
        <v>0</v>
      </c>
      <c r="R71" s="6">
        <v>0</v>
      </c>
      <c r="S71" s="6">
        <f t="shared" si="4"/>
        <v>23</v>
      </c>
      <c r="U71" s="3" t="s">
        <v>14</v>
      </c>
      <c r="V71" s="3">
        <v>23</v>
      </c>
      <c r="W71" s="3">
        <v>2829.7999999999997</v>
      </c>
      <c r="X71" s="8">
        <f t="shared" si="5"/>
        <v>123.03478260869564</v>
      </c>
    </row>
    <row r="72" spans="1:24" x14ac:dyDescent="0.3">
      <c r="A72" s="3" t="s">
        <v>14</v>
      </c>
      <c r="B72" s="21">
        <v>1</v>
      </c>
      <c r="C72" s="19">
        <f>SUM(89.6,120.4,112.5,126.4,113.4,116.1,34.7,128.4)</f>
        <v>841.5</v>
      </c>
      <c r="D72" s="6">
        <f>SUM(135.4,157.7,160,184.6,107.8,38.4,69.6,51.4,58.6)</f>
        <v>963.5</v>
      </c>
      <c r="E72" s="6">
        <f>SUM(165.4,165,188.1,117.4,179.9,88.2)</f>
        <v>904</v>
      </c>
      <c r="F72" s="22">
        <f>SUM(123,129,70,63,89,129)</f>
        <v>603</v>
      </c>
      <c r="G72" s="3">
        <f>SUM(85.8,163.3,119.6,163.1,169.7,163.1,150)</f>
        <v>1014.6</v>
      </c>
      <c r="H72" s="6">
        <f>SUM(126.7,152.5)</f>
        <v>279.2</v>
      </c>
      <c r="I72" s="6">
        <f t="shared" si="3"/>
        <v>4605.8</v>
      </c>
      <c r="K72" s="3" t="s">
        <v>14</v>
      </c>
      <c r="L72" s="21">
        <v>1</v>
      </c>
      <c r="M72" s="19">
        <v>8</v>
      </c>
      <c r="N72" s="6">
        <v>9</v>
      </c>
      <c r="O72" s="6">
        <v>6</v>
      </c>
      <c r="P72" s="22">
        <v>6</v>
      </c>
      <c r="Q72" s="6">
        <v>7</v>
      </c>
      <c r="R72" s="6">
        <v>2</v>
      </c>
      <c r="S72" s="6">
        <f t="shared" si="4"/>
        <v>38</v>
      </c>
      <c r="U72" s="3" t="s">
        <v>14</v>
      </c>
      <c r="V72" s="3">
        <v>38</v>
      </c>
      <c r="W72" s="3">
        <v>4605.8</v>
      </c>
      <c r="X72" s="8">
        <f t="shared" si="5"/>
        <v>121.20526315789475</v>
      </c>
    </row>
    <row r="73" spans="1:24" x14ac:dyDescent="0.3">
      <c r="A73" s="3" t="s">
        <v>14</v>
      </c>
      <c r="B73" s="21">
        <v>2</v>
      </c>
      <c r="C73" s="19">
        <f>SUM(118.8,148.5,125.4,150.6,136.5,146.6,135.2,134.7)</f>
        <v>1096.3000000000002</v>
      </c>
      <c r="D73" s="6">
        <f>SUM(88,54.1,121.4,138.1,133.4,29.7,58,77.6,127.8,130.3,51)</f>
        <v>1009.4000000000001</v>
      </c>
      <c r="E73" s="6">
        <v>0</v>
      </c>
      <c r="F73" s="22">
        <f>SUM(129,97,152,80,56,69)</f>
        <v>583</v>
      </c>
      <c r="G73" s="3">
        <f>SUM(119,178.6,137.4,123.9,107.1,68.9,84.8,84.9,95.5)</f>
        <v>1000.0999999999999</v>
      </c>
      <c r="H73" s="6">
        <f>SUM(132.3,197.1,109.9)</f>
        <v>439.29999999999995</v>
      </c>
      <c r="I73" s="6">
        <f t="shared" si="3"/>
        <v>4128.1000000000004</v>
      </c>
      <c r="K73" s="3" t="s">
        <v>14</v>
      </c>
      <c r="L73" s="21">
        <v>2</v>
      </c>
      <c r="M73" s="19">
        <v>8</v>
      </c>
      <c r="N73" s="6">
        <v>9</v>
      </c>
      <c r="O73" s="6">
        <v>0</v>
      </c>
      <c r="P73" s="22">
        <v>6</v>
      </c>
      <c r="Q73" s="6">
        <v>9</v>
      </c>
      <c r="R73" s="6">
        <v>3</v>
      </c>
      <c r="S73" s="6">
        <f t="shared" si="4"/>
        <v>35</v>
      </c>
      <c r="U73" s="3" t="s">
        <v>14</v>
      </c>
      <c r="V73" s="3">
        <v>35</v>
      </c>
      <c r="W73" s="3">
        <v>4128.1000000000004</v>
      </c>
      <c r="X73" s="8">
        <f t="shared" si="5"/>
        <v>117.9457142857143</v>
      </c>
    </row>
    <row r="74" spans="1:24" x14ac:dyDescent="0.3">
      <c r="A74" s="3" t="s">
        <v>14</v>
      </c>
      <c r="B74" s="21">
        <v>3</v>
      </c>
      <c r="C74" s="19">
        <f>SUM(123.8,156.7,156.2,120.4,127.7,149.3)</f>
        <v>834.10000000000014</v>
      </c>
      <c r="D74" s="6">
        <f>SUM(190,165,25.55)</f>
        <v>380.55</v>
      </c>
      <c r="E74" s="6">
        <v>0</v>
      </c>
      <c r="F74" s="22">
        <f>SUM(84,137,57,60,39,33)</f>
        <v>410</v>
      </c>
      <c r="G74" s="6">
        <f>SUM(186.2,141.8,164.7,153.3,120,95)</f>
        <v>861</v>
      </c>
      <c r="H74" s="6">
        <f>SUM(100.6,190,92.1)</f>
        <v>382.70000000000005</v>
      </c>
      <c r="I74" s="6">
        <f t="shared" si="3"/>
        <v>2868.3500000000004</v>
      </c>
      <c r="K74" s="3" t="s">
        <v>14</v>
      </c>
      <c r="L74" s="21">
        <v>3</v>
      </c>
      <c r="M74" s="19">
        <v>6</v>
      </c>
      <c r="N74" s="6">
        <v>8</v>
      </c>
      <c r="O74" s="6">
        <v>0</v>
      </c>
      <c r="P74" s="22">
        <v>6</v>
      </c>
      <c r="Q74" s="6">
        <v>6</v>
      </c>
      <c r="R74" s="6">
        <v>3</v>
      </c>
      <c r="S74" s="6">
        <f t="shared" si="4"/>
        <v>29</v>
      </c>
      <c r="U74" s="3" t="s">
        <v>14</v>
      </c>
      <c r="V74" s="3">
        <v>29</v>
      </c>
      <c r="W74" s="3">
        <v>2868.3500000000004</v>
      </c>
      <c r="X74" s="8">
        <f t="shared" si="5"/>
        <v>98.90862068965518</v>
      </c>
    </row>
    <row r="75" spans="1:24" x14ac:dyDescent="0.3">
      <c r="A75" s="3" t="s">
        <v>14</v>
      </c>
      <c r="B75" s="21">
        <v>1</v>
      </c>
      <c r="C75" s="19">
        <f>SUM(157.4,118.7,124.9,71.4,122,149.6,116.6,140.3,46.2)</f>
        <v>1047.1000000000001</v>
      </c>
      <c r="D75" s="6">
        <f>SUM(77.4,159.9,52,137,136.3,177.6,63,158.2,163.4)</f>
        <v>1124.8000000000002</v>
      </c>
      <c r="E75" s="6">
        <f>SUM(152.9,167.7,135.3,188.2,157.6,150.5,172)</f>
        <v>1124.2</v>
      </c>
      <c r="F75" s="22">
        <f>SUM(123,90,82,54,99,99)</f>
        <v>547</v>
      </c>
      <c r="G75" s="6">
        <f>SUM(104.9,103.9)</f>
        <v>208.8</v>
      </c>
      <c r="H75" s="6">
        <v>0</v>
      </c>
      <c r="I75" s="6">
        <f t="shared" si="3"/>
        <v>4051.9000000000005</v>
      </c>
      <c r="K75" s="3" t="s">
        <v>14</v>
      </c>
      <c r="L75" s="21">
        <v>1</v>
      </c>
      <c r="M75" s="19">
        <v>9</v>
      </c>
      <c r="N75" s="6">
        <v>9</v>
      </c>
      <c r="O75" s="6">
        <v>7</v>
      </c>
      <c r="P75" s="22">
        <v>6</v>
      </c>
      <c r="Q75" s="6">
        <v>2</v>
      </c>
      <c r="R75" s="6">
        <v>0</v>
      </c>
      <c r="S75" s="6">
        <f t="shared" si="4"/>
        <v>33</v>
      </c>
      <c r="U75" s="3" t="s">
        <v>14</v>
      </c>
      <c r="V75" s="3">
        <v>33</v>
      </c>
      <c r="W75" s="3">
        <v>4051.9000000000005</v>
      </c>
      <c r="X75" s="8">
        <f t="shared" si="5"/>
        <v>122.7848484848485</v>
      </c>
    </row>
    <row r="76" spans="1:24" x14ac:dyDescent="0.3">
      <c r="A76" s="3" t="s">
        <v>14</v>
      </c>
      <c r="B76" s="21">
        <v>2</v>
      </c>
      <c r="C76" s="19">
        <f>SUM(136,166.8,150.8,75.1,130.3,90.3,161.8)</f>
        <v>911.09999999999991</v>
      </c>
      <c r="D76" s="6">
        <f>SUM(117.7,120.1,141.4,170,163.4,170,163.7,86.6,136.7,101.2)</f>
        <v>1370.8</v>
      </c>
      <c r="E76" s="6">
        <f>SUM(179,186.5,179.8,1820.8,181.2,80)</f>
        <v>2627.2999999999997</v>
      </c>
      <c r="F76" s="22">
        <f>SUM(125,152,167,155,174,111)</f>
        <v>884</v>
      </c>
      <c r="G76" s="6">
        <f>SUM(119.2,139.6,165.8,122.6,126.8)</f>
        <v>674</v>
      </c>
      <c r="H76" s="6">
        <f>SUM(168,154.3,123.2,104.3)</f>
        <v>549.79999999999995</v>
      </c>
      <c r="I76" s="6">
        <f t="shared" si="3"/>
        <v>7016.9999999999991</v>
      </c>
      <c r="K76" s="3" t="s">
        <v>14</v>
      </c>
      <c r="L76" s="21">
        <v>2</v>
      </c>
      <c r="M76" s="19">
        <v>7</v>
      </c>
      <c r="N76" s="6">
        <v>11</v>
      </c>
      <c r="O76" s="6">
        <v>6</v>
      </c>
      <c r="P76" s="22">
        <v>6</v>
      </c>
      <c r="Q76" s="6">
        <v>5</v>
      </c>
      <c r="R76" s="6">
        <v>4</v>
      </c>
      <c r="S76" s="6">
        <f t="shared" si="4"/>
        <v>39</v>
      </c>
      <c r="U76" s="3" t="s">
        <v>14</v>
      </c>
      <c r="V76" s="3">
        <v>39</v>
      </c>
      <c r="W76" s="3">
        <v>7016.9999999999991</v>
      </c>
      <c r="X76" s="8">
        <f t="shared" si="5"/>
        <v>179.92307692307691</v>
      </c>
    </row>
    <row r="77" spans="1:24" x14ac:dyDescent="0.3">
      <c r="A77" s="3" t="s">
        <v>14</v>
      </c>
      <c r="B77" s="21">
        <v>3</v>
      </c>
      <c r="C77" s="19">
        <f>SUM(110,122.2,129,137,150,108.7,75.9)</f>
        <v>832.80000000000007</v>
      </c>
      <c r="D77" s="6">
        <f>SUM(135.7,145.4,141.3,146.2,141.5,132.9)</f>
        <v>843</v>
      </c>
      <c r="E77" s="6">
        <f>SUM(198.4,187,150.5,86,151.8,102)</f>
        <v>875.7</v>
      </c>
      <c r="F77" s="22">
        <f>SUM(156,158,141,159,160,115)</f>
        <v>889</v>
      </c>
      <c r="G77" s="6">
        <f>SUM(102.6,175.1,170.2,115.9,120.5)</f>
        <v>684.3</v>
      </c>
      <c r="H77" s="6">
        <f>SUM(104.7,89.8)</f>
        <v>194.5</v>
      </c>
      <c r="I77" s="6">
        <f t="shared" si="3"/>
        <v>4319.3</v>
      </c>
      <c r="K77" s="3" t="s">
        <v>14</v>
      </c>
      <c r="L77" s="21">
        <v>3</v>
      </c>
      <c r="M77" s="19">
        <v>7</v>
      </c>
      <c r="N77" s="6">
        <v>3</v>
      </c>
      <c r="O77" s="6">
        <v>6</v>
      </c>
      <c r="P77" s="22">
        <v>6</v>
      </c>
      <c r="Q77" s="6">
        <v>5</v>
      </c>
      <c r="R77" s="6">
        <v>2</v>
      </c>
      <c r="S77" s="6">
        <f t="shared" si="4"/>
        <v>29</v>
      </c>
      <c r="U77" s="3" t="s">
        <v>14</v>
      </c>
      <c r="V77" s="3">
        <v>29</v>
      </c>
      <c r="W77" s="3">
        <v>4319.3</v>
      </c>
      <c r="X77" s="8">
        <f t="shared" si="5"/>
        <v>148.94137931034484</v>
      </c>
    </row>
  </sheetData>
  <mergeCells count="3">
    <mergeCell ref="A1:I1"/>
    <mergeCell ref="K1:S1"/>
    <mergeCell ref="U1:X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BBB9-728F-42D4-8953-86DD8E168B2A}">
  <dimension ref="A1:G126"/>
  <sheetViews>
    <sheetView zoomScale="70" zoomScaleNormal="70" workbookViewId="0">
      <selection activeCell="B1" sqref="B1"/>
    </sheetView>
  </sheetViews>
  <sheetFormatPr baseColWidth="10" defaultRowHeight="14.4" x14ac:dyDescent="0.3"/>
  <cols>
    <col min="2" max="2" width="14.33203125" customWidth="1"/>
    <col min="7" max="7" width="14.88671875" customWidth="1"/>
  </cols>
  <sheetData>
    <row r="1" spans="1:7" ht="27.75" customHeight="1" x14ac:dyDescent="0.3">
      <c r="A1" s="14" t="s">
        <v>11</v>
      </c>
      <c r="B1" s="14" t="s">
        <v>17</v>
      </c>
      <c r="C1" s="14" t="s">
        <v>27</v>
      </c>
      <c r="D1" s="14" t="s">
        <v>10</v>
      </c>
      <c r="E1" s="14" t="s">
        <v>7</v>
      </c>
      <c r="F1" s="14" t="s">
        <v>8</v>
      </c>
      <c r="G1" s="13" t="s">
        <v>9</v>
      </c>
    </row>
    <row r="2" spans="1:7" x14ac:dyDescent="0.3">
      <c r="A2" s="10">
        <v>45</v>
      </c>
      <c r="B2" s="10" t="s">
        <v>12</v>
      </c>
      <c r="C2" s="10">
        <v>1</v>
      </c>
      <c r="D2" s="10">
        <v>1</v>
      </c>
      <c r="E2" s="5">
        <v>1.7018340000000003</v>
      </c>
      <c r="F2" s="5">
        <v>48.931612903225798</v>
      </c>
      <c r="G2" s="5">
        <v>2.804142387785669</v>
      </c>
    </row>
    <row r="3" spans="1:7" x14ac:dyDescent="0.3">
      <c r="A3" s="10">
        <v>45</v>
      </c>
      <c r="B3" s="10" t="s">
        <v>12</v>
      </c>
      <c r="C3" s="10">
        <v>2</v>
      </c>
      <c r="D3" s="10">
        <v>2</v>
      </c>
      <c r="E3" s="5">
        <v>1.8211419999999996</v>
      </c>
      <c r="F3" s="5">
        <v>44.841806451612889</v>
      </c>
      <c r="G3" s="5">
        <v>2.9706752186307193</v>
      </c>
    </row>
    <row r="4" spans="1:7" x14ac:dyDescent="0.3">
      <c r="A4" s="10">
        <v>45</v>
      </c>
      <c r="B4" s="10" t="s">
        <v>12</v>
      </c>
      <c r="C4" s="10">
        <v>3</v>
      </c>
      <c r="D4" s="10">
        <v>3</v>
      </c>
      <c r="E4" s="5">
        <v>1.8722740000000002</v>
      </c>
      <c r="F4" s="5">
        <v>46.59458064516128</v>
      </c>
      <c r="G4" s="5">
        <v>2.9587800164275015</v>
      </c>
    </row>
    <row r="5" spans="1:7" x14ac:dyDescent="0.3">
      <c r="A5" s="10">
        <v>45</v>
      </c>
      <c r="B5" s="10" t="s">
        <v>12</v>
      </c>
      <c r="C5" s="10">
        <v>4</v>
      </c>
      <c r="D5" s="10">
        <v>4</v>
      </c>
      <c r="E5" s="5">
        <v>1.1052939999999998</v>
      </c>
      <c r="F5" s="5">
        <v>43.381161290322581</v>
      </c>
      <c r="G5" s="5">
        <v>2.9587800164275015</v>
      </c>
    </row>
    <row r="6" spans="1:7" x14ac:dyDescent="0.3">
      <c r="A6" s="10">
        <v>45</v>
      </c>
      <c r="B6" s="10" t="s">
        <v>12</v>
      </c>
      <c r="C6" s="10">
        <v>5</v>
      </c>
      <c r="D6" s="10">
        <v>5</v>
      </c>
      <c r="E6" s="5">
        <v>1.1393820000000001</v>
      </c>
      <c r="F6" s="5">
        <v>37.100387096774199</v>
      </c>
      <c r="G6" s="5">
        <v>2.8993040054114121</v>
      </c>
    </row>
    <row r="7" spans="1:7" x14ac:dyDescent="0.3">
      <c r="A7" s="10">
        <v>45</v>
      </c>
      <c r="B7" s="10" t="s">
        <v>13</v>
      </c>
      <c r="C7" s="10">
        <v>1</v>
      </c>
      <c r="D7" s="10">
        <v>6</v>
      </c>
      <c r="E7" s="5">
        <v>1.7529659999999998</v>
      </c>
      <c r="F7" s="5">
        <v>58.864000000000026</v>
      </c>
      <c r="G7" s="5">
        <v>3.6130161376044834</v>
      </c>
    </row>
    <row r="8" spans="1:7" x14ac:dyDescent="0.3">
      <c r="A8" s="10">
        <v>45</v>
      </c>
      <c r="B8" s="10" t="s">
        <v>13</v>
      </c>
      <c r="C8" s="10">
        <v>2</v>
      </c>
      <c r="D8" s="10">
        <v>7</v>
      </c>
      <c r="E8" s="5">
        <v>2.9119579999999998</v>
      </c>
      <c r="F8" s="5">
        <v>61.931354838709666</v>
      </c>
      <c r="G8" s="5">
        <v>3.9698722037010192</v>
      </c>
    </row>
    <row r="9" spans="1:7" x14ac:dyDescent="0.3">
      <c r="A9" s="10">
        <v>45</v>
      </c>
      <c r="B9" s="10" t="s">
        <v>13</v>
      </c>
      <c r="C9" s="10">
        <v>3</v>
      </c>
      <c r="D9" s="10">
        <v>8</v>
      </c>
      <c r="E9" s="5">
        <v>2.7756059999999998</v>
      </c>
      <c r="F9" s="5">
        <v>25.853419354838739</v>
      </c>
      <c r="G9" s="5">
        <v>3.5654353287916121</v>
      </c>
    </row>
    <row r="10" spans="1:7" x14ac:dyDescent="0.3">
      <c r="A10" s="10">
        <v>45</v>
      </c>
      <c r="B10" s="10" t="s">
        <v>13</v>
      </c>
      <c r="C10" s="10">
        <v>4</v>
      </c>
      <c r="D10" s="10">
        <v>9</v>
      </c>
      <c r="E10" s="5">
        <v>2.6051659999999996</v>
      </c>
      <c r="F10" s="5">
        <v>46.302451612903234</v>
      </c>
      <c r="G10" s="5">
        <v>3.5773305309948293</v>
      </c>
    </row>
    <row r="11" spans="1:7" x14ac:dyDescent="0.3">
      <c r="A11" s="10">
        <v>45</v>
      </c>
      <c r="B11" s="10" t="s">
        <v>13</v>
      </c>
      <c r="C11" s="10">
        <v>5</v>
      </c>
      <c r="D11" s="10">
        <v>10</v>
      </c>
      <c r="E11" s="5">
        <v>1.3950419999999999</v>
      </c>
      <c r="F11" s="5">
        <v>53.167483870967715</v>
      </c>
      <c r="G11" s="5">
        <v>3.6011209354012661</v>
      </c>
    </row>
    <row r="12" spans="1:7" x14ac:dyDescent="0.3">
      <c r="A12" s="10">
        <v>45</v>
      </c>
      <c r="B12" s="10" t="s">
        <v>14</v>
      </c>
      <c r="C12" s="10">
        <v>1</v>
      </c>
      <c r="D12" s="10">
        <v>11</v>
      </c>
      <c r="E12" s="5">
        <v>1.8893180000000003</v>
      </c>
      <c r="F12" s="5">
        <v>56.673032258064538</v>
      </c>
      <c r="G12" s="5">
        <v>5.3854012658839432</v>
      </c>
    </row>
    <row r="13" spans="1:7" x14ac:dyDescent="0.3">
      <c r="A13" s="10">
        <v>45</v>
      </c>
      <c r="B13" s="10" t="s">
        <v>14</v>
      </c>
      <c r="C13" s="10">
        <v>2</v>
      </c>
      <c r="D13" s="10">
        <v>12</v>
      </c>
      <c r="E13" s="5">
        <v>1.5995699999999997</v>
      </c>
      <c r="F13" s="5">
        <v>67.773935483870972</v>
      </c>
      <c r="G13" s="5">
        <v>4.4218898874232986</v>
      </c>
    </row>
    <row r="14" spans="1:7" x14ac:dyDescent="0.3">
      <c r="A14" s="10">
        <v>45</v>
      </c>
      <c r="B14" s="10" t="s">
        <v>14</v>
      </c>
      <c r="C14" s="10">
        <v>3</v>
      </c>
      <c r="D14" s="10">
        <v>13</v>
      </c>
      <c r="E14" s="5">
        <v>1.7870539999999997</v>
      </c>
      <c r="F14" s="5">
        <v>99.469935483870955</v>
      </c>
      <c r="G14" s="5">
        <v>4.7787459535198344</v>
      </c>
    </row>
    <row r="15" spans="1:7" x14ac:dyDescent="0.3">
      <c r="A15" s="10">
        <v>45</v>
      </c>
      <c r="B15" s="10" t="s">
        <v>14</v>
      </c>
      <c r="C15" s="10">
        <v>4</v>
      </c>
      <c r="D15" s="10">
        <v>14</v>
      </c>
      <c r="E15" s="5">
        <v>1.2757339999999999</v>
      </c>
      <c r="F15" s="5">
        <v>47.617032258064505</v>
      </c>
      <c r="G15" s="5">
        <v>5.2426588394453297</v>
      </c>
    </row>
    <row r="16" spans="1:7" x14ac:dyDescent="0.3">
      <c r="A16" s="10">
        <v>45</v>
      </c>
      <c r="B16" s="10" t="s">
        <v>14</v>
      </c>
      <c r="C16" s="10">
        <v>5</v>
      </c>
      <c r="D16" s="10">
        <v>15</v>
      </c>
      <c r="E16" s="5">
        <v>2.4688139999999996</v>
      </c>
      <c r="F16" s="5">
        <v>49.077677419354821</v>
      </c>
      <c r="G16" s="5">
        <v>4.7192699425037441</v>
      </c>
    </row>
    <row r="17" spans="1:7" x14ac:dyDescent="0.3">
      <c r="A17" s="10">
        <v>45</v>
      </c>
      <c r="B17" s="10" t="s">
        <v>15</v>
      </c>
      <c r="C17" s="10">
        <v>1</v>
      </c>
      <c r="D17" s="10">
        <v>16</v>
      </c>
      <c r="E17" s="5">
        <v>1.8211419999999996</v>
      </c>
      <c r="F17" s="5">
        <v>66.167225806451626</v>
      </c>
      <c r="G17" s="5">
        <v>4.5884227182683484</v>
      </c>
    </row>
    <row r="18" spans="1:7" x14ac:dyDescent="0.3">
      <c r="A18" s="10">
        <v>45</v>
      </c>
      <c r="B18" s="10" t="s">
        <v>15</v>
      </c>
      <c r="C18" s="10">
        <v>2</v>
      </c>
      <c r="D18" s="10">
        <v>17</v>
      </c>
      <c r="E18" s="5">
        <v>3.1164859999999996</v>
      </c>
      <c r="F18" s="5">
        <v>59.448258064516118</v>
      </c>
      <c r="G18" s="5">
        <v>4.5527371116586961</v>
      </c>
    </row>
    <row r="19" spans="1:7" x14ac:dyDescent="0.3">
      <c r="A19" s="10">
        <v>45</v>
      </c>
      <c r="B19" s="10" t="s">
        <v>15</v>
      </c>
      <c r="C19" s="10">
        <v>3</v>
      </c>
      <c r="D19" s="10">
        <v>18</v>
      </c>
      <c r="E19" s="5">
        <v>2.9971780000000003</v>
      </c>
      <c r="F19" s="5">
        <v>38.561032258064522</v>
      </c>
      <c r="G19" s="5">
        <v>4.6597939314876546</v>
      </c>
    </row>
    <row r="20" spans="1:7" x14ac:dyDescent="0.3">
      <c r="A20" s="10">
        <v>45</v>
      </c>
      <c r="B20" s="10" t="s">
        <v>15</v>
      </c>
      <c r="C20" s="10">
        <v>4</v>
      </c>
      <c r="D20" s="10">
        <v>19</v>
      </c>
      <c r="E20" s="5">
        <v>2.571078</v>
      </c>
      <c r="F20" s="5">
        <v>58.571870967741951</v>
      </c>
      <c r="G20" s="5">
        <v>5.3854012658839432</v>
      </c>
    </row>
    <row r="21" spans="1:7" x14ac:dyDescent="0.3">
      <c r="A21" s="10">
        <v>45</v>
      </c>
      <c r="B21" s="10" t="s">
        <v>15</v>
      </c>
      <c r="C21" s="10">
        <v>5</v>
      </c>
      <c r="D21" s="10">
        <v>20</v>
      </c>
      <c r="E21" s="5">
        <v>2.2642860000000002</v>
      </c>
      <c r="F21" s="5">
        <v>60.470709677419343</v>
      </c>
      <c r="G21" s="5">
        <v>5.504353287916123</v>
      </c>
    </row>
    <row r="22" spans="1:7" x14ac:dyDescent="0.3">
      <c r="A22" s="10">
        <v>45</v>
      </c>
      <c r="B22" s="10" t="s">
        <v>16</v>
      </c>
      <c r="C22" s="10">
        <v>1</v>
      </c>
      <c r="D22" s="10">
        <v>21</v>
      </c>
      <c r="E22" s="5">
        <v>2.0768020000000003</v>
      </c>
      <c r="F22" s="5">
        <v>91.144258064516137</v>
      </c>
      <c r="G22" s="5">
        <v>4.2791474609846825</v>
      </c>
    </row>
    <row r="23" spans="1:7" x14ac:dyDescent="0.3">
      <c r="A23" s="10">
        <v>45</v>
      </c>
      <c r="B23" s="10" t="s">
        <v>16</v>
      </c>
      <c r="C23" s="10">
        <v>2</v>
      </c>
      <c r="D23" s="10">
        <v>22</v>
      </c>
      <c r="E23" s="5">
        <v>3.1505740000000002</v>
      </c>
      <c r="F23" s="5">
        <v>76.391741935483836</v>
      </c>
      <c r="G23" s="5">
        <v>3.5059593177755235</v>
      </c>
    </row>
    <row r="24" spans="1:7" x14ac:dyDescent="0.3">
      <c r="A24" s="10">
        <v>45</v>
      </c>
      <c r="B24" s="10" t="s">
        <v>16</v>
      </c>
      <c r="C24" s="10">
        <v>3</v>
      </c>
      <c r="D24" s="10">
        <v>23</v>
      </c>
      <c r="E24" s="5">
        <v>2.6903860000000002</v>
      </c>
      <c r="F24" s="5">
        <v>56.234838709677426</v>
      </c>
      <c r="G24" s="5">
        <v>3.9579770014978024</v>
      </c>
    </row>
    <row r="25" spans="1:7" x14ac:dyDescent="0.3">
      <c r="A25" s="10">
        <v>45</v>
      </c>
      <c r="B25" s="10" t="s">
        <v>16</v>
      </c>
      <c r="C25" s="10">
        <v>4</v>
      </c>
      <c r="D25" s="10">
        <v>24</v>
      </c>
      <c r="E25" s="5">
        <v>2.1620219999999994</v>
      </c>
      <c r="F25" s="5">
        <v>61.639225806451641</v>
      </c>
      <c r="G25" s="5">
        <v>3.5773305309948293</v>
      </c>
    </row>
    <row r="26" spans="1:7" x14ac:dyDescent="0.3">
      <c r="A26" s="10">
        <v>45</v>
      </c>
      <c r="B26" s="10" t="s">
        <v>16</v>
      </c>
      <c r="C26" s="10">
        <v>5</v>
      </c>
      <c r="D26" s="10">
        <v>25</v>
      </c>
      <c r="E26" s="5">
        <v>1.9234059999999999</v>
      </c>
      <c r="F26" s="5">
        <v>53.605677419354805</v>
      </c>
      <c r="G26" s="5">
        <v>4.0412434169203264</v>
      </c>
    </row>
    <row r="27" spans="1:7" x14ac:dyDescent="0.3">
      <c r="A27" s="10">
        <v>60</v>
      </c>
      <c r="B27" s="10" t="s">
        <v>12</v>
      </c>
      <c r="C27" s="10">
        <v>1</v>
      </c>
      <c r="D27" s="10">
        <v>26</v>
      </c>
      <c r="E27" s="5">
        <v>0.83259000000000005</v>
      </c>
      <c r="F27" s="5">
        <v>63.392000000000017</v>
      </c>
      <c r="G27" s="5">
        <v>3.1728936560854222</v>
      </c>
    </row>
    <row r="28" spans="1:7" x14ac:dyDescent="0.3">
      <c r="A28" s="10">
        <v>60</v>
      </c>
      <c r="B28" s="10" t="s">
        <v>12</v>
      </c>
      <c r="C28" s="10">
        <v>2</v>
      </c>
      <c r="D28" s="10">
        <v>27</v>
      </c>
      <c r="E28" s="5">
        <v>0.52579799999999999</v>
      </c>
      <c r="F28" s="5">
        <v>68.942451612903213</v>
      </c>
      <c r="G28" s="5">
        <v>3.2918456781176011</v>
      </c>
    </row>
    <row r="29" spans="1:7" x14ac:dyDescent="0.3">
      <c r="A29" s="10">
        <v>60</v>
      </c>
      <c r="B29" s="10" t="s">
        <v>12</v>
      </c>
      <c r="C29" s="10">
        <v>3</v>
      </c>
      <c r="D29" s="10">
        <v>28</v>
      </c>
      <c r="E29" s="5">
        <v>0.49170999999999998</v>
      </c>
      <c r="F29" s="5">
        <v>46.448516129032249</v>
      </c>
      <c r="G29" s="5">
        <v>3.0182560274435906</v>
      </c>
    </row>
    <row r="30" spans="1:7" x14ac:dyDescent="0.3">
      <c r="A30" s="10">
        <v>60</v>
      </c>
      <c r="B30" s="10" t="s">
        <v>12</v>
      </c>
      <c r="C30" s="10">
        <v>4</v>
      </c>
      <c r="D30" s="10">
        <v>29</v>
      </c>
      <c r="E30" s="5">
        <v>0.57692999999999994</v>
      </c>
      <c r="F30" s="5">
        <v>25.56129032258065</v>
      </c>
      <c r="G30" s="5">
        <v>3.2442648693047298</v>
      </c>
    </row>
    <row r="31" spans="1:7" x14ac:dyDescent="0.3">
      <c r="A31" s="10">
        <v>60</v>
      </c>
      <c r="B31" s="10" t="s">
        <v>12</v>
      </c>
      <c r="C31" s="10">
        <v>5</v>
      </c>
      <c r="D31" s="10">
        <v>30</v>
      </c>
      <c r="E31" s="5">
        <v>0.61101799999999995</v>
      </c>
      <c r="F31" s="5">
        <v>29.79716129032256</v>
      </c>
      <c r="G31" s="5">
        <v>2.8636183988017589</v>
      </c>
    </row>
    <row r="32" spans="1:7" x14ac:dyDescent="0.3">
      <c r="A32" s="10">
        <v>60</v>
      </c>
      <c r="B32" s="10" t="s">
        <v>13</v>
      </c>
      <c r="C32" s="10">
        <v>1</v>
      </c>
      <c r="D32" s="10">
        <v>31</v>
      </c>
      <c r="E32" s="5">
        <v>2.5029020000000002</v>
      </c>
      <c r="F32" s="5">
        <v>94.795870967741934</v>
      </c>
      <c r="G32" s="5">
        <v>3.9579770014978024</v>
      </c>
    </row>
    <row r="33" spans="1:7" x14ac:dyDescent="0.3">
      <c r="A33" s="10">
        <v>60</v>
      </c>
      <c r="B33" s="10" t="s">
        <v>13</v>
      </c>
      <c r="C33" s="10">
        <v>2</v>
      </c>
      <c r="D33" s="10">
        <v>32</v>
      </c>
      <c r="E33" s="5">
        <v>1.7870539999999997</v>
      </c>
      <c r="F33" s="5">
        <v>59.740387096774214</v>
      </c>
      <c r="G33" s="5">
        <v>3.8866057882784943</v>
      </c>
    </row>
    <row r="34" spans="1:7" x14ac:dyDescent="0.3">
      <c r="A34" s="10">
        <v>60</v>
      </c>
      <c r="B34" s="10" t="s">
        <v>13</v>
      </c>
      <c r="C34" s="10">
        <v>3</v>
      </c>
      <c r="D34" s="10">
        <v>33</v>
      </c>
      <c r="E34" s="5">
        <v>1.0712059999999999</v>
      </c>
      <c r="F34" s="5">
        <v>66.897548387096776</v>
      </c>
      <c r="G34" s="5">
        <v>3.7081777552302264</v>
      </c>
    </row>
    <row r="35" spans="1:7" x14ac:dyDescent="0.3">
      <c r="A35" s="10">
        <v>60</v>
      </c>
      <c r="B35" s="10" t="s">
        <v>13</v>
      </c>
      <c r="C35" s="10">
        <v>4</v>
      </c>
      <c r="D35" s="10">
        <v>34</v>
      </c>
      <c r="E35" s="5">
        <v>1.17347</v>
      </c>
      <c r="F35" s="5">
        <v>48.785548387096775</v>
      </c>
      <c r="G35" s="5">
        <v>4.0769290235299804</v>
      </c>
    </row>
    <row r="36" spans="1:7" x14ac:dyDescent="0.3">
      <c r="A36" s="10">
        <v>60</v>
      </c>
      <c r="B36" s="10" t="s">
        <v>13</v>
      </c>
      <c r="C36" s="10">
        <v>5</v>
      </c>
      <c r="D36" s="10">
        <v>35</v>
      </c>
      <c r="E36" s="5">
        <v>0.49170999999999998</v>
      </c>
      <c r="F36" s="5">
        <v>49.51587096774194</v>
      </c>
      <c r="G36" s="5">
        <v>4.0293482147171087</v>
      </c>
    </row>
    <row r="37" spans="1:7" x14ac:dyDescent="0.3">
      <c r="A37" s="10">
        <v>60</v>
      </c>
      <c r="B37" s="10" t="s">
        <v>14</v>
      </c>
      <c r="C37" s="10">
        <v>1</v>
      </c>
      <c r="D37" s="10">
        <v>36</v>
      </c>
      <c r="E37" s="5">
        <v>1.3439099999999999</v>
      </c>
      <c r="F37" s="5">
        <v>75.661419354838728</v>
      </c>
      <c r="G37" s="5">
        <v>4.4575754940329517</v>
      </c>
    </row>
    <row r="38" spans="1:7" x14ac:dyDescent="0.3">
      <c r="A38" s="10">
        <v>60</v>
      </c>
      <c r="B38" s="10" t="s">
        <v>14</v>
      </c>
      <c r="C38" s="10">
        <v>2</v>
      </c>
      <c r="D38" s="10">
        <v>37</v>
      </c>
      <c r="E38" s="5">
        <v>0.49170999999999998</v>
      </c>
      <c r="F38" s="5">
        <v>59.594322580645191</v>
      </c>
      <c r="G38" s="5">
        <v>4.1007194279364167</v>
      </c>
    </row>
    <row r="39" spans="1:7" x14ac:dyDescent="0.3">
      <c r="A39" s="10">
        <v>60</v>
      </c>
      <c r="B39" s="10" t="s">
        <v>14</v>
      </c>
      <c r="C39" s="10">
        <v>3</v>
      </c>
      <c r="D39" s="10">
        <v>38</v>
      </c>
      <c r="E39" s="5">
        <v>0.66215000000000002</v>
      </c>
      <c r="F39" s="5">
        <v>35.785806451612935</v>
      </c>
      <c r="G39" s="5">
        <v>4.3980994830168623</v>
      </c>
    </row>
    <row r="40" spans="1:7" x14ac:dyDescent="0.3">
      <c r="A40" s="10">
        <v>60</v>
      </c>
      <c r="B40" s="10" t="s">
        <v>14</v>
      </c>
      <c r="C40" s="10">
        <v>4</v>
      </c>
      <c r="D40" s="10">
        <v>39</v>
      </c>
      <c r="E40" s="5">
        <v>0.66215000000000002</v>
      </c>
      <c r="F40" s="5">
        <v>56.088774193548403</v>
      </c>
      <c r="G40" s="5">
        <v>3.684387350823791</v>
      </c>
    </row>
    <row r="41" spans="1:7" x14ac:dyDescent="0.3">
      <c r="A41" s="10">
        <v>60</v>
      </c>
      <c r="B41" s="10" t="s">
        <v>14</v>
      </c>
      <c r="C41" s="10">
        <v>5</v>
      </c>
      <c r="D41" s="10">
        <v>40</v>
      </c>
      <c r="E41" s="5">
        <v>0.49170999999999998</v>
      </c>
      <c r="F41" s="5">
        <v>61.347096774193538</v>
      </c>
      <c r="G41" s="5">
        <v>3.4464833067594332</v>
      </c>
    </row>
    <row r="42" spans="1:7" x14ac:dyDescent="0.3">
      <c r="A42" s="10">
        <v>60</v>
      </c>
      <c r="B42" s="10" t="s">
        <v>15</v>
      </c>
      <c r="C42" s="10">
        <v>1</v>
      </c>
      <c r="D42" s="10">
        <v>41</v>
      </c>
      <c r="E42" s="5">
        <v>1.224602</v>
      </c>
      <c r="F42" s="5">
        <v>109.11019354838707</v>
      </c>
      <c r="G42" s="5">
        <v>4.3980994830168623</v>
      </c>
    </row>
    <row r="43" spans="1:7" x14ac:dyDescent="0.3">
      <c r="A43" s="10">
        <v>60</v>
      </c>
      <c r="B43" s="10" t="s">
        <v>15</v>
      </c>
      <c r="C43" s="10">
        <v>2</v>
      </c>
      <c r="D43" s="10">
        <v>42</v>
      </c>
      <c r="E43" s="5">
        <v>1.0371179999999998</v>
      </c>
      <c r="F43" s="5">
        <v>81.357935483870961</v>
      </c>
      <c r="G43" s="5">
        <v>3.8747105860752771</v>
      </c>
    </row>
    <row r="44" spans="1:7" x14ac:dyDescent="0.3">
      <c r="A44" s="10">
        <v>60</v>
      </c>
      <c r="B44" s="10" t="s">
        <v>15</v>
      </c>
      <c r="C44" s="10">
        <v>3</v>
      </c>
      <c r="D44" s="10">
        <v>43</v>
      </c>
      <c r="E44" s="5">
        <v>0.76441399999999993</v>
      </c>
      <c r="F44" s="5">
        <v>46.010322580645159</v>
      </c>
      <c r="G44" s="5">
        <v>3.3989024979465619</v>
      </c>
    </row>
    <row r="45" spans="1:7" x14ac:dyDescent="0.3">
      <c r="A45" s="10">
        <v>60</v>
      </c>
      <c r="B45" s="10" t="s">
        <v>15</v>
      </c>
      <c r="C45" s="10">
        <v>4</v>
      </c>
      <c r="D45" s="10">
        <v>44</v>
      </c>
      <c r="E45" s="5">
        <v>1.1052939999999998</v>
      </c>
      <c r="F45" s="5">
        <v>47.178838709677407</v>
      </c>
      <c r="G45" s="5">
        <v>3.6130161376044834</v>
      </c>
    </row>
    <row r="46" spans="1:7" x14ac:dyDescent="0.3">
      <c r="A46" s="10">
        <v>60</v>
      </c>
      <c r="B46" s="10" t="s">
        <v>15</v>
      </c>
      <c r="C46" s="10">
        <v>5</v>
      </c>
      <c r="D46" s="10">
        <v>45</v>
      </c>
      <c r="E46" s="5">
        <v>0.93485400000000007</v>
      </c>
      <c r="F46" s="5">
        <v>64.706580645161281</v>
      </c>
      <c r="G46" s="5">
        <v>3.4702737111658699</v>
      </c>
    </row>
    <row r="47" spans="1:7" x14ac:dyDescent="0.3">
      <c r="A47" s="10">
        <v>60</v>
      </c>
      <c r="B47" s="10" t="s">
        <v>16</v>
      </c>
      <c r="C47" s="10">
        <v>1</v>
      </c>
      <c r="D47" s="10">
        <v>46</v>
      </c>
      <c r="E47" s="5">
        <v>0.52579799999999999</v>
      </c>
      <c r="F47" s="5">
        <v>51.268645161290308</v>
      </c>
      <c r="G47" s="5">
        <v>3.07773203845968</v>
      </c>
    </row>
    <row r="48" spans="1:7" x14ac:dyDescent="0.3">
      <c r="A48" s="10">
        <v>60</v>
      </c>
      <c r="B48" s="10" t="s">
        <v>16</v>
      </c>
      <c r="C48" s="10">
        <v>2</v>
      </c>
      <c r="D48" s="10">
        <v>47</v>
      </c>
      <c r="E48" s="5">
        <v>0.78145799999999999</v>
      </c>
      <c r="F48" s="5">
        <v>36.516129032258057</v>
      </c>
      <c r="G48" s="5">
        <v>3.1253128472725509</v>
      </c>
    </row>
    <row r="49" spans="1:7" x14ac:dyDescent="0.3">
      <c r="A49" s="10">
        <v>60</v>
      </c>
      <c r="B49" s="10" t="s">
        <v>16</v>
      </c>
      <c r="C49" s="10">
        <v>3</v>
      </c>
      <c r="D49" s="10">
        <v>48</v>
      </c>
      <c r="E49" s="5">
        <v>0.6280619999999999</v>
      </c>
      <c r="F49" s="5">
        <v>50.100129032258053</v>
      </c>
      <c r="G49" s="5">
        <v>3.0063608252403733</v>
      </c>
    </row>
    <row r="50" spans="1:7" x14ac:dyDescent="0.3">
      <c r="A50" s="10">
        <v>60</v>
      </c>
      <c r="B50" s="10" t="s">
        <v>16</v>
      </c>
      <c r="C50" s="10">
        <v>4</v>
      </c>
      <c r="D50" s="10">
        <v>49</v>
      </c>
      <c r="E50" s="5">
        <v>0.49170999999999998</v>
      </c>
      <c r="F50" s="5">
        <v>48.055225806451581</v>
      </c>
      <c r="G50" s="5">
        <v>3.2442648693047298</v>
      </c>
    </row>
    <row r="51" spans="1:7" x14ac:dyDescent="0.3">
      <c r="A51" s="10">
        <v>60</v>
      </c>
      <c r="B51" s="10" t="s">
        <v>16</v>
      </c>
      <c r="C51" s="10">
        <v>5</v>
      </c>
      <c r="D51" s="10">
        <v>50</v>
      </c>
      <c r="E51" s="5">
        <v>0.6280619999999999</v>
      </c>
      <c r="F51" s="5">
        <v>53.021419354838713</v>
      </c>
      <c r="G51" s="5">
        <v>3.0063608252403733</v>
      </c>
    </row>
    <row r="52" spans="1:7" x14ac:dyDescent="0.3">
      <c r="A52" s="10">
        <v>75</v>
      </c>
      <c r="B52" s="10" t="s">
        <v>12</v>
      </c>
      <c r="C52" s="10">
        <v>1</v>
      </c>
      <c r="D52" s="10">
        <v>51</v>
      </c>
      <c r="E52" s="5">
        <v>0.45762200000000003</v>
      </c>
      <c r="F52" s="5">
        <v>62.077419354838703</v>
      </c>
      <c r="G52" s="5">
        <v>3.3156360825240365</v>
      </c>
    </row>
    <row r="53" spans="1:7" x14ac:dyDescent="0.3">
      <c r="A53" s="10">
        <v>75</v>
      </c>
      <c r="B53" s="10" t="s">
        <v>12</v>
      </c>
      <c r="C53" s="10">
        <v>2</v>
      </c>
      <c r="D53" s="10">
        <v>52</v>
      </c>
      <c r="E53" s="5">
        <v>0.49170999999999998</v>
      </c>
      <c r="F53" s="5">
        <v>51.706838709677399</v>
      </c>
      <c r="G53" s="5">
        <v>3.1253128472725509</v>
      </c>
    </row>
    <row r="54" spans="1:7" x14ac:dyDescent="0.3">
      <c r="A54" s="10">
        <v>75</v>
      </c>
      <c r="B54" s="10" t="s">
        <v>12</v>
      </c>
      <c r="C54" s="10">
        <v>3</v>
      </c>
      <c r="D54" s="10">
        <v>53</v>
      </c>
      <c r="E54" s="5">
        <v>0.57692999999999994</v>
      </c>
      <c r="F54" s="5">
        <v>84.133161290322604</v>
      </c>
      <c r="G54" s="5">
        <v>3.2442648693047298</v>
      </c>
    </row>
    <row r="55" spans="1:7" x14ac:dyDescent="0.3">
      <c r="A55" s="10">
        <v>75</v>
      </c>
      <c r="B55" s="10" t="s">
        <v>12</v>
      </c>
      <c r="C55" s="10">
        <v>4</v>
      </c>
      <c r="D55" s="10">
        <v>54</v>
      </c>
      <c r="E55" s="5">
        <v>0.45762200000000003</v>
      </c>
      <c r="F55" s="5">
        <v>80.773677419354826</v>
      </c>
      <c r="G55" s="5">
        <v>3.2918456781176011</v>
      </c>
    </row>
    <row r="56" spans="1:7" x14ac:dyDescent="0.3">
      <c r="A56" s="10">
        <v>75</v>
      </c>
      <c r="B56" s="10" t="s">
        <v>12</v>
      </c>
      <c r="C56" s="10">
        <v>5</v>
      </c>
      <c r="D56" s="10">
        <v>55</v>
      </c>
      <c r="E56" s="5">
        <v>0.45762200000000003</v>
      </c>
      <c r="F56" s="5">
        <v>75.077161290322579</v>
      </c>
      <c r="G56" s="5">
        <v>3.1134176450693332</v>
      </c>
    </row>
    <row r="57" spans="1:7" x14ac:dyDescent="0.3">
      <c r="A57" s="10">
        <v>75</v>
      </c>
      <c r="B57" s="10" t="s">
        <v>13</v>
      </c>
      <c r="C57" s="10">
        <v>1</v>
      </c>
      <c r="D57" s="10">
        <v>56</v>
      </c>
      <c r="E57" s="5">
        <v>0.90076600000000007</v>
      </c>
      <c r="F57" s="5">
        <v>70.257032258064484</v>
      </c>
      <c r="G57" s="5">
        <v>2.9706752186307193</v>
      </c>
    </row>
    <row r="58" spans="1:7" x14ac:dyDescent="0.3">
      <c r="A58" s="10">
        <v>75</v>
      </c>
      <c r="B58" s="10" t="s">
        <v>13</v>
      </c>
      <c r="C58" s="10">
        <v>2</v>
      </c>
      <c r="D58" s="10">
        <v>57</v>
      </c>
      <c r="E58" s="5">
        <v>0.91781000000000013</v>
      </c>
      <c r="F58" s="5">
        <v>72.009806451612917</v>
      </c>
      <c r="G58" s="5">
        <v>2.8160375899888868</v>
      </c>
    </row>
    <row r="59" spans="1:7" x14ac:dyDescent="0.3">
      <c r="A59" s="10">
        <v>75</v>
      </c>
      <c r="B59" s="10" t="s">
        <v>13</v>
      </c>
      <c r="C59" s="10">
        <v>3</v>
      </c>
      <c r="D59" s="10">
        <v>58</v>
      </c>
      <c r="E59" s="5">
        <v>0.71328199999999997</v>
      </c>
      <c r="F59" s="5">
        <v>75.953548387096745</v>
      </c>
      <c r="G59" s="5">
        <v>3.2442648693047298</v>
      </c>
    </row>
    <row r="60" spans="1:7" x14ac:dyDescent="0.3">
      <c r="A60" s="10">
        <v>75</v>
      </c>
      <c r="B60" s="10" t="s">
        <v>13</v>
      </c>
      <c r="C60" s="10">
        <v>4</v>
      </c>
      <c r="D60" s="10">
        <v>59</v>
      </c>
      <c r="E60" s="5">
        <v>0.55988600000000011</v>
      </c>
      <c r="F60" s="5">
        <v>31.549935483870957</v>
      </c>
      <c r="G60" s="5">
        <v>3.3989024979465619</v>
      </c>
    </row>
    <row r="61" spans="1:7" x14ac:dyDescent="0.3">
      <c r="A61" s="10">
        <v>75</v>
      </c>
      <c r="B61" s="10" t="s">
        <v>13</v>
      </c>
      <c r="C61" s="10">
        <v>5</v>
      </c>
      <c r="D61" s="10">
        <v>60</v>
      </c>
      <c r="E61" s="5">
        <v>0.593974</v>
      </c>
      <c r="F61" s="5">
        <v>61.347096774193517</v>
      </c>
      <c r="G61" s="5">
        <v>3.2323696671015116</v>
      </c>
    </row>
    <row r="62" spans="1:7" x14ac:dyDescent="0.3">
      <c r="A62" s="10">
        <v>75</v>
      </c>
      <c r="B62" s="10" t="s">
        <v>14</v>
      </c>
      <c r="C62" s="10">
        <v>1</v>
      </c>
      <c r="D62" s="10">
        <v>61</v>
      </c>
      <c r="E62" s="5">
        <v>0.45762200000000003</v>
      </c>
      <c r="F62" s="5">
        <v>100.6384516129032</v>
      </c>
      <c r="G62" s="5">
        <v>2.6613999613470547</v>
      </c>
    </row>
    <row r="63" spans="1:7" x14ac:dyDescent="0.3">
      <c r="A63" s="10">
        <v>75</v>
      </c>
      <c r="B63" s="10" t="s">
        <v>14</v>
      </c>
      <c r="C63" s="10">
        <v>2</v>
      </c>
      <c r="D63" s="10">
        <v>62</v>
      </c>
      <c r="E63" s="5">
        <v>0.76441399999999993</v>
      </c>
      <c r="F63" s="5">
        <v>69.964903225806452</v>
      </c>
      <c r="G63" s="5">
        <v>2.8398279943953231</v>
      </c>
    </row>
    <row r="64" spans="1:7" x14ac:dyDescent="0.3">
      <c r="A64" s="10">
        <v>75</v>
      </c>
      <c r="B64" s="10" t="s">
        <v>14</v>
      </c>
      <c r="C64" s="10">
        <v>3</v>
      </c>
      <c r="D64" s="10">
        <v>63</v>
      </c>
      <c r="E64" s="5">
        <v>0.37240199999999996</v>
      </c>
      <c r="F64" s="5">
        <v>52.87535483870969</v>
      </c>
      <c r="G64" s="5">
        <v>2.7922471855824518</v>
      </c>
    </row>
    <row r="65" spans="1:7" x14ac:dyDescent="0.3">
      <c r="A65" s="10">
        <v>75</v>
      </c>
      <c r="B65" s="10" t="s">
        <v>14</v>
      </c>
      <c r="C65" s="10">
        <v>4</v>
      </c>
      <c r="D65" s="10">
        <v>64</v>
      </c>
      <c r="E65" s="5">
        <v>0.45762200000000003</v>
      </c>
      <c r="F65" s="5">
        <v>53.897806451612887</v>
      </c>
      <c r="G65" s="5">
        <v>3.2918456781176011</v>
      </c>
    </row>
    <row r="66" spans="1:7" x14ac:dyDescent="0.3">
      <c r="A66" s="10">
        <v>75</v>
      </c>
      <c r="B66" s="10" t="s">
        <v>14</v>
      </c>
      <c r="C66" s="10">
        <v>5</v>
      </c>
      <c r="D66" s="10">
        <v>65</v>
      </c>
      <c r="E66" s="5">
        <v>0.593974</v>
      </c>
      <c r="F66" s="5">
        <v>31.111741935483852</v>
      </c>
      <c r="G66" s="5">
        <v>3.375112093540126</v>
      </c>
    </row>
    <row r="67" spans="1:7" x14ac:dyDescent="0.3">
      <c r="A67" s="10">
        <v>75</v>
      </c>
      <c r="B67" s="10" t="s">
        <v>15</v>
      </c>
      <c r="C67" s="10">
        <v>1</v>
      </c>
      <c r="D67" s="10">
        <v>66</v>
      </c>
      <c r="E67" s="5">
        <v>1.1393820000000001</v>
      </c>
      <c r="F67" s="5">
        <v>44.987870967741927</v>
      </c>
      <c r="G67" s="5">
        <v>5.0285451997874073</v>
      </c>
    </row>
    <row r="68" spans="1:7" x14ac:dyDescent="0.3">
      <c r="A68" s="10">
        <v>75</v>
      </c>
      <c r="B68" s="10" t="s">
        <v>15</v>
      </c>
      <c r="C68" s="10">
        <v>2</v>
      </c>
      <c r="D68" s="10">
        <v>67</v>
      </c>
      <c r="E68" s="5">
        <v>1.0541619999999998</v>
      </c>
      <c r="F68" s="5">
        <v>96.548645161290338</v>
      </c>
      <c r="G68" s="5">
        <v>4.2434618543750302</v>
      </c>
    </row>
    <row r="69" spans="1:7" x14ac:dyDescent="0.3">
      <c r="A69" s="10">
        <v>75</v>
      </c>
      <c r="B69" s="10" t="s">
        <v>15</v>
      </c>
      <c r="C69" s="10">
        <v>3</v>
      </c>
      <c r="D69" s="10">
        <v>68</v>
      </c>
      <c r="E69" s="5">
        <v>0.88372200000000001</v>
      </c>
      <c r="F69" s="5">
        <v>40.898064516129025</v>
      </c>
      <c r="G69" s="5">
        <v>4.4337850896265154</v>
      </c>
    </row>
    <row r="70" spans="1:7" x14ac:dyDescent="0.3">
      <c r="A70" s="10">
        <v>75</v>
      </c>
      <c r="B70" s="10" t="s">
        <v>15</v>
      </c>
      <c r="C70" s="10">
        <v>4</v>
      </c>
      <c r="D70" s="10">
        <v>69</v>
      </c>
      <c r="E70" s="5">
        <v>1.0541619999999998</v>
      </c>
      <c r="F70" s="5">
        <v>54.482064516129014</v>
      </c>
      <c r="G70" s="5">
        <v>4.4337850896265154</v>
      </c>
    </row>
    <row r="71" spans="1:7" x14ac:dyDescent="0.3">
      <c r="A71" s="10">
        <v>75</v>
      </c>
      <c r="B71" s="10" t="s">
        <v>15</v>
      </c>
      <c r="C71" s="10">
        <v>5</v>
      </c>
      <c r="D71" s="10">
        <v>70</v>
      </c>
      <c r="E71" s="5">
        <v>0.76441399999999993</v>
      </c>
      <c r="F71" s="5">
        <v>63.68412903225807</v>
      </c>
      <c r="G71" s="5">
        <v>4.3148330675943365</v>
      </c>
    </row>
    <row r="72" spans="1:7" x14ac:dyDescent="0.3">
      <c r="A72" s="10">
        <v>75</v>
      </c>
      <c r="B72" s="10" t="s">
        <v>16</v>
      </c>
      <c r="C72" s="10">
        <v>1</v>
      </c>
      <c r="D72" s="10">
        <v>71</v>
      </c>
      <c r="E72" s="5">
        <v>0.49170999999999998</v>
      </c>
      <c r="F72" s="5">
        <v>75.515354838709683</v>
      </c>
      <c r="G72" s="5">
        <v>3.6011209354012661</v>
      </c>
    </row>
    <row r="73" spans="1:7" x14ac:dyDescent="0.3">
      <c r="A73" s="10">
        <v>75</v>
      </c>
      <c r="B73" s="10" t="s">
        <v>16</v>
      </c>
      <c r="C73" s="10">
        <v>2</v>
      </c>
      <c r="D73" s="10">
        <v>72</v>
      </c>
      <c r="E73" s="5">
        <v>0.52579799999999999</v>
      </c>
      <c r="F73" s="5">
        <v>43.96541935483873</v>
      </c>
      <c r="G73" s="5">
        <v>4.1958810455621585</v>
      </c>
    </row>
    <row r="74" spans="1:7" x14ac:dyDescent="0.3">
      <c r="A74" s="10">
        <v>75</v>
      </c>
      <c r="B74" s="10" t="s">
        <v>16</v>
      </c>
      <c r="C74" s="10">
        <v>3</v>
      </c>
      <c r="D74" s="10">
        <v>73</v>
      </c>
      <c r="E74" s="5">
        <v>0.64510599999999996</v>
      </c>
      <c r="F74" s="5">
        <v>47.470967741935439</v>
      </c>
      <c r="G74" s="5">
        <v>3.4226929023529977</v>
      </c>
    </row>
    <row r="75" spans="1:7" x14ac:dyDescent="0.3">
      <c r="A75" s="10">
        <v>75</v>
      </c>
      <c r="B75" s="10" t="s">
        <v>16</v>
      </c>
      <c r="C75" s="10">
        <v>4</v>
      </c>
      <c r="D75" s="10">
        <v>74</v>
      </c>
      <c r="E75" s="5">
        <v>0.42353399999999997</v>
      </c>
      <c r="F75" s="5">
        <v>75.807483870967758</v>
      </c>
      <c r="G75" s="5">
        <v>3.2442648693047298</v>
      </c>
    </row>
    <row r="76" spans="1:7" x14ac:dyDescent="0.3">
      <c r="A76" s="10">
        <v>75</v>
      </c>
      <c r="B76" s="10" t="s">
        <v>16</v>
      </c>
      <c r="C76" s="10">
        <v>5</v>
      </c>
      <c r="D76" s="10">
        <v>75</v>
      </c>
      <c r="E76" s="5">
        <v>0.61101799999999995</v>
      </c>
      <c r="F76" s="5">
        <v>82.3803870967742</v>
      </c>
      <c r="G76" s="5">
        <v>3.4583785089626518</v>
      </c>
    </row>
    <row r="77" spans="1:7" x14ac:dyDescent="0.3">
      <c r="A77" s="10">
        <v>90</v>
      </c>
      <c r="B77" s="10" t="s">
        <v>12</v>
      </c>
      <c r="C77" s="10">
        <v>1</v>
      </c>
      <c r="D77" s="10">
        <v>76</v>
      </c>
      <c r="E77" s="5">
        <v>0.52579799999999999</v>
      </c>
      <c r="F77" s="5">
        <v>76.391741935483878</v>
      </c>
      <c r="G77" s="5">
        <v>3.3156360825240365</v>
      </c>
    </row>
    <row r="78" spans="1:7" x14ac:dyDescent="0.3">
      <c r="A78" s="10">
        <v>90</v>
      </c>
      <c r="B78" s="10" t="s">
        <v>12</v>
      </c>
      <c r="C78" s="10">
        <v>2</v>
      </c>
      <c r="D78" s="10">
        <v>77</v>
      </c>
      <c r="E78" s="5">
        <v>0.93485400000000007</v>
      </c>
      <c r="F78" s="5">
        <v>67.773935483870972</v>
      </c>
      <c r="G78" s="5">
        <v>3.3632168913369078</v>
      </c>
    </row>
    <row r="79" spans="1:7" x14ac:dyDescent="0.3">
      <c r="A79" s="10">
        <v>90</v>
      </c>
      <c r="B79" s="10" t="s">
        <v>12</v>
      </c>
      <c r="C79" s="10">
        <v>3</v>
      </c>
      <c r="D79" s="10">
        <v>78</v>
      </c>
      <c r="E79" s="5">
        <v>0.55988600000000011</v>
      </c>
      <c r="F79" s="5">
        <v>50.976516129032277</v>
      </c>
      <c r="G79" s="5">
        <v>3.3632168913369078</v>
      </c>
    </row>
    <row r="80" spans="1:7" x14ac:dyDescent="0.3">
      <c r="A80" s="10">
        <v>90</v>
      </c>
      <c r="B80" s="10" t="s">
        <v>12</v>
      </c>
      <c r="C80" s="10">
        <v>4</v>
      </c>
      <c r="D80" s="10">
        <v>79</v>
      </c>
      <c r="E80" s="5">
        <v>0.40648999999999996</v>
      </c>
      <c r="F80" s="5">
        <v>75.953548387096774</v>
      </c>
      <c r="G80" s="5">
        <v>3.5059593177755235</v>
      </c>
    </row>
    <row r="81" spans="1:7" x14ac:dyDescent="0.3">
      <c r="A81" s="10">
        <v>90</v>
      </c>
      <c r="B81" s="10" t="s">
        <v>12</v>
      </c>
      <c r="C81" s="10">
        <v>5</v>
      </c>
      <c r="D81" s="10">
        <v>80</v>
      </c>
      <c r="E81" s="5">
        <v>0.79850199999999982</v>
      </c>
      <c r="F81" s="5">
        <v>52.291096774193541</v>
      </c>
      <c r="G81" s="5">
        <v>2.9111992076146298</v>
      </c>
    </row>
    <row r="82" spans="1:7" x14ac:dyDescent="0.3">
      <c r="A82" s="10">
        <v>90</v>
      </c>
      <c r="B82" s="10" t="s">
        <v>13</v>
      </c>
      <c r="C82" s="10">
        <v>1</v>
      </c>
      <c r="D82" s="10">
        <v>81</v>
      </c>
      <c r="E82" s="5">
        <v>0.81554599999999999</v>
      </c>
      <c r="F82" s="5">
        <v>74.200774193548398</v>
      </c>
      <c r="G82" s="5">
        <v>2.9944656230371551</v>
      </c>
    </row>
    <row r="83" spans="1:7" x14ac:dyDescent="0.3">
      <c r="A83" s="10">
        <v>90</v>
      </c>
      <c r="B83" s="10" t="s">
        <v>13</v>
      </c>
      <c r="C83" s="10">
        <v>2</v>
      </c>
      <c r="D83" s="10">
        <v>82</v>
      </c>
      <c r="E83" s="5">
        <v>0.83259000000000005</v>
      </c>
      <c r="F83" s="5">
        <v>28.044387096774201</v>
      </c>
      <c r="G83" s="5">
        <v>2.9468848142242838</v>
      </c>
    </row>
    <row r="84" spans="1:7" x14ac:dyDescent="0.3">
      <c r="A84" s="10">
        <v>90</v>
      </c>
      <c r="B84" s="10" t="s">
        <v>13</v>
      </c>
      <c r="C84" s="10">
        <v>3</v>
      </c>
      <c r="D84" s="10">
        <v>83</v>
      </c>
      <c r="E84" s="5">
        <v>0.66215000000000002</v>
      </c>
      <c r="F84" s="5">
        <v>83.256774193548367</v>
      </c>
      <c r="G84" s="5">
        <v>3.0063608252403733</v>
      </c>
    </row>
    <row r="85" spans="1:7" x14ac:dyDescent="0.3">
      <c r="A85" s="10">
        <v>90</v>
      </c>
      <c r="B85" s="10" t="s">
        <v>13</v>
      </c>
      <c r="C85" s="10">
        <v>4</v>
      </c>
      <c r="D85" s="10">
        <v>84</v>
      </c>
      <c r="E85" s="5">
        <v>0.49170999999999998</v>
      </c>
      <c r="F85" s="5">
        <v>41.628387096774183</v>
      </c>
      <c r="G85" s="5">
        <v>3.0063608252403733</v>
      </c>
    </row>
    <row r="86" spans="1:7" x14ac:dyDescent="0.3">
      <c r="A86" s="10">
        <v>90</v>
      </c>
      <c r="B86" s="10" t="s">
        <v>13</v>
      </c>
      <c r="C86" s="10">
        <v>5</v>
      </c>
      <c r="D86" s="10">
        <v>85</v>
      </c>
      <c r="E86" s="5">
        <v>0.64510599999999996</v>
      </c>
      <c r="F86" s="5">
        <v>52.729290322580646</v>
      </c>
      <c r="G86" s="5">
        <v>2.9468848142242838</v>
      </c>
    </row>
    <row r="87" spans="1:7" x14ac:dyDescent="0.3">
      <c r="A87" s="10">
        <v>90</v>
      </c>
      <c r="B87" s="10" t="s">
        <v>14</v>
      </c>
      <c r="C87" s="10">
        <v>1</v>
      </c>
      <c r="D87" s="10">
        <v>86</v>
      </c>
      <c r="E87" s="5">
        <v>0.47466599999999998</v>
      </c>
      <c r="F87" s="5">
        <v>78.290580645161299</v>
      </c>
      <c r="G87" s="5">
        <v>4.136405034546069</v>
      </c>
    </row>
    <row r="88" spans="1:7" x14ac:dyDescent="0.3">
      <c r="A88" s="10">
        <v>90</v>
      </c>
      <c r="B88" s="10" t="s">
        <v>14</v>
      </c>
      <c r="C88" s="10">
        <v>2</v>
      </c>
      <c r="D88" s="10">
        <v>87</v>
      </c>
      <c r="E88" s="5">
        <v>0.38944600000000001</v>
      </c>
      <c r="F88" s="5">
        <v>72.886193548387112</v>
      </c>
      <c r="G88" s="5">
        <v>4.1126146301396336</v>
      </c>
    </row>
    <row r="89" spans="1:7" x14ac:dyDescent="0.3">
      <c r="A89" s="10">
        <v>90</v>
      </c>
      <c r="B89" s="10" t="s">
        <v>14</v>
      </c>
      <c r="C89" s="10">
        <v>3</v>
      </c>
      <c r="D89" s="10">
        <v>88</v>
      </c>
      <c r="E89" s="5">
        <v>0.45762200000000003</v>
      </c>
      <c r="F89" s="5">
        <v>70.841290322580633</v>
      </c>
      <c r="G89" s="5">
        <v>4.1483002367492876</v>
      </c>
    </row>
    <row r="90" spans="1:7" x14ac:dyDescent="0.3">
      <c r="A90" s="10">
        <v>90</v>
      </c>
      <c r="B90" s="10" t="s">
        <v>14</v>
      </c>
      <c r="C90" s="10">
        <v>4</v>
      </c>
      <c r="D90" s="10">
        <v>89</v>
      </c>
      <c r="E90" s="5">
        <v>0.52579799999999999</v>
      </c>
      <c r="F90" s="5">
        <v>52.291096774193541</v>
      </c>
      <c r="G90" s="5">
        <v>3.9579770014978024</v>
      </c>
    </row>
    <row r="91" spans="1:7" x14ac:dyDescent="0.3">
      <c r="A91" s="10">
        <v>90</v>
      </c>
      <c r="B91" s="10" t="s">
        <v>14</v>
      </c>
      <c r="C91" s="10">
        <v>5</v>
      </c>
      <c r="D91" s="10">
        <v>90</v>
      </c>
      <c r="E91" s="5">
        <v>0.6280619999999999</v>
      </c>
      <c r="F91" s="5">
        <v>105.60464516129032</v>
      </c>
      <c r="G91" s="5">
        <v>3.7914441706527517</v>
      </c>
    </row>
    <row r="92" spans="1:7" x14ac:dyDescent="0.3">
      <c r="A92" s="10">
        <v>90</v>
      </c>
      <c r="B92" s="10" t="s">
        <v>15</v>
      </c>
      <c r="C92" s="10">
        <v>1</v>
      </c>
      <c r="D92" s="10">
        <v>91</v>
      </c>
      <c r="E92" s="5">
        <v>0.78145799999999999</v>
      </c>
      <c r="F92" s="5">
        <v>79.313032258064524</v>
      </c>
      <c r="G92" s="5">
        <v>4.3148330675943365</v>
      </c>
    </row>
    <row r="93" spans="1:7" x14ac:dyDescent="0.3">
      <c r="A93" s="10">
        <v>90</v>
      </c>
      <c r="B93" s="10" t="s">
        <v>15</v>
      </c>
      <c r="C93" s="10">
        <v>2</v>
      </c>
      <c r="D93" s="10">
        <v>92</v>
      </c>
      <c r="E93" s="5">
        <v>0.83259000000000005</v>
      </c>
      <c r="F93" s="5">
        <v>50.538322580645172</v>
      </c>
      <c r="G93" s="5">
        <v>4.4575754940329517</v>
      </c>
    </row>
    <row r="94" spans="1:7" x14ac:dyDescent="0.3">
      <c r="A94" s="10">
        <v>90</v>
      </c>
      <c r="B94" s="10" t="s">
        <v>15</v>
      </c>
      <c r="C94" s="10">
        <v>3</v>
      </c>
      <c r="D94" s="10">
        <v>93</v>
      </c>
      <c r="E94" s="5">
        <v>0.93485400000000007</v>
      </c>
      <c r="F94" s="5">
        <v>40.75200000000001</v>
      </c>
      <c r="G94" s="5">
        <v>4.1958810455621585</v>
      </c>
    </row>
    <row r="95" spans="1:7" x14ac:dyDescent="0.3">
      <c r="A95" s="10">
        <v>90</v>
      </c>
      <c r="B95" s="10" t="s">
        <v>15</v>
      </c>
      <c r="C95" s="10">
        <v>4</v>
      </c>
      <c r="D95" s="10">
        <v>94</v>
      </c>
      <c r="E95" s="5">
        <v>0.81554599999999999</v>
      </c>
      <c r="F95" s="5">
        <v>46.59458064516128</v>
      </c>
      <c r="G95" s="5">
        <v>4.3862042808136446</v>
      </c>
    </row>
    <row r="96" spans="1:7" x14ac:dyDescent="0.3">
      <c r="A96" s="10">
        <v>90</v>
      </c>
      <c r="B96" s="10" t="s">
        <v>15</v>
      </c>
      <c r="C96" s="10">
        <v>5</v>
      </c>
      <c r="D96" s="10">
        <v>95</v>
      </c>
      <c r="E96" s="5">
        <v>0.83259000000000005</v>
      </c>
      <c r="F96" s="5">
        <v>49.223741935483865</v>
      </c>
      <c r="G96" s="5">
        <v>4.1601954389525053</v>
      </c>
    </row>
    <row r="97" spans="1:7" x14ac:dyDescent="0.3">
      <c r="A97" s="10">
        <v>90</v>
      </c>
      <c r="B97" s="10" t="s">
        <v>16</v>
      </c>
      <c r="C97" s="10">
        <v>1</v>
      </c>
      <c r="D97" s="10">
        <v>96</v>
      </c>
      <c r="E97" s="5">
        <v>0.38944600000000001</v>
      </c>
      <c r="F97" s="5">
        <v>57.257290322580623</v>
      </c>
      <c r="G97" s="5">
        <v>3.2799504759143838</v>
      </c>
    </row>
    <row r="98" spans="1:7" x14ac:dyDescent="0.3">
      <c r="A98" s="10">
        <v>90</v>
      </c>
      <c r="B98" s="10" t="s">
        <v>16</v>
      </c>
      <c r="C98" s="10">
        <v>2</v>
      </c>
      <c r="D98" s="10">
        <v>97</v>
      </c>
      <c r="E98" s="5">
        <v>0.64510599999999996</v>
      </c>
      <c r="F98" s="5">
        <v>85.739870967741936</v>
      </c>
      <c r="G98" s="5">
        <v>2.9706752186307193</v>
      </c>
    </row>
    <row r="99" spans="1:7" x14ac:dyDescent="0.3">
      <c r="A99" s="10">
        <v>90</v>
      </c>
      <c r="B99" s="10" t="s">
        <v>16</v>
      </c>
      <c r="C99" s="10">
        <v>3</v>
      </c>
      <c r="D99" s="10">
        <v>98</v>
      </c>
      <c r="E99" s="5">
        <v>0.6280619999999999</v>
      </c>
      <c r="F99" s="5">
        <v>98.009290322580654</v>
      </c>
      <c r="G99" s="5">
        <v>2.9706752186307193</v>
      </c>
    </row>
    <row r="100" spans="1:7" x14ac:dyDescent="0.3">
      <c r="A100" s="10">
        <v>90</v>
      </c>
      <c r="B100" s="10" t="s">
        <v>16</v>
      </c>
      <c r="C100" s="10">
        <v>4</v>
      </c>
      <c r="D100" s="10">
        <v>99</v>
      </c>
      <c r="E100" s="5">
        <v>0.61101799999999995</v>
      </c>
      <c r="F100" s="5">
        <v>91.582451612903242</v>
      </c>
      <c r="G100" s="5">
        <v>2.8755136010049762</v>
      </c>
    </row>
    <row r="101" spans="1:7" x14ac:dyDescent="0.3">
      <c r="A101" s="10">
        <v>90</v>
      </c>
      <c r="B101" s="10" t="s">
        <v>16</v>
      </c>
      <c r="C101" s="10">
        <v>5</v>
      </c>
      <c r="D101" s="10">
        <v>100</v>
      </c>
      <c r="E101" s="5">
        <v>0.64510599999999996</v>
      </c>
      <c r="F101" s="5">
        <v>82.67251612903226</v>
      </c>
      <c r="G101" s="5">
        <v>3.2442648693047298</v>
      </c>
    </row>
    <row r="102" spans="1:7" x14ac:dyDescent="0.3">
      <c r="A102" s="10">
        <v>105</v>
      </c>
      <c r="B102" s="10" t="s">
        <v>12</v>
      </c>
      <c r="C102" s="10">
        <v>1</v>
      </c>
      <c r="D102" s="10">
        <v>101</v>
      </c>
      <c r="E102" s="5">
        <v>0.88372200000000001</v>
      </c>
      <c r="F102" s="5">
        <v>58.571870967741916</v>
      </c>
      <c r="G102" s="5">
        <v>3.1015224428661154</v>
      </c>
    </row>
    <row r="103" spans="1:7" x14ac:dyDescent="0.3">
      <c r="A103" s="10">
        <v>105</v>
      </c>
      <c r="B103" s="10" t="s">
        <v>12</v>
      </c>
      <c r="C103" s="10">
        <v>2</v>
      </c>
      <c r="D103" s="10">
        <v>102</v>
      </c>
      <c r="E103" s="5">
        <v>1.0371179999999998</v>
      </c>
      <c r="F103" s="5">
        <v>59.010064516129063</v>
      </c>
      <c r="G103" s="5">
        <v>3.0301512296468083</v>
      </c>
    </row>
    <row r="104" spans="1:7" x14ac:dyDescent="0.3">
      <c r="A104" s="10">
        <v>105</v>
      </c>
      <c r="B104" s="10" t="s">
        <v>12</v>
      </c>
      <c r="C104" s="10">
        <v>3</v>
      </c>
      <c r="D104" s="10">
        <v>103</v>
      </c>
      <c r="E104" s="5">
        <v>0.90076600000000007</v>
      </c>
      <c r="F104" s="5">
        <v>57.987612903225823</v>
      </c>
      <c r="G104" s="5">
        <v>3.0658368362564623</v>
      </c>
    </row>
    <row r="105" spans="1:7" x14ac:dyDescent="0.3">
      <c r="A105" s="10">
        <v>105</v>
      </c>
      <c r="B105" s="10" t="s">
        <v>12</v>
      </c>
      <c r="C105" s="10">
        <v>4</v>
      </c>
      <c r="D105" s="10">
        <v>104</v>
      </c>
      <c r="E105" s="5">
        <v>0.50875399999999993</v>
      </c>
      <c r="F105" s="5">
        <v>53.459612903225796</v>
      </c>
      <c r="G105" s="5">
        <v>2.9468848142242838</v>
      </c>
    </row>
    <row r="106" spans="1:7" x14ac:dyDescent="0.3">
      <c r="A106" s="10">
        <v>105</v>
      </c>
      <c r="B106" s="10" t="s">
        <v>12</v>
      </c>
      <c r="C106" s="10">
        <v>5</v>
      </c>
      <c r="D106" s="10">
        <v>105</v>
      </c>
      <c r="E106" s="5">
        <v>0.47466599999999998</v>
      </c>
      <c r="F106" s="5">
        <v>55.066322580645156</v>
      </c>
      <c r="G106" s="5">
        <v>2.8993040054114121</v>
      </c>
    </row>
    <row r="107" spans="1:7" x14ac:dyDescent="0.3">
      <c r="A107" s="10">
        <v>105</v>
      </c>
      <c r="B107" s="10" t="s">
        <v>13</v>
      </c>
      <c r="C107" s="10">
        <v>1</v>
      </c>
      <c r="D107" s="10">
        <v>106</v>
      </c>
      <c r="E107" s="5">
        <v>0.86667799999999984</v>
      </c>
      <c r="F107" s="5">
        <v>110.57083870967745</v>
      </c>
      <c r="G107" s="5">
        <v>3.1609984538822049</v>
      </c>
    </row>
    <row r="108" spans="1:7" x14ac:dyDescent="0.3">
      <c r="A108" s="10">
        <v>105</v>
      </c>
      <c r="B108" s="10" t="s">
        <v>13</v>
      </c>
      <c r="C108" s="10">
        <v>2</v>
      </c>
      <c r="D108" s="10">
        <v>107</v>
      </c>
      <c r="E108" s="5">
        <v>0.79850199999999982</v>
      </c>
      <c r="F108" s="5">
        <v>109.25625806451613</v>
      </c>
      <c r="G108" s="5">
        <v>3.3632168913369078</v>
      </c>
    </row>
    <row r="109" spans="1:7" x14ac:dyDescent="0.3">
      <c r="A109" s="10">
        <v>105</v>
      </c>
      <c r="B109" s="10" t="s">
        <v>13</v>
      </c>
      <c r="C109" s="10">
        <v>3</v>
      </c>
      <c r="D109" s="10">
        <v>108</v>
      </c>
      <c r="E109" s="5">
        <v>0.69623799999999991</v>
      </c>
      <c r="F109" s="5">
        <v>73.908645161290309</v>
      </c>
      <c r="G109" s="5">
        <v>3.1966840604918585</v>
      </c>
    </row>
    <row r="110" spans="1:7" x14ac:dyDescent="0.3">
      <c r="A110" s="10">
        <v>105</v>
      </c>
      <c r="B110" s="10" t="s">
        <v>13</v>
      </c>
      <c r="C110" s="10">
        <v>4</v>
      </c>
      <c r="D110" s="10">
        <v>109</v>
      </c>
      <c r="E110" s="5">
        <v>0.64510599999999996</v>
      </c>
      <c r="F110" s="5">
        <v>63.391999999999996</v>
      </c>
      <c r="G110" s="5">
        <v>3.1491032516789863</v>
      </c>
    </row>
    <row r="111" spans="1:7" x14ac:dyDescent="0.3">
      <c r="A111" s="10">
        <v>105</v>
      </c>
      <c r="B111" s="10" t="s">
        <v>13</v>
      </c>
      <c r="C111" s="10">
        <v>5</v>
      </c>
      <c r="D111" s="10">
        <v>110</v>
      </c>
      <c r="E111" s="5">
        <v>0.73032599999999992</v>
      </c>
      <c r="F111" s="5">
        <v>49.954064516129044</v>
      </c>
      <c r="G111" s="5">
        <v>3.137208049475769</v>
      </c>
    </row>
    <row r="112" spans="1:7" x14ac:dyDescent="0.3">
      <c r="A112" s="10">
        <v>105</v>
      </c>
      <c r="B112" s="10" t="s">
        <v>14</v>
      </c>
      <c r="C112" s="10">
        <v>1</v>
      </c>
      <c r="D112" s="10">
        <v>111</v>
      </c>
      <c r="E112" s="5">
        <v>0.44057799999999997</v>
      </c>
      <c r="F112" s="5">
        <v>83.6949677419355</v>
      </c>
      <c r="G112" s="5">
        <v>3.0063608252403733</v>
      </c>
    </row>
    <row r="113" spans="1:7" x14ac:dyDescent="0.3">
      <c r="A113" s="10">
        <v>105</v>
      </c>
      <c r="B113" s="10" t="s">
        <v>14</v>
      </c>
      <c r="C113" s="10">
        <v>2</v>
      </c>
      <c r="D113" s="10">
        <v>112</v>
      </c>
      <c r="E113" s="5">
        <v>0.49170999999999998</v>
      </c>
      <c r="F113" s="5">
        <v>69.088516129032243</v>
      </c>
      <c r="G113" s="5">
        <v>3.1728936560854222</v>
      </c>
    </row>
    <row r="114" spans="1:7" x14ac:dyDescent="0.3">
      <c r="A114" s="10">
        <v>105</v>
      </c>
      <c r="B114" s="10" t="s">
        <v>14</v>
      </c>
      <c r="C114" s="10">
        <v>3</v>
      </c>
      <c r="D114" s="10">
        <v>113</v>
      </c>
      <c r="E114" s="5">
        <v>0.54284199999999982</v>
      </c>
      <c r="F114" s="12"/>
      <c r="G114" s="5">
        <v>3.0896272406628977</v>
      </c>
    </row>
    <row r="115" spans="1:7" x14ac:dyDescent="0.3">
      <c r="A115" s="10">
        <v>105</v>
      </c>
      <c r="B115" s="10" t="s">
        <v>14</v>
      </c>
      <c r="C115" s="10">
        <v>4</v>
      </c>
      <c r="D115" s="10">
        <v>114</v>
      </c>
      <c r="E115" s="5">
        <v>0.6280619999999999</v>
      </c>
      <c r="F115" s="5">
        <v>120.64929032258065</v>
      </c>
      <c r="G115" s="5">
        <v>2.9468848142242838</v>
      </c>
    </row>
    <row r="116" spans="1:7" x14ac:dyDescent="0.3">
      <c r="A116" s="10">
        <v>105</v>
      </c>
      <c r="B116" s="10" t="s">
        <v>14</v>
      </c>
      <c r="C116" s="10">
        <v>5</v>
      </c>
      <c r="D116" s="10">
        <v>115</v>
      </c>
      <c r="E116" s="5">
        <v>0.57692999999999994</v>
      </c>
      <c r="F116" s="5">
        <v>94.357677419354829</v>
      </c>
      <c r="G116" s="5">
        <v>3.1847888582886403</v>
      </c>
    </row>
    <row r="117" spans="1:7" x14ac:dyDescent="0.3">
      <c r="A117" s="10">
        <v>105</v>
      </c>
      <c r="B117" s="10" t="s">
        <v>15</v>
      </c>
      <c r="C117" s="10">
        <v>1</v>
      </c>
      <c r="D117" s="10">
        <v>116</v>
      </c>
      <c r="E117" s="5">
        <v>1.9063619999999999</v>
      </c>
      <c r="F117" s="5">
        <v>90.121806451612898</v>
      </c>
      <c r="G117" s="5">
        <v>3.1609984538822049</v>
      </c>
    </row>
    <row r="118" spans="1:7" x14ac:dyDescent="0.3">
      <c r="A118" s="10">
        <v>105</v>
      </c>
      <c r="B118" s="10" t="s">
        <v>15</v>
      </c>
      <c r="C118" s="10">
        <v>2</v>
      </c>
      <c r="D118" s="10">
        <v>117</v>
      </c>
      <c r="E118" s="5">
        <v>1.8381859999999999</v>
      </c>
      <c r="F118" s="5">
        <v>85.301677419354817</v>
      </c>
      <c r="G118" s="5">
        <v>3.3989024979465619</v>
      </c>
    </row>
    <row r="119" spans="1:7" x14ac:dyDescent="0.3">
      <c r="A119" s="10">
        <v>105</v>
      </c>
      <c r="B119" s="10" t="s">
        <v>15</v>
      </c>
      <c r="C119" s="10">
        <v>3</v>
      </c>
      <c r="D119" s="10">
        <v>118</v>
      </c>
      <c r="E119" s="5">
        <v>1.5995699999999997</v>
      </c>
      <c r="F119" s="5">
        <v>69.380645161290289</v>
      </c>
      <c r="G119" s="5">
        <v>3.0063608252403733</v>
      </c>
    </row>
    <row r="120" spans="1:7" x14ac:dyDescent="0.3">
      <c r="A120" s="10">
        <v>105</v>
      </c>
      <c r="B120" s="10" t="s">
        <v>15</v>
      </c>
      <c r="C120" s="10">
        <v>4</v>
      </c>
      <c r="D120" s="10">
        <v>119</v>
      </c>
      <c r="E120" s="5">
        <v>1.8552299999999999</v>
      </c>
      <c r="F120" s="5">
        <v>60.178580645161276</v>
      </c>
      <c r="G120" s="5">
        <v>2.9111992076146298</v>
      </c>
    </row>
    <row r="121" spans="1:7" x14ac:dyDescent="0.3">
      <c r="A121" s="10">
        <v>105</v>
      </c>
      <c r="B121" s="10" t="s">
        <v>15</v>
      </c>
      <c r="C121" s="10">
        <v>5</v>
      </c>
      <c r="D121" s="10">
        <v>120</v>
      </c>
      <c r="E121" s="5">
        <v>1.9745379999999997</v>
      </c>
      <c r="F121" s="5">
        <v>72.594064516129009</v>
      </c>
      <c r="G121" s="5">
        <v>2.9706752186307193</v>
      </c>
    </row>
    <row r="122" spans="1:7" x14ac:dyDescent="0.3">
      <c r="A122" s="10">
        <v>105</v>
      </c>
      <c r="B122" s="10" t="s">
        <v>16</v>
      </c>
      <c r="C122" s="10">
        <v>1</v>
      </c>
      <c r="D122" s="10">
        <v>121</v>
      </c>
      <c r="E122" s="5">
        <v>0.90076600000000007</v>
      </c>
      <c r="F122" s="5">
        <v>51.852903225806457</v>
      </c>
      <c r="G122" s="5">
        <v>3.6962825530270087</v>
      </c>
    </row>
    <row r="123" spans="1:7" x14ac:dyDescent="0.3">
      <c r="A123" s="10">
        <v>105</v>
      </c>
      <c r="B123" s="10" t="s">
        <v>16</v>
      </c>
      <c r="C123" s="10">
        <v>2</v>
      </c>
      <c r="D123" s="10">
        <v>122</v>
      </c>
      <c r="E123" s="5">
        <v>0.593974</v>
      </c>
      <c r="F123" s="5">
        <v>71.425548387096768</v>
      </c>
      <c r="G123" s="5">
        <v>3.5654353287916121</v>
      </c>
    </row>
    <row r="124" spans="1:7" x14ac:dyDescent="0.3">
      <c r="A124" s="10">
        <v>105</v>
      </c>
      <c r="B124" s="10" t="s">
        <v>16</v>
      </c>
      <c r="C124" s="10">
        <v>3</v>
      </c>
      <c r="D124" s="10">
        <v>123</v>
      </c>
      <c r="E124" s="5">
        <v>0.81554599999999999</v>
      </c>
      <c r="F124" s="5">
        <v>42.796903225806439</v>
      </c>
      <c r="G124" s="5">
        <v>3.3989024979465619</v>
      </c>
    </row>
    <row r="125" spans="1:7" x14ac:dyDescent="0.3">
      <c r="A125" s="10">
        <v>105</v>
      </c>
      <c r="B125" s="10" t="s">
        <v>16</v>
      </c>
      <c r="C125" s="10">
        <v>4</v>
      </c>
      <c r="D125" s="10">
        <v>124</v>
      </c>
      <c r="E125" s="5">
        <v>0.593974</v>
      </c>
      <c r="F125" s="5">
        <v>99.908129032258032</v>
      </c>
      <c r="G125" s="5">
        <v>3.3394264869304724</v>
      </c>
    </row>
    <row r="126" spans="1:7" x14ac:dyDescent="0.3">
      <c r="A126" s="10">
        <v>105</v>
      </c>
      <c r="B126" s="10" t="s">
        <v>16</v>
      </c>
      <c r="C126" s="10">
        <v>5</v>
      </c>
      <c r="D126" s="10">
        <v>125</v>
      </c>
      <c r="E126" s="5">
        <v>0.83259000000000005</v>
      </c>
      <c r="F126" s="5">
        <v>53.751741935483864</v>
      </c>
      <c r="G126" s="5">
        <v>3.1966840604918585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E3468-A1EA-4CA7-978E-33D8C3316D33}">
  <dimension ref="A1:M126"/>
  <sheetViews>
    <sheetView workbookViewId="0">
      <selection activeCell="D1" sqref="D1"/>
    </sheetView>
  </sheetViews>
  <sheetFormatPr baseColWidth="10" defaultRowHeight="14.4" x14ac:dyDescent="0.3"/>
  <cols>
    <col min="2" max="2" width="14" customWidth="1"/>
    <col min="10" max="10" width="12.33203125" customWidth="1"/>
  </cols>
  <sheetData>
    <row r="1" spans="1:13" ht="20.399999999999999" x14ac:dyDescent="0.3">
      <c r="A1" s="15" t="s">
        <v>11</v>
      </c>
      <c r="B1" s="15" t="s">
        <v>17</v>
      </c>
      <c r="C1" s="15" t="s">
        <v>27</v>
      </c>
      <c r="D1" s="15" t="s">
        <v>10</v>
      </c>
      <c r="E1" s="15" t="s">
        <v>18</v>
      </c>
      <c r="F1" s="16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7" t="s">
        <v>24</v>
      </c>
      <c r="L1" s="15" t="s">
        <v>25</v>
      </c>
      <c r="M1" s="18" t="s">
        <v>26</v>
      </c>
    </row>
    <row r="2" spans="1:13" x14ac:dyDescent="0.3">
      <c r="A2" s="10">
        <v>45</v>
      </c>
      <c r="B2" s="10" t="s">
        <v>12</v>
      </c>
      <c r="C2" s="10">
        <v>1</v>
      </c>
      <c r="D2" s="9">
        <v>1</v>
      </c>
      <c r="E2" s="11">
        <v>6.5306839999999999</v>
      </c>
      <c r="F2" s="11">
        <v>618.90192000000002</v>
      </c>
      <c r="G2" s="11">
        <v>4.1195379999999986</v>
      </c>
      <c r="H2" s="11">
        <v>9.4085615999999987</v>
      </c>
      <c r="I2" s="11">
        <v>3.1243039999999995</v>
      </c>
      <c r="J2" s="11">
        <v>12.532865599999997</v>
      </c>
      <c r="K2" s="11">
        <v>8.2938880000000008</v>
      </c>
      <c r="L2" s="11">
        <v>416.37527999999992</v>
      </c>
      <c r="M2" s="11">
        <v>84.535897625199965</v>
      </c>
    </row>
    <row r="3" spans="1:13" x14ac:dyDescent="0.3">
      <c r="A3" s="10">
        <v>45</v>
      </c>
      <c r="B3" s="10" t="s">
        <v>12</v>
      </c>
      <c r="C3" s="10">
        <v>2</v>
      </c>
      <c r="D3" s="9">
        <v>2</v>
      </c>
      <c r="E3" s="11">
        <v>6.5131987999999996</v>
      </c>
      <c r="F3" s="11">
        <v>666.20432000000005</v>
      </c>
      <c r="G3" s="11">
        <v>5.544858999999998</v>
      </c>
      <c r="H3" s="11">
        <v>8.0343376000000006</v>
      </c>
      <c r="I3" s="11">
        <v>4.2705120000000001</v>
      </c>
      <c r="J3" s="11">
        <v>12.304849600000001</v>
      </c>
      <c r="K3" s="11">
        <v>1.7817600000000011</v>
      </c>
      <c r="L3" s="11">
        <v>456.28811999999999</v>
      </c>
      <c r="M3" s="11">
        <v>38.759982773471144</v>
      </c>
    </row>
    <row r="4" spans="1:13" x14ac:dyDescent="0.3">
      <c r="A4" s="10">
        <v>45</v>
      </c>
      <c r="B4" s="10" t="s">
        <v>12</v>
      </c>
      <c r="C4" s="10">
        <v>3</v>
      </c>
      <c r="D4" s="9">
        <v>3</v>
      </c>
      <c r="E4" s="11">
        <v>6.6793081999999986</v>
      </c>
      <c r="F4" s="11">
        <v>726.51487999999995</v>
      </c>
      <c r="G4" s="11">
        <v>5.3154969999999979</v>
      </c>
      <c r="H4" s="11">
        <v>8.6397784000000009</v>
      </c>
      <c r="I4" s="11">
        <v>2.0700959999999995</v>
      </c>
      <c r="J4" s="11">
        <v>10.7098744</v>
      </c>
      <c r="K4" s="11">
        <v>6.8049920000000004</v>
      </c>
      <c r="L4" s="11">
        <v>407.90891999999997</v>
      </c>
      <c r="M4" s="11">
        <v>62.907739633321029</v>
      </c>
    </row>
    <row r="5" spans="1:13" x14ac:dyDescent="0.3">
      <c r="A5" s="10">
        <v>45</v>
      </c>
      <c r="B5" s="10" t="s">
        <v>12</v>
      </c>
      <c r="C5" s="10">
        <v>4</v>
      </c>
      <c r="D5" s="9">
        <v>4</v>
      </c>
      <c r="E5" s="11">
        <v>5.6913943999999992</v>
      </c>
      <c r="F5" s="11">
        <v>843.58831999999995</v>
      </c>
      <c r="G5" s="11">
        <v>5.9216679999999986</v>
      </c>
      <c r="H5" s="11">
        <v>5.5029452000000001</v>
      </c>
      <c r="I5" s="11">
        <v>1.0636240000000003</v>
      </c>
      <c r="J5" s="11">
        <v>6.5665692</v>
      </c>
      <c r="K5" s="11">
        <v>4.6015040000000003</v>
      </c>
      <c r="L5" s="11">
        <v>424.84163999999998</v>
      </c>
      <c r="M5" s="11">
        <v>41.144535498954113</v>
      </c>
    </row>
    <row r="6" spans="1:13" x14ac:dyDescent="0.3">
      <c r="A6" s="10">
        <v>45</v>
      </c>
      <c r="B6" s="10" t="s">
        <v>12</v>
      </c>
      <c r="C6" s="10">
        <v>5</v>
      </c>
      <c r="D6" s="9">
        <v>5</v>
      </c>
      <c r="E6" s="11">
        <v>7.4748847999999999</v>
      </c>
      <c r="F6" s="11">
        <v>857.77904000000012</v>
      </c>
      <c r="G6" s="11">
        <v>4.9059219999999968</v>
      </c>
      <c r="H6" s="11">
        <v>7.6613851999999998</v>
      </c>
      <c r="I6" s="11">
        <v>1.3974639999999998</v>
      </c>
      <c r="J6" s="11">
        <v>9.0588491999999992</v>
      </c>
      <c r="K6" s="11">
        <v>6.7172800000000006</v>
      </c>
      <c r="L6" s="11">
        <v>441.77436000000006</v>
      </c>
      <c r="M6" s="11">
        <v>57.700969607481248</v>
      </c>
    </row>
    <row r="7" spans="1:13" x14ac:dyDescent="0.3">
      <c r="A7" s="10">
        <v>45</v>
      </c>
      <c r="B7" s="10" t="s">
        <v>13</v>
      </c>
      <c r="C7" s="10">
        <v>1</v>
      </c>
      <c r="D7" s="9">
        <v>6</v>
      </c>
      <c r="E7" s="11">
        <v>6.9678139999999997</v>
      </c>
      <c r="F7" s="11">
        <v>605.89376000000004</v>
      </c>
      <c r="G7" s="11">
        <v>5.1680499999999983</v>
      </c>
      <c r="H7" s="11">
        <v>9.146083599999999</v>
      </c>
      <c r="I7" s="11">
        <v>1.9247120000000006</v>
      </c>
      <c r="J7" s="11">
        <v>11.0707956</v>
      </c>
      <c r="K7" s="11">
        <v>6.9983039999999992</v>
      </c>
      <c r="L7" s="11">
        <v>440.56488000000002</v>
      </c>
      <c r="M7" s="11">
        <v>63.751150486034206</v>
      </c>
    </row>
    <row r="8" spans="1:13" x14ac:dyDescent="0.3">
      <c r="A8" s="10">
        <v>45</v>
      </c>
      <c r="B8" s="10" t="s">
        <v>13</v>
      </c>
      <c r="C8" s="10">
        <v>2</v>
      </c>
      <c r="D8" s="9">
        <v>7</v>
      </c>
      <c r="E8" s="11">
        <v>6.7055359999999995</v>
      </c>
      <c r="F8" s="11">
        <v>682.76016000000004</v>
      </c>
      <c r="G8" s="11">
        <v>5.2499650000000004</v>
      </c>
      <c r="H8" s="11">
        <v>10.393591200000001</v>
      </c>
      <c r="I8" s="11">
        <v>2.1336799999999991</v>
      </c>
      <c r="J8" s="11">
        <v>12.527271200000001</v>
      </c>
      <c r="K8" s="11">
        <v>8.0607679999999995</v>
      </c>
      <c r="L8" s="11">
        <v>450.24072000000001</v>
      </c>
      <c r="M8" s="11">
        <v>72.693855051064361</v>
      </c>
    </row>
    <row r="9" spans="1:13" x14ac:dyDescent="0.3">
      <c r="A9" s="10">
        <v>45</v>
      </c>
      <c r="B9" s="10" t="s">
        <v>13</v>
      </c>
      <c r="C9" s="10">
        <v>3</v>
      </c>
      <c r="D9" s="9">
        <v>8</v>
      </c>
      <c r="E9" s="11">
        <v>5.9711575999999997</v>
      </c>
      <c r="F9" s="11">
        <v>525.4796799999998</v>
      </c>
      <c r="G9" s="11">
        <v>5.7086889999999979</v>
      </c>
      <c r="H9" s="11">
        <v>9.9530799999999999</v>
      </c>
      <c r="I9" s="11">
        <v>2.014208</v>
      </c>
      <c r="J9" s="11">
        <v>11.967288</v>
      </c>
      <c r="K9" s="11">
        <v>7.7263680000000008</v>
      </c>
      <c r="L9" s="11">
        <v>430.88904000000002</v>
      </c>
      <c r="M9" s="11">
        <v>70.027129322013053</v>
      </c>
    </row>
    <row r="10" spans="1:13" x14ac:dyDescent="0.3">
      <c r="A10" s="10">
        <v>45</v>
      </c>
      <c r="B10" s="10" t="s">
        <v>13</v>
      </c>
      <c r="C10" s="10">
        <v>4</v>
      </c>
      <c r="D10" s="9">
        <v>9</v>
      </c>
      <c r="E10" s="11">
        <v>5.6214535999999997</v>
      </c>
      <c r="F10" s="11">
        <v>691.03807999999992</v>
      </c>
      <c r="G10" s="11">
        <v>4.250601999999998</v>
      </c>
      <c r="H10" s="11">
        <v>10.87256</v>
      </c>
      <c r="I10" s="11">
        <v>2.4073279999999992</v>
      </c>
      <c r="J10" s="11">
        <v>13.279888</v>
      </c>
      <c r="K10" s="11">
        <v>8.024160000000002</v>
      </c>
      <c r="L10" s="11">
        <v>430.88904000000002</v>
      </c>
      <c r="M10" s="11">
        <v>74.215073212747626</v>
      </c>
    </row>
    <row r="11" spans="1:13" x14ac:dyDescent="0.3">
      <c r="A11" s="10">
        <v>45</v>
      </c>
      <c r="B11" s="10" t="s">
        <v>13</v>
      </c>
      <c r="C11" s="10">
        <v>5</v>
      </c>
      <c r="D11" s="9">
        <v>10</v>
      </c>
      <c r="E11" s="11">
        <v>6.2684059999999979</v>
      </c>
      <c r="F11" s="11">
        <v>715.87184000000002</v>
      </c>
      <c r="G11" s="11">
        <v>4.5782619999999969</v>
      </c>
      <c r="H11" s="11">
        <v>9.9699751999999986</v>
      </c>
      <c r="I11" s="11">
        <v>2.2032639999999999</v>
      </c>
      <c r="J11" s="11">
        <v>12.173239199999998</v>
      </c>
      <c r="K11" s="11">
        <v>7.5287040000000012</v>
      </c>
      <c r="L11" s="11">
        <v>478.05875999999995</v>
      </c>
      <c r="M11" s="11">
        <v>69.299146056355355</v>
      </c>
    </row>
    <row r="12" spans="1:13" x14ac:dyDescent="0.3">
      <c r="A12" s="10">
        <v>45</v>
      </c>
      <c r="B12" s="10" t="s">
        <v>14</v>
      </c>
      <c r="C12" s="10">
        <v>1</v>
      </c>
      <c r="D12" s="9">
        <v>11</v>
      </c>
      <c r="E12" s="11">
        <v>5.6564239999999995</v>
      </c>
      <c r="F12" s="11">
        <v>439.1527999999999</v>
      </c>
      <c r="G12" s="11">
        <v>5.9871999999999987</v>
      </c>
      <c r="H12" s="11">
        <v>4.3128440000000001</v>
      </c>
      <c r="I12" s="11">
        <v>0.59950400000000015</v>
      </c>
      <c r="J12" s="11">
        <v>4.9123480000000006</v>
      </c>
      <c r="K12" s="11">
        <v>4.4814080000000001</v>
      </c>
      <c r="L12" s="11">
        <v>410.32787999999999</v>
      </c>
      <c r="M12" s="11">
        <v>36.619495508797833</v>
      </c>
    </row>
    <row r="13" spans="1:13" x14ac:dyDescent="0.3">
      <c r="A13" s="10">
        <v>45</v>
      </c>
      <c r="B13" s="10" t="s">
        <v>14</v>
      </c>
      <c r="C13" s="10">
        <v>2</v>
      </c>
      <c r="D13" s="9">
        <v>12</v>
      </c>
      <c r="E13" s="11">
        <v>6.1197817999999993</v>
      </c>
      <c r="F13" s="11">
        <v>524.29711999999995</v>
      </c>
      <c r="G13" s="11">
        <v>5.8561359999999976</v>
      </c>
      <c r="H13" s="11">
        <v>4.0870099999999994</v>
      </c>
      <c r="I13" s="11">
        <v>0.56940000000000013</v>
      </c>
      <c r="J13" s="11">
        <v>4.6564099999999993</v>
      </c>
      <c r="K13" s="11">
        <v>4.1650560000000008</v>
      </c>
      <c r="L13" s="11">
        <v>410.32787999999999</v>
      </c>
      <c r="M13" s="11">
        <v>34.09349329395841</v>
      </c>
    </row>
    <row r="14" spans="1:13" x14ac:dyDescent="0.3">
      <c r="A14" s="10">
        <v>45</v>
      </c>
      <c r="B14" s="10" t="s">
        <v>14</v>
      </c>
      <c r="C14" s="10">
        <v>3</v>
      </c>
      <c r="D14" s="9">
        <v>13</v>
      </c>
      <c r="E14" s="11">
        <v>5.9711575999999997</v>
      </c>
      <c r="F14" s="11">
        <v>387.12015999999994</v>
      </c>
      <c r="G14" s="11">
        <v>5.0042199999999983</v>
      </c>
      <c r="H14" s="11">
        <v>5.3721040000000002</v>
      </c>
      <c r="I14" s="11">
        <v>0.80772799999999956</v>
      </c>
      <c r="J14" s="11">
        <v>6.1798319999999993</v>
      </c>
      <c r="K14" s="11">
        <v>5.6328639999999996</v>
      </c>
      <c r="L14" s="11">
        <v>453.86916000000002</v>
      </c>
      <c r="M14" s="11">
        <v>45.796773717238842</v>
      </c>
    </row>
    <row r="15" spans="1:13" x14ac:dyDescent="0.3">
      <c r="A15" s="10">
        <v>45</v>
      </c>
      <c r="B15" s="10" t="s">
        <v>14</v>
      </c>
      <c r="C15" s="10">
        <v>4</v>
      </c>
      <c r="D15" s="9">
        <v>14</v>
      </c>
      <c r="E15" s="11">
        <v>5.1755810000000002</v>
      </c>
      <c r="F15" s="11">
        <v>505.37615999999997</v>
      </c>
      <c r="G15" s="11">
        <v>5.2991139999999968</v>
      </c>
      <c r="H15" s="11">
        <v>4.7417628000000001</v>
      </c>
      <c r="I15" s="11">
        <v>0.71583200000000013</v>
      </c>
      <c r="J15" s="11">
        <v>5.4575947999999999</v>
      </c>
      <c r="K15" s="11">
        <v>4.8786559999999994</v>
      </c>
      <c r="L15" s="11">
        <v>430.88904000000002</v>
      </c>
      <c r="M15" s="11">
        <v>39.898363479758835</v>
      </c>
    </row>
    <row r="16" spans="1:13" x14ac:dyDescent="0.3">
      <c r="A16" s="10">
        <v>45</v>
      </c>
      <c r="B16" s="10" t="s">
        <v>14</v>
      </c>
      <c r="C16" s="10">
        <v>5</v>
      </c>
      <c r="D16" s="9">
        <v>15</v>
      </c>
      <c r="E16" s="11">
        <v>6.0410983999999983</v>
      </c>
      <c r="F16" s="11">
        <v>441.51791999999989</v>
      </c>
      <c r="G16" s="11">
        <v>5.2499649999999969</v>
      </c>
      <c r="H16" s="11">
        <v>5.2294347999999999</v>
      </c>
      <c r="I16" s="11">
        <v>0.83372000000000002</v>
      </c>
      <c r="J16" s="11">
        <v>6.0631547999999995</v>
      </c>
      <c r="K16" s="11">
        <v>5.1577919999999997</v>
      </c>
      <c r="L16" s="11">
        <v>449.03124000000003</v>
      </c>
      <c r="M16" s="11">
        <v>43.302054878799069</v>
      </c>
    </row>
    <row r="17" spans="1:13" x14ac:dyDescent="0.3">
      <c r="A17" s="10">
        <v>45</v>
      </c>
      <c r="B17" s="10" t="s">
        <v>15</v>
      </c>
      <c r="C17" s="10">
        <v>1</v>
      </c>
      <c r="D17" s="9">
        <v>16</v>
      </c>
      <c r="E17" s="11">
        <v>3.8729336000000001</v>
      </c>
      <c r="F17" s="11">
        <v>427.32719999999995</v>
      </c>
      <c r="G17" s="11">
        <v>6.8554989999999982</v>
      </c>
      <c r="H17" s="11">
        <v>5.8545220000000011</v>
      </c>
      <c r="I17" s="11">
        <v>2.2131119999999997</v>
      </c>
      <c r="J17" s="11">
        <v>8.0676340000000017</v>
      </c>
      <c r="K17" s="11">
        <v>2.8329280000000003</v>
      </c>
      <c r="L17" s="11">
        <v>417.58476000000002</v>
      </c>
      <c r="M17" s="11">
        <v>33.583462532299748</v>
      </c>
    </row>
    <row r="18" spans="1:13" x14ac:dyDescent="0.3">
      <c r="A18" s="10">
        <v>45</v>
      </c>
      <c r="B18" s="10" t="s">
        <v>15</v>
      </c>
      <c r="C18" s="10">
        <v>2</v>
      </c>
      <c r="D18" s="9">
        <v>17</v>
      </c>
      <c r="E18" s="11">
        <v>3.7155667999999995</v>
      </c>
      <c r="F18" s="11">
        <v>436.78767999999997</v>
      </c>
      <c r="G18" s="11">
        <v>4.4635809999999987</v>
      </c>
      <c r="H18" s="11">
        <v>6.2524151999999997</v>
      </c>
      <c r="I18" s="11">
        <v>1.1998080000000002</v>
      </c>
      <c r="J18" s="11">
        <v>7.4522231999999997</v>
      </c>
      <c r="K18" s="11">
        <v>5.3111679999999994</v>
      </c>
      <c r="L18" s="11">
        <v>458.70708000000008</v>
      </c>
      <c r="M18" s="11">
        <v>46.301540543866118</v>
      </c>
    </row>
    <row r="19" spans="1:13" x14ac:dyDescent="0.3">
      <c r="A19" s="10">
        <v>45</v>
      </c>
      <c r="B19" s="10" t="s">
        <v>15</v>
      </c>
      <c r="C19" s="10">
        <v>3</v>
      </c>
      <c r="D19" s="9">
        <v>18</v>
      </c>
      <c r="E19" s="11">
        <v>4.0040725999999998</v>
      </c>
      <c r="F19" s="11">
        <v>380.02479999999997</v>
      </c>
      <c r="G19" s="11">
        <v>5.544858999999998</v>
      </c>
      <c r="H19" s="11">
        <v>6.1948888000000002</v>
      </c>
      <c r="I19" s="11">
        <v>1.2464959999999994</v>
      </c>
      <c r="J19" s="11">
        <v>7.4413847999999998</v>
      </c>
      <c r="K19" s="11">
        <v>5.1101440000000009</v>
      </c>
      <c r="L19" s="11">
        <v>470.80187999999998</v>
      </c>
      <c r="M19" s="11">
        <v>45.173791066814339</v>
      </c>
    </row>
    <row r="20" spans="1:13" x14ac:dyDescent="0.3">
      <c r="A20" s="10">
        <v>45</v>
      </c>
      <c r="B20" s="10" t="s">
        <v>15</v>
      </c>
      <c r="C20" s="10">
        <v>4</v>
      </c>
      <c r="D20" s="9">
        <v>19</v>
      </c>
      <c r="E20" s="11">
        <v>4.0652708000000004</v>
      </c>
      <c r="F20" s="11">
        <v>543.21807999999999</v>
      </c>
      <c r="G20" s="11">
        <v>5.4957099999999981</v>
      </c>
      <c r="H20" s="11">
        <v>6.3471723999999998</v>
      </c>
      <c r="I20" s="11">
        <v>1.2590479999999995</v>
      </c>
      <c r="J20" s="11">
        <v>7.6062203999999998</v>
      </c>
      <c r="K20" s="11">
        <v>5.177471999999999</v>
      </c>
      <c r="L20" s="11">
        <v>464.75448</v>
      </c>
      <c r="M20" s="11">
        <v>47.244171280915481</v>
      </c>
    </row>
    <row r="21" spans="1:13" x14ac:dyDescent="0.3">
      <c r="A21" s="10">
        <v>45</v>
      </c>
      <c r="B21" s="10" t="s">
        <v>15</v>
      </c>
      <c r="C21" s="10">
        <v>5</v>
      </c>
      <c r="D21" s="9">
        <v>20</v>
      </c>
      <c r="E21" s="11">
        <v>3.6193982</v>
      </c>
      <c r="F21" s="11">
        <v>583.42511999999999</v>
      </c>
      <c r="G21" s="11">
        <v>4.7257089999999984</v>
      </c>
      <c r="H21" s="11">
        <v>6.1622496000000009</v>
      </c>
      <c r="I21" s="11">
        <v>1.4796159999999996</v>
      </c>
      <c r="J21" s="11">
        <v>7.6418656000000009</v>
      </c>
      <c r="K21" s="11">
        <v>4.6100479999999999</v>
      </c>
      <c r="L21" s="11">
        <v>421.21320000000003</v>
      </c>
      <c r="M21" s="11">
        <v>43.105889011935531</v>
      </c>
    </row>
    <row r="22" spans="1:13" x14ac:dyDescent="0.3">
      <c r="A22" s="10">
        <v>45</v>
      </c>
      <c r="B22" s="10" t="s">
        <v>16</v>
      </c>
      <c r="C22" s="10">
        <v>1</v>
      </c>
      <c r="D22" s="9">
        <v>21</v>
      </c>
      <c r="E22" s="11">
        <v>6.7055359999999995</v>
      </c>
      <c r="F22" s="11">
        <v>816.38943999999981</v>
      </c>
      <c r="G22" s="11">
        <v>6.1510299999999987</v>
      </c>
      <c r="H22" s="11">
        <v>7.7086660000000009</v>
      </c>
      <c r="I22" s="11">
        <v>1.6043439999999998</v>
      </c>
      <c r="J22" s="11">
        <v>9.3130100000000002</v>
      </c>
      <c r="K22" s="11">
        <v>6.2724479999999998</v>
      </c>
      <c r="L22" s="11">
        <v>451.4502</v>
      </c>
      <c r="M22" s="11">
        <v>56.617925433739373</v>
      </c>
    </row>
    <row r="23" spans="1:13" x14ac:dyDescent="0.3">
      <c r="A23" s="10">
        <v>45</v>
      </c>
      <c r="B23" s="10" t="s">
        <v>16</v>
      </c>
      <c r="C23" s="10">
        <v>2</v>
      </c>
      <c r="D23" s="9">
        <v>22</v>
      </c>
      <c r="E23" s="11">
        <v>7.2912901999999988</v>
      </c>
      <c r="F23" s="11">
        <v>687.49039999999991</v>
      </c>
      <c r="G23" s="11">
        <v>5.2827309999999983</v>
      </c>
      <c r="H23" s="11">
        <v>6.3027807999999999</v>
      </c>
      <c r="I23" s="11">
        <v>1.2110719999999997</v>
      </c>
      <c r="J23" s="11">
        <v>7.5138527999999996</v>
      </c>
      <c r="K23" s="11">
        <v>5.4114880000000003</v>
      </c>
      <c r="L23" s="11">
        <v>413.95631999999995</v>
      </c>
      <c r="M23" s="11">
        <v>47.089922480620153</v>
      </c>
    </row>
    <row r="24" spans="1:13" x14ac:dyDescent="0.3">
      <c r="A24" s="10">
        <v>45</v>
      </c>
      <c r="B24" s="10" t="s">
        <v>16</v>
      </c>
      <c r="C24" s="10">
        <v>3</v>
      </c>
      <c r="D24" s="9">
        <v>23</v>
      </c>
      <c r="E24" s="11">
        <v>6.3995449999999998</v>
      </c>
      <c r="F24" s="11">
        <v>672.11711999999989</v>
      </c>
      <c r="G24" s="11">
        <v>5.4465609999999982</v>
      </c>
      <c r="H24" s="11">
        <v>5.7518083999999989</v>
      </c>
      <c r="I24" s="11">
        <v>1.5240239999999998</v>
      </c>
      <c r="J24" s="11">
        <v>7.2758323999999988</v>
      </c>
      <c r="K24" s="11">
        <v>5.3150399999999998</v>
      </c>
      <c r="L24" s="11">
        <v>479.26823999999999</v>
      </c>
      <c r="M24" s="11">
        <v>50.160853943644639</v>
      </c>
    </row>
    <row r="25" spans="1:13" x14ac:dyDescent="0.3">
      <c r="A25" s="10">
        <v>45</v>
      </c>
      <c r="B25" s="10" t="s">
        <v>16</v>
      </c>
      <c r="C25" s="10">
        <v>4</v>
      </c>
      <c r="D25" s="9">
        <v>24</v>
      </c>
      <c r="E25" s="11">
        <v>7.4748847999999999</v>
      </c>
      <c r="F25" s="11">
        <v>726.51487999999995</v>
      </c>
      <c r="G25" s="11">
        <v>4.3816659999999983</v>
      </c>
      <c r="H25" s="11">
        <v>5.7715883999999997</v>
      </c>
      <c r="I25" s="11">
        <v>1.1700240000000002</v>
      </c>
      <c r="J25" s="11">
        <v>6.9416124000000003</v>
      </c>
      <c r="K25" s="11">
        <v>4.7780479999999992</v>
      </c>
      <c r="L25" s="11">
        <v>473.22084000000001</v>
      </c>
      <c r="M25" s="11">
        <v>42.723570813338263</v>
      </c>
    </row>
    <row r="26" spans="1:13" x14ac:dyDescent="0.3">
      <c r="A26" s="10">
        <v>45</v>
      </c>
      <c r="B26" s="10" t="s">
        <v>16</v>
      </c>
      <c r="C26" s="10">
        <v>5</v>
      </c>
      <c r="D26" s="9">
        <v>25</v>
      </c>
      <c r="E26" s="11">
        <v>6.0673261999999992</v>
      </c>
      <c r="F26" s="11">
        <v>545.58320000000003</v>
      </c>
      <c r="G26" s="11">
        <v>5.2335819999999966</v>
      </c>
      <c r="H26" s="11">
        <v>6.9400472000000013</v>
      </c>
      <c r="I26" s="11">
        <v>1.5300479999999996</v>
      </c>
      <c r="J26" s="11">
        <v>8.4700952000000012</v>
      </c>
      <c r="K26" s="11">
        <v>5.0469439999999999</v>
      </c>
      <c r="L26" s="11">
        <v>380.09088000000003</v>
      </c>
      <c r="M26" s="11">
        <v>49.892932201304291</v>
      </c>
    </row>
    <row r="27" spans="1:13" x14ac:dyDescent="0.3">
      <c r="A27" s="10">
        <v>60</v>
      </c>
      <c r="B27" s="10" t="s">
        <v>12</v>
      </c>
      <c r="C27" s="10">
        <v>1</v>
      </c>
      <c r="D27" s="9">
        <v>26</v>
      </c>
      <c r="E27" s="11">
        <v>4.9395307999999991</v>
      </c>
      <c r="F27" s="11">
        <v>966.57456000000013</v>
      </c>
      <c r="G27" s="11">
        <v>5.2335819999999966</v>
      </c>
      <c r="H27" s="11">
        <v>6.5856300000000001</v>
      </c>
      <c r="I27" s="11">
        <v>1.6950639999999999</v>
      </c>
      <c r="J27" s="11">
        <v>8.2806940000000004</v>
      </c>
      <c r="K27" s="11">
        <v>4.1116159999999997</v>
      </c>
      <c r="L27" s="11">
        <v>389.76671999999991</v>
      </c>
      <c r="M27" s="11">
        <v>39.03853574504739</v>
      </c>
    </row>
    <row r="28" spans="1:13" x14ac:dyDescent="0.3">
      <c r="A28" s="10">
        <v>60</v>
      </c>
      <c r="B28" s="10" t="s">
        <v>12</v>
      </c>
      <c r="C28" s="10">
        <v>2</v>
      </c>
      <c r="D28" s="9">
        <v>27</v>
      </c>
      <c r="E28" s="11">
        <v>6.7230211999999998</v>
      </c>
      <c r="F28" s="11">
        <v>1030.4328</v>
      </c>
      <c r="G28" s="11">
        <v>4.8403899999999975</v>
      </c>
      <c r="H28" s="11">
        <v>7.0740932000000001</v>
      </c>
      <c r="I28" s="11">
        <v>1.7987919999999999</v>
      </c>
      <c r="J28" s="11">
        <v>8.8728852000000007</v>
      </c>
      <c r="K28" s="11">
        <v>4.3662400000000003</v>
      </c>
      <c r="L28" s="11">
        <v>382.50984</v>
      </c>
      <c r="M28" s="11">
        <v>40.972838685861944</v>
      </c>
    </row>
    <row r="29" spans="1:13" x14ac:dyDescent="0.3">
      <c r="A29" s="10">
        <v>60</v>
      </c>
      <c r="B29" s="10" t="s">
        <v>12</v>
      </c>
      <c r="C29" s="10">
        <v>3</v>
      </c>
      <c r="D29" s="9">
        <v>28</v>
      </c>
      <c r="E29" s="11">
        <v>4.5810842000000003</v>
      </c>
      <c r="F29" s="11">
        <v>967.75711999999987</v>
      </c>
      <c r="G29" s="11">
        <v>4.4799639999999981</v>
      </c>
      <c r="H29" s="11">
        <v>7.9083503999999998</v>
      </c>
      <c r="I29" s="11">
        <v>2.0322400000000007</v>
      </c>
      <c r="J29" s="11">
        <v>9.9405904000000014</v>
      </c>
      <c r="K29" s="11">
        <v>4.9448959999999991</v>
      </c>
      <c r="L29" s="11">
        <v>381.30036000000007</v>
      </c>
      <c r="M29" s="11">
        <v>46.176717115786872</v>
      </c>
    </row>
    <row r="30" spans="1:13" x14ac:dyDescent="0.3">
      <c r="A30" s="10">
        <v>60</v>
      </c>
      <c r="B30" s="10" t="s">
        <v>12</v>
      </c>
      <c r="C30" s="10">
        <v>4</v>
      </c>
      <c r="D30" s="9">
        <v>29</v>
      </c>
      <c r="E30" s="11">
        <v>4.8958177999999988</v>
      </c>
      <c r="F30" s="11">
        <v>705.22879999999998</v>
      </c>
      <c r="G30" s="11">
        <v>4.5782619999999969</v>
      </c>
      <c r="H30" s="11">
        <v>7.9723264</v>
      </c>
      <c r="I30" s="11">
        <v>2.0807359999999999</v>
      </c>
      <c r="J30" s="11">
        <v>10.0530624</v>
      </c>
      <c r="K30" s="11">
        <v>4.9467520000000018</v>
      </c>
      <c r="L30" s="11">
        <v>390.97619999999995</v>
      </c>
      <c r="M30" s="11">
        <v>47.550190722283759</v>
      </c>
    </row>
    <row r="31" spans="1:13" x14ac:dyDescent="0.3">
      <c r="A31" s="10">
        <v>60</v>
      </c>
      <c r="B31" s="10" t="s">
        <v>12</v>
      </c>
      <c r="C31" s="10">
        <v>5</v>
      </c>
      <c r="D31" s="9">
        <v>30</v>
      </c>
      <c r="E31" s="11">
        <v>5.0182141999999992</v>
      </c>
      <c r="F31" s="11">
        <v>938.19312000000002</v>
      </c>
      <c r="G31" s="11">
        <v>5.1680499999999983</v>
      </c>
      <c r="H31" s="11">
        <v>7.7432475999999992</v>
      </c>
      <c r="I31" s="11">
        <v>1.968296</v>
      </c>
      <c r="J31" s="11">
        <v>9.7115435999999988</v>
      </c>
      <c r="K31" s="11">
        <v>4.9068480000000001</v>
      </c>
      <c r="L31" s="11">
        <v>542.16120000000001</v>
      </c>
      <c r="M31" s="11">
        <v>47.114598252737792</v>
      </c>
    </row>
    <row r="32" spans="1:13" x14ac:dyDescent="0.3">
      <c r="A32" s="10">
        <v>60</v>
      </c>
      <c r="B32" s="10" t="s">
        <v>13</v>
      </c>
      <c r="C32" s="10">
        <v>1</v>
      </c>
      <c r="D32" s="9">
        <v>31</v>
      </c>
      <c r="E32" s="11">
        <v>3.0336439999999998</v>
      </c>
      <c r="F32" s="11">
        <v>890.89071999999999</v>
      </c>
      <c r="G32" s="11">
        <v>4.7420919999999969</v>
      </c>
      <c r="H32" s="11">
        <v>11.790106399999999</v>
      </c>
      <c r="I32" s="11">
        <v>3.6072959999999998</v>
      </c>
      <c r="J32" s="11">
        <v>15.397402399999999</v>
      </c>
      <c r="K32" s="11">
        <v>6.0642240000000003</v>
      </c>
      <c r="L32" s="11">
        <v>532.48536000000001</v>
      </c>
      <c r="M32" s="11">
        <v>70.841734957548923</v>
      </c>
    </row>
    <row r="33" spans="1:13" x14ac:dyDescent="0.3">
      <c r="A33" s="10">
        <v>60</v>
      </c>
      <c r="B33" s="10" t="s">
        <v>13</v>
      </c>
      <c r="C33" s="10">
        <v>2</v>
      </c>
      <c r="D33" s="9">
        <v>32</v>
      </c>
      <c r="E33" s="11">
        <v>6.0673261999999992</v>
      </c>
      <c r="F33" s="11">
        <v>896.80351999999993</v>
      </c>
      <c r="G33" s="11">
        <v>5.430177999999998</v>
      </c>
      <c r="H33" s="11">
        <v>13.1792164</v>
      </c>
      <c r="I33" s="11">
        <v>4.0199759999999998</v>
      </c>
      <c r="J33" s="11">
        <v>17.199192400000001</v>
      </c>
      <c r="K33" s="11">
        <v>6.7948480000000018</v>
      </c>
      <c r="L33" s="11">
        <v>453.86916000000002</v>
      </c>
      <c r="M33" s="11">
        <v>79.858053402239463</v>
      </c>
    </row>
    <row r="34" spans="1:13" x14ac:dyDescent="0.3">
      <c r="A34" s="10">
        <v>60</v>
      </c>
      <c r="B34" s="10" t="s">
        <v>13</v>
      </c>
      <c r="C34" s="10">
        <v>3</v>
      </c>
      <c r="D34" s="9">
        <v>33</v>
      </c>
      <c r="E34" s="11">
        <v>5.2717495999999997</v>
      </c>
      <c r="F34" s="11">
        <v>720.60208</v>
      </c>
      <c r="G34" s="11">
        <v>5.6431569999999978</v>
      </c>
      <c r="H34" s="11">
        <v>14.037529600000001</v>
      </c>
      <c r="I34" s="11">
        <v>4.3845279999999995</v>
      </c>
      <c r="J34" s="11">
        <v>18.422057600000002</v>
      </c>
      <c r="K34" s="11">
        <v>7.1114560000000004</v>
      </c>
      <c r="L34" s="11">
        <v>545.78964000000008</v>
      </c>
      <c r="M34" s="11">
        <v>84.666605143349358</v>
      </c>
    </row>
    <row r="35" spans="1:13" x14ac:dyDescent="0.3">
      <c r="A35" s="10">
        <v>60</v>
      </c>
      <c r="B35" s="10" t="s">
        <v>13</v>
      </c>
      <c r="C35" s="10">
        <v>4</v>
      </c>
      <c r="D35" s="9">
        <v>34</v>
      </c>
      <c r="E35" s="11">
        <v>3.5582000000000003</v>
      </c>
      <c r="F35" s="11">
        <v>722.96719999999993</v>
      </c>
      <c r="G35" s="11">
        <v>5.3646459999999978</v>
      </c>
      <c r="H35" s="11">
        <v>12.870613200000001</v>
      </c>
      <c r="I35" s="11">
        <v>3.9266960000000002</v>
      </c>
      <c r="J35" s="11">
        <v>16.797309200000001</v>
      </c>
      <c r="K35" s="11">
        <v>6.1974079999999985</v>
      </c>
      <c r="L35" s="11">
        <v>538.53275999999994</v>
      </c>
      <c r="M35" s="11">
        <v>76.130481112341599</v>
      </c>
    </row>
    <row r="36" spans="1:13" x14ac:dyDescent="0.3">
      <c r="A36" s="10">
        <v>60</v>
      </c>
      <c r="B36" s="10" t="s">
        <v>13</v>
      </c>
      <c r="C36" s="10">
        <v>5</v>
      </c>
      <c r="D36" s="9">
        <v>35</v>
      </c>
      <c r="E36" s="11">
        <v>5.8050481999999999</v>
      </c>
      <c r="F36" s="11">
        <v>765.5393600000001</v>
      </c>
      <c r="G36" s="11">
        <v>4.8403899999999975</v>
      </c>
      <c r="H36" s="11">
        <v>16.993711599999997</v>
      </c>
      <c r="I36" s="11">
        <v>5.394712000000002</v>
      </c>
      <c r="J36" s="11">
        <v>22.388423599999999</v>
      </c>
      <c r="K36" s="11">
        <v>8.2658559999999994</v>
      </c>
      <c r="L36" s="11">
        <v>442.98384000000004</v>
      </c>
      <c r="M36" s="11">
        <v>100.80757967269598</v>
      </c>
    </row>
    <row r="37" spans="1:13" x14ac:dyDescent="0.3">
      <c r="A37" s="10">
        <v>60</v>
      </c>
      <c r="B37" s="10" t="s">
        <v>14</v>
      </c>
      <c r="C37" s="10">
        <v>1</v>
      </c>
      <c r="D37" s="9">
        <v>36</v>
      </c>
      <c r="E37" s="11">
        <v>2.3342360000000002</v>
      </c>
      <c r="F37" s="11">
        <v>505.37615999999997</v>
      </c>
      <c r="G37" s="11">
        <v>5.1189009999999984</v>
      </c>
      <c r="H37" s="11">
        <v>3.6147307999999994</v>
      </c>
      <c r="I37" s="11">
        <v>0.80786399999999992</v>
      </c>
      <c r="J37" s="11">
        <v>4.4225947999999988</v>
      </c>
      <c r="K37" s="11">
        <v>2.3799360000000007</v>
      </c>
      <c r="L37" s="11">
        <v>470.80187999999998</v>
      </c>
      <c r="M37" s="11">
        <v>302.91397317583363</v>
      </c>
    </row>
    <row r="38" spans="1:13" x14ac:dyDescent="0.3">
      <c r="A38" s="10">
        <v>60</v>
      </c>
      <c r="B38" s="10" t="s">
        <v>14</v>
      </c>
      <c r="C38" s="10">
        <v>2</v>
      </c>
      <c r="D38" s="9">
        <v>37</v>
      </c>
      <c r="E38" s="11">
        <v>2.5265732000000001</v>
      </c>
      <c r="F38" s="11">
        <v>482.90751999999992</v>
      </c>
      <c r="G38" s="11">
        <v>4.8895389999999974</v>
      </c>
      <c r="H38" s="11">
        <v>5.2396447999999998</v>
      </c>
      <c r="I38" s="11">
        <v>1.2126239999999997</v>
      </c>
      <c r="J38" s="11">
        <v>6.4522687999999997</v>
      </c>
      <c r="K38" s="11">
        <v>3.2424320000000004</v>
      </c>
      <c r="L38" s="11">
        <v>478.05875999999995</v>
      </c>
      <c r="M38" s="11">
        <v>29.526432878060788</v>
      </c>
    </row>
    <row r="39" spans="1:13" x14ac:dyDescent="0.3">
      <c r="A39" s="10">
        <v>60</v>
      </c>
      <c r="B39" s="10" t="s">
        <v>14</v>
      </c>
      <c r="C39" s="10">
        <v>3</v>
      </c>
      <c r="D39" s="9">
        <v>38</v>
      </c>
      <c r="E39" s="11">
        <v>2.5615436000000003</v>
      </c>
      <c r="F39" s="11">
        <v>511.28895999999997</v>
      </c>
      <c r="G39" s="11">
        <v>5.3154969999999979</v>
      </c>
      <c r="H39" s="11">
        <v>6.1918440000000006</v>
      </c>
      <c r="I39" s="11">
        <v>1.5115999999999994</v>
      </c>
      <c r="J39" s="11">
        <v>7.7034440000000002</v>
      </c>
      <c r="K39" s="11">
        <v>3.8795520000000008</v>
      </c>
      <c r="L39" s="11">
        <v>452.65967999999998</v>
      </c>
      <c r="M39" s="11">
        <v>36.28487756859851</v>
      </c>
    </row>
    <row r="40" spans="1:13" x14ac:dyDescent="0.3">
      <c r="A40" s="10">
        <v>60</v>
      </c>
      <c r="B40" s="10" t="s">
        <v>14</v>
      </c>
      <c r="C40" s="10">
        <v>4</v>
      </c>
      <c r="D40" s="9">
        <v>39</v>
      </c>
      <c r="E40" s="11">
        <v>3.1647829999999999</v>
      </c>
      <c r="F40" s="11">
        <v>453.34351999999996</v>
      </c>
      <c r="G40" s="11">
        <v>5.3974119999999983</v>
      </c>
      <c r="H40" s="11">
        <v>6.771463999999999</v>
      </c>
      <c r="I40" s="11">
        <v>1.6688000000000001</v>
      </c>
      <c r="J40" s="11">
        <v>8.4402639999999991</v>
      </c>
      <c r="K40" s="11">
        <v>4.3769919999999995</v>
      </c>
      <c r="L40" s="11">
        <v>453.86916000000002</v>
      </c>
      <c r="M40" s="11">
        <v>40.088438538205978</v>
      </c>
    </row>
    <row r="41" spans="1:13" x14ac:dyDescent="0.3">
      <c r="A41" s="10">
        <v>60</v>
      </c>
      <c r="B41" s="10" t="s">
        <v>14</v>
      </c>
      <c r="C41" s="10">
        <v>5</v>
      </c>
      <c r="D41" s="9">
        <v>40</v>
      </c>
      <c r="E41" s="11">
        <v>4.7734214000000001</v>
      </c>
      <c r="F41" s="11">
        <v>521.93200000000002</v>
      </c>
      <c r="G41" s="11">
        <v>5.2827309999999983</v>
      </c>
      <c r="H41" s="11">
        <v>6.6179536000000008</v>
      </c>
      <c r="I41" s="11">
        <v>1.6079999999999997</v>
      </c>
      <c r="J41" s="11">
        <v>8.2259536000000004</v>
      </c>
      <c r="K41" s="11">
        <v>4.1145535999999998</v>
      </c>
      <c r="L41" s="11">
        <v>488.94407999999999</v>
      </c>
      <c r="M41" s="11">
        <v>38.673687215454663</v>
      </c>
    </row>
    <row r="42" spans="1:13" x14ac:dyDescent="0.3">
      <c r="A42" s="10">
        <v>60</v>
      </c>
      <c r="B42" s="10" t="s">
        <v>15</v>
      </c>
      <c r="C42" s="10">
        <v>1</v>
      </c>
      <c r="D42" s="9">
        <v>41</v>
      </c>
      <c r="E42" s="11">
        <v>4.1264689999999993</v>
      </c>
      <c r="F42" s="11">
        <v>565.68671999999992</v>
      </c>
      <c r="G42" s="11">
        <v>6.4295409999999995</v>
      </c>
      <c r="H42" s="11">
        <v>12.657322799999999</v>
      </c>
      <c r="I42" s="11">
        <v>4.1635279999999995</v>
      </c>
      <c r="J42" s="11">
        <v>16.820850799999999</v>
      </c>
      <c r="K42" s="11">
        <v>6.8421120000000011</v>
      </c>
      <c r="L42" s="11">
        <v>475.63979999999998</v>
      </c>
      <c r="M42" s="11">
        <v>72.330121816168329</v>
      </c>
    </row>
    <row r="43" spans="1:13" x14ac:dyDescent="0.3">
      <c r="A43" s="10">
        <v>60</v>
      </c>
      <c r="B43" s="10" t="s">
        <v>15</v>
      </c>
      <c r="C43" s="10">
        <v>2</v>
      </c>
      <c r="D43" s="9">
        <v>42</v>
      </c>
      <c r="E43" s="11">
        <v>4.0565281999999998</v>
      </c>
      <c r="F43" s="11">
        <v>579.87743999999998</v>
      </c>
      <c r="G43" s="11">
        <v>5.6103909999999981</v>
      </c>
      <c r="H43" s="11">
        <v>16.522934800000002</v>
      </c>
      <c r="I43" s="11">
        <v>5.4658800000000003</v>
      </c>
      <c r="J43" s="11">
        <v>21.9888148</v>
      </c>
      <c r="K43" s="11">
        <v>8.7664000000000009</v>
      </c>
      <c r="L43" s="11">
        <v>485.31564000000009</v>
      </c>
      <c r="M43" s="11">
        <v>94.175508797834382</v>
      </c>
    </row>
    <row r="44" spans="1:13" x14ac:dyDescent="0.3">
      <c r="A44" s="10">
        <v>60</v>
      </c>
      <c r="B44" s="10" t="s">
        <v>15</v>
      </c>
      <c r="C44" s="10">
        <v>3</v>
      </c>
      <c r="D44" s="9">
        <v>43</v>
      </c>
      <c r="E44" s="11">
        <v>3.9865873999999999</v>
      </c>
      <c r="F44" s="11">
        <v>533.75760000000002</v>
      </c>
      <c r="G44" s="11">
        <v>5.7578379999999987</v>
      </c>
      <c r="H44" s="11">
        <v>20.836970000000001</v>
      </c>
      <c r="I44" s="11">
        <v>6.7461040000000017</v>
      </c>
      <c r="J44" s="11">
        <v>27.583074000000003</v>
      </c>
      <c r="K44" s="11">
        <v>10.969536</v>
      </c>
      <c r="L44" s="11">
        <v>478.05875999999995</v>
      </c>
      <c r="M44" s="11">
        <v>118.99136950904392</v>
      </c>
    </row>
    <row r="45" spans="1:13" x14ac:dyDescent="0.3">
      <c r="A45" s="10">
        <v>60</v>
      </c>
      <c r="B45" s="10" t="s">
        <v>15</v>
      </c>
      <c r="C45" s="10">
        <v>4</v>
      </c>
      <c r="D45" s="9">
        <v>44</v>
      </c>
      <c r="E45" s="11">
        <v>4.1789245999999993</v>
      </c>
      <c r="F45" s="11">
        <v>745.43583999999998</v>
      </c>
      <c r="G45" s="11">
        <v>5.8397529999999991</v>
      </c>
      <c r="H45" s="11">
        <v>15.084961600000002</v>
      </c>
      <c r="I45" s="11">
        <v>4.8746400000000003</v>
      </c>
      <c r="J45" s="11">
        <v>19.959601600000003</v>
      </c>
      <c r="K45" s="11">
        <v>8.1022719999999993</v>
      </c>
      <c r="L45" s="11">
        <v>507.08628000000004</v>
      </c>
      <c r="M45" s="11">
        <v>86.33618801525779</v>
      </c>
    </row>
    <row r="46" spans="1:13" x14ac:dyDescent="0.3">
      <c r="A46" s="10">
        <v>60</v>
      </c>
      <c r="B46" s="10" t="s">
        <v>15</v>
      </c>
      <c r="C46" s="10">
        <v>5</v>
      </c>
      <c r="D46" s="9">
        <v>45</v>
      </c>
      <c r="E46" s="11">
        <v>4.913303</v>
      </c>
      <c r="F46" s="11">
        <v>669.75199999999995</v>
      </c>
      <c r="G46" s="11">
        <v>4.9059219999999968</v>
      </c>
      <c r="H46" s="11">
        <v>13.7591164</v>
      </c>
      <c r="I46" s="11">
        <v>4.6635919999999995</v>
      </c>
      <c r="J46" s="11">
        <v>18.422708399999998</v>
      </c>
      <c r="K46" s="11">
        <v>7.1778879999999994</v>
      </c>
      <c r="L46" s="11">
        <v>464.75448</v>
      </c>
      <c r="M46" s="11">
        <v>78.20870924080225</v>
      </c>
    </row>
    <row r="47" spans="1:13" x14ac:dyDescent="0.3">
      <c r="A47" s="10">
        <v>60</v>
      </c>
      <c r="B47" s="10" t="s">
        <v>16</v>
      </c>
      <c r="C47" s="10">
        <v>1</v>
      </c>
      <c r="D47" s="9">
        <v>46</v>
      </c>
      <c r="E47" s="11">
        <v>4.0827559999999998</v>
      </c>
      <c r="F47" s="11">
        <v>674.48223999999982</v>
      </c>
      <c r="G47" s="11">
        <v>5.4137949999999977</v>
      </c>
      <c r="H47" s="11">
        <v>14.080734399999999</v>
      </c>
      <c r="I47" s="11">
        <v>4.4537439999999986</v>
      </c>
      <c r="J47" s="11">
        <v>18.534478399999998</v>
      </c>
      <c r="K47" s="11">
        <v>7.3575999999999997</v>
      </c>
      <c r="L47" s="11">
        <v>476.84927999999996</v>
      </c>
      <c r="M47" s="11">
        <v>82.360103359173138</v>
      </c>
    </row>
    <row r="48" spans="1:13" x14ac:dyDescent="0.3">
      <c r="A48" s="10">
        <v>60</v>
      </c>
      <c r="B48" s="10" t="s">
        <v>16</v>
      </c>
      <c r="C48" s="10">
        <v>2</v>
      </c>
      <c r="D48" s="9">
        <v>47</v>
      </c>
      <c r="E48" s="11">
        <v>4.5111433999999999</v>
      </c>
      <c r="F48" s="11">
        <v>612.98911999999996</v>
      </c>
      <c r="G48" s="11">
        <v>5.3318799999999982</v>
      </c>
      <c r="H48" s="11">
        <v>20.028271200000006</v>
      </c>
      <c r="I48" s="11">
        <v>6.4764639999999982</v>
      </c>
      <c r="J48" s="11">
        <v>26.504735200000006</v>
      </c>
      <c r="K48" s="11">
        <v>10.523136000000001</v>
      </c>
      <c r="L48" s="11">
        <v>668.6728079999998</v>
      </c>
      <c r="M48" s="11">
        <v>120.20563799680077</v>
      </c>
    </row>
    <row r="49" spans="1:13" x14ac:dyDescent="0.3">
      <c r="A49" s="10">
        <v>60</v>
      </c>
      <c r="B49" s="10" t="s">
        <v>16</v>
      </c>
      <c r="C49" s="10">
        <v>3</v>
      </c>
      <c r="D49" s="9">
        <v>48</v>
      </c>
      <c r="E49" s="11">
        <v>4.3800043999999998</v>
      </c>
      <c r="F49" s="11">
        <v>608.25887999999986</v>
      </c>
      <c r="G49" s="11">
        <v>4.9223049999999979</v>
      </c>
      <c r="H49" s="11">
        <v>13.435435999999999</v>
      </c>
      <c r="I49" s="11">
        <v>4.0679039999999995</v>
      </c>
      <c r="J49" s="11">
        <v>17.503339999999998</v>
      </c>
      <c r="K49" s="11">
        <v>7.309056</v>
      </c>
      <c r="L49" s="11">
        <v>476.84927999999996</v>
      </c>
      <c r="M49" s="11">
        <v>79.20657561215701</v>
      </c>
    </row>
    <row r="50" spans="1:13" x14ac:dyDescent="0.3">
      <c r="A50" s="10">
        <v>60</v>
      </c>
      <c r="B50" s="10" t="s">
        <v>16</v>
      </c>
      <c r="C50" s="10">
        <v>4</v>
      </c>
      <c r="D50" s="9">
        <v>49</v>
      </c>
      <c r="E50" s="11">
        <v>5.2630069999999991</v>
      </c>
      <c r="F50" s="11">
        <v>616.53679999999997</v>
      </c>
      <c r="G50" s="11">
        <v>4.9714539999999969</v>
      </c>
      <c r="H50" s="11">
        <v>19.782314799999998</v>
      </c>
      <c r="I50" s="11">
        <v>8.9828080000000003</v>
      </c>
      <c r="J50" s="11">
        <v>28.7651228</v>
      </c>
      <c r="K50" s="11">
        <v>5.5116799999999984</v>
      </c>
      <c r="L50" s="11">
        <v>456.28811999999999</v>
      </c>
      <c r="M50" s="11">
        <v>94.48710717361881</v>
      </c>
    </row>
    <row r="51" spans="1:13" x14ac:dyDescent="0.3">
      <c r="A51" s="10">
        <v>60</v>
      </c>
      <c r="B51" s="10" t="s">
        <v>16</v>
      </c>
      <c r="C51" s="10">
        <v>5</v>
      </c>
      <c r="D51" s="9">
        <v>50</v>
      </c>
      <c r="E51" s="11">
        <v>4.4936581999999996</v>
      </c>
      <c r="F51" s="11">
        <v>635.45776000000001</v>
      </c>
      <c r="G51" s="11">
        <v>5.5776249999999976</v>
      </c>
      <c r="H51" s="11">
        <v>13.185430399999998</v>
      </c>
      <c r="I51" s="11">
        <v>4.4001919999999997</v>
      </c>
      <c r="J51" s="11">
        <v>17.585622399999998</v>
      </c>
      <c r="K51" s="11">
        <v>6.4951040000000022</v>
      </c>
      <c r="L51" s="11">
        <v>24.382811999999994</v>
      </c>
      <c r="M51" s="11">
        <v>73.833478528362264</v>
      </c>
    </row>
    <row r="52" spans="1:13" x14ac:dyDescent="0.3">
      <c r="A52" s="10">
        <v>75</v>
      </c>
      <c r="B52" s="10" t="s">
        <v>12</v>
      </c>
      <c r="C52" s="10">
        <v>1</v>
      </c>
      <c r="D52" s="9">
        <v>51</v>
      </c>
      <c r="E52" s="11">
        <v>6.1984651999999993</v>
      </c>
      <c r="F52" s="11">
        <v>814.02431999999999</v>
      </c>
      <c r="G52" s="11">
        <v>5.5940079999999979</v>
      </c>
      <c r="H52" s="11">
        <v>20.977981199999999</v>
      </c>
      <c r="I52" s="11">
        <v>7.3114160000000004</v>
      </c>
      <c r="J52" s="11">
        <v>28.2893972</v>
      </c>
      <c r="K52" s="11">
        <v>9.9067839999999983</v>
      </c>
      <c r="L52" s="11">
        <v>634.08167999999989</v>
      </c>
      <c r="M52" s="11">
        <v>126.61459579180512</v>
      </c>
    </row>
    <row r="53" spans="1:13" x14ac:dyDescent="0.3">
      <c r="A53" s="10">
        <v>75</v>
      </c>
      <c r="B53" s="10" t="s">
        <v>12</v>
      </c>
      <c r="C53" s="10">
        <v>2</v>
      </c>
      <c r="D53" s="9">
        <v>52</v>
      </c>
      <c r="E53" s="11">
        <v>6.8191897999999993</v>
      </c>
      <c r="F53" s="11">
        <v>903.89887999999985</v>
      </c>
      <c r="G53" s="11">
        <v>5.6267739999999975</v>
      </c>
      <c r="H53" s="11">
        <v>19.415180800000002</v>
      </c>
      <c r="I53" s="11">
        <v>6.4970559999999988</v>
      </c>
      <c r="J53" s="11">
        <v>25.912236800000002</v>
      </c>
      <c r="K53" s="11">
        <v>9.617151999999999</v>
      </c>
      <c r="L53" s="11">
        <v>601.42572000000007</v>
      </c>
      <c r="M53" s="11">
        <v>122.13642918666176</v>
      </c>
    </row>
    <row r="54" spans="1:13" x14ac:dyDescent="0.3">
      <c r="A54" s="10">
        <v>75</v>
      </c>
      <c r="B54" s="10" t="s">
        <v>12</v>
      </c>
      <c r="C54" s="10">
        <v>3</v>
      </c>
      <c r="D54" s="9">
        <v>53</v>
      </c>
      <c r="E54" s="11">
        <v>7.3350031999999983</v>
      </c>
      <c r="F54" s="11">
        <v>1006.7816</v>
      </c>
      <c r="G54" s="11">
        <v>4.4144319999999997</v>
      </c>
      <c r="H54" s="11">
        <v>22.754347599999999</v>
      </c>
      <c r="I54" s="11">
        <v>7.6734</v>
      </c>
      <c r="J54" s="11">
        <v>30.4277476</v>
      </c>
      <c r="K54" s="11">
        <v>11.419904000000001</v>
      </c>
      <c r="L54" s="11">
        <v>596.5877999999999</v>
      </c>
      <c r="M54" s="11">
        <v>139.4723661867848</v>
      </c>
    </row>
    <row r="55" spans="1:13" x14ac:dyDescent="0.3">
      <c r="A55" s="10">
        <v>75</v>
      </c>
      <c r="B55" s="10" t="s">
        <v>12</v>
      </c>
      <c r="C55" s="10">
        <v>4</v>
      </c>
      <c r="D55" s="9">
        <v>54</v>
      </c>
      <c r="E55" s="11">
        <v>7.1863789999999987</v>
      </c>
      <c r="F55" s="11">
        <v>1086.0131200000001</v>
      </c>
      <c r="G55" s="11">
        <v>4.8895389999999974</v>
      </c>
      <c r="H55" s="11">
        <v>22.690411600000004</v>
      </c>
      <c r="I55" s="11">
        <v>7.6943919999999988</v>
      </c>
      <c r="J55" s="11">
        <v>30.384803600000005</v>
      </c>
      <c r="K55" s="11">
        <v>11.275616000000003</v>
      </c>
      <c r="L55" s="11">
        <v>608.68259999999998</v>
      </c>
      <c r="M55" s="11">
        <v>141.06244862803007</v>
      </c>
    </row>
    <row r="56" spans="1:13" x14ac:dyDescent="0.3">
      <c r="A56" s="10">
        <v>75</v>
      </c>
      <c r="B56" s="10" t="s">
        <v>12</v>
      </c>
      <c r="C56" s="10">
        <v>5</v>
      </c>
      <c r="D56" s="9">
        <v>55</v>
      </c>
      <c r="E56" s="11">
        <v>6.2246929999999985</v>
      </c>
      <c r="F56" s="11">
        <v>897.9860799999999</v>
      </c>
      <c r="G56" s="11">
        <v>4.8731559999999972</v>
      </c>
      <c r="H56" s="11">
        <v>13.372300000000001</v>
      </c>
      <c r="I56" s="11">
        <v>5.4786559999999991</v>
      </c>
      <c r="J56" s="11">
        <v>18.850956</v>
      </c>
      <c r="K56" s="11">
        <v>6.1861119999999969</v>
      </c>
      <c r="L56" s="11">
        <v>469.5924</v>
      </c>
      <c r="M56" s="11">
        <v>179.56679217423405</v>
      </c>
    </row>
    <row r="57" spans="1:13" x14ac:dyDescent="0.3">
      <c r="A57" s="10">
        <v>75</v>
      </c>
      <c r="B57" s="10" t="s">
        <v>13</v>
      </c>
      <c r="C57" s="10">
        <v>1</v>
      </c>
      <c r="D57" s="9">
        <v>56</v>
      </c>
      <c r="E57" s="11">
        <v>5.8924742000000006</v>
      </c>
      <c r="F57" s="11">
        <v>538.48784000000001</v>
      </c>
      <c r="G57" s="11">
        <v>5.3810289999999981</v>
      </c>
      <c r="H57" s="11">
        <v>13.372300000000001</v>
      </c>
      <c r="I57" s="11">
        <v>5.4786559999999991</v>
      </c>
      <c r="J57" s="11">
        <v>18.850956</v>
      </c>
      <c r="K57" s="11">
        <v>8.2903040000000008</v>
      </c>
      <c r="L57" s="11">
        <v>442.98384000000004</v>
      </c>
      <c r="M57" s="11">
        <v>78.404464131906025</v>
      </c>
    </row>
    <row r="58" spans="1:13" x14ac:dyDescent="0.3">
      <c r="A58" s="10">
        <v>75</v>
      </c>
      <c r="B58" s="10" t="s">
        <v>13</v>
      </c>
      <c r="C58" s="10">
        <v>2</v>
      </c>
      <c r="D58" s="9">
        <v>57</v>
      </c>
      <c r="E58" s="11">
        <v>6.2246929999999985</v>
      </c>
      <c r="F58" s="11">
        <v>604.71119999999996</v>
      </c>
      <c r="G58" s="11">
        <v>5.2991139999999968</v>
      </c>
      <c r="H58" s="11">
        <v>17.452433599999999</v>
      </c>
      <c r="I58" s="11">
        <v>7.2943840000000018</v>
      </c>
      <c r="J58" s="11">
        <v>24.7468176</v>
      </c>
      <c r="K58" s="11">
        <v>10.664864000000001</v>
      </c>
      <c r="L58" s="11">
        <v>568.76976000000002</v>
      </c>
      <c r="M58" s="11">
        <v>103.01094376768793</v>
      </c>
    </row>
    <row r="59" spans="1:13" x14ac:dyDescent="0.3">
      <c r="A59" s="10">
        <v>75</v>
      </c>
      <c r="B59" s="10" t="s">
        <v>13</v>
      </c>
      <c r="C59" s="10">
        <v>3</v>
      </c>
      <c r="D59" s="9">
        <v>58</v>
      </c>
      <c r="E59" s="11">
        <v>6.8191897999999993</v>
      </c>
      <c r="F59" s="11">
        <v>602.34607999999992</v>
      </c>
      <c r="G59" s="11">
        <v>5.659539999999998</v>
      </c>
      <c r="H59" s="11">
        <v>25.851554</v>
      </c>
      <c r="I59" s="11">
        <v>11.354775999999998</v>
      </c>
      <c r="J59" s="11">
        <v>37.206329999999994</v>
      </c>
      <c r="K59" s="11">
        <v>18.339168000000004</v>
      </c>
      <c r="L59" s="11">
        <v>709.06943999999987</v>
      </c>
      <c r="M59" s="11">
        <v>239.77455395594933</v>
      </c>
    </row>
    <row r="60" spans="1:13" x14ac:dyDescent="0.3">
      <c r="A60" s="10">
        <v>75</v>
      </c>
      <c r="B60" s="10" t="s">
        <v>13</v>
      </c>
      <c r="C60" s="10">
        <v>4</v>
      </c>
      <c r="D60" s="9">
        <v>59</v>
      </c>
      <c r="E60" s="11">
        <v>7.1688937999999984</v>
      </c>
      <c r="F60" s="11">
        <v>708.77648000000011</v>
      </c>
      <c r="G60" s="11">
        <v>5.7086889999999979</v>
      </c>
      <c r="H60" s="11">
        <v>15.202516799999998</v>
      </c>
      <c r="I60" s="11">
        <v>6.3511680000000004</v>
      </c>
      <c r="J60" s="11">
        <v>21.553684799999999</v>
      </c>
      <c r="K60" s="11">
        <v>8.8527039999999992</v>
      </c>
      <c r="L60" s="11">
        <v>346.22544000000005</v>
      </c>
      <c r="M60" s="11">
        <v>84.602803002337907</v>
      </c>
    </row>
    <row r="61" spans="1:13" x14ac:dyDescent="0.3">
      <c r="A61" s="10">
        <v>75</v>
      </c>
      <c r="B61" s="10" t="s">
        <v>13</v>
      </c>
      <c r="C61" s="10">
        <v>5</v>
      </c>
      <c r="D61" s="9">
        <v>60</v>
      </c>
      <c r="E61" s="11">
        <v>5.5165423999999996</v>
      </c>
      <c r="F61" s="11">
        <v>720.60208</v>
      </c>
      <c r="G61" s="11">
        <v>5.9380509999999989</v>
      </c>
      <c r="H61" s="11">
        <v>20.972056000000002</v>
      </c>
      <c r="I61" s="11">
        <v>8.8215360000000018</v>
      </c>
      <c r="J61" s="11">
        <v>29.793592000000004</v>
      </c>
      <c r="K61" s="11">
        <v>12.158112000000001</v>
      </c>
      <c r="L61" s="11">
        <v>346.22544000000005</v>
      </c>
      <c r="M61" s="11">
        <v>116.47011935523564</v>
      </c>
    </row>
    <row r="62" spans="1:13" x14ac:dyDescent="0.3">
      <c r="A62" s="10">
        <v>75</v>
      </c>
      <c r="B62" s="10" t="s">
        <v>14</v>
      </c>
      <c r="C62" s="10">
        <v>1</v>
      </c>
      <c r="D62" s="9">
        <v>61</v>
      </c>
      <c r="E62" s="11">
        <v>5.3679181999999992</v>
      </c>
      <c r="F62" s="11">
        <v>601.16351999999983</v>
      </c>
      <c r="G62" s="11">
        <v>5.9216679999999986</v>
      </c>
      <c r="H62" s="11">
        <v>12.807321599999998</v>
      </c>
      <c r="I62" s="11">
        <v>5.761455999999999</v>
      </c>
      <c r="J62" s="11">
        <v>18.568777599999997</v>
      </c>
      <c r="K62" s="11">
        <v>4.0827199999999992</v>
      </c>
      <c r="L62" s="11">
        <v>305.10311999999999</v>
      </c>
      <c r="M62" s="11">
        <v>65.159936015749992</v>
      </c>
    </row>
    <row r="63" spans="1:13" x14ac:dyDescent="0.3">
      <c r="A63" s="10">
        <v>75</v>
      </c>
      <c r="B63" s="10" t="s">
        <v>14</v>
      </c>
      <c r="C63" s="10">
        <v>2</v>
      </c>
      <c r="D63" s="9">
        <v>62</v>
      </c>
      <c r="E63" s="11">
        <v>3.9079040000000003</v>
      </c>
      <c r="F63" s="11">
        <v>750.16608000000008</v>
      </c>
      <c r="G63" s="11">
        <v>5.3646459999999978</v>
      </c>
      <c r="H63" s="11">
        <v>11.4799252</v>
      </c>
      <c r="I63" s="11">
        <v>4.2442960000000003</v>
      </c>
      <c r="J63" s="11">
        <v>15.724221200000001</v>
      </c>
      <c r="K63" s="11">
        <v>5.3801600000000009</v>
      </c>
      <c r="L63" s="11">
        <v>272.44716</v>
      </c>
      <c r="M63" s="11">
        <v>67.57484434600714</v>
      </c>
    </row>
    <row r="64" spans="1:13" x14ac:dyDescent="0.3">
      <c r="A64" s="10">
        <v>75</v>
      </c>
      <c r="B64" s="10" t="s">
        <v>14</v>
      </c>
      <c r="C64" s="10">
        <v>3</v>
      </c>
      <c r="D64" s="9">
        <v>63</v>
      </c>
      <c r="E64" s="11">
        <v>2.6402269999999999</v>
      </c>
      <c r="F64" s="11">
        <v>745.43583999999998</v>
      </c>
      <c r="G64" s="11">
        <v>4.9059219999999968</v>
      </c>
      <c r="H64" s="11">
        <v>12.548759599999999</v>
      </c>
      <c r="I64" s="11">
        <v>4.421576</v>
      </c>
      <c r="J64" s="11">
        <v>16.970335599999999</v>
      </c>
      <c r="K64" s="11">
        <v>6.2103679999999999</v>
      </c>
      <c r="L64" s="11">
        <v>227.69639999999998</v>
      </c>
      <c r="M64" s="11">
        <v>75.56583241048358</v>
      </c>
    </row>
    <row r="65" spans="1:13" x14ac:dyDescent="0.3">
      <c r="A65" s="10">
        <v>75</v>
      </c>
      <c r="B65" s="10" t="s">
        <v>14</v>
      </c>
      <c r="C65" s="10">
        <v>4</v>
      </c>
      <c r="D65" s="9">
        <v>64</v>
      </c>
      <c r="E65" s="11">
        <v>4.1964097999999996</v>
      </c>
      <c r="F65" s="11">
        <v>830.58015999999986</v>
      </c>
      <c r="G65" s="11">
        <v>5.2335819999999966</v>
      </c>
      <c r="H65" s="11">
        <v>18.2796412</v>
      </c>
      <c r="I65" s="11">
        <v>6.3903279999999976</v>
      </c>
      <c r="J65" s="11">
        <v>24.669969199999997</v>
      </c>
      <c r="K65" s="11">
        <v>8.7209920000000025</v>
      </c>
      <c r="L65" s="11">
        <v>286.96092000000004</v>
      </c>
      <c r="M65" s="11">
        <v>109.51602067183464</v>
      </c>
    </row>
    <row r="66" spans="1:13" x14ac:dyDescent="0.3">
      <c r="A66" s="10">
        <v>75</v>
      </c>
      <c r="B66" s="10" t="s">
        <v>14</v>
      </c>
      <c r="C66" s="10">
        <v>5</v>
      </c>
      <c r="D66" s="9">
        <v>65</v>
      </c>
      <c r="E66" s="11">
        <v>4.8870752</v>
      </c>
      <c r="F66" s="11">
        <v>745.43583999999998</v>
      </c>
      <c r="G66" s="11">
        <v>5.8725189999999978</v>
      </c>
      <c r="H66" s="11">
        <v>14.024368000000001</v>
      </c>
      <c r="I66" s="11">
        <v>6.5155839999999996</v>
      </c>
      <c r="J66" s="11">
        <v>20.539952</v>
      </c>
      <c r="K66" s="11">
        <v>4.3088639999999989</v>
      </c>
      <c r="L66" s="11">
        <v>263.98079999999993</v>
      </c>
      <c r="M66" s="11">
        <v>72.557263442844857</v>
      </c>
    </row>
    <row r="67" spans="1:13" x14ac:dyDescent="0.3">
      <c r="A67" s="10">
        <v>75</v>
      </c>
      <c r="B67" s="10" t="s">
        <v>15</v>
      </c>
      <c r="C67" s="10">
        <v>1</v>
      </c>
      <c r="D67" s="9">
        <v>66</v>
      </c>
      <c r="E67" s="11">
        <v>2.8325641999999998</v>
      </c>
      <c r="F67" s="11">
        <v>547.94831999999985</v>
      </c>
      <c r="G67" s="11">
        <v>5.3482629999999975</v>
      </c>
      <c r="H67" s="11">
        <v>17.533571600000002</v>
      </c>
      <c r="I67" s="11">
        <v>5.9124719999999984</v>
      </c>
      <c r="J67" s="11">
        <v>23.446043599999999</v>
      </c>
      <c r="K67" s="11">
        <v>8.918368000000001</v>
      </c>
      <c r="L67" s="11">
        <v>255.51443999999995</v>
      </c>
      <c r="M67" s="11">
        <v>109.01796480866247</v>
      </c>
    </row>
    <row r="68" spans="1:13" x14ac:dyDescent="0.3">
      <c r="A68" s="10">
        <v>75</v>
      </c>
      <c r="B68" s="10" t="s">
        <v>15</v>
      </c>
      <c r="C68" s="10">
        <v>2</v>
      </c>
      <c r="D68" s="9">
        <v>67</v>
      </c>
      <c r="E68" s="11">
        <v>5.8400185999999996</v>
      </c>
      <c r="F68" s="11">
        <v>609.44144000000006</v>
      </c>
      <c r="G68" s="11">
        <v>5.3154969999999979</v>
      </c>
      <c r="H68" s="11">
        <v>18.1123604</v>
      </c>
      <c r="I68" s="11">
        <v>6.0143440000000004</v>
      </c>
      <c r="J68" s="11">
        <v>24.126704400000001</v>
      </c>
      <c r="K68" s="11">
        <v>9.2239679999999975</v>
      </c>
      <c r="L68" s="11">
        <v>244.62911999999997</v>
      </c>
      <c r="M68" s="11">
        <v>114.67952996185555</v>
      </c>
    </row>
    <row r="69" spans="1:13" x14ac:dyDescent="0.3">
      <c r="A69" s="10">
        <v>75</v>
      </c>
      <c r="B69" s="10" t="s">
        <v>15</v>
      </c>
      <c r="C69" s="10">
        <v>3</v>
      </c>
      <c r="D69" s="9">
        <v>68</v>
      </c>
      <c r="E69" s="11">
        <v>4.7734214000000001</v>
      </c>
      <c r="F69" s="11">
        <v>666.20432000000005</v>
      </c>
      <c r="G69" s="11">
        <v>5.1680499999999983</v>
      </c>
      <c r="H69" s="11">
        <v>18.1123604</v>
      </c>
      <c r="I69" s="11">
        <v>6.0143440000000004</v>
      </c>
      <c r="J69" s="11">
        <v>24.126704400000001</v>
      </c>
      <c r="K69" s="11">
        <v>9.907391999999998</v>
      </c>
      <c r="L69" s="11">
        <v>305.10311999999999</v>
      </c>
      <c r="M69" s="11">
        <v>117.9045035068291</v>
      </c>
    </row>
    <row r="70" spans="1:13" x14ac:dyDescent="0.3">
      <c r="A70" s="10">
        <v>75</v>
      </c>
      <c r="B70" s="10" t="s">
        <v>15</v>
      </c>
      <c r="C70" s="10">
        <v>4</v>
      </c>
      <c r="D70" s="9">
        <v>69</v>
      </c>
      <c r="E70" s="11">
        <v>6.6181099999999988</v>
      </c>
      <c r="F70" s="11">
        <v>766.72191999999995</v>
      </c>
      <c r="G70" s="11">
        <v>5.1352839999999977</v>
      </c>
      <c r="H70" s="11">
        <v>18.773127199999998</v>
      </c>
      <c r="I70" s="11">
        <v>6.1935520000000013</v>
      </c>
      <c r="J70" s="11">
        <v>24.966679199999998</v>
      </c>
      <c r="K70" s="11">
        <v>8.7576640000000001</v>
      </c>
      <c r="L70" s="11">
        <v>226.48691999999997</v>
      </c>
      <c r="M70" s="11">
        <v>111.56606127722408</v>
      </c>
    </row>
    <row r="71" spans="1:13" x14ac:dyDescent="0.3">
      <c r="A71" s="10">
        <v>75</v>
      </c>
      <c r="B71" s="10" t="s">
        <v>15</v>
      </c>
      <c r="C71" s="10">
        <v>5</v>
      </c>
      <c r="D71" s="9">
        <v>70</v>
      </c>
      <c r="E71" s="11">
        <v>5.3329477999999995</v>
      </c>
      <c r="F71" s="11">
        <v>822.30223999999998</v>
      </c>
      <c r="G71" s="11">
        <v>5.8561359999999976</v>
      </c>
      <c r="H71" s="11">
        <v>16.827226400000001</v>
      </c>
      <c r="I71" s="11">
        <v>5.7065280000000005</v>
      </c>
      <c r="J71" s="11">
        <v>22.533754399999999</v>
      </c>
      <c r="K71" s="11">
        <v>8.5359999999999996</v>
      </c>
      <c r="L71" s="11">
        <v>319.61687999999998</v>
      </c>
      <c r="M71" s="11">
        <v>105.47778269964317</v>
      </c>
    </row>
    <row r="72" spans="1:13" x14ac:dyDescent="0.3">
      <c r="A72" s="10">
        <v>75</v>
      </c>
      <c r="B72" s="10" t="s">
        <v>16</v>
      </c>
      <c r="C72" s="10">
        <v>1</v>
      </c>
      <c r="D72" s="9">
        <v>71</v>
      </c>
      <c r="E72" s="11">
        <v>6.7667341999999993</v>
      </c>
      <c r="F72" s="11">
        <v>954.74896000000001</v>
      </c>
      <c r="G72" s="11">
        <v>4.9059219999999968</v>
      </c>
      <c r="H72" s="11">
        <v>24.174678799999999</v>
      </c>
      <c r="I72" s="11">
        <v>8.8611919999999991</v>
      </c>
      <c r="J72" s="11">
        <v>33.035870799999998</v>
      </c>
      <c r="K72" s="11">
        <v>11.842624000000002</v>
      </c>
      <c r="L72" s="11">
        <v>250.67651999999998</v>
      </c>
      <c r="M72" s="11">
        <v>142.14291374430908</v>
      </c>
    </row>
    <row r="73" spans="1:13" x14ac:dyDescent="0.3">
      <c r="A73" s="10">
        <v>75</v>
      </c>
      <c r="B73" s="10" t="s">
        <v>16</v>
      </c>
      <c r="C73" s="10">
        <v>2</v>
      </c>
      <c r="D73" s="9">
        <v>72</v>
      </c>
      <c r="E73" s="11">
        <v>5.8837315999999991</v>
      </c>
      <c r="F73" s="11">
        <v>1009.1467199999998</v>
      </c>
      <c r="G73" s="11">
        <v>4.7748579999999974</v>
      </c>
      <c r="H73" s="11">
        <v>21.789649199999999</v>
      </c>
      <c r="I73" s="11">
        <v>7.8789359999999995</v>
      </c>
      <c r="J73" s="11">
        <v>29.668585199999999</v>
      </c>
      <c r="K73" s="11">
        <v>10.964703999999999</v>
      </c>
      <c r="L73" s="11">
        <v>301.47467999999992</v>
      </c>
      <c r="M73" s="11">
        <v>128.72214593330875</v>
      </c>
    </row>
    <row r="74" spans="1:13" x14ac:dyDescent="0.3">
      <c r="A74" s="10">
        <v>75</v>
      </c>
      <c r="B74" s="10" t="s">
        <v>16</v>
      </c>
      <c r="C74" s="10">
        <v>3</v>
      </c>
      <c r="D74" s="9">
        <v>73</v>
      </c>
      <c r="E74" s="11">
        <v>6.7579915999999995</v>
      </c>
      <c r="F74" s="11">
        <v>721.78464000000008</v>
      </c>
      <c r="G74" s="11">
        <v>4.6765599999999976</v>
      </c>
      <c r="H74" s="11">
        <v>19.333482800000002</v>
      </c>
      <c r="I74" s="11">
        <v>6.9061360000000001</v>
      </c>
      <c r="J74" s="11">
        <v>26.239618800000002</v>
      </c>
      <c r="K74" s="11">
        <v>9.2002560000000013</v>
      </c>
      <c r="L74" s="11">
        <v>420.00371999999999</v>
      </c>
      <c r="M74" s="11">
        <v>111.54706533776304</v>
      </c>
    </row>
    <row r="75" spans="1:13" x14ac:dyDescent="0.3">
      <c r="A75" s="10">
        <v>75</v>
      </c>
      <c r="B75" s="10" t="s">
        <v>16</v>
      </c>
      <c r="C75" s="10">
        <v>4</v>
      </c>
      <c r="D75" s="9">
        <v>74</v>
      </c>
      <c r="E75" s="11">
        <v>6.9328436</v>
      </c>
      <c r="F75" s="11">
        <v>827.03248000000008</v>
      </c>
      <c r="G75" s="11">
        <v>4.8895389999999974</v>
      </c>
      <c r="H75" s="11">
        <v>26.841090799999996</v>
      </c>
      <c r="I75" s="11">
        <v>9.8622639999999997</v>
      </c>
      <c r="J75" s="11">
        <v>36.7033548</v>
      </c>
      <c r="K75" s="11">
        <v>13.602336000000003</v>
      </c>
      <c r="L75" s="11">
        <v>493.78200000000004</v>
      </c>
      <c r="M75" s="11">
        <v>161.4999827734712</v>
      </c>
    </row>
    <row r="76" spans="1:13" x14ac:dyDescent="0.3">
      <c r="A76" s="10">
        <v>75</v>
      </c>
      <c r="B76" s="10" t="s">
        <v>16</v>
      </c>
      <c r="C76" s="10">
        <v>5</v>
      </c>
      <c r="D76" s="9">
        <v>75</v>
      </c>
      <c r="E76" s="11">
        <v>6.9241009999999985</v>
      </c>
      <c r="F76" s="11">
        <v>761.99167999999997</v>
      </c>
      <c r="G76" s="11">
        <v>4.2997509999999988</v>
      </c>
      <c r="H76" s="11">
        <v>12.8326356</v>
      </c>
      <c r="I76" s="11">
        <v>4.6063760000000018</v>
      </c>
      <c r="J76" s="11">
        <v>17.439011600000001</v>
      </c>
      <c r="K76" s="11">
        <v>6.7567039999999974</v>
      </c>
      <c r="L76" s="11">
        <v>509.50524000000007</v>
      </c>
      <c r="M76" s="11">
        <v>75.845421434723775</v>
      </c>
    </row>
    <row r="77" spans="1:13" x14ac:dyDescent="0.3">
      <c r="A77" s="10">
        <v>90</v>
      </c>
      <c r="B77" s="10" t="s">
        <v>12</v>
      </c>
      <c r="C77" s="10">
        <v>1</v>
      </c>
      <c r="D77" s="9">
        <v>76</v>
      </c>
      <c r="E77" s="11">
        <v>8.3666299999999989</v>
      </c>
      <c r="F77" s="11">
        <v>789.19056</v>
      </c>
      <c r="G77" s="11">
        <v>5.4793269999999978</v>
      </c>
      <c r="H77" s="11">
        <v>14.6015256</v>
      </c>
      <c r="I77" s="11">
        <v>5.1723679999999996</v>
      </c>
      <c r="J77" s="11">
        <v>19.773893600000001</v>
      </c>
      <c r="K77" s="11">
        <v>6.7971200000000005</v>
      </c>
      <c r="L77" s="11">
        <v>426.05111999999997</v>
      </c>
      <c r="M77" s="11">
        <v>86.728726467331128</v>
      </c>
    </row>
    <row r="78" spans="1:13" x14ac:dyDescent="0.3">
      <c r="A78" s="10">
        <v>90</v>
      </c>
      <c r="B78" s="10" t="s">
        <v>12</v>
      </c>
      <c r="C78" s="10">
        <v>2</v>
      </c>
      <c r="D78" s="9">
        <v>77</v>
      </c>
      <c r="E78" s="11">
        <v>7.4049439999999995</v>
      </c>
      <c r="F78" s="11">
        <v>899.1686400000001</v>
      </c>
      <c r="G78" s="11">
        <v>4.807623999999997</v>
      </c>
      <c r="H78" s="11">
        <v>17.499905599999998</v>
      </c>
      <c r="I78" s="11">
        <v>6.4447840000000003</v>
      </c>
      <c r="J78" s="11">
        <v>23.944689599999997</v>
      </c>
      <c r="K78" s="11">
        <v>7.0259200000000028</v>
      </c>
      <c r="L78" s="11">
        <v>491.36304000000001</v>
      </c>
      <c r="M78" s="11">
        <v>99.870525409130096</v>
      </c>
    </row>
    <row r="79" spans="1:13" x14ac:dyDescent="0.3">
      <c r="A79" s="10">
        <v>90</v>
      </c>
      <c r="B79" s="10" t="s">
        <v>12</v>
      </c>
      <c r="C79" s="10">
        <v>3</v>
      </c>
      <c r="D79" s="9">
        <v>78</v>
      </c>
      <c r="E79" s="11">
        <v>8.1043520000000004</v>
      </c>
      <c r="F79" s="11">
        <v>903.89887999999985</v>
      </c>
      <c r="G79" s="11">
        <v>4.7912409999999968</v>
      </c>
      <c r="H79" s="11">
        <v>16.928277599999998</v>
      </c>
      <c r="I79" s="11">
        <v>6.2849599999999999</v>
      </c>
      <c r="J79" s="11">
        <v>23.213237599999999</v>
      </c>
      <c r="K79" s="11">
        <v>7.1725119999999993</v>
      </c>
      <c r="L79" s="11">
        <v>527.64743999999996</v>
      </c>
      <c r="M79" s="11">
        <v>98.229026701119722</v>
      </c>
    </row>
    <row r="80" spans="1:13" x14ac:dyDescent="0.3">
      <c r="A80" s="10">
        <v>90</v>
      </c>
      <c r="B80" s="10" t="s">
        <v>12</v>
      </c>
      <c r="C80" s="10">
        <v>4</v>
      </c>
      <c r="D80" s="9">
        <v>79</v>
      </c>
      <c r="E80" s="11">
        <v>8.2617187999999988</v>
      </c>
      <c r="F80" s="11">
        <v>860.14415999999994</v>
      </c>
      <c r="G80" s="11">
        <v>4.9386879999999982</v>
      </c>
      <c r="H80" s="11">
        <v>15.851922399999998</v>
      </c>
      <c r="I80" s="11">
        <v>5.5402399999999998</v>
      </c>
      <c r="J80" s="11">
        <v>21.392162399999997</v>
      </c>
      <c r="K80" s="11">
        <v>7.7159360000000019</v>
      </c>
      <c r="L80" s="11">
        <v>496.20095999999995</v>
      </c>
      <c r="M80" s="11">
        <v>94.232912513842749</v>
      </c>
    </row>
    <row r="81" spans="1:13" x14ac:dyDescent="0.3">
      <c r="A81" s="10">
        <v>90</v>
      </c>
      <c r="B81" s="10" t="s">
        <v>12</v>
      </c>
      <c r="C81" s="10">
        <v>5</v>
      </c>
      <c r="D81" s="9">
        <v>80</v>
      </c>
      <c r="E81" s="11">
        <v>8.3054317999999991</v>
      </c>
      <c r="F81" s="11">
        <v>990.22576000000004</v>
      </c>
      <c r="G81" s="11">
        <v>4.6437939999999971</v>
      </c>
      <c r="H81" s="11">
        <v>17.654442799999998</v>
      </c>
      <c r="I81" s="11">
        <v>6.2063919999999992</v>
      </c>
      <c r="J81" s="11">
        <v>23.860834799999999</v>
      </c>
      <c r="K81" s="11">
        <v>8.5316160000000014</v>
      </c>
      <c r="L81" s="11">
        <v>507.08628000000004</v>
      </c>
      <c r="M81" s="11">
        <v>108.13366802017966</v>
      </c>
    </row>
    <row r="82" spans="1:13" x14ac:dyDescent="0.3">
      <c r="A82" s="10">
        <v>90</v>
      </c>
      <c r="B82" s="10" t="s">
        <v>13</v>
      </c>
      <c r="C82" s="10">
        <v>1</v>
      </c>
      <c r="D82" s="9">
        <v>81</v>
      </c>
      <c r="E82" s="11">
        <v>8.1043520000000004</v>
      </c>
      <c r="F82" s="11">
        <v>764.35680000000002</v>
      </c>
      <c r="G82" s="11">
        <v>5.5120929999999966</v>
      </c>
      <c r="H82" s="11">
        <v>13.6689908</v>
      </c>
      <c r="I82" s="11">
        <v>5.0128879999999985</v>
      </c>
      <c r="J82" s="11">
        <v>18.6818788</v>
      </c>
      <c r="K82" s="11">
        <v>6.3060480000000023</v>
      </c>
      <c r="L82" s="11">
        <v>487.7346</v>
      </c>
      <c r="M82" s="11">
        <v>80.233763996554714</v>
      </c>
    </row>
    <row r="83" spans="1:13" x14ac:dyDescent="0.3">
      <c r="A83" s="10">
        <v>90</v>
      </c>
      <c r="B83" s="10" t="s">
        <v>13</v>
      </c>
      <c r="C83" s="10">
        <v>2</v>
      </c>
      <c r="D83" s="9">
        <v>82</v>
      </c>
      <c r="E83" s="11">
        <v>8.6026802</v>
      </c>
      <c r="F83" s="11">
        <v>821.11968000000002</v>
      </c>
      <c r="G83" s="11">
        <v>4.7257089999999984</v>
      </c>
      <c r="H83" s="11">
        <v>18.1426704</v>
      </c>
      <c r="I83" s="11">
        <v>6.5951519999999997</v>
      </c>
      <c r="J83" s="11">
        <v>24.737822399999999</v>
      </c>
      <c r="K83" s="11">
        <v>7.3205120000000008</v>
      </c>
      <c r="L83" s="11">
        <v>568.76976000000002</v>
      </c>
      <c r="M83" s="11">
        <v>101.45575489110372</v>
      </c>
    </row>
    <row r="84" spans="1:13" x14ac:dyDescent="0.3">
      <c r="A84" s="10">
        <v>90</v>
      </c>
      <c r="B84" s="10" t="s">
        <v>13</v>
      </c>
      <c r="C84" s="10">
        <v>3</v>
      </c>
      <c r="D84" s="9">
        <v>83</v>
      </c>
      <c r="E84" s="11">
        <v>7.9819556</v>
      </c>
      <c r="F84" s="11">
        <v>845.95344000000011</v>
      </c>
      <c r="G84" s="11">
        <v>4.692942999999997</v>
      </c>
      <c r="H84" s="11">
        <v>23.117947999999998</v>
      </c>
      <c r="I84" s="11">
        <v>8.1864800000000013</v>
      </c>
      <c r="J84" s="11">
        <v>31.304428000000001</v>
      </c>
      <c r="K84" s="11">
        <v>10.618111999999995</v>
      </c>
      <c r="L84" s="11">
        <v>514.34316000000001</v>
      </c>
      <c r="M84" s="11">
        <v>134.57543743078628</v>
      </c>
    </row>
    <row r="85" spans="1:13" x14ac:dyDescent="0.3">
      <c r="A85" s="10">
        <v>90</v>
      </c>
      <c r="B85" s="10" t="s">
        <v>13</v>
      </c>
      <c r="C85" s="10">
        <v>4</v>
      </c>
      <c r="D85" s="9">
        <v>84</v>
      </c>
      <c r="E85" s="11">
        <v>4.2925784</v>
      </c>
      <c r="F85" s="11">
        <v>981.94783999999993</v>
      </c>
      <c r="G85" s="11">
        <v>4.7093259999999972</v>
      </c>
      <c r="H85" s="11">
        <v>19.297518800000002</v>
      </c>
      <c r="I85" s="11">
        <v>6.9179440000000003</v>
      </c>
      <c r="J85" s="11">
        <v>26.215462800000005</v>
      </c>
      <c r="K85" s="11">
        <v>9.1308479999999967</v>
      </c>
      <c r="L85" s="11">
        <v>574.81715999999994</v>
      </c>
      <c r="M85" s="11">
        <v>115.07506336901686</v>
      </c>
    </row>
    <row r="86" spans="1:13" x14ac:dyDescent="0.3">
      <c r="A86" s="10">
        <v>90</v>
      </c>
      <c r="B86" s="10" t="s">
        <v>13</v>
      </c>
      <c r="C86" s="10">
        <v>5</v>
      </c>
      <c r="D86" s="9">
        <v>85</v>
      </c>
      <c r="E86" s="11">
        <v>8.3578873999999992</v>
      </c>
      <c r="F86" s="11">
        <v>966.57456000000013</v>
      </c>
      <c r="G86" s="11">
        <v>5.1352839999999977</v>
      </c>
      <c r="H86" s="11">
        <v>18.823061599999999</v>
      </c>
      <c r="I86" s="11">
        <v>6.844368000000002</v>
      </c>
      <c r="J86" s="11">
        <v>25.667429600000002</v>
      </c>
      <c r="K86" s="11">
        <v>8.370175999999999</v>
      </c>
      <c r="L86" s="11">
        <v>507.08628000000004</v>
      </c>
      <c r="M86" s="11">
        <v>109.86891349821583</v>
      </c>
    </row>
    <row r="87" spans="1:13" x14ac:dyDescent="0.3">
      <c r="A87" s="10">
        <v>90</v>
      </c>
      <c r="B87" s="10" t="s">
        <v>14</v>
      </c>
      <c r="C87" s="10">
        <v>1</v>
      </c>
      <c r="D87" s="9">
        <v>86</v>
      </c>
      <c r="E87" s="11">
        <v>3.6456259999999996</v>
      </c>
      <c r="F87" s="11">
        <v>550.31344000000001</v>
      </c>
      <c r="G87" s="11">
        <v>4.7912409999999968</v>
      </c>
      <c r="H87" s="11">
        <v>6.9935064000000002</v>
      </c>
      <c r="I87" s="11">
        <v>2.7496160000000005</v>
      </c>
      <c r="J87" s="11">
        <v>9.7431224000000007</v>
      </c>
      <c r="K87" s="11">
        <v>2.7518400000000001</v>
      </c>
      <c r="L87" s="11">
        <v>374.04348000000005</v>
      </c>
      <c r="M87" s="11">
        <v>38.373636028054634</v>
      </c>
    </row>
    <row r="88" spans="1:13" x14ac:dyDescent="0.3">
      <c r="A88" s="10">
        <v>90</v>
      </c>
      <c r="B88" s="10" t="s">
        <v>14</v>
      </c>
      <c r="C88" s="10">
        <v>2</v>
      </c>
      <c r="D88" s="9">
        <v>87</v>
      </c>
      <c r="E88" s="11">
        <v>3.6019129999999993</v>
      </c>
      <c r="F88" s="11">
        <v>743.07072000000005</v>
      </c>
      <c r="G88" s="11">
        <v>4.365282999999998</v>
      </c>
      <c r="H88" s="11">
        <v>11.214206800000001</v>
      </c>
      <c r="I88" s="11">
        <v>3.6643279999999994</v>
      </c>
      <c r="J88" s="11">
        <v>14.878534800000001</v>
      </c>
      <c r="K88" s="11">
        <v>5.6998399999999982</v>
      </c>
      <c r="L88" s="11">
        <v>365.57711999999998</v>
      </c>
      <c r="M88" s="11">
        <v>67.838740002460938</v>
      </c>
    </row>
    <row r="89" spans="1:13" x14ac:dyDescent="0.3">
      <c r="A89" s="10">
        <v>90</v>
      </c>
      <c r="B89" s="10" t="s">
        <v>14</v>
      </c>
      <c r="C89" s="10">
        <v>3</v>
      </c>
      <c r="D89" s="9">
        <v>88</v>
      </c>
      <c r="E89" s="11">
        <v>5.8575037999999999</v>
      </c>
      <c r="F89" s="11">
        <v>661.47408000000019</v>
      </c>
      <c r="G89" s="11">
        <v>4.7093259999999972</v>
      </c>
      <c r="H89" s="11">
        <v>12.3974628</v>
      </c>
      <c r="I89" s="11">
        <v>4.0403439999999993</v>
      </c>
      <c r="J89" s="11">
        <v>16.437806799999997</v>
      </c>
      <c r="K89" s="11">
        <v>6.4612480000000012</v>
      </c>
      <c r="L89" s="11">
        <v>423.63216000000006</v>
      </c>
      <c r="M89" s="11">
        <v>75.229459825273793</v>
      </c>
    </row>
    <row r="90" spans="1:13" x14ac:dyDescent="0.3">
      <c r="A90" s="10">
        <v>90</v>
      </c>
      <c r="B90" s="10" t="s">
        <v>14</v>
      </c>
      <c r="C90" s="10">
        <v>4</v>
      </c>
      <c r="D90" s="9">
        <v>89</v>
      </c>
      <c r="E90" s="11">
        <v>5.7525925999999989</v>
      </c>
      <c r="F90" s="11">
        <v>646.10080000000016</v>
      </c>
      <c r="G90" s="11">
        <v>4.3816659999999983</v>
      </c>
      <c r="H90" s="11">
        <v>10.698482800000001</v>
      </c>
      <c r="I90" s="11">
        <v>3.4166479999999995</v>
      </c>
      <c r="J90" s="11">
        <v>14.115130799999999</v>
      </c>
      <c r="K90" s="11">
        <v>6.4128320000000016</v>
      </c>
      <c r="L90" s="11">
        <v>424.84163999999998</v>
      </c>
      <c r="M90" s="11">
        <v>69.980462655346386</v>
      </c>
    </row>
    <row r="91" spans="1:13" x14ac:dyDescent="0.3">
      <c r="A91" s="10">
        <v>90</v>
      </c>
      <c r="B91" s="10" t="s">
        <v>14</v>
      </c>
      <c r="C91" s="10">
        <v>5</v>
      </c>
      <c r="D91" s="9">
        <v>90</v>
      </c>
      <c r="E91" s="11">
        <v>5.2804921999999985</v>
      </c>
      <c r="F91" s="11">
        <v>694.58575999999994</v>
      </c>
      <c r="G91" s="11">
        <v>5.266347999999998</v>
      </c>
      <c r="H91" s="11">
        <v>9.6542199999999987</v>
      </c>
      <c r="I91" s="11">
        <v>3.5718560000000004</v>
      </c>
      <c r="J91" s="11">
        <v>13.226075999999999</v>
      </c>
      <c r="K91" s="11">
        <v>4.3941119999999971</v>
      </c>
      <c r="L91" s="11">
        <v>432.09852000000001</v>
      </c>
      <c r="M91" s="11">
        <v>57.668241663590514</v>
      </c>
    </row>
    <row r="92" spans="1:13" x14ac:dyDescent="0.3">
      <c r="A92" s="10">
        <v>90</v>
      </c>
      <c r="B92" s="10" t="s">
        <v>15</v>
      </c>
      <c r="C92" s="10">
        <v>1</v>
      </c>
      <c r="D92" s="9">
        <v>91</v>
      </c>
      <c r="E92" s="11">
        <v>6.0410983999999983</v>
      </c>
      <c r="F92" s="11">
        <v>525.4796799999998</v>
      </c>
      <c r="G92" s="11">
        <v>5.4629439999999976</v>
      </c>
      <c r="H92" s="11">
        <v>14.218776399999999</v>
      </c>
      <c r="I92" s="11">
        <v>4.7211759999999998</v>
      </c>
      <c r="J92" s="11">
        <v>18.939952399999999</v>
      </c>
      <c r="K92" s="11">
        <v>7.0206400000000002</v>
      </c>
      <c r="L92" s="11">
        <v>455.07864000000001</v>
      </c>
      <c r="M92" s="11">
        <v>88.423706164636414</v>
      </c>
    </row>
    <row r="93" spans="1:13" x14ac:dyDescent="0.3">
      <c r="A93" s="10">
        <v>90</v>
      </c>
      <c r="B93" s="10" t="s">
        <v>15</v>
      </c>
      <c r="C93" s="10">
        <v>2</v>
      </c>
      <c r="D93" s="9">
        <v>92</v>
      </c>
      <c r="E93" s="11">
        <v>5.8225333999999993</v>
      </c>
      <c r="F93" s="11">
        <v>611.80655999999999</v>
      </c>
      <c r="G93" s="11">
        <v>4.7420919999999969</v>
      </c>
      <c r="H93" s="11">
        <v>13.343687999999998</v>
      </c>
      <c r="I93" s="11">
        <v>4.3760319999999995</v>
      </c>
      <c r="J93" s="11">
        <v>17.719719999999999</v>
      </c>
      <c r="K93" s="11">
        <v>6.5052800000000008</v>
      </c>
      <c r="L93" s="11">
        <v>434.51747999999998</v>
      </c>
      <c r="M93" s="11">
        <v>82.292993724621653</v>
      </c>
    </row>
    <row r="94" spans="1:13" x14ac:dyDescent="0.3">
      <c r="A94" s="10">
        <v>90</v>
      </c>
      <c r="B94" s="10" t="s">
        <v>15</v>
      </c>
      <c r="C94" s="10">
        <v>3</v>
      </c>
      <c r="D94" s="9">
        <v>93</v>
      </c>
      <c r="E94" s="11">
        <v>5.2630069999999991</v>
      </c>
      <c r="F94" s="11">
        <v>612.98911999999996</v>
      </c>
      <c r="G94" s="11">
        <v>4.9550709999999967</v>
      </c>
      <c r="H94" s="11">
        <v>15.8349472</v>
      </c>
      <c r="I94" s="11">
        <v>5.2122079999999995</v>
      </c>
      <c r="J94" s="11">
        <v>21.047155199999999</v>
      </c>
      <c r="K94" s="11">
        <v>7.7242240000000022</v>
      </c>
      <c r="L94" s="11">
        <v>386.13828000000001</v>
      </c>
      <c r="M94" s="11">
        <v>97.904525655223324</v>
      </c>
    </row>
    <row r="95" spans="1:13" x14ac:dyDescent="0.3">
      <c r="A95" s="10">
        <v>90</v>
      </c>
      <c r="B95" s="10" t="s">
        <v>15</v>
      </c>
      <c r="C95" s="10">
        <v>4</v>
      </c>
      <c r="D95" s="9">
        <v>94</v>
      </c>
      <c r="E95" s="11">
        <v>5.0269567999999998</v>
      </c>
      <c r="F95" s="11">
        <v>652.01360000000011</v>
      </c>
      <c r="G95" s="11">
        <v>5.8233699999999988</v>
      </c>
      <c r="H95" s="11">
        <v>13.793417999999997</v>
      </c>
      <c r="I95" s="11">
        <v>4.5411280000000005</v>
      </c>
      <c r="J95" s="11">
        <v>18.334545999999996</v>
      </c>
      <c r="K95" s="11">
        <v>6.8102719999999994</v>
      </c>
      <c r="L95" s="11">
        <v>416.37527999999992</v>
      </c>
      <c r="M95" s="11">
        <v>85.281328903654483</v>
      </c>
    </row>
    <row r="96" spans="1:13" x14ac:dyDescent="0.3">
      <c r="A96" s="10">
        <v>90</v>
      </c>
      <c r="B96" s="10" t="s">
        <v>15</v>
      </c>
      <c r="C96" s="10">
        <v>5</v>
      </c>
      <c r="D96" s="9">
        <v>95</v>
      </c>
      <c r="E96" s="11">
        <v>4.9307881999999994</v>
      </c>
      <c r="F96" s="11">
        <v>721.78464000000008</v>
      </c>
      <c r="G96" s="11">
        <v>3.8410269999999982</v>
      </c>
      <c r="H96" s="11">
        <v>16.342599200000002</v>
      </c>
      <c r="I96" s="11">
        <v>5.3235359999999989</v>
      </c>
      <c r="J96" s="11">
        <v>21.666135199999999</v>
      </c>
      <c r="K96" s="11">
        <v>8.0049600000000005</v>
      </c>
      <c r="L96" s="11">
        <v>446.61228</v>
      </c>
      <c r="M96" s="11">
        <v>101.21436692506461</v>
      </c>
    </row>
    <row r="97" spans="1:13" x14ac:dyDescent="0.3">
      <c r="A97" s="10">
        <v>90</v>
      </c>
      <c r="B97" s="10" t="s">
        <v>16</v>
      </c>
      <c r="C97" s="10">
        <v>1</v>
      </c>
      <c r="D97" s="9">
        <v>96</v>
      </c>
      <c r="E97" s="11">
        <v>6.0935539999999984</v>
      </c>
      <c r="F97" s="11">
        <v>785.6428800000001</v>
      </c>
      <c r="G97" s="11">
        <v>5.6267739999999975</v>
      </c>
      <c r="H97" s="11">
        <v>8.9672192000000006</v>
      </c>
      <c r="I97" s="11">
        <v>2.9495040000000001</v>
      </c>
      <c r="J97" s="11">
        <v>11.9167232</v>
      </c>
      <c r="K97" s="11">
        <v>9.2774719999999995</v>
      </c>
      <c r="L97" s="11">
        <v>473.22084000000001</v>
      </c>
      <c r="M97" s="11">
        <v>53.066282761166484</v>
      </c>
    </row>
    <row r="98" spans="1:13" x14ac:dyDescent="0.3">
      <c r="A98" s="10">
        <v>90</v>
      </c>
      <c r="B98" s="10" t="s">
        <v>16</v>
      </c>
      <c r="C98" s="10">
        <v>2</v>
      </c>
      <c r="D98" s="9">
        <v>97</v>
      </c>
      <c r="E98" s="11">
        <v>6.128524399999999</v>
      </c>
      <c r="F98" s="11">
        <v>955.93152000000009</v>
      </c>
      <c r="G98" s="11">
        <v>4.3161339999999981</v>
      </c>
      <c r="H98" s="11">
        <v>19.690469199999999</v>
      </c>
      <c r="I98" s="11">
        <v>6.3441199999999984</v>
      </c>
      <c r="J98" s="11">
        <v>26.034589199999999</v>
      </c>
      <c r="K98" s="11">
        <v>9.1696960000000018</v>
      </c>
      <c r="L98" s="11">
        <v>438.14591999999993</v>
      </c>
      <c r="M98" s="11">
        <v>116.32794635166729</v>
      </c>
    </row>
    <row r="99" spans="1:13" x14ac:dyDescent="0.3">
      <c r="A99" s="10">
        <v>90</v>
      </c>
      <c r="B99" s="10" t="s">
        <v>16</v>
      </c>
      <c r="C99" s="10">
        <v>3</v>
      </c>
      <c r="D99" s="9">
        <v>98</v>
      </c>
      <c r="E99" s="11">
        <v>6.3033764000000003</v>
      </c>
      <c r="F99" s="11">
        <v>753.71376000000009</v>
      </c>
      <c r="G99" s="11">
        <v>4.3325169999999984</v>
      </c>
      <c r="H99" s="11">
        <v>13.7798076</v>
      </c>
      <c r="I99" s="11">
        <v>4.5038959999999992</v>
      </c>
      <c r="J99" s="11">
        <v>18.283703599999999</v>
      </c>
      <c r="K99" s="11">
        <v>6.7303360000000021</v>
      </c>
      <c r="L99" s="11">
        <v>435.72696000000008</v>
      </c>
      <c r="M99" s="11">
        <v>82.768541897379123</v>
      </c>
    </row>
    <row r="100" spans="1:13" x14ac:dyDescent="0.3">
      <c r="A100" s="10">
        <v>90</v>
      </c>
      <c r="B100" s="10" t="s">
        <v>16</v>
      </c>
      <c r="C100" s="10">
        <v>4</v>
      </c>
      <c r="D100" s="9">
        <v>99</v>
      </c>
      <c r="E100" s="11">
        <v>6.1897225999999987</v>
      </c>
      <c r="F100" s="11">
        <v>805.74640000000011</v>
      </c>
      <c r="G100" s="11">
        <v>6.1510299999999987</v>
      </c>
      <c r="H100" s="11">
        <v>16.509324399999997</v>
      </c>
      <c r="I100" s="11">
        <v>5.4286479999999981</v>
      </c>
      <c r="J100" s="11">
        <v>21.937972399999996</v>
      </c>
      <c r="K100" s="11">
        <v>8.5342079999999996</v>
      </c>
      <c r="L100" s="11">
        <v>465.96395999999999</v>
      </c>
      <c r="M100" s="11">
        <v>115.21299864648704</v>
      </c>
    </row>
    <row r="101" spans="1:13" x14ac:dyDescent="0.3">
      <c r="A101" s="10">
        <v>90</v>
      </c>
      <c r="B101" s="10" t="s">
        <v>16</v>
      </c>
      <c r="C101" s="10">
        <v>5</v>
      </c>
      <c r="D101" s="9">
        <v>100</v>
      </c>
      <c r="E101" s="11">
        <v>7.0552400000000004</v>
      </c>
      <c r="F101" s="11">
        <v>734.79279999999994</v>
      </c>
      <c r="G101" s="11">
        <v>5.3318799999999982</v>
      </c>
      <c r="H101" s="11">
        <v>17.395294</v>
      </c>
      <c r="I101" s="11">
        <v>5.9300720000000009</v>
      </c>
      <c r="J101" s="11">
        <v>23.325366000000002</v>
      </c>
      <c r="K101" s="11">
        <v>8.2712319999999995</v>
      </c>
      <c r="L101" s="11">
        <v>436.93643999999995</v>
      </c>
      <c r="M101" s="11">
        <v>104.6674098683401</v>
      </c>
    </row>
    <row r="102" spans="1:13" x14ac:dyDescent="0.3">
      <c r="A102" s="10">
        <v>105</v>
      </c>
      <c r="B102" s="10" t="s">
        <v>12</v>
      </c>
      <c r="C102" s="10">
        <v>1</v>
      </c>
      <c r="D102" s="9">
        <v>101</v>
      </c>
      <c r="E102" s="11">
        <v>7.2912901999999988</v>
      </c>
      <c r="F102" s="11">
        <v>559.77392000000009</v>
      </c>
      <c r="G102" s="11">
        <v>4.9550709999999967</v>
      </c>
      <c r="H102" s="11">
        <v>11.0933756</v>
      </c>
      <c r="I102" s="11">
        <v>3.4398960000000005</v>
      </c>
      <c r="J102" s="11">
        <v>14.533271600000001</v>
      </c>
      <c r="K102" s="11">
        <v>6.2665600000000019</v>
      </c>
      <c r="L102" s="11">
        <v>539.74224000000015</v>
      </c>
      <c r="M102" s="11">
        <v>64.209767441860464</v>
      </c>
    </row>
    <row r="103" spans="1:13" x14ac:dyDescent="0.3">
      <c r="A103" s="10">
        <v>105</v>
      </c>
      <c r="B103" s="10" t="s">
        <v>12</v>
      </c>
      <c r="C103" s="10">
        <v>2</v>
      </c>
      <c r="D103" s="9">
        <v>102</v>
      </c>
      <c r="E103" s="11">
        <v>7.3350031999999983</v>
      </c>
      <c r="F103" s="11">
        <v>720.60208</v>
      </c>
      <c r="G103" s="11">
        <v>4.250601999999998</v>
      </c>
      <c r="H103" s="11">
        <v>14.4604344</v>
      </c>
      <c r="I103" s="11">
        <v>4.4680799999999996</v>
      </c>
      <c r="J103" s="11">
        <v>18.928514400000001</v>
      </c>
      <c r="K103" s="11">
        <v>8.0998080000000012</v>
      </c>
      <c r="L103" s="11">
        <v>488.94407999999999</v>
      </c>
      <c r="M103" s="11">
        <v>84.543125384520735</v>
      </c>
    </row>
    <row r="104" spans="1:13" x14ac:dyDescent="0.3">
      <c r="A104" s="10">
        <v>105</v>
      </c>
      <c r="B104" s="10" t="s">
        <v>12</v>
      </c>
      <c r="C104" s="10">
        <v>3</v>
      </c>
      <c r="D104" s="9">
        <v>103</v>
      </c>
      <c r="E104" s="11">
        <v>6.7230211999999998</v>
      </c>
      <c r="F104" s="11">
        <v>525.4796799999998</v>
      </c>
      <c r="G104" s="11">
        <v>5.7906039999999974</v>
      </c>
      <c r="H104" s="11">
        <v>12.294197999999998</v>
      </c>
      <c r="I104" s="11">
        <v>3.7823440000000002</v>
      </c>
      <c r="J104" s="11">
        <v>16.076541999999996</v>
      </c>
      <c r="K104" s="11">
        <v>6.9349119999999997</v>
      </c>
      <c r="L104" s="11">
        <v>488.94407999999999</v>
      </c>
      <c r="M104" s="11">
        <v>70.369698535745044</v>
      </c>
    </row>
    <row r="105" spans="1:13" x14ac:dyDescent="0.3">
      <c r="A105" s="10">
        <v>105</v>
      </c>
      <c r="B105" s="10" t="s">
        <v>12</v>
      </c>
      <c r="C105" s="10">
        <v>4</v>
      </c>
      <c r="D105" s="9">
        <v>104</v>
      </c>
      <c r="E105" s="11">
        <v>7.7371628000000001</v>
      </c>
      <c r="F105" s="11">
        <v>845.95344000000011</v>
      </c>
      <c r="G105" s="11">
        <v>4.3325169999999984</v>
      </c>
      <c r="H105" s="11">
        <v>14.744270400000001</v>
      </c>
      <c r="I105" s="11">
        <v>4.5833919999999999</v>
      </c>
      <c r="J105" s="11">
        <v>19.327662400000001</v>
      </c>
      <c r="K105" s="11">
        <v>8.0993279999999999</v>
      </c>
      <c r="L105" s="11">
        <v>583.28351999999995</v>
      </c>
      <c r="M105" s="11">
        <v>84.947537836840169</v>
      </c>
    </row>
    <row r="106" spans="1:13" x14ac:dyDescent="0.3">
      <c r="A106" s="10">
        <v>105</v>
      </c>
      <c r="B106" s="10" t="s">
        <v>12</v>
      </c>
      <c r="C106" s="10">
        <v>5</v>
      </c>
      <c r="D106" s="9">
        <v>105</v>
      </c>
      <c r="E106" s="11">
        <v>7.1426659999999993</v>
      </c>
      <c r="F106" s="11">
        <v>849.5011199999999</v>
      </c>
      <c r="G106" s="11">
        <v>2.9235789999999979</v>
      </c>
      <c r="H106" s="11">
        <v>17.278218800000001</v>
      </c>
      <c r="I106" s="11">
        <v>5.2873999999999999</v>
      </c>
      <c r="J106" s="11">
        <v>22.565618800000003</v>
      </c>
      <c r="K106" s="11">
        <v>9.6255359999999985</v>
      </c>
      <c r="L106" s="11">
        <v>482.89668000000006</v>
      </c>
      <c r="M106" s="11">
        <v>100.76473483450229</v>
      </c>
    </row>
    <row r="107" spans="1:13" x14ac:dyDescent="0.3">
      <c r="A107" s="10">
        <v>105</v>
      </c>
      <c r="B107" s="10" t="s">
        <v>13</v>
      </c>
      <c r="C107" s="10">
        <v>1</v>
      </c>
      <c r="D107" s="9">
        <v>106</v>
      </c>
      <c r="E107" s="11">
        <v>5.6127109999999991</v>
      </c>
      <c r="F107" s="11">
        <v>659.10896000000002</v>
      </c>
      <c r="G107" s="11">
        <v>4.7420919999999969</v>
      </c>
      <c r="H107" s="11">
        <v>9.8805607999999996</v>
      </c>
      <c r="I107" s="11">
        <v>2.3994239999999989</v>
      </c>
      <c r="J107" s="11">
        <v>12.279984799999998</v>
      </c>
      <c r="K107" s="11">
        <v>5.5689600000000006</v>
      </c>
      <c r="L107" s="11">
        <v>520.39056000000005</v>
      </c>
      <c r="M107" s="11">
        <v>55.869602559370001</v>
      </c>
    </row>
    <row r="108" spans="1:13" x14ac:dyDescent="0.3">
      <c r="A108" s="10">
        <v>105</v>
      </c>
      <c r="B108" s="10" t="s">
        <v>13</v>
      </c>
      <c r="C108" s="10">
        <v>2</v>
      </c>
      <c r="D108" s="9">
        <v>107</v>
      </c>
      <c r="E108" s="11">
        <v>6.9940417999999998</v>
      </c>
      <c r="F108" s="11">
        <v>715.87184000000002</v>
      </c>
      <c r="G108" s="11">
        <v>4.6601769999999973</v>
      </c>
      <c r="H108" s="11">
        <v>10.262598800000003</v>
      </c>
      <c r="I108" s="11">
        <v>3.003752</v>
      </c>
      <c r="J108" s="11">
        <v>13.266350800000003</v>
      </c>
      <c r="K108" s="11">
        <v>5.8366079999999991</v>
      </c>
      <c r="L108" s="11">
        <v>416.37527999999992</v>
      </c>
      <c r="M108" s="11">
        <v>63.871947828226901</v>
      </c>
    </row>
    <row r="109" spans="1:13" x14ac:dyDescent="0.3">
      <c r="A109" s="10">
        <v>105</v>
      </c>
      <c r="B109" s="10" t="s">
        <v>13</v>
      </c>
      <c r="C109" s="10">
        <v>3</v>
      </c>
      <c r="D109" s="9">
        <v>108</v>
      </c>
      <c r="E109" s="11">
        <v>7.1863789999999987</v>
      </c>
      <c r="F109" s="11">
        <v>601.16351999999983</v>
      </c>
      <c r="G109" s="11">
        <v>5.0697519999999967</v>
      </c>
      <c r="H109" s="11">
        <v>10.4920332</v>
      </c>
      <c r="I109" s="11">
        <v>3.039623999999999</v>
      </c>
      <c r="J109" s="11">
        <v>13.531657199999998</v>
      </c>
      <c r="K109" s="11">
        <v>6.0065920000000022</v>
      </c>
      <c r="L109" s="11">
        <v>519.18107999999995</v>
      </c>
      <c r="M109" s="11">
        <v>72.698191214470299</v>
      </c>
    </row>
    <row r="110" spans="1:13" x14ac:dyDescent="0.3">
      <c r="A110" s="10">
        <v>105</v>
      </c>
      <c r="B110" s="10" t="s">
        <v>13</v>
      </c>
      <c r="C110" s="10">
        <v>4</v>
      </c>
      <c r="D110" s="9">
        <v>109</v>
      </c>
      <c r="E110" s="11">
        <v>6.5831395999999991</v>
      </c>
      <c r="F110" s="11">
        <v>609.44144000000006</v>
      </c>
      <c r="G110" s="11">
        <v>4.8731559999999972</v>
      </c>
      <c r="H110" s="11">
        <v>11.227972800000002</v>
      </c>
      <c r="I110" s="11">
        <v>3.2775519999999991</v>
      </c>
      <c r="J110" s="11">
        <v>14.5055248</v>
      </c>
      <c r="K110" s="11">
        <v>6.3181120000000002</v>
      </c>
      <c r="L110" s="11">
        <v>481.68719999999996</v>
      </c>
      <c r="M110" s="11">
        <v>68.939645625692151</v>
      </c>
    </row>
    <row r="111" spans="1:13" x14ac:dyDescent="0.3">
      <c r="A111" s="10">
        <v>105</v>
      </c>
      <c r="B111" s="10" t="s">
        <v>13</v>
      </c>
      <c r="C111" s="10">
        <v>5</v>
      </c>
      <c r="D111" s="9">
        <v>110</v>
      </c>
      <c r="E111" s="11">
        <v>7.177636399999999</v>
      </c>
      <c r="F111" s="11">
        <v>754.89632000000006</v>
      </c>
      <c r="G111" s="11">
        <v>5.2827309999999983</v>
      </c>
      <c r="H111" s="11">
        <v>11.5158048</v>
      </c>
      <c r="I111" s="11">
        <v>3.3915519999999995</v>
      </c>
      <c r="J111" s="11">
        <v>14.907356799999999</v>
      </c>
      <c r="K111" s="11">
        <v>6.7034240000000009</v>
      </c>
      <c r="L111" s="11">
        <v>458.70708000000008</v>
      </c>
      <c r="M111" s="11">
        <v>72.278498831056979</v>
      </c>
    </row>
    <row r="112" spans="1:13" x14ac:dyDescent="0.3">
      <c r="A112" s="10">
        <v>105</v>
      </c>
      <c r="B112" s="10" t="s">
        <v>14</v>
      </c>
      <c r="C112" s="10">
        <v>1</v>
      </c>
      <c r="D112" s="9">
        <v>111</v>
      </c>
      <c r="E112" s="11">
        <v>6.9678139999999997</v>
      </c>
      <c r="F112" s="11">
        <v>510.10639999999989</v>
      </c>
      <c r="G112" s="11">
        <v>5.266347999999998</v>
      </c>
      <c r="H112" s="11">
        <v>10.857727200000003</v>
      </c>
      <c r="I112" s="11">
        <v>3.0238079999999994</v>
      </c>
      <c r="J112" s="11">
        <v>13.881535200000002</v>
      </c>
      <c r="K112" s="11">
        <v>7.2291840000000001</v>
      </c>
      <c r="L112" s="11">
        <v>502.24835999999999</v>
      </c>
      <c r="M112" s="11">
        <v>72.399089454903418</v>
      </c>
    </row>
    <row r="113" spans="1:13" x14ac:dyDescent="0.3">
      <c r="A113" s="10">
        <v>105</v>
      </c>
      <c r="B113" s="10" t="s">
        <v>14</v>
      </c>
      <c r="C113" s="10">
        <v>2</v>
      </c>
      <c r="D113" s="9">
        <v>112</v>
      </c>
      <c r="E113" s="11">
        <v>5.8050481999999999</v>
      </c>
      <c r="F113" s="11">
        <v>564.50415999999996</v>
      </c>
      <c r="G113" s="11">
        <v>4.6765599999999976</v>
      </c>
      <c r="H113" s="11">
        <v>11.0784184</v>
      </c>
      <c r="I113" s="11">
        <v>3.1459520000000007</v>
      </c>
      <c r="J113" s="11">
        <v>14.224370400000002</v>
      </c>
      <c r="K113" s="11">
        <v>6.4569279999999978</v>
      </c>
      <c r="L113" s="11">
        <v>452.65967999999998</v>
      </c>
      <c r="M113" s="11">
        <v>68.073106927525544</v>
      </c>
    </row>
    <row r="114" spans="1:13" x14ac:dyDescent="0.3">
      <c r="A114" s="10">
        <v>105</v>
      </c>
      <c r="B114" s="10" t="s">
        <v>14</v>
      </c>
      <c r="C114" s="10">
        <v>3</v>
      </c>
      <c r="D114" s="9">
        <v>113</v>
      </c>
      <c r="E114" s="11">
        <v>6.801704599999999</v>
      </c>
      <c r="F114" s="11">
        <v>530.20992000000001</v>
      </c>
      <c r="G114" s="11">
        <v>4.8567729999999969</v>
      </c>
      <c r="H114" s="11">
        <v>10.5323888</v>
      </c>
      <c r="I114" s="11">
        <v>3.0194239999999999</v>
      </c>
      <c r="J114" s="11">
        <v>13.5518128</v>
      </c>
      <c r="K114" s="11">
        <v>6.1430400000000001</v>
      </c>
      <c r="L114" s="11">
        <v>459.91656000000012</v>
      </c>
      <c r="M114" s="11">
        <v>65.209801894918201</v>
      </c>
    </row>
    <row r="115" spans="1:13" x14ac:dyDescent="0.3">
      <c r="A115" s="10">
        <v>105</v>
      </c>
      <c r="B115" s="10" t="s">
        <v>14</v>
      </c>
      <c r="C115" s="10">
        <v>4</v>
      </c>
      <c r="D115" s="9">
        <v>114</v>
      </c>
      <c r="E115" s="11">
        <v>7.4399143999999993</v>
      </c>
      <c r="F115" s="11">
        <v>553.86111999999991</v>
      </c>
      <c r="G115" s="11">
        <v>5.2991139999999968</v>
      </c>
      <c r="H115" s="11">
        <v>10.3437456</v>
      </c>
      <c r="I115" s="11">
        <v>3.0257599999999996</v>
      </c>
      <c r="J115" s="11">
        <v>13.3695056</v>
      </c>
      <c r="K115" s="11">
        <v>5.9792640000000006</v>
      </c>
      <c r="L115" s="11">
        <v>459.91656000000012</v>
      </c>
      <c r="M115" s="11">
        <v>64.352142241909689</v>
      </c>
    </row>
    <row r="116" spans="1:13" x14ac:dyDescent="0.3">
      <c r="A116" s="10">
        <v>105</v>
      </c>
      <c r="B116" s="10" t="s">
        <v>14</v>
      </c>
      <c r="C116" s="10">
        <v>5</v>
      </c>
      <c r="D116" s="9">
        <v>115</v>
      </c>
      <c r="E116" s="11">
        <v>7.3000327999999985</v>
      </c>
      <c r="F116" s="11">
        <v>603.52864</v>
      </c>
      <c r="G116" s="11">
        <v>5.1680499999999983</v>
      </c>
      <c r="H116" s="11">
        <v>11.212779999999999</v>
      </c>
      <c r="I116" s="11">
        <v>3.2686400000000009</v>
      </c>
      <c r="J116" s="11">
        <v>14.48142</v>
      </c>
      <c r="K116" s="11">
        <v>6.42448</v>
      </c>
      <c r="L116" s="11">
        <v>494.99148000000002</v>
      </c>
      <c r="M116" s="11">
        <v>68.85260981912144</v>
      </c>
    </row>
    <row r="117" spans="1:13" x14ac:dyDescent="0.3">
      <c r="A117" s="10">
        <v>105</v>
      </c>
      <c r="B117" s="10" t="s">
        <v>15</v>
      </c>
      <c r="C117" s="10">
        <v>1</v>
      </c>
      <c r="D117" s="9">
        <v>116</v>
      </c>
      <c r="E117" s="11">
        <v>4.3450339999999992</v>
      </c>
      <c r="F117" s="11">
        <v>469.89935999999994</v>
      </c>
      <c r="G117" s="11">
        <v>7.1503929999999976</v>
      </c>
      <c r="H117" s="11">
        <v>8.3654012000000009</v>
      </c>
      <c r="I117" s="11">
        <v>2.4173360000000006</v>
      </c>
      <c r="J117" s="11">
        <v>10.782737200000001</v>
      </c>
      <c r="K117" s="11">
        <v>4.8459840000000005</v>
      </c>
      <c r="L117" s="11">
        <v>472.01135999999997</v>
      </c>
      <c r="M117" s="11">
        <v>52.27139657930357</v>
      </c>
    </row>
    <row r="118" spans="1:13" x14ac:dyDescent="0.3">
      <c r="A118" s="10">
        <v>105</v>
      </c>
      <c r="B118" s="10" t="s">
        <v>15</v>
      </c>
      <c r="C118" s="10">
        <v>2</v>
      </c>
      <c r="D118" s="9">
        <v>117</v>
      </c>
      <c r="E118" s="11">
        <v>5.7088796000000004</v>
      </c>
      <c r="F118" s="11">
        <v>476.99471999999997</v>
      </c>
      <c r="G118" s="11">
        <v>4.5291129999999988</v>
      </c>
      <c r="H118" s="11">
        <v>9.8456679999999999</v>
      </c>
      <c r="I118" s="11">
        <v>2.8834879999999989</v>
      </c>
      <c r="J118" s="11">
        <v>12.729156</v>
      </c>
      <c r="K118" s="11">
        <v>5.6623680000000016</v>
      </c>
      <c r="L118" s="11">
        <v>445.40280000000007</v>
      </c>
      <c r="M118" s="11">
        <v>61.580312538452084</v>
      </c>
    </row>
    <row r="119" spans="1:13" x14ac:dyDescent="0.3">
      <c r="A119" s="10">
        <v>105</v>
      </c>
      <c r="B119" s="10" t="s">
        <v>15</v>
      </c>
      <c r="C119" s="10">
        <v>3</v>
      </c>
      <c r="D119" s="9">
        <v>118</v>
      </c>
      <c r="E119" s="11">
        <v>5.8924742000000006</v>
      </c>
      <c r="F119" s="11">
        <v>441.51791999999989</v>
      </c>
      <c r="G119" s="11">
        <v>5.3482629999999975</v>
      </c>
      <c r="H119" s="11">
        <v>9.8456679999999999</v>
      </c>
      <c r="I119" s="11">
        <v>2.8834879999999989</v>
      </c>
      <c r="J119" s="11">
        <v>12.729156</v>
      </c>
      <c r="K119" s="11">
        <v>6.3313280000000027</v>
      </c>
      <c r="L119" s="11">
        <v>456.28811999999999</v>
      </c>
      <c r="M119" s="11">
        <v>66.078301956441493</v>
      </c>
    </row>
    <row r="120" spans="1:13" x14ac:dyDescent="0.3">
      <c r="A120" s="10">
        <v>105</v>
      </c>
      <c r="B120" s="10" t="s">
        <v>15</v>
      </c>
      <c r="C120" s="10">
        <v>4</v>
      </c>
      <c r="D120" s="9">
        <v>119</v>
      </c>
      <c r="E120" s="11">
        <v>5.8312760000000008</v>
      </c>
      <c r="F120" s="11">
        <v>354.00847999999996</v>
      </c>
      <c r="G120" s="11">
        <v>4.4144319999999997</v>
      </c>
      <c r="H120" s="11">
        <v>7.8496147999999986</v>
      </c>
      <c r="I120" s="11">
        <v>4.8385199999999999</v>
      </c>
      <c r="J120" s="11">
        <v>12.688134799999998</v>
      </c>
      <c r="K120" s="11">
        <v>5.1138559999999993</v>
      </c>
      <c r="L120" s="11">
        <v>435.72696000000008</v>
      </c>
      <c r="M120" s="11">
        <v>74.40690291620524</v>
      </c>
    </row>
    <row r="121" spans="1:13" x14ac:dyDescent="0.3">
      <c r="A121" s="10">
        <v>105</v>
      </c>
      <c r="B121" s="10" t="s">
        <v>15</v>
      </c>
      <c r="C121" s="10">
        <v>5</v>
      </c>
      <c r="D121" s="9">
        <v>120</v>
      </c>
      <c r="E121" s="11">
        <v>5.8487611999999993</v>
      </c>
      <c r="F121" s="11">
        <v>278.32464000000004</v>
      </c>
      <c r="G121" s="11">
        <v>5.4793269999999978</v>
      </c>
      <c r="H121" s="11">
        <v>10.939469600000001</v>
      </c>
      <c r="I121" s="11">
        <v>3.3861760000000003</v>
      </c>
      <c r="J121" s="11">
        <v>14.325645600000001</v>
      </c>
      <c r="K121" s="11">
        <v>6.0521920000000016</v>
      </c>
      <c r="L121" s="11">
        <v>505.87680000000006</v>
      </c>
      <c r="M121" s="11">
        <v>67.918754768057084</v>
      </c>
    </row>
    <row r="122" spans="1:13" x14ac:dyDescent="0.3">
      <c r="A122" s="10">
        <v>105</v>
      </c>
      <c r="B122" s="10" t="s">
        <v>16</v>
      </c>
      <c r="C122" s="10">
        <v>1</v>
      </c>
      <c r="D122" s="9">
        <v>121</v>
      </c>
      <c r="E122" s="11">
        <v>5.7176221999999992</v>
      </c>
      <c r="F122" s="11">
        <v>717.05439999999999</v>
      </c>
      <c r="G122" s="11">
        <v>5.8397529999999991</v>
      </c>
      <c r="H122" s="11">
        <v>15.0040148</v>
      </c>
      <c r="I122" s="11">
        <v>5.2000719999999987</v>
      </c>
      <c r="J122" s="11">
        <v>20.204086799999999</v>
      </c>
      <c r="K122" s="11">
        <v>7.8480960000000017</v>
      </c>
      <c r="L122" s="11">
        <v>658.27127999999982</v>
      </c>
      <c r="M122" s="11">
        <v>94.163428079242053</v>
      </c>
    </row>
    <row r="123" spans="1:13" x14ac:dyDescent="0.3">
      <c r="A123" s="10">
        <v>105</v>
      </c>
      <c r="B123" s="10" t="s">
        <v>16</v>
      </c>
      <c r="C123" s="10">
        <v>2</v>
      </c>
      <c r="D123" s="9">
        <v>122</v>
      </c>
      <c r="E123" s="11">
        <v>6.8541601999999999</v>
      </c>
      <c r="F123" s="11">
        <v>738.34047999999996</v>
      </c>
      <c r="G123" s="11">
        <v>5.8397529999999991</v>
      </c>
      <c r="H123" s="11">
        <v>20.625026399999999</v>
      </c>
      <c r="I123" s="11">
        <v>7.239647999999999</v>
      </c>
      <c r="J123" s="11">
        <v>27.864674399999998</v>
      </c>
      <c r="K123" s="11">
        <v>10.404351999999996</v>
      </c>
      <c r="L123" s="11">
        <v>629.24375999999995</v>
      </c>
      <c r="M123" s="11">
        <v>129.10074566260616</v>
      </c>
    </row>
    <row r="124" spans="1:13" x14ac:dyDescent="0.3">
      <c r="A124" s="10">
        <v>105</v>
      </c>
      <c r="B124" s="10" t="s">
        <v>16</v>
      </c>
      <c r="C124" s="10">
        <v>3</v>
      </c>
      <c r="D124" s="9">
        <v>123</v>
      </c>
      <c r="E124" s="11">
        <v>6.0148705999999992</v>
      </c>
      <c r="F124" s="11">
        <v>871.96975999999995</v>
      </c>
      <c r="G124" s="11">
        <v>5.1680499999999983</v>
      </c>
      <c r="H124" s="11">
        <v>22.091247200000002</v>
      </c>
      <c r="I124" s="11">
        <v>7.6061599999999991</v>
      </c>
      <c r="J124" s="11">
        <v>29.697407200000001</v>
      </c>
      <c r="K124" s="11">
        <v>9.4803520000000052</v>
      </c>
      <c r="L124" s="11">
        <v>630.45323999999994</v>
      </c>
      <c r="M124" s="11">
        <v>139.7408047249908</v>
      </c>
    </row>
    <row r="125" spans="1:13" x14ac:dyDescent="0.3">
      <c r="A125" s="10">
        <v>105</v>
      </c>
      <c r="B125" s="10" t="s">
        <v>16</v>
      </c>
      <c r="C125" s="10">
        <v>4</v>
      </c>
      <c r="D125" s="9">
        <v>124</v>
      </c>
      <c r="E125" s="11">
        <v>6.4957135999999993</v>
      </c>
      <c r="F125" s="11">
        <v>674.48223999999982</v>
      </c>
      <c r="G125" s="11">
        <v>4.807623999999997</v>
      </c>
      <c r="H125" s="11">
        <v>18.409926800000001</v>
      </c>
      <c r="I125" s="11">
        <v>6.3753519999999995</v>
      </c>
      <c r="J125" s="11">
        <v>24.7852788</v>
      </c>
      <c r="K125" s="11">
        <v>9.4091200000000033</v>
      </c>
      <c r="L125" s="11">
        <v>690.92723999999987</v>
      </c>
      <c r="M125" s="11">
        <v>115.0994290636151</v>
      </c>
    </row>
    <row r="126" spans="1:13" x14ac:dyDescent="0.3">
      <c r="A126" s="10">
        <v>105</v>
      </c>
      <c r="B126" s="10" t="s">
        <v>16</v>
      </c>
      <c r="C126" s="10">
        <v>5</v>
      </c>
      <c r="D126" s="9">
        <v>125</v>
      </c>
      <c r="E126" s="11">
        <v>5.4903145999999987</v>
      </c>
      <c r="F126" s="11">
        <v>603.52864</v>
      </c>
      <c r="G126" s="11">
        <v>4.9714539999999969</v>
      </c>
      <c r="H126" s="11">
        <v>19.867919999999998</v>
      </c>
      <c r="I126" s="11">
        <v>7.0295199999999998</v>
      </c>
      <c r="J126" s="11">
        <v>26.897439999999996</v>
      </c>
      <c r="K126" s="11">
        <v>10.319936</v>
      </c>
      <c r="L126" s="11">
        <v>652.22388000000001</v>
      </c>
      <c r="M126" s="11">
        <v>125.39320290390057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P. infestans</vt:lpstr>
      <vt:lpstr>Agronomic</vt:lpstr>
      <vt:lpstr>Biomarkers</vt:lpstr>
      <vt:lpstr>Non-enzymatic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Iridiam Hernández Soto</dc:creator>
  <cp:lastModifiedBy>Mariana Lucia Rojas Rodriguez</cp:lastModifiedBy>
  <dcterms:created xsi:type="dcterms:W3CDTF">2023-06-20T14:50:58Z</dcterms:created>
  <dcterms:modified xsi:type="dcterms:W3CDTF">2024-12-10T12:32:37Z</dcterms:modified>
</cp:coreProperties>
</file>