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drawings/drawing3.xml" ContentType="application/vnd.openxmlformats-officedocument.drawing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rto\Documents\Lambton\2022F-T1 BDM 1113 - NoSQL Database\Project\Git\"/>
    </mc:Choice>
  </mc:AlternateContent>
  <xr:revisionPtr revIDLastSave="0" documentId="13_ncr:1_{7F8E1A83-0044-4B25-A9F5-87063D9ED73E}" xr6:coauthVersionLast="47" xr6:coauthVersionMax="47" xr10:uidLastSave="{00000000-0000-0000-0000-000000000000}"/>
  <bookViews>
    <workbookView xWindow="-110" yWindow="-110" windowWidth="19420" windowHeight="10420" tabRatio="855" activeTab="5" xr2:uid="{00000000-000D-0000-FFFF-FFFF00000000}"/>
  </bookViews>
  <sheets>
    <sheet name="Data" sheetId="1" r:id="rId1"/>
    <sheet name="Mapping" sheetId="2" state="hidden" r:id="rId2"/>
    <sheet name="Sheet1" sheetId="3" state="hidden" r:id="rId3"/>
    <sheet name="DataModel" sheetId="4" r:id="rId4"/>
    <sheet name="InputData" sheetId="5" state="hidden" r:id="rId5"/>
    <sheet name="Customers" sheetId="6" r:id="rId6"/>
    <sheet name="Employees" sheetId="12" r:id="rId7"/>
    <sheet name="Orders" sheetId="9" r:id="rId8"/>
    <sheet name="Products" sheetId="20" r:id="rId9"/>
    <sheet name="Reviews" sheetId="19" r:id="rId10"/>
    <sheet name="Sheet2" sheetId="18" r:id="rId11"/>
    <sheet name="RandomAddreses" sheetId="7" r:id="rId12"/>
    <sheet name="RandomNames" sheetId="8" r:id="rId13"/>
    <sheet name="Productsx" sheetId="10" r:id="rId14"/>
    <sheet name="xxxProducts" sheetId="16" r:id="rId15"/>
  </sheets>
  <definedNames>
    <definedName name="_xlnm._FilterDatabase" localSheetId="5" hidden="1">Customers!$A$3:$U$33</definedName>
    <definedName name="_xlnm._FilterDatabase" localSheetId="3" hidden="1">DataModel!$A$13:$A$49</definedName>
    <definedName name="_xlnm._FilterDatabase" localSheetId="7" hidden="1">Orders!$A$11:$AM$153</definedName>
    <definedName name="_xlnm._FilterDatabase" localSheetId="11" hidden="1">RandomAddreses!$H$4:$J$88</definedName>
    <definedName name="_xlnm._FilterDatabase" localSheetId="12" hidden="1">RandomNames!$A$4:$E$34</definedName>
    <definedName name="_xlnm._FilterDatabase" localSheetId="9" hidden="1">Reviews!$A$3:$Y$27</definedName>
    <definedName name="_xlnm._FilterDatabase" localSheetId="14" hidden="1">xxxProducts!$A$3:$AM$145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9" l="1"/>
  <c r="Q27" i="19" s="1"/>
  <c r="Q17" i="19"/>
  <c r="Q16" i="19"/>
  <c r="Q14" i="19"/>
  <c r="Q13" i="19"/>
  <c r="Q7" i="19"/>
  <c r="Q5" i="19"/>
  <c r="Q21" i="19"/>
  <c r="Q20" i="19"/>
  <c r="Q10" i="19"/>
  <c r="Q9" i="19"/>
  <c r="Q8" i="19"/>
  <c r="Q6" i="19"/>
  <c r="Q4" i="19"/>
  <c r="Q25" i="19"/>
  <c r="T26" i="19" l="1"/>
  <c r="T25" i="19"/>
  <c r="T24" i="19"/>
  <c r="T23" i="19"/>
  <c r="T22" i="19"/>
  <c r="T21" i="19"/>
  <c r="T20" i="19"/>
  <c r="T19" i="19"/>
  <c r="T18" i="19"/>
  <c r="T17" i="19"/>
  <c r="T16" i="19"/>
  <c r="T15" i="19"/>
  <c r="T14" i="19"/>
  <c r="T13" i="19"/>
  <c r="T12" i="19"/>
  <c r="T11" i="19"/>
  <c r="T10" i="19"/>
  <c r="T9" i="19"/>
  <c r="T8" i="19"/>
  <c r="T7" i="19"/>
  <c r="T6" i="19"/>
  <c r="T5" i="19"/>
  <c r="T4" i="19"/>
  <c r="W26" i="19"/>
  <c r="W25" i="19"/>
  <c r="W24" i="19"/>
  <c r="W23" i="19"/>
  <c r="W22" i="19"/>
  <c r="W21" i="19"/>
  <c r="W20" i="19"/>
  <c r="W19" i="19"/>
  <c r="W18" i="19"/>
  <c r="W17" i="19"/>
  <c r="W16" i="19"/>
  <c r="W15" i="19"/>
  <c r="W14" i="19"/>
  <c r="W13" i="19"/>
  <c r="W12" i="19"/>
  <c r="W11" i="19"/>
  <c r="W10" i="19"/>
  <c r="W9" i="19"/>
  <c r="W8" i="19"/>
  <c r="W7" i="19"/>
  <c r="W6" i="19"/>
  <c r="W5" i="19"/>
  <c r="W4" i="19"/>
  <c r="V27" i="19"/>
  <c r="V26" i="19"/>
  <c r="V25" i="19"/>
  <c r="V24" i="19"/>
  <c r="V23" i="19"/>
  <c r="V22" i="19"/>
  <c r="V21" i="19"/>
  <c r="V20" i="19"/>
  <c r="V19" i="19"/>
  <c r="V18" i="19"/>
  <c r="V17" i="19"/>
  <c r="V16" i="19"/>
  <c r="V15" i="19"/>
  <c r="V14" i="19"/>
  <c r="V13" i="19"/>
  <c r="V12" i="19"/>
  <c r="V11" i="19"/>
  <c r="V10" i="19"/>
  <c r="V9" i="19"/>
  <c r="V8" i="19"/>
  <c r="V7" i="19"/>
  <c r="V6" i="19"/>
  <c r="V5" i="19"/>
  <c r="V4" i="19"/>
  <c r="U27" i="19"/>
  <c r="U26" i="19"/>
  <c r="U25" i="19"/>
  <c r="U24" i="19"/>
  <c r="U23" i="19"/>
  <c r="U22" i="19"/>
  <c r="U21" i="19"/>
  <c r="U20" i="19"/>
  <c r="U19" i="19"/>
  <c r="U18" i="19"/>
  <c r="U17" i="19"/>
  <c r="U16" i="19"/>
  <c r="U15" i="19"/>
  <c r="U14" i="19"/>
  <c r="U13" i="19"/>
  <c r="U12" i="19"/>
  <c r="U11" i="19"/>
  <c r="U10" i="19"/>
  <c r="U9" i="19"/>
  <c r="U8" i="19"/>
  <c r="U7" i="19"/>
  <c r="U6" i="19"/>
  <c r="U5" i="19"/>
  <c r="U4" i="19"/>
  <c r="S26" i="19"/>
  <c r="S25" i="19"/>
  <c r="S24" i="19"/>
  <c r="S23" i="19"/>
  <c r="S22" i="19"/>
  <c r="S21" i="19"/>
  <c r="S20" i="19"/>
  <c r="S19" i="19"/>
  <c r="S18" i="19"/>
  <c r="S17" i="19"/>
  <c r="S16" i="19"/>
  <c r="S15" i="19"/>
  <c r="S14" i="19"/>
  <c r="S13" i="19"/>
  <c r="S12" i="19"/>
  <c r="S11" i="19"/>
  <c r="S10" i="19"/>
  <c r="S9" i="19"/>
  <c r="S8" i="19"/>
  <c r="S7" i="19"/>
  <c r="S6" i="19"/>
  <c r="S5" i="19"/>
  <c r="S4" i="19"/>
  <c r="P27" i="19"/>
  <c r="P26" i="19"/>
  <c r="P25" i="19"/>
  <c r="P24" i="19"/>
  <c r="P23" i="19"/>
  <c r="P22" i="19"/>
  <c r="P21" i="19"/>
  <c r="P20" i="19"/>
  <c r="P19" i="19"/>
  <c r="P18" i="19"/>
  <c r="P17" i="19"/>
  <c r="P16" i="19"/>
  <c r="P15" i="19"/>
  <c r="P14" i="19"/>
  <c r="P13" i="19"/>
  <c r="P12" i="19"/>
  <c r="P11" i="19"/>
  <c r="P10" i="19"/>
  <c r="P9" i="19"/>
  <c r="P8" i="19"/>
  <c r="P7" i="19"/>
  <c r="P6" i="19"/>
  <c r="P5" i="19"/>
  <c r="P4" i="19"/>
  <c r="G17" i="19"/>
  <c r="R17" i="19" s="1"/>
  <c r="G19" i="19"/>
  <c r="R19" i="19" s="1"/>
  <c r="G21" i="19"/>
  <c r="R21" i="19" s="1"/>
  <c r="G25" i="19"/>
  <c r="R25" i="19" s="1"/>
  <c r="C27" i="19"/>
  <c r="D27" i="19"/>
  <c r="G26" i="19"/>
  <c r="R26" i="19" s="1"/>
  <c r="G24" i="19"/>
  <c r="R24" i="19" s="1"/>
  <c r="G23" i="19"/>
  <c r="R23" i="19" s="1"/>
  <c r="G22" i="19"/>
  <c r="R22" i="19" s="1"/>
  <c r="G20" i="19"/>
  <c r="R20" i="19" s="1"/>
  <c r="G18" i="19"/>
  <c r="R18" i="19" s="1"/>
  <c r="G16" i="19"/>
  <c r="R16" i="19" s="1"/>
  <c r="G15" i="19"/>
  <c r="R15" i="19" s="1"/>
  <c r="G14" i="19"/>
  <c r="R14" i="19" s="1"/>
  <c r="G13" i="19"/>
  <c r="R13" i="19" s="1"/>
  <c r="G12" i="19"/>
  <c r="R12" i="19" s="1"/>
  <c r="G11" i="19"/>
  <c r="R11" i="19" s="1"/>
  <c r="G10" i="19"/>
  <c r="R10" i="19" s="1"/>
  <c r="G9" i="19"/>
  <c r="R9" i="19" s="1"/>
  <c r="G8" i="19"/>
  <c r="R8" i="19" s="1"/>
  <c r="G7" i="19"/>
  <c r="R7" i="19" s="1"/>
  <c r="G6" i="19"/>
  <c r="R6" i="19" s="1"/>
  <c r="G5" i="19"/>
  <c r="R5" i="19" s="1"/>
  <c r="G4" i="19"/>
  <c r="R4" i="19" s="1"/>
  <c r="L27" i="19"/>
  <c r="W27" i="19" s="1"/>
  <c r="H27" i="19"/>
  <c r="I27" i="19" s="1"/>
  <c r="T27" i="19" s="1"/>
  <c r="I38" i="20"/>
  <c r="I37" i="20"/>
  <c r="I36" i="20"/>
  <c r="I35" i="20"/>
  <c r="I34" i="20"/>
  <c r="I33" i="20"/>
  <c r="I32" i="20"/>
  <c r="I31" i="20"/>
  <c r="I30" i="20"/>
  <c r="I29" i="20"/>
  <c r="I28" i="20"/>
  <c r="I27" i="20"/>
  <c r="I26" i="20"/>
  <c r="I25" i="20"/>
  <c r="I24" i="20"/>
  <c r="I23" i="20"/>
  <c r="I22" i="20"/>
  <c r="I21" i="20"/>
  <c r="I20" i="20"/>
  <c r="I19" i="20"/>
  <c r="I18" i="20"/>
  <c r="I17" i="20"/>
  <c r="I16" i="20"/>
  <c r="I15" i="20"/>
  <c r="I14" i="20"/>
  <c r="I13" i="20"/>
  <c r="I12" i="20"/>
  <c r="I11" i="20"/>
  <c r="I10" i="20"/>
  <c r="I9" i="20"/>
  <c r="I8" i="20"/>
  <c r="I7" i="20"/>
  <c r="I6" i="20"/>
  <c r="I5" i="20"/>
  <c r="I4" i="20"/>
  <c r="AK145" i="16"/>
  <c r="AH145" i="16"/>
  <c r="C145" i="16" s="1"/>
  <c r="AG145" i="16"/>
  <c r="AF145" i="16"/>
  <c r="AC145" i="16"/>
  <c r="AA145" i="16"/>
  <c r="AD145" i="16" s="1"/>
  <c r="D145" i="16"/>
  <c r="B145" i="16"/>
  <c r="M145" i="16" s="1"/>
  <c r="Z144" i="16"/>
  <c r="N144" i="16"/>
  <c r="K144" i="16"/>
  <c r="J144" i="16"/>
  <c r="I144" i="16"/>
  <c r="H144" i="16"/>
  <c r="G144" i="16"/>
  <c r="F144" i="16"/>
  <c r="E144" i="16"/>
  <c r="D144" i="16"/>
  <c r="C144" i="16"/>
  <c r="B144" i="16"/>
  <c r="AG143" i="16"/>
  <c r="AG144" i="16" s="1"/>
  <c r="U143" i="16"/>
  <c r="U144" i="16" s="1"/>
  <c r="T143" i="16"/>
  <c r="T144" i="16" s="1"/>
  <c r="S143" i="16"/>
  <c r="S144" i="16" s="1"/>
  <c r="R143" i="16"/>
  <c r="R144" i="16" s="1"/>
  <c r="Q143" i="16"/>
  <c r="Q144" i="16" s="1"/>
  <c r="P143" i="16"/>
  <c r="P144" i="16" s="1"/>
  <c r="O143" i="16"/>
  <c r="O144" i="16" s="1"/>
  <c r="M143" i="16"/>
  <c r="M144" i="16" s="1"/>
  <c r="L143" i="16"/>
  <c r="L144" i="16" s="1"/>
  <c r="AI142" i="16"/>
  <c r="AI143" i="16" s="1"/>
  <c r="AI144" i="16" s="1"/>
  <c r="AH142" i="16"/>
  <c r="AE142" i="16"/>
  <c r="AF142" i="16" s="1"/>
  <c r="X142" i="16"/>
  <c r="Y142" i="16" s="1"/>
  <c r="U142" i="16"/>
  <c r="T142" i="16"/>
  <c r="S142" i="16"/>
  <c r="R142" i="16"/>
  <c r="Q142" i="16"/>
  <c r="P142" i="16"/>
  <c r="O142" i="16"/>
  <c r="M142" i="16"/>
  <c r="L142" i="16"/>
  <c r="AJ141" i="16"/>
  <c r="AJ142" i="16" s="1"/>
  <c r="AJ143" i="16" s="1"/>
  <c r="AJ144" i="16" s="1"/>
  <c r="AE141" i="16"/>
  <c r="AF141" i="16" s="1"/>
  <c r="X141" i="16"/>
  <c r="Y141" i="16" s="1"/>
  <c r="U141" i="16"/>
  <c r="T141" i="16"/>
  <c r="S141" i="16"/>
  <c r="R141" i="16"/>
  <c r="Q141" i="16"/>
  <c r="P141" i="16"/>
  <c r="O141" i="16"/>
  <c r="M141" i="16"/>
  <c r="L141" i="16"/>
  <c r="Z140" i="16"/>
  <c r="K140" i="16"/>
  <c r="J140" i="16"/>
  <c r="I140" i="16"/>
  <c r="H140" i="16"/>
  <c r="G140" i="16"/>
  <c r="F140" i="16"/>
  <c r="E140" i="16"/>
  <c r="D140" i="16"/>
  <c r="C140" i="16"/>
  <c r="B140" i="16"/>
  <c r="AG139" i="16"/>
  <c r="AG140" i="16" s="1"/>
  <c r="U139" i="16"/>
  <c r="U140" i="16" s="1"/>
  <c r="T139" i="16"/>
  <c r="T140" i="16" s="1"/>
  <c r="S139" i="16"/>
  <c r="S140" i="16" s="1"/>
  <c r="R139" i="16"/>
  <c r="R140" i="16" s="1"/>
  <c r="Q139" i="16"/>
  <c r="Q140" i="16" s="1"/>
  <c r="P139" i="16"/>
  <c r="P140" i="16" s="1"/>
  <c r="O139" i="16"/>
  <c r="O140" i="16" s="1"/>
  <c r="N139" i="16"/>
  <c r="N140" i="16" s="1"/>
  <c r="M139" i="16"/>
  <c r="M140" i="16" s="1"/>
  <c r="L139" i="16"/>
  <c r="L140" i="16" s="1"/>
  <c r="AE138" i="16"/>
  <c r="AF138" i="16" s="1"/>
  <c r="X138" i="16"/>
  <c r="Y138" i="16" s="1"/>
  <c r="U138" i="16"/>
  <c r="T138" i="16"/>
  <c r="S138" i="16"/>
  <c r="R138" i="16"/>
  <c r="Q138" i="16"/>
  <c r="P138" i="16"/>
  <c r="O138" i="16"/>
  <c r="N138" i="16"/>
  <c r="M138" i="16"/>
  <c r="L138" i="16"/>
  <c r="AI137" i="16"/>
  <c r="AI138" i="16" s="1"/>
  <c r="AI139" i="16" s="1"/>
  <c r="AI140" i="16" s="1"/>
  <c r="AH137" i="16"/>
  <c r="AH138" i="16" s="1"/>
  <c r="AE137" i="16"/>
  <c r="AF137" i="16" s="1"/>
  <c r="X137" i="16"/>
  <c r="Y137" i="16" s="1"/>
  <c r="U137" i="16"/>
  <c r="T137" i="16"/>
  <c r="S137" i="16"/>
  <c r="R137" i="16"/>
  <c r="Q137" i="16"/>
  <c r="P137" i="16"/>
  <c r="O137" i="16"/>
  <c r="N137" i="16"/>
  <c r="M137" i="16"/>
  <c r="L137" i="16"/>
  <c r="AJ136" i="16"/>
  <c r="AJ137" i="16" s="1"/>
  <c r="AJ138" i="16" s="1"/>
  <c r="AJ139" i="16" s="1"/>
  <c r="AJ140" i="16" s="1"/>
  <c r="AE136" i="16"/>
  <c r="AF136" i="16" s="1"/>
  <c r="X136" i="16"/>
  <c r="Y136" i="16" s="1"/>
  <c r="U136" i="16"/>
  <c r="T136" i="16"/>
  <c r="S136" i="16"/>
  <c r="R136" i="16"/>
  <c r="Q136" i="16"/>
  <c r="P136" i="16"/>
  <c r="O136" i="16"/>
  <c r="N136" i="16"/>
  <c r="M136" i="16"/>
  <c r="L136" i="16"/>
  <c r="Z135" i="16"/>
  <c r="N135" i="16"/>
  <c r="K135" i="16"/>
  <c r="J135" i="16"/>
  <c r="I135" i="16"/>
  <c r="H135" i="16"/>
  <c r="G135" i="16"/>
  <c r="F135" i="16"/>
  <c r="E135" i="16"/>
  <c r="D135" i="16"/>
  <c r="C135" i="16"/>
  <c r="B135" i="16"/>
  <c r="AG134" i="16"/>
  <c r="AG135" i="16" s="1"/>
  <c r="U134" i="16"/>
  <c r="U135" i="16" s="1"/>
  <c r="T134" i="16"/>
  <c r="T135" i="16" s="1"/>
  <c r="S134" i="16"/>
  <c r="S135" i="16" s="1"/>
  <c r="R134" i="16"/>
  <c r="R135" i="16" s="1"/>
  <c r="Q134" i="16"/>
  <c r="Q135" i="16" s="1"/>
  <c r="P134" i="16"/>
  <c r="P135" i="16" s="1"/>
  <c r="O134" i="16"/>
  <c r="O135" i="16" s="1"/>
  <c r="M134" i="16"/>
  <c r="M135" i="16" s="1"/>
  <c r="L134" i="16"/>
  <c r="L135" i="16" s="1"/>
  <c r="AE133" i="16"/>
  <c r="AF133" i="16" s="1"/>
  <c r="X133" i="16"/>
  <c r="Y133" i="16" s="1"/>
  <c r="U133" i="16"/>
  <c r="T133" i="16"/>
  <c r="S133" i="16"/>
  <c r="R133" i="16"/>
  <c r="Q133" i="16"/>
  <c r="P133" i="16"/>
  <c r="O133" i="16"/>
  <c r="M133" i="16"/>
  <c r="L133" i="16"/>
  <c r="AI132" i="16"/>
  <c r="AI133" i="16" s="1"/>
  <c r="AI134" i="16" s="1"/>
  <c r="AI135" i="16" s="1"/>
  <c r="AH132" i="16"/>
  <c r="AH133" i="16" s="1"/>
  <c r="AE132" i="16"/>
  <c r="AF132" i="16" s="1"/>
  <c r="X132" i="16"/>
  <c r="Y132" i="16" s="1"/>
  <c r="U132" i="16"/>
  <c r="T132" i="16"/>
  <c r="S132" i="16"/>
  <c r="R132" i="16"/>
  <c r="Q132" i="16"/>
  <c r="P132" i="16"/>
  <c r="O132" i="16"/>
  <c r="M132" i="16"/>
  <c r="L132" i="16"/>
  <c r="AJ131" i="16"/>
  <c r="AJ132" i="16" s="1"/>
  <c r="AJ133" i="16" s="1"/>
  <c r="AJ134" i="16" s="1"/>
  <c r="AJ135" i="16" s="1"/>
  <c r="AE131" i="16"/>
  <c r="AF131" i="16" s="1"/>
  <c r="X131" i="16"/>
  <c r="Y131" i="16" s="1"/>
  <c r="U131" i="16"/>
  <c r="T131" i="16"/>
  <c r="S131" i="16"/>
  <c r="R131" i="16"/>
  <c r="Q131" i="16"/>
  <c r="P131" i="16"/>
  <c r="O131" i="16"/>
  <c r="M131" i="16"/>
  <c r="L131" i="16"/>
  <c r="Z130" i="16"/>
  <c r="N130" i="16"/>
  <c r="K130" i="16"/>
  <c r="J130" i="16"/>
  <c r="I130" i="16"/>
  <c r="H130" i="16"/>
  <c r="G130" i="16"/>
  <c r="F130" i="16"/>
  <c r="E130" i="16"/>
  <c r="D130" i="16"/>
  <c r="C130" i="16"/>
  <c r="B130" i="16"/>
  <c r="AG129" i="16"/>
  <c r="AG130" i="16" s="1"/>
  <c r="U129" i="16"/>
  <c r="U130" i="16" s="1"/>
  <c r="T129" i="16"/>
  <c r="T130" i="16" s="1"/>
  <c r="S129" i="16"/>
  <c r="S130" i="16" s="1"/>
  <c r="R129" i="16"/>
  <c r="R130" i="16" s="1"/>
  <c r="Q129" i="16"/>
  <c r="Q130" i="16" s="1"/>
  <c r="P129" i="16"/>
  <c r="P130" i="16" s="1"/>
  <c r="O129" i="16"/>
  <c r="O130" i="16" s="1"/>
  <c r="M129" i="16"/>
  <c r="M130" i="16" s="1"/>
  <c r="L129" i="16"/>
  <c r="L130" i="16" s="1"/>
  <c r="AI128" i="16"/>
  <c r="AI129" i="16" s="1"/>
  <c r="AI130" i="16" s="1"/>
  <c r="AH128" i="16"/>
  <c r="AE128" i="16"/>
  <c r="AF128" i="16" s="1"/>
  <c r="X128" i="16"/>
  <c r="Y128" i="16" s="1"/>
  <c r="U128" i="16"/>
  <c r="T128" i="16"/>
  <c r="S128" i="16"/>
  <c r="R128" i="16"/>
  <c r="Q128" i="16"/>
  <c r="P128" i="16"/>
  <c r="O128" i="16"/>
  <c r="M128" i="16"/>
  <c r="L128" i="16"/>
  <c r="AJ127" i="16"/>
  <c r="AJ128" i="16" s="1"/>
  <c r="AJ129" i="16" s="1"/>
  <c r="AJ130" i="16" s="1"/>
  <c r="AE127" i="16"/>
  <c r="AF127" i="16" s="1"/>
  <c r="X127" i="16"/>
  <c r="Y127" i="16" s="1"/>
  <c r="U127" i="16"/>
  <c r="T127" i="16"/>
  <c r="S127" i="16"/>
  <c r="R127" i="16"/>
  <c r="Q127" i="16"/>
  <c r="P127" i="16"/>
  <c r="O127" i="16"/>
  <c r="M127" i="16"/>
  <c r="L127" i="16"/>
  <c r="Z126" i="16"/>
  <c r="N126" i="16"/>
  <c r="K126" i="16"/>
  <c r="J126" i="16"/>
  <c r="I126" i="16"/>
  <c r="H126" i="16"/>
  <c r="G126" i="16"/>
  <c r="F126" i="16"/>
  <c r="E126" i="16"/>
  <c r="D126" i="16"/>
  <c r="C126" i="16"/>
  <c r="B126" i="16"/>
  <c r="AG125" i="16"/>
  <c r="AG126" i="16" s="1"/>
  <c r="U125" i="16"/>
  <c r="U126" i="16" s="1"/>
  <c r="T125" i="16"/>
  <c r="T126" i="16" s="1"/>
  <c r="S125" i="16"/>
  <c r="S126" i="16" s="1"/>
  <c r="R125" i="16"/>
  <c r="R126" i="16" s="1"/>
  <c r="Q125" i="16"/>
  <c r="Q126" i="16" s="1"/>
  <c r="P125" i="16"/>
  <c r="P126" i="16" s="1"/>
  <c r="O125" i="16"/>
  <c r="O126" i="16" s="1"/>
  <c r="M125" i="16"/>
  <c r="M126" i="16" s="1"/>
  <c r="L125" i="16"/>
  <c r="L126" i="16" s="1"/>
  <c r="AE124" i="16"/>
  <c r="AF124" i="16" s="1"/>
  <c r="X124" i="16"/>
  <c r="Y124" i="16" s="1"/>
  <c r="U124" i="16"/>
  <c r="T124" i="16"/>
  <c r="S124" i="16"/>
  <c r="R124" i="16"/>
  <c r="Q124" i="16"/>
  <c r="P124" i="16"/>
  <c r="O124" i="16"/>
  <c r="M124" i="16"/>
  <c r="L124" i="16"/>
  <c r="AI123" i="16"/>
  <c r="AI124" i="16" s="1"/>
  <c r="AI125" i="16" s="1"/>
  <c r="AI126" i="16" s="1"/>
  <c r="AH123" i="16"/>
  <c r="AH124" i="16" s="1"/>
  <c r="AE123" i="16"/>
  <c r="AF123" i="16" s="1"/>
  <c r="X123" i="16"/>
  <c r="Y123" i="16" s="1"/>
  <c r="U123" i="16"/>
  <c r="T123" i="16"/>
  <c r="S123" i="16"/>
  <c r="R123" i="16"/>
  <c r="Q123" i="16"/>
  <c r="P123" i="16"/>
  <c r="O123" i="16"/>
  <c r="M123" i="16"/>
  <c r="L123" i="16"/>
  <c r="AJ122" i="16"/>
  <c r="AJ123" i="16" s="1"/>
  <c r="AJ124" i="16" s="1"/>
  <c r="AJ125" i="16" s="1"/>
  <c r="AJ126" i="16" s="1"/>
  <c r="AE122" i="16"/>
  <c r="AF122" i="16" s="1"/>
  <c r="X122" i="16"/>
  <c r="U122" i="16"/>
  <c r="T122" i="16"/>
  <c r="S122" i="16"/>
  <c r="R122" i="16"/>
  <c r="Q122" i="16"/>
  <c r="P122" i="16"/>
  <c r="O122" i="16"/>
  <c r="M122" i="16"/>
  <c r="L122" i="16"/>
  <c r="Z121" i="16"/>
  <c r="N121" i="16"/>
  <c r="K121" i="16"/>
  <c r="J121" i="16"/>
  <c r="I121" i="16"/>
  <c r="H121" i="16"/>
  <c r="G121" i="16"/>
  <c r="F121" i="16"/>
  <c r="E121" i="16"/>
  <c r="D121" i="16"/>
  <c r="C121" i="16"/>
  <c r="B121" i="16"/>
  <c r="AG120" i="16"/>
  <c r="AG121" i="16" s="1"/>
  <c r="U120" i="16"/>
  <c r="U121" i="16" s="1"/>
  <c r="T120" i="16"/>
  <c r="T121" i="16" s="1"/>
  <c r="S120" i="16"/>
  <c r="S121" i="16" s="1"/>
  <c r="R120" i="16"/>
  <c r="R121" i="16" s="1"/>
  <c r="Q120" i="16"/>
  <c r="Q121" i="16" s="1"/>
  <c r="P120" i="16"/>
  <c r="P121" i="16" s="1"/>
  <c r="O120" i="16"/>
  <c r="O121" i="16" s="1"/>
  <c r="M120" i="16"/>
  <c r="M121" i="16" s="1"/>
  <c r="L120" i="16"/>
  <c r="L121" i="16" s="1"/>
  <c r="AI119" i="16"/>
  <c r="AI120" i="16" s="1"/>
  <c r="AI121" i="16" s="1"/>
  <c r="AH119" i="16"/>
  <c r="AE119" i="16"/>
  <c r="AF119" i="16" s="1"/>
  <c r="X119" i="16"/>
  <c r="U119" i="16"/>
  <c r="T119" i="16"/>
  <c r="S119" i="16"/>
  <c r="R119" i="16"/>
  <c r="Q119" i="16"/>
  <c r="P119" i="16"/>
  <c r="O119" i="16"/>
  <c r="M119" i="16"/>
  <c r="L119" i="16"/>
  <c r="AJ118" i="16"/>
  <c r="AJ119" i="16" s="1"/>
  <c r="AJ120" i="16" s="1"/>
  <c r="AJ121" i="16" s="1"/>
  <c r="AE118" i="16"/>
  <c r="AF118" i="16" s="1"/>
  <c r="X118" i="16"/>
  <c r="Y118" i="16" s="1"/>
  <c r="U118" i="16"/>
  <c r="T118" i="16"/>
  <c r="S118" i="16"/>
  <c r="R118" i="16"/>
  <c r="Q118" i="16"/>
  <c r="P118" i="16"/>
  <c r="O118" i="16"/>
  <c r="M118" i="16"/>
  <c r="L118" i="16"/>
  <c r="Z117" i="16"/>
  <c r="K117" i="16"/>
  <c r="J117" i="16"/>
  <c r="I117" i="16"/>
  <c r="H117" i="16"/>
  <c r="G117" i="16"/>
  <c r="F117" i="16"/>
  <c r="E117" i="16"/>
  <c r="D117" i="16"/>
  <c r="C117" i="16"/>
  <c r="B117" i="16"/>
  <c r="AG116" i="16"/>
  <c r="AG117" i="16" s="1"/>
  <c r="U116" i="16"/>
  <c r="U117" i="16" s="1"/>
  <c r="T116" i="16"/>
  <c r="T117" i="16" s="1"/>
  <c r="S116" i="16"/>
  <c r="S117" i="16" s="1"/>
  <c r="R116" i="16"/>
  <c r="R117" i="16" s="1"/>
  <c r="Q116" i="16"/>
  <c r="Q117" i="16" s="1"/>
  <c r="P116" i="16"/>
  <c r="P117" i="16" s="1"/>
  <c r="O116" i="16"/>
  <c r="O117" i="16" s="1"/>
  <c r="N116" i="16"/>
  <c r="N117" i="16" s="1"/>
  <c r="M116" i="16"/>
  <c r="M117" i="16" s="1"/>
  <c r="L116" i="16"/>
  <c r="L117" i="16" s="1"/>
  <c r="AE115" i="16"/>
  <c r="AF115" i="16" s="1"/>
  <c r="X115" i="16"/>
  <c r="Y115" i="16" s="1"/>
  <c r="U115" i="16"/>
  <c r="T115" i="16"/>
  <c r="S115" i="16"/>
  <c r="R115" i="16"/>
  <c r="Q115" i="16"/>
  <c r="P115" i="16"/>
  <c r="O115" i="16"/>
  <c r="N115" i="16"/>
  <c r="M115" i="16"/>
  <c r="L115" i="16"/>
  <c r="AI114" i="16"/>
  <c r="AI115" i="16" s="1"/>
  <c r="AI116" i="16" s="1"/>
  <c r="AI117" i="16" s="1"/>
  <c r="AH114" i="16"/>
  <c r="AH115" i="16" s="1"/>
  <c r="AE114" i="16"/>
  <c r="AF114" i="16" s="1"/>
  <c r="Y114" i="16"/>
  <c r="X114" i="16"/>
  <c r="U114" i="16"/>
  <c r="T114" i="16"/>
  <c r="S114" i="16"/>
  <c r="R114" i="16"/>
  <c r="Q114" i="16"/>
  <c r="P114" i="16"/>
  <c r="O114" i="16"/>
  <c r="N114" i="16"/>
  <c r="M114" i="16"/>
  <c r="L114" i="16"/>
  <c r="AJ113" i="16"/>
  <c r="AJ114" i="16" s="1"/>
  <c r="AJ115" i="16" s="1"/>
  <c r="AJ116" i="16" s="1"/>
  <c r="AJ117" i="16" s="1"/>
  <c r="AE113" i="16"/>
  <c r="AF113" i="16" s="1"/>
  <c r="X113" i="16"/>
  <c r="U113" i="16"/>
  <c r="T113" i="16"/>
  <c r="S113" i="16"/>
  <c r="R113" i="16"/>
  <c r="Q113" i="16"/>
  <c r="P113" i="16"/>
  <c r="O113" i="16"/>
  <c r="N113" i="16"/>
  <c r="M113" i="16"/>
  <c r="L113" i="16"/>
  <c r="Z112" i="16"/>
  <c r="K112" i="16"/>
  <c r="J112" i="16"/>
  <c r="I112" i="16"/>
  <c r="H112" i="16"/>
  <c r="G112" i="16"/>
  <c r="F112" i="16"/>
  <c r="E112" i="16"/>
  <c r="D112" i="16"/>
  <c r="B112" i="16"/>
  <c r="AG111" i="16"/>
  <c r="AG112" i="16" s="1"/>
  <c r="U111" i="16"/>
  <c r="U112" i="16" s="1"/>
  <c r="T111" i="16"/>
  <c r="T112" i="16" s="1"/>
  <c r="S111" i="16"/>
  <c r="S112" i="16" s="1"/>
  <c r="R111" i="16"/>
  <c r="R112" i="16" s="1"/>
  <c r="Q111" i="16"/>
  <c r="Q112" i="16" s="1"/>
  <c r="P111" i="16"/>
  <c r="P112" i="16" s="1"/>
  <c r="O111" i="16"/>
  <c r="O112" i="16" s="1"/>
  <c r="N111" i="16"/>
  <c r="N112" i="16" s="1"/>
  <c r="M111" i="16"/>
  <c r="M112" i="16" s="1"/>
  <c r="L111" i="16"/>
  <c r="L112" i="16" s="1"/>
  <c r="AE110" i="16"/>
  <c r="AF110" i="16" s="1"/>
  <c r="X110" i="16"/>
  <c r="Y110" i="16" s="1"/>
  <c r="U110" i="16"/>
  <c r="T110" i="16"/>
  <c r="S110" i="16"/>
  <c r="R110" i="16"/>
  <c r="Q110" i="16"/>
  <c r="P110" i="16"/>
  <c r="O110" i="16"/>
  <c r="N110" i="16"/>
  <c r="M110" i="16"/>
  <c r="L110" i="16"/>
  <c r="AI109" i="16"/>
  <c r="AI110" i="16" s="1"/>
  <c r="AI111" i="16" s="1"/>
  <c r="AI112" i="16" s="1"/>
  <c r="AH109" i="16"/>
  <c r="AH110" i="16" s="1"/>
  <c r="AE109" i="16"/>
  <c r="AF109" i="16" s="1"/>
  <c r="X109" i="16"/>
  <c r="Y109" i="16" s="1"/>
  <c r="U109" i="16"/>
  <c r="T109" i="16"/>
  <c r="S109" i="16"/>
  <c r="R109" i="16"/>
  <c r="Q109" i="16"/>
  <c r="P109" i="16"/>
  <c r="O109" i="16"/>
  <c r="N109" i="16"/>
  <c r="M109" i="16"/>
  <c r="L109" i="16"/>
  <c r="AJ108" i="16"/>
  <c r="AJ109" i="16" s="1"/>
  <c r="AJ110" i="16" s="1"/>
  <c r="AJ111" i="16" s="1"/>
  <c r="AJ112" i="16" s="1"/>
  <c r="AE108" i="16"/>
  <c r="AF108" i="16" s="1"/>
  <c r="X108" i="16"/>
  <c r="U108" i="16"/>
  <c r="T108" i="16"/>
  <c r="S108" i="16"/>
  <c r="R108" i="16"/>
  <c r="Q108" i="16"/>
  <c r="P108" i="16"/>
  <c r="O108" i="16"/>
  <c r="N108" i="16"/>
  <c r="M108" i="16"/>
  <c r="L108" i="16"/>
  <c r="C108" i="16"/>
  <c r="Z107" i="16"/>
  <c r="N107" i="16"/>
  <c r="K107" i="16"/>
  <c r="J107" i="16"/>
  <c r="I107" i="16"/>
  <c r="H107" i="16"/>
  <c r="G107" i="16"/>
  <c r="F107" i="16"/>
  <c r="E107" i="16"/>
  <c r="D107" i="16"/>
  <c r="C107" i="16"/>
  <c r="B107" i="16"/>
  <c r="AG106" i="16"/>
  <c r="AG107" i="16" s="1"/>
  <c r="U106" i="16"/>
  <c r="U107" i="16" s="1"/>
  <c r="T106" i="16"/>
  <c r="T107" i="16" s="1"/>
  <c r="S106" i="16"/>
  <c r="S107" i="16" s="1"/>
  <c r="R106" i="16"/>
  <c r="R107" i="16" s="1"/>
  <c r="Q106" i="16"/>
  <c r="Q107" i="16" s="1"/>
  <c r="P106" i="16"/>
  <c r="P107" i="16" s="1"/>
  <c r="O106" i="16"/>
  <c r="O107" i="16" s="1"/>
  <c r="M106" i="16"/>
  <c r="M107" i="16" s="1"/>
  <c r="L106" i="16"/>
  <c r="L107" i="16" s="1"/>
  <c r="AE105" i="16"/>
  <c r="AF105" i="16" s="1"/>
  <c r="X105" i="16"/>
  <c r="Y105" i="16" s="1"/>
  <c r="U105" i="16"/>
  <c r="T105" i="16"/>
  <c r="S105" i="16"/>
  <c r="R105" i="16"/>
  <c r="Q105" i="16"/>
  <c r="P105" i="16"/>
  <c r="O105" i="16"/>
  <c r="M105" i="16"/>
  <c r="L105" i="16"/>
  <c r="AI104" i="16"/>
  <c r="AI105" i="16" s="1"/>
  <c r="AI106" i="16" s="1"/>
  <c r="AI107" i="16" s="1"/>
  <c r="AH104" i="16"/>
  <c r="AH105" i="16" s="1"/>
  <c r="AE104" i="16"/>
  <c r="AF104" i="16" s="1"/>
  <c r="X104" i="16"/>
  <c r="Y104" i="16" s="1"/>
  <c r="U104" i="16"/>
  <c r="T104" i="16"/>
  <c r="S104" i="16"/>
  <c r="R104" i="16"/>
  <c r="Q104" i="16"/>
  <c r="P104" i="16"/>
  <c r="O104" i="16"/>
  <c r="M104" i="16"/>
  <c r="L104" i="16"/>
  <c r="AJ103" i="16"/>
  <c r="AJ104" i="16" s="1"/>
  <c r="AJ105" i="16" s="1"/>
  <c r="AJ106" i="16" s="1"/>
  <c r="AJ107" i="16" s="1"/>
  <c r="AE103" i="16"/>
  <c r="AF103" i="16" s="1"/>
  <c r="X103" i="16"/>
  <c r="Y103" i="16" s="1"/>
  <c r="U103" i="16"/>
  <c r="T103" i="16"/>
  <c r="S103" i="16"/>
  <c r="R103" i="16"/>
  <c r="Q103" i="16"/>
  <c r="P103" i="16"/>
  <c r="O103" i="16"/>
  <c r="M103" i="16"/>
  <c r="L103" i="16"/>
  <c r="AI102" i="16"/>
  <c r="AG102" i="16"/>
  <c r="Z102" i="16"/>
  <c r="W102" i="16"/>
  <c r="V102" i="16"/>
  <c r="N102" i="16"/>
  <c r="K102" i="16"/>
  <c r="J102" i="16"/>
  <c r="I102" i="16"/>
  <c r="H102" i="16"/>
  <c r="G102" i="16"/>
  <c r="F102" i="16"/>
  <c r="E102" i="16"/>
  <c r="D102" i="16"/>
  <c r="C102" i="16"/>
  <c r="B102" i="16"/>
  <c r="AJ101" i="16"/>
  <c r="AJ102" i="16" s="1"/>
  <c r="AE101" i="16"/>
  <c r="AF101" i="16" s="1"/>
  <c r="AF102" i="16" s="1"/>
  <c r="X101" i="16"/>
  <c r="X102" i="16" s="1"/>
  <c r="U101" i="16"/>
  <c r="U102" i="16" s="1"/>
  <c r="T101" i="16"/>
  <c r="T102" i="16" s="1"/>
  <c r="S101" i="16"/>
  <c r="S102" i="16" s="1"/>
  <c r="R101" i="16"/>
  <c r="R102" i="16" s="1"/>
  <c r="Q101" i="16"/>
  <c r="Q102" i="16" s="1"/>
  <c r="P101" i="16"/>
  <c r="P102" i="16" s="1"/>
  <c r="O101" i="16"/>
  <c r="O102" i="16" s="1"/>
  <c r="M101" i="16"/>
  <c r="M102" i="16" s="1"/>
  <c r="L101" i="16"/>
  <c r="L102" i="16" s="1"/>
  <c r="AI100" i="16"/>
  <c r="AG100" i="16"/>
  <c r="Z100" i="16"/>
  <c r="W100" i="16"/>
  <c r="V100" i="16"/>
  <c r="N100" i="16"/>
  <c r="K100" i="16"/>
  <c r="J100" i="16"/>
  <c r="I100" i="16"/>
  <c r="H100" i="16"/>
  <c r="G100" i="16"/>
  <c r="F100" i="16"/>
  <c r="E100" i="16"/>
  <c r="D100" i="16"/>
  <c r="C100" i="16"/>
  <c r="B100" i="16"/>
  <c r="AJ99" i="16"/>
  <c r="AJ100" i="16" s="1"/>
  <c r="AE99" i="16"/>
  <c r="AF99" i="16" s="1"/>
  <c r="AF100" i="16" s="1"/>
  <c r="X99" i="16"/>
  <c r="Y99" i="16" s="1"/>
  <c r="U99" i="16"/>
  <c r="U100" i="16" s="1"/>
  <c r="T99" i="16"/>
  <c r="T100" i="16" s="1"/>
  <c r="S99" i="16"/>
  <c r="S100" i="16" s="1"/>
  <c r="R99" i="16"/>
  <c r="R100" i="16" s="1"/>
  <c r="Q99" i="16"/>
  <c r="Q100" i="16" s="1"/>
  <c r="P99" i="16"/>
  <c r="P100" i="16" s="1"/>
  <c r="O99" i="16"/>
  <c r="O100" i="16" s="1"/>
  <c r="M99" i="16"/>
  <c r="M100" i="16" s="1"/>
  <c r="L99" i="16"/>
  <c r="L100" i="16" s="1"/>
  <c r="Z98" i="16"/>
  <c r="K98" i="16"/>
  <c r="J98" i="16"/>
  <c r="I98" i="16"/>
  <c r="H98" i="16"/>
  <c r="G98" i="16"/>
  <c r="F98" i="16"/>
  <c r="E98" i="16"/>
  <c r="D98" i="16"/>
  <c r="C98" i="16"/>
  <c r="B98" i="16"/>
  <c r="AG97" i="16"/>
  <c r="AG98" i="16" s="1"/>
  <c r="U97" i="16"/>
  <c r="U98" i="16" s="1"/>
  <c r="T97" i="16"/>
  <c r="T98" i="16" s="1"/>
  <c r="S97" i="16"/>
  <c r="S98" i="16" s="1"/>
  <c r="R97" i="16"/>
  <c r="R98" i="16" s="1"/>
  <c r="Q97" i="16"/>
  <c r="Q98" i="16" s="1"/>
  <c r="P97" i="16"/>
  <c r="P98" i="16" s="1"/>
  <c r="O97" i="16"/>
  <c r="O98" i="16" s="1"/>
  <c r="N97" i="16"/>
  <c r="N98" i="16" s="1"/>
  <c r="M97" i="16"/>
  <c r="M98" i="16" s="1"/>
  <c r="L97" i="16"/>
  <c r="L98" i="16" s="1"/>
  <c r="AE96" i="16"/>
  <c r="AF96" i="16" s="1"/>
  <c r="X96" i="16"/>
  <c r="Y96" i="16" s="1"/>
  <c r="U96" i="16"/>
  <c r="T96" i="16"/>
  <c r="S96" i="16"/>
  <c r="R96" i="16"/>
  <c r="Q96" i="16"/>
  <c r="P96" i="16"/>
  <c r="O96" i="16"/>
  <c r="N96" i="16"/>
  <c r="M96" i="16"/>
  <c r="L96" i="16"/>
  <c r="AI95" i="16"/>
  <c r="AI96" i="16" s="1"/>
  <c r="AI97" i="16" s="1"/>
  <c r="AI98" i="16" s="1"/>
  <c r="AH95" i="16"/>
  <c r="AH96" i="16" s="1"/>
  <c r="AE95" i="16"/>
  <c r="AF95" i="16" s="1"/>
  <c r="X95" i="16"/>
  <c r="Y95" i="16" s="1"/>
  <c r="U95" i="16"/>
  <c r="T95" i="16"/>
  <c r="S95" i="16"/>
  <c r="R95" i="16"/>
  <c r="Q95" i="16"/>
  <c r="P95" i="16"/>
  <c r="O95" i="16"/>
  <c r="N95" i="16"/>
  <c r="M95" i="16"/>
  <c r="L95" i="16"/>
  <c r="AJ94" i="16"/>
  <c r="AJ95" i="16" s="1"/>
  <c r="AJ96" i="16" s="1"/>
  <c r="AJ97" i="16" s="1"/>
  <c r="AJ98" i="16" s="1"/>
  <c r="AE94" i="16"/>
  <c r="AF94" i="16" s="1"/>
  <c r="X94" i="16"/>
  <c r="Y94" i="16" s="1"/>
  <c r="U94" i="16"/>
  <c r="T94" i="16"/>
  <c r="S94" i="16"/>
  <c r="R94" i="16"/>
  <c r="Q94" i="16"/>
  <c r="P94" i="16"/>
  <c r="O94" i="16"/>
  <c r="N94" i="16"/>
  <c r="M94" i="16"/>
  <c r="L94" i="16"/>
  <c r="Z93" i="16"/>
  <c r="N93" i="16"/>
  <c r="K93" i="16"/>
  <c r="J93" i="16"/>
  <c r="I93" i="16"/>
  <c r="H93" i="16"/>
  <c r="G93" i="16"/>
  <c r="F93" i="16"/>
  <c r="E93" i="16"/>
  <c r="D93" i="16"/>
  <c r="C93" i="16"/>
  <c r="B93" i="16"/>
  <c r="AG92" i="16"/>
  <c r="AG93" i="16" s="1"/>
  <c r="U92" i="16"/>
  <c r="U93" i="16" s="1"/>
  <c r="T92" i="16"/>
  <c r="T93" i="16" s="1"/>
  <c r="S92" i="16"/>
  <c r="S93" i="16" s="1"/>
  <c r="R92" i="16"/>
  <c r="R93" i="16" s="1"/>
  <c r="Q92" i="16"/>
  <c r="Q93" i="16" s="1"/>
  <c r="P92" i="16"/>
  <c r="P93" i="16" s="1"/>
  <c r="O92" i="16"/>
  <c r="O93" i="16" s="1"/>
  <c r="M92" i="16"/>
  <c r="M93" i="16" s="1"/>
  <c r="L92" i="16"/>
  <c r="L93" i="16" s="1"/>
  <c r="AE91" i="16"/>
  <c r="AF91" i="16" s="1"/>
  <c r="X91" i="16"/>
  <c r="Y91" i="16" s="1"/>
  <c r="U91" i="16"/>
  <c r="T91" i="16"/>
  <c r="S91" i="16"/>
  <c r="R91" i="16"/>
  <c r="Q91" i="16"/>
  <c r="P91" i="16"/>
  <c r="O91" i="16"/>
  <c r="M91" i="16"/>
  <c r="L91" i="16"/>
  <c r="AE90" i="16"/>
  <c r="AF90" i="16" s="1"/>
  <c r="X90" i="16"/>
  <c r="Y90" i="16" s="1"/>
  <c r="U90" i="16"/>
  <c r="T90" i="16"/>
  <c r="S90" i="16"/>
  <c r="R90" i="16"/>
  <c r="Q90" i="16"/>
  <c r="P90" i="16"/>
  <c r="O90" i="16"/>
  <c r="M90" i="16"/>
  <c r="L90" i="16"/>
  <c r="AI89" i="16"/>
  <c r="AI90" i="16" s="1"/>
  <c r="AI91" i="16" s="1"/>
  <c r="AI92" i="16" s="1"/>
  <c r="AI93" i="16" s="1"/>
  <c r="AH89" i="16"/>
  <c r="AH90" i="16" s="1"/>
  <c r="AH91" i="16" s="1"/>
  <c r="AE89" i="16"/>
  <c r="AF89" i="16" s="1"/>
  <c r="X89" i="16"/>
  <c r="Y89" i="16" s="1"/>
  <c r="U89" i="16"/>
  <c r="T89" i="16"/>
  <c r="S89" i="16"/>
  <c r="R89" i="16"/>
  <c r="Q89" i="16"/>
  <c r="P89" i="16"/>
  <c r="O89" i="16"/>
  <c r="M89" i="16"/>
  <c r="L89" i="16"/>
  <c r="AJ88" i="16"/>
  <c r="AJ89" i="16" s="1"/>
  <c r="AJ90" i="16" s="1"/>
  <c r="AJ91" i="16" s="1"/>
  <c r="AJ92" i="16" s="1"/>
  <c r="AJ93" i="16" s="1"/>
  <c r="AE88" i="16"/>
  <c r="AF88" i="16" s="1"/>
  <c r="X88" i="16"/>
  <c r="Y88" i="16" s="1"/>
  <c r="U88" i="16"/>
  <c r="T88" i="16"/>
  <c r="S88" i="16"/>
  <c r="R88" i="16"/>
  <c r="Q88" i="16"/>
  <c r="P88" i="16"/>
  <c r="O88" i="16"/>
  <c r="M88" i="16"/>
  <c r="L88" i="16"/>
  <c r="Z87" i="16"/>
  <c r="K87" i="16"/>
  <c r="J87" i="16"/>
  <c r="I87" i="16"/>
  <c r="H87" i="16"/>
  <c r="G87" i="16"/>
  <c r="F87" i="16"/>
  <c r="E87" i="16"/>
  <c r="D87" i="16"/>
  <c r="B87" i="16"/>
  <c r="AG86" i="16"/>
  <c r="AG87" i="16" s="1"/>
  <c r="U86" i="16"/>
  <c r="U87" i="16" s="1"/>
  <c r="T86" i="16"/>
  <c r="T87" i="16" s="1"/>
  <c r="S86" i="16"/>
  <c r="S87" i="16" s="1"/>
  <c r="R86" i="16"/>
  <c r="R87" i="16" s="1"/>
  <c r="Q86" i="16"/>
  <c r="Q87" i="16" s="1"/>
  <c r="P86" i="16"/>
  <c r="P87" i="16" s="1"/>
  <c r="O86" i="16"/>
  <c r="O87" i="16" s="1"/>
  <c r="N86" i="16"/>
  <c r="N87" i="16" s="1"/>
  <c r="M86" i="16"/>
  <c r="M87" i="16" s="1"/>
  <c r="L86" i="16"/>
  <c r="L87" i="16" s="1"/>
  <c r="AE85" i="16"/>
  <c r="AF85" i="16" s="1"/>
  <c r="X85" i="16"/>
  <c r="Y85" i="16" s="1"/>
  <c r="U85" i="16"/>
  <c r="T85" i="16"/>
  <c r="S85" i="16"/>
  <c r="R85" i="16"/>
  <c r="Q85" i="16"/>
  <c r="P85" i="16"/>
  <c r="O85" i="16"/>
  <c r="N85" i="16"/>
  <c r="M85" i="16"/>
  <c r="L85" i="16"/>
  <c r="AI84" i="16"/>
  <c r="AI85" i="16" s="1"/>
  <c r="AI86" i="16" s="1"/>
  <c r="AI87" i="16" s="1"/>
  <c r="AH84" i="16"/>
  <c r="AH85" i="16" s="1"/>
  <c r="AE84" i="16"/>
  <c r="AF84" i="16" s="1"/>
  <c r="X84" i="16"/>
  <c r="Y84" i="16" s="1"/>
  <c r="U84" i="16"/>
  <c r="T84" i="16"/>
  <c r="S84" i="16"/>
  <c r="R84" i="16"/>
  <c r="Q84" i="16"/>
  <c r="P84" i="16"/>
  <c r="O84" i="16"/>
  <c r="N84" i="16"/>
  <c r="M84" i="16"/>
  <c r="L84" i="16"/>
  <c r="AJ83" i="16"/>
  <c r="AJ84" i="16" s="1"/>
  <c r="AJ85" i="16" s="1"/>
  <c r="AJ86" i="16" s="1"/>
  <c r="AJ87" i="16" s="1"/>
  <c r="AE83" i="16"/>
  <c r="AF83" i="16" s="1"/>
  <c r="X83" i="16"/>
  <c r="Y83" i="16" s="1"/>
  <c r="U83" i="16"/>
  <c r="T83" i="16"/>
  <c r="S83" i="16"/>
  <c r="R83" i="16"/>
  <c r="Q83" i="16"/>
  <c r="P83" i="16"/>
  <c r="O83" i="16"/>
  <c r="N83" i="16"/>
  <c r="M83" i="16"/>
  <c r="L83" i="16"/>
  <c r="C83" i="16"/>
  <c r="C84" i="16" s="1"/>
  <c r="Z82" i="16"/>
  <c r="K82" i="16"/>
  <c r="J82" i="16"/>
  <c r="I82" i="16"/>
  <c r="H82" i="16"/>
  <c r="G82" i="16"/>
  <c r="F82" i="16"/>
  <c r="E82" i="16"/>
  <c r="D82" i="16"/>
  <c r="B82" i="16"/>
  <c r="AG81" i="16"/>
  <c r="AG82" i="16" s="1"/>
  <c r="U81" i="16"/>
  <c r="U82" i="16" s="1"/>
  <c r="T81" i="16"/>
  <c r="T82" i="16" s="1"/>
  <c r="S81" i="16"/>
  <c r="S82" i="16" s="1"/>
  <c r="R81" i="16"/>
  <c r="R82" i="16" s="1"/>
  <c r="Q81" i="16"/>
  <c r="Q82" i="16" s="1"/>
  <c r="P81" i="16"/>
  <c r="P82" i="16" s="1"/>
  <c r="O81" i="16"/>
  <c r="O82" i="16" s="1"/>
  <c r="N81" i="16"/>
  <c r="N82" i="16" s="1"/>
  <c r="M81" i="16"/>
  <c r="M82" i="16" s="1"/>
  <c r="L81" i="16"/>
  <c r="L82" i="16" s="1"/>
  <c r="AI80" i="16"/>
  <c r="AI81" i="16" s="1"/>
  <c r="AI82" i="16" s="1"/>
  <c r="AH80" i="16"/>
  <c r="AE80" i="16"/>
  <c r="AF80" i="16" s="1"/>
  <c r="X80" i="16"/>
  <c r="U80" i="16"/>
  <c r="T80" i="16"/>
  <c r="S80" i="16"/>
  <c r="R80" i="16"/>
  <c r="Q80" i="16"/>
  <c r="P80" i="16"/>
  <c r="O80" i="16"/>
  <c r="N80" i="16"/>
  <c r="M80" i="16"/>
  <c r="L80" i="16"/>
  <c r="AJ79" i="16"/>
  <c r="AJ80" i="16" s="1"/>
  <c r="AJ81" i="16" s="1"/>
  <c r="AJ82" i="16" s="1"/>
  <c r="AE79" i="16"/>
  <c r="AF79" i="16" s="1"/>
  <c r="X79" i="16"/>
  <c r="Y79" i="16" s="1"/>
  <c r="U79" i="16"/>
  <c r="T79" i="16"/>
  <c r="S79" i="16"/>
  <c r="R79" i="16"/>
  <c r="Q79" i="16"/>
  <c r="P79" i="16"/>
  <c r="O79" i="16"/>
  <c r="N79" i="16"/>
  <c r="M79" i="16"/>
  <c r="L79" i="16"/>
  <c r="C79" i="16"/>
  <c r="C80" i="16" s="1"/>
  <c r="C81" i="16" s="1"/>
  <c r="C82" i="16" s="1"/>
  <c r="Z78" i="16"/>
  <c r="N78" i="16"/>
  <c r="K78" i="16"/>
  <c r="J78" i="16"/>
  <c r="I78" i="16"/>
  <c r="H78" i="16"/>
  <c r="G78" i="16"/>
  <c r="F78" i="16"/>
  <c r="E78" i="16"/>
  <c r="D78" i="16"/>
  <c r="C78" i="16"/>
  <c r="B78" i="16"/>
  <c r="AG77" i="16"/>
  <c r="AG78" i="16" s="1"/>
  <c r="U77" i="16"/>
  <c r="U78" i="16" s="1"/>
  <c r="T77" i="16"/>
  <c r="T78" i="16" s="1"/>
  <c r="S77" i="16"/>
  <c r="S78" i="16" s="1"/>
  <c r="R77" i="16"/>
  <c r="R78" i="16" s="1"/>
  <c r="Q77" i="16"/>
  <c r="Q78" i="16" s="1"/>
  <c r="P77" i="16"/>
  <c r="P78" i="16" s="1"/>
  <c r="O77" i="16"/>
  <c r="O78" i="16" s="1"/>
  <c r="M77" i="16"/>
  <c r="M78" i="16" s="1"/>
  <c r="L77" i="16"/>
  <c r="L78" i="16" s="1"/>
  <c r="AI76" i="16"/>
  <c r="AI77" i="16" s="1"/>
  <c r="AI78" i="16" s="1"/>
  <c r="AH76" i="16"/>
  <c r="AE76" i="16"/>
  <c r="AF76" i="16" s="1"/>
  <c r="X76" i="16"/>
  <c r="Y76" i="16" s="1"/>
  <c r="U76" i="16"/>
  <c r="T76" i="16"/>
  <c r="S76" i="16"/>
  <c r="R76" i="16"/>
  <c r="Q76" i="16"/>
  <c r="P76" i="16"/>
  <c r="O76" i="16"/>
  <c r="M76" i="16"/>
  <c r="L76" i="16"/>
  <c r="AJ75" i="16"/>
  <c r="AJ76" i="16" s="1"/>
  <c r="AJ77" i="16" s="1"/>
  <c r="AJ78" i="16" s="1"/>
  <c r="AE75" i="16"/>
  <c r="AF75" i="16" s="1"/>
  <c r="X75" i="16"/>
  <c r="Y75" i="16" s="1"/>
  <c r="U75" i="16"/>
  <c r="T75" i="16"/>
  <c r="S75" i="16"/>
  <c r="R75" i="16"/>
  <c r="Q75" i="16"/>
  <c r="P75" i="16"/>
  <c r="O75" i="16"/>
  <c r="M75" i="16"/>
  <c r="L75" i="16"/>
  <c r="Z74" i="16"/>
  <c r="K74" i="16"/>
  <c r="J74" i="16"/>
  <c r="I74" i="16"/>
  <c r="H74" i="16"/>
  <c r="G74" i="16"/>
  <c r="F74" i="16"/>
  <c r="E74" i="16"/>
  <c r="D74" i="16"/>
  <c r="C74" i="16"/>
  <c r="B74" i="16"/>
  <c r="AG73" i="16"/>
  <c r="AG74" i="16" s="1"/>
  <c r="U73" i="16"/>
  <c r="U74" i="16" s="1"/>
  <c r="T73" i="16"/>
  <c r="T74" i="16" s="1"/>
  <c r="S73" i="16"/>
  <c r="S74" i="16" s="1"/>
  <c r="R73" i="16"/>
  <c r="R74" i="16" s="1"/>
  <c r="Q73" i="16"/>
  <c r="Q74" i="16" s="1"/>
  <c r="P73" i="16"/>
  <c r="P74" i="16" s="1"/>
  <c r="O73" i="16"/>
  <c r="O74" i="16" s="1"/>
  <c r="N73" i="16"/>
  <c r="N74" i="16" s="1"/>
  <c r="M73" i="16"/>
  <c r="M74" i="16" s="1"/>
  <c r="L73" i="16"/>
  <c r="L74" i="16" s="1"/>
  <c r="AE72" i="16"/>
  <c r="AF72" i="16" s="1"/>
  <c r="X72" i="16"/>
  <c r="Y72" i="16" s="1"/>
  <c r="U72" i="16"/>
  <c r="T72" i="16"/>
  <c r="S72" i="16"/>
  <c r="R72" i="16"/>
  <c r="Q72" i="16"/>
  <c r="P72" i="16"/>
  <c r="O72" i="16"/>
  <c r="N72" i="16"/>
  <c r="M72" i="16"/>
  <c r="L72" i="16"/>
  <c r="AI71" i="16"/>
  <c r="AI72" i="16" s="1"/>
  <c r="AI73" i="16" s="1"/>
  <c r="AI74" i="16" s="1"/>
  <c r="AH71" i="16"/>
  <c r="AH72" i="16" s="1"/>
  <c r="AE71" i="16"/>
  <c r="AF71" i="16" s="1"/>
  <c r="X71" i="16"/>
  <c r="Y71" i="16" s="1"/>
  <c r="U71" i="16"/>
  <c r="T71" i="16"/>
  <c r="S71" i="16"/>
  <c r="R71" i="16"/>
  <c r="Q71" i="16"/>
  <c r="P71" i="16"/>
  <c r="O71" i="16"/>
  <c r="N71" i="16"/>
  <c r="M71" i="16"/>
  <c r="L71" i="16"/>
  <c r="AJ70" i="16"/>
  <c r="AJ71" i="16" s="1"/>
  <c r="AJ72" i="16" s="1"/>
  <c r="AJ73" i="16" s="1"/>
  <c r="AJ74" i="16" s="1"/>
  <c r="AE70" i="16"/>
  <c r="AF70" i="16" s="1"/>
  <c r="X70" i="16"/>
  <c r="U70" i="16"/>
  <c r="T70" i="16"/>
  <c r="S70" i="16"/>
  <c r="R70" i="16"/>
  <c r="Q70" i="16"/>
  <c r="P70" i="16"/>
  <c r="O70" i="16"/>
  <c r="N70" i="16"/>
  <c r="M70" i="16"/>
  <c r="L70" i="16"/>
  <c r="Z69" i="16"/>
  <c r="N69" i="16"/>
  <c r="K69" i="16"/>
  <c r="J69" i="16"/>
  <c r="I69" i="16"/>
  <c r="H69" i="16"/>
  <c r="G69" i="16"/>
  <c r="F69" i="16"/>
  <c r="E69" i="16"/>
  <c r="D69" i="16"/>
  <c r="C69" i="16"/>
  <c r="B69" i="16"/>
  <c r="AG68" i="16"/>
  <c r="AG69" i="16" s="1"/>
  <c r="U68" i="16"/>
  <c r="U69" i="16" s="1"/>
  <c r="T68" i="16"/>
  <c r="T69" i="16" s="1"/>
  <c r="S68" i="16"/>
  <c r="S69" i="16" s="1"/>
  <c r="R68" i="16"/>
  <c r="R69" i="16" s="1"/>
  <c r="Q68" i="16"/>
  <c r="Q69" i="16" s="1"/>
  <c r="P68" i="16"/>
  <c r="P69" i="16" s="1"/>
  <c r="O68" i="16"/>
  <c r="O69" i="16" s="1"/>
  <c r="M68" i="16"/>
  <c r="M69" i="16" s="1"/>
  <c r="L68" i="16"/>
  <c r="L69" i="16" s="1"/>
  <c r="AE67" i="16"/>
  <c r="AF67" i="16" s="1"/>
  <c r="X67" i="16"/>
  <c r="Y67" i="16" s="1"/>
  <c r="U67" i="16"/>
  <c r="T67" i="16"/>
  <c r="S67" i="16"/>
  <c r="R67" i="16"/>
  <c r="Q67" i="16"/>
  <c r="P67" i="16"/>
  <c r="O67" i="16"/>
  <c r="M67" i="16"/>
  <c r="L67" i="16"/>
  <c r="AI66" i="16"/>
  <c r="AI67" i="16" s="1"/>
  <c r="AI68" i="16" s="1"/>
  <c r="AI69" i="16" s="1"/>
  <c r="AH66" i="16"/>
  <c r="AH67" i="16" s="1"/>
  <c r="AE66" i="16"/>
  <c r="AF66" i="16" s="1"/>
  <c r="X66" i="16"/>
  <c r="Y66" i="16" s="1"/>
  <c r="U66" i="16"/>
  <c r="T66" i="16"/>
  <c r="S66" i="16"/>
  <c r="R66" i="16"/>
  <c r="Q66" i="16"/>
  <c r="P66" i="16"/>
  <c r="O66" i="16"/>
  <c r="M66" i="16"/>
  <c r="L66" i="16"/>
  <c r="AJ65" i="16"/>
  <c r="AJ66" i="16" s="1"/>
  <c r="AJ67" i="16" s="1"/>
  <c r="AJ68" i="16" s="1"/>
  <c r="AJ69" i="16" s="1"/>
  <c r="AE65" i="16"/>
  <c r="AF65" i="16" s="1"/>
  <c r="X65" i="16"/>
  <c r="U65" i="16"/>
  <c r="T65" i="16"/>
  <c r="S65" i="16"/>
  <c r="R65" i="16"/>
  <c r="Q65" i="16"/>
  <c r="P65" i="16"/>
  <c r="O65" i="16"/>
  <c r="M65" i="16"/>
  <c r="L65" i="16"/>
  <c r="Z64" i="16"/>
  <c r="N64" i="16"/>
  <c r="K64" i="16"/>
  <c r="J64" i="16"/>
  <c r="I64" i="16"/>
  <c r="H64" i="16"/>
  <c r="G64" i="16"/>
  <c r="F64" i="16"/>
  <c r="E64" i="16"/>
  <c r="D64" i="16"/>
  <c r="C64" i="16"/>
  <c r="B64" i="16"/>
  <c r="AG63" i="16"/>
  <c r="AG64" i="16" s="1"/>
  <c r="U63" i="16"/>
  <c r="U64" i="16" s="1"/>
  <c r="T63" i="16"/>
  <c r="T64" i="16" s="1"/>
  <c r="S63" i="16"/>
  <c r="S64" i="16" s="1"/>
  <c r="R63" i="16"/>
  <c r="R64" i="16" s="1"/>
  <c r="Q63" i="16"/>
  <c r="Q64" i="16" s="1"/>
  <c r="P63" i="16"/>
  <c r="P64" i="16" s="1"/>
  <c r="O63" i="16"/>
  <c r="O64" i="16" s="1"/>
  <c r="M63" i="16"/>
  <c r="M64" i="16" s="1"/>
  <c r="L63" i="16"/>
  <c r="L64" i="16" s="1"/>
  <c r="AE62" i="16"/>
  <c r="AF62" i="16" s="1"/>
  <c r="X62" i="16"/>
  <c r="Y62" i="16" s="1"/>
  <c r="U62" i="16"/>
  <c r="T62" i="16"/>
  <c r="S62" i="16"/>
  <c r="R62" i="16"/>
  <c r="Q62" i="16"/>
  <c r="P62" i="16"/>
  <c r="O62" i="16"/>
  <c r="M62" i="16"/>
  <c r="L62" i="16"/>
  <c r="AE61" i="16"/>
  <c r="AF61" i="16" s="1"/>
  <c r="X61" i="16"/>
  <c r="Y61" i="16" s="1"/>
  <c r="U61" i="16"/>
  <c r="T61" i="16"/>
  <c r="S61" i="16"/>
  <c r="R61" i="16"/>
  <c r="Q61" i="16"/>
  <c r="P61" i="16"/>
  <c r="O61" i="16"/>
  <c r="M61" i="16"/>
  <c r="L61" i="16"/>
  <c r="AI60" i="16"/>
  <c r="AI61" i="16" s="1"/>
  <c r="AI62" i="16" s="1"/>
  <c r="AI63" i="16" s="1"/>
  <c r="AI64" i="16" s="1"/>
  <c r="AH60" i="16"/>
  <c r="AH61" i="16" s="1"/>
  <c r="AH62" i="16" s="1"/>
  <c r="AE60" i="16"/>
  <c r="AF60" i="16" s="1"/>
  <c r="X60" i="16"/>
  <c r="Y60" i="16" s="1"/>
  <c r="U60" i="16"/>
  <c r="T60" i="16"/>
  <c r="S60" i="16"/>
  <c r="R60" i="16"/>
  <c r="Q60" i="16"/>
  <c r="P60" i="16"/>
  <c r="O60" i="16"/>
  <c r="M60" i="16"/>
  <c r="L60" i="16"/>
  <c r="AJ59" i="16"/>
  <c r="AJ60" i="16" s="1"/>
  <c r="AJ61" i="16" s="1"/>
  <c r="AJ62" i="16" s="1"/>
  <c r="AJ63" i="16" s="1"/>
  <c r="AJ64" i="16" s="1"/>
  <c r="AE59" i="16"/>
  <c r="AF59" i="16" s="1"/>
  <c r="X59" i="16"/>
  <c r="Y59" i="16" s="1"/>
  <c r="U59" i="16"/>
  <c r="T59" i="16"/>
  <c r="S59" i="16"/>
  <c r="R59" i="16"/>
  <c r="Q59" i="16"/>
  <c r="P59" i="16"/>
  <c r="O59" i="16"/>
  <c r="M59" i="16"/>
  <c r="L59" i="16"/>
  <c r="Z58" i="16"/>
  <c r="N58" i="16"/>
  <c r="K58" i="16"/>
  <c r="J58" i="16"/>
  <c r="I58" i="16"/>
  <c r="H58" i="16"/>
  <c r="G58" i="16"/>
  <c r="F58" i="16"/>
  <c r="E58" i="16"/>
  <c r="D58" i="16"/>
  <c r="C58" i="16"/>
  <c r="B58" i="16"/>
  <c r="AG57" i="16"/>
  <c r="AG58" i="16" s="1"/>
  <c r="U57" i="16"/>
  <c r="U58" i="16" s="1"/>
  <c r="T57" i="16"/>
  <c r="T58" i="16" s="1"/>
  <c r="S57" i="16"/>
  <c r="S58" i="16" s="1"/>
  <c r="R57" i="16"/>
  <c r="R58" i="16" s="1"/>
  <c r="Q57" i="16"/>
  <c r="Q58" i="16" s="1"/>
  <c r="P57" i="16"/>
  <c r="P58" i="16" s="1"/>
  <c r="O57" i="16"/>
  <c r="O58" i="16" s="1"/>
  <c r="M57" i="16"/>
  <c r="M58" i="16" s="1"/>
  <c r="L57" i="16"/>
  <c r="L58" i="16" s="1"/>
  <c r="AI56" i="16"/>
  <c r="AI57" i="16" s="1"/>
  <c r="AI58" i="16" s="1"/>
  <c r="AH56" i="16"/>
  <c r="AE56" i="16"/>
  <c r="AF56" i="16" s="1"/>
  <c r="X56" i="16"/>
  <c r="U56" i="16"/>
  <c r="T56" i="16"/>
  <c r="S56" i="16"/>
  <c r="R56" i="16"/>
  <c r="Q56" i="16"/>
  <c r="P56" i="16"/>
  <c r="O56" i="16"/>
  <c r="M56" i="16"/>
  <c r="L56" i="16"/>
  <c r="AJ55" i="16"/>
  <c r="AJ56" i="16" s="1"/>
  <c r="AJ57" i="16" s="1"/>
  <c r="AJ58" i="16" s="1"/>
  <c r="AE55" i="16"/>
  <c r="AF55" i="16" s="1"/>
  <c r="X55" i="16"/>
  <c r="Y55" i="16" s="1"/>
  <c r="U55" i="16"/>
  <c r="T55" i="16"/>
  <c r="S55" i="16"/>
  <c r="R55" i="16"/>
  <c r="Q55" i="16"/>
  <c r="P55" i="16"/>
  <c r="O55" i="16"/>
  <c r="M55" i="16"/>
  <c r="L55" i="16"/>
  <c r="Z54" i="16"/>
  <c r="K54" i="16"/>
  <c r="J54" i="16"/>
  <c r="I54" i="16"/>
  <c r="H54" i="16"/>
  <c r="G54" i="16"/>
  <c r="F54" i="16"/>
  <c r="E54" i="16"/>
  <c r="D54" i="16"/>
  <c r="C54" i="16"/>
  <c r="B54" i="16"/>
  <c r="AG53" i="16"/>
  <c r="AG54" i="16" s="1"/>
  <c r="U53" i="16"/>
  <c r="U54" i="16" s="1"/>
  <c r="T53" i="16"/>
  <c r="T54" i="16" s="1"/>
  <c r="S53" i="16"/>
  <c r="S54" i="16" s="1"/>
  <c r="R53" i="16"/>
  <c r="R54" i="16" s="1"/>
  <c r="Q53" i="16"/>
  <c r="Q54" i="16" s="1"/>
  <c r="P53" i="16"/>
  <c r="P54" i="16" s="1"/>
  <c r="O53" i="16"/>
  <c r="O54" i="16" s="1"/>
  <c r="N53" i="16"/>
  <c r="N54" i="16" s="1"/>
  <c r="M53" i="16"/>
  <c r="M54" i="16" s="1"/>
  <c r="L53" i="16"/>
  <c r="L54" i="16" s="1"/>
  <c r="AE52" i="16"/>
  <c r="AF52" i="16" s="1"/>
  <c r="X52" i="16"/>
  <c r="Y52" i="16" s="1"/>
  <c r="U52" i="16"/>
  <c r="T52" i="16"/>
  <c r="S52" i="16"/>
  <c r="R52" i="16"/>
  <c r="Q52" i="16"/>
  <c r="P52" i="16"/>
  <c r="O52" i="16"/>
  <c r="N52" i="16"/>
  <c r="M52" i="16"/>
  <c r="L52" i="16"/>
  <c r="AE51" i="16"/>
  <c r="AF51" i="16" s="1"/>
  <c r="X51" i="16"/>
  <c r="Y51" i="16" s="1"/>
  <c r="U51" i="16"/>
  <c r="T51" i="16"/>
  <c r="S51" i="16"/>
  <c r="R51" i="16"/>
  <c r="Q51" i="16"/>
  <c r="P51" i="16"/>
  <c r="O51" i="16"/>
  <c r="N51" i="16"/>
  <c r="M51" i="16"/>
  <c r="L51" i="16"/>
  <c r="AI50" i="16"/>
  <c r="AI51" i="16" s="1"/>
  <c r="AI52" i="16" s="1"/>
  <c r="AI53" i="16" s="1"/>
  <c r="AI54" i="16" s="1"/>
  <c r="AH50" i="16"/>
  <c r="AH51" i="16" s="1"/>
  <c r="AH52" i="16" s="1"/>
  <c r="AE50" i="16"/>
  <c r="AF50" i="16" s="1"/>
  <c r="X50" i="16"/>
  <c r="Y50" i="16" s="1"/>
  <c r="U50" i="16"/>
  <c r="T50" i="16"/>
  <c r="S50" i="16"/>
  <c r="R50" i="16"/>
  <c r="Q50" i="16"/>
  <c r="P50" i="16"/>
  <c r="O50" i="16"/>
  <c r="N50" i="16"/>
  <c r="M50" i="16"/>
  <c r="L50" i="16"/>
  <c r="AJ49" i="16"/>
  <c r="AJ50" i="16" s="1"/>
  <c r="AJ51" i="16" s="1"/>
  <c r="AJ52" i="16" s="1"/>
  <c r="AJ53" i="16" s="1"/>
  <c r="AJ54" i="16" s="1"/>
  <c r="AE49" i="16"/>
  <c r="AF49" i="16" s="1"/>
  <c r="X49" i="16"/>
  <c r="U49" i="16"/>
  <c r="T49" i="16"/>
  <c r="S49" i="16"/>
  <c r="R49" i="16"/>
  <c r="Q49" i="16"/>
  <c r="P49" i="16"/>
  <c r="O49" i="16"/>
  <c r="N49" i="16"/>
  <c r="M49" i="16"/>
  <c r="L49" i="16"/>
  <c r="Z48" i="16"/>
  <c r="K48" i="16"/>
  <c r="J48" i="16"/>
  <c r="I48" i="16"/>
  <c r="H48" i="16"/>
  <c r="G48" i="16"/>
  <c r="F48" i="16"/>
  <c r="E48" i="16"/>
  <c r="D48" i="16"/>
  <c r="C48" i="16"/>
  <c r="B48" i="16"/>
  <c r="AG47" i="16"/>
  <c r="AG48" i="16" s="1"/>
  <c r="U47" i="16"/>
  <c r="U48" i="16" s="1"/>
  <c r="T47" i="16"/>
  <c r="T48" i="16" s="1"/>
  <c r="S47" i="16"/>
  <c r="S48" i="16" s="1"/>
  <c r="R47" i="16"/>
  <c r="R48" i="16" s="1"/>
  <c r="Q47" i="16"/>
  <c r="Q48" i="16" s="1"/>
  <c r="P47" i="16"/>
  <c r="P48" i="16" s="1"/>
  <c r="O47" i="16"/>
  <c r="O48" i="16" s="1"/>
  <c r="N47" i="16"/>
  <c r="N48" i="16" s="1"/>
  <c r="M47" i="16"/>
  <c r="M48" i="16" s="1"/>
  <c r="L47" i="16"/>
  <c r="L48" i="16" s="1"/>
  <c r="AI46" i="16"/>
  <c r="AI47" i="16" s="1"/>
  <c r="AI48" i="16" s="1"/>
  <c r="AH46" i="16"/>
  <c r="AE46" i="16"/>
  <c r="AF46" i="16" s="1"/>
  <c r="X46" i="16"/>
  <c r="Y46" i="16" s="1"/>
  <c r="U46" i="16"/>
  <c r="T46" i="16"/>
  <c r="S46" i="16"/>
  <c r="R46" i="16"/>
  <c r="Q46" i="16"/>
  <c r="P46" i="16"/>
  <c r="O46" i="16"/>
  <c r="N46" i="16"/>
  <c r="M46" i="16"/>
  <c r="L46" i="16"/>
  <c r="AJ45" i="16"/>
  <c r="AJ46" i="16" s="1"/>
  <c r="AJ47" i="16" s="1"/>
  <c r="AJ48" i="16" s="1"/>
  <c r="AE45" i="16"/>
  <c r="AF45" i="16" s="1"/>
  <c r="X45" i="16"/>
  <c r="U45" i="16"/>
  <c r="T45" i="16"/>
  <c r="S45" i="16"/>
  <c r="R45" i="16"/>
  <c r="Q45" i="16"/>
  <c r="P45" i="16"/>
  <c r="O45" i="16"/>
  <c r="N45" i="16"/>
  <c r="M45" i="16"/>
  <c r="L45" i="16"/>
  <c r="Z44" i="16"/>
  <c r="N44" i="16"/>
  <c r="K44" i="16"/>
  <c r="J44" i="16"/>
  <c r="I44" i="16"/>
  <c r="H44" i="16"/>
  <c r="G44" i="16"/>
  <c r="F44" i="16"/>
  <c r="E44" i="16"/>
  <c r="D44" i="16"/>
  <c r="C44" i="16"/>
  <c r="B44" i="16"/>
  <c r="AG43" i="16"/>
  <c r="AG44" i="16" s="1"/>
  <c r="U43" i="16"/>
  <c r="U44" i="16" s="1"/>
  <c r="T43" i="16"/>
  <c r="T44" i="16" s="1"/>
  <c r="S43" i="16"/>
  <c r="S44" i="16" s="1"/>
  <c r="R43" i="16"/>
  <c r="R44" i="16" s="1"/>
  <c r="Q43" i="16"/>
  <c r="Q44" i="16" s="1"/>
  <c r="P43" i="16"/>
  <c r="P44" i="16" s="1"/>
  <c r="O43" i="16"/>
  <c r="O44" i="16" s="1"/>
  <c r="M43" i="16"/>
  <c r="M44" i="16" s="1"/>
  <c r="L43" i="16"/>
  <c r="L44" i="16" s="1"/>
  <c r="AI42" i="16"/>
  <c r="AI43" i="16" s="1"/>
  <c r="AI44" i="16" s="1"/>
  <c r="AH42" i="16"/>
  <c r="AE42" i="16"/>
  <c r="AF42" i="16" s="1"/>
  <c r="X42" i="16"/>
  <c r="Y42" i="16" s="1"/>
  <c r="U42" i="16"/>
  <c r="T42" i="16"/>
  <c r="S42" i="16"/>
  <c r="R42" i="16"/>
  <c r="Q42" i="16"/>
  <c r="P42" i="16"/>
  <c r="O42" i="16"/>
  <c r="M42" i="16"/>
  <c r="L42" i="16"/>
  <c r="AJ41" i="16"/>
  <c r="AJ42" i="16" s="1"/>
  <c r="AJ43" i="16" s="1"/>
  <c r="AJ44" i="16" s="1"/>
  <c r="AE41" i="16"/>
  <c r="AF41" i="16" s="1"/>
  <c r="X41" i="16"/>
  <c r="U41" i="16"/>
  <c r="T41" i="16"/>
  <c r="S41" i="16"/>
  <c r="R41" i="16"/>
  <c r="Q41" i="16"/>
  <c r="P41" i="16"/>
  <c r="O41" i="16"/>
  <c r="M41" i="16"/>
  <c r="L41" i="16"/>
  <c r="Z40" i="16"/>
  <c r="K40" i="16"/>
  <c r="J40" i="16"/>
  <c r="I40" i="16"/>
  <c r="H40" i="16"/>
  <c r="G40" i="16"/>
  <c r="F40" i="16"/>
  <c r="E40" i="16"/>
  <c r="D40" i="16"/>
  <c r="C40" i="16"/>
  <c r="B40" i="16"/>
  <c r="AG39" i="16"/>
  <c r="AG40" i="16" s="1"/>
  <c r="U39" i="16"/>
  <c r="U40" i="16" s="1"/>
  <c r="T39" i="16"/>
  <c r="T40" i="16" s="1"/>
  <c r="S39" i="16"/>
  <c r="S40" i="16" s="1"/>
  <c r="R39" i="16"/>
  <c r="R40" i="16" s="1"/>
  <c r="Q39" i="16"/>
  <c r="Q40" i="16" s="1"/>
  <c r="P39" i="16"/>
  <c r="P40" i="16" s="1"/>
  <c r="O39" i="16"/>
  <c r="O40" i="16" s="1"/>
  <c r="N39" i="16"/>
  <c r="N40" i="16" s="1"/>
  <c r="M39" i="16"/>
  <c r="M40" i="16" s="1"/>
  <c r="L39" i="16"/>
  <c r="L40" i="16" s="1"/>
  <c r="AI38" i="16"/>
  <c r="AI39" i="16" s="1"/>
  <c r="AI40" i="16" s="1"/>
  <c r="AH38" i="16"/>
  <c r="AE38" i="16"/>
  <c r="AF38" i="16" s="1"/>
  <c r="X38" i="16"/>
  <c r="Y38" i="16" s="1"/>
  <c r="U38" i="16"/>
  <c r="T38" i="16"/>
  <c r="S38" i="16"/>
  <c r="R38" i="16"/>
  <c r="Q38" i="16"/>
  <c r="P38" i="16"/>
  <c r="O38" i="16"/>
  <c r="N38" i="16"/>
  <c r="M38" i="16"/>
  <c r="L38" i="16"/>
  <c r="AJ37" i="16"/>
  <c r="AJ38" i="16" s="1"/>
  <c r="AJ39" i="16" s="1"/>
  <c r="AJ40" i="16" s="1"/>
  <c r="AE37" i="16"/>
  <c r="AF37" i="16" s="1"/>
  <c r="X37" i="16"/>
  <c r="U37" i="16"/>
  <c r="T37" i="16"/>
  <c r="S37" i="16"/>
  <c r="R37" i="16"/>
  <c r="Q37" i="16"/>
  <c r="P37" i="16"/>
  <c r="O37" i="16"/>
  <c r="N37" i="16"/>
  <c r="M37" i="16"/>
  <c r="L37" i="16"/>
  <c r="Z36" i="16"/>
  <c r="K36" i="16"/>
  <c r="J36" i="16"/>
  <c r="I36" i="16"/>
  <c r="H36" i="16"/>
  <c r="G36" i="16"/>
  <c r="F36" i="16"/>
  <c r="E36" i="16"/>
  <c r="D36" i="16"/>
  <c r="C36" i="16"/>
  <c r="B36" i="16"/>
  <c r="AG35" i="16"/>
  <c r="AG36" i="16" s="1"/>
  <c r="U35" i="16"/>
  <c r="U36" i="16" s="1"/>
  <c r="T35" i="16"/>
  <c r="T36" i="16" s="1"/>
  <c r="S35" i="16"/>
  <c r="S36" i="16" s="1"/>
  <c r="R35" i="16"/>
  <c r="R36" i="16" s="1"/>
  <c r="Q35" i="16"/>
  <c r="Q36" i="16" s="1"/>
  <c r="P35" i="16"/>
  <c r="P36" i="16" s="1"/>
  <c r="O35" i="16"/>
  <c r="O36" i="16" s="1"/>
  <c r="N35" i="16"/>
  <c r="N36" i="16" s="1"/>
  <c r="M35" i="16"/>
  <c r="M36" i="16" s="1"/>
  <c r="L35" i="16"/>
  <c r="L36" i="16" s="1"/>
  <c r="AE34" i="16"/>
  <c r="AF34" i="16" s="1"/>
  <c r="X34" i="16"/>
  <c r="Y34" i="16" s="1"/>
  <c r="U34" i="16"/>
  <c r="T34" i="16"/>
  <c r="S34" i="16"/>
  <c r="R34" i="16"/>
  <c r="Q34" i="16"/>
  <c r="P34" i="16"/>
  <c r="O34" i="16"/>
  <c r="N34" i="16"/>
  <c r="M34" i="16"/>
  <c r="L34" i="16"/>
  <c r="AI33" i="16"/>
  <c r="AI34" i="16" s="1"/>
  <c r="AI35" i="16" s="1"/>
  <c r="AI36" i="16" s="1"/>
  <c r="AH33" i="16"/>
  <c r="AH34" i="16" s="1"/>
  <c r="AE33" i="16"/>
  <c r="AF33" i="16" s="1"/>
  <c r="X33" i="16"/>
  <c r="Y33" i="16" s="1"/>
  <c r="U33" i="16"/>
  <c r="T33" i="16"/>
  <c r="S33" i="16"/>
  <c r="R33" i="16"/>
  <c r="Q33" i="16"/>
  <c r="P33" i="16"/>
  <c r="O33" i="16"/>
  <c r="N33" i="16"/>
  <c r="M33" i="16"/>
  <c r="L33" i="16"/>
  <c r="AJ32" i="16"/>
  <c r="AJ33" i="16" s="1"/>
  <c r="AJ34" i="16" s="1"/>
  <c r="AJ35" i="16" s="1"/>
  <c r="AJ36" i="16" s="1"/>
  <c r="AE32" i="16"/>
  <c r="AF32" i="16" s="1"/>
  <c r="X32" i="16"/>
  <c r="U32" i="16"/>
  <c r="T32" i="16"/>
  <c r="S32" i="16"/>
  <c r="R32" i="16"/>
  <c r="Q32" i="16"/>
  <c r="P32" i="16"/>
  <c r="O32" i="16"/>
  <c r="N32" i="16"/>
  <c r="M32" i="16"/>
  <c r="L32" i="16"/>
  <c r="Z31" i="16"/>
  <c r="N31" i="16"/>
  <c r="K31" i="16"/>
  <c r="J31" i="16"/>
  <c r="I31" i="16"/>
  <c r="H31" i="16"/>
  <c r="G31" i="16"/>
  <c r="F31" i="16"/>
  <c r="E31" i="16"/>
  <c r="D31" i="16"/>
  <c r="C31" i="16"/>
  <c r="B31" i="16"/>
  <c r="AG30" i="16"/>
  <c r="AG31" i="16" s="1"/>
  <c r="U30" i="16"/>
  <c r="U31" i="16" s="1"/>
  <c r="T30" i="16"/>
  <c r="T31" i="16" s="1"/>
  <c r="S30" i="16"/>
  <c r="S31" i="16" s="1"/>
  <c r="R30" i="16"/>
  <c r="R31" i="16" s="1"/>
  <c r="Q30" i="16"/>
  <c r="Q31" i="16" s="1"/>
  <c r="P30" i="16"/>
  <c r="P31" i="16" s="1"/>
  <c r="O30" i="16"/>
  <c r="O31" i="16" s="1"/>
  <c r="M30" i="16"/>
  <c r="M31" i="16" s="1"/>
  <c r="L30" i="16"/>
  <c r="L31" i="16" s="1"/>
  <c r="AI29" i="16"/>
  <c r="AI30" i="16" s="1"/>
  <c r="AI31" i="16" s="1"/>
  <c r="AH29" i="16"/>
  <c r="AE29" i="16"/>
  <c r="AF29" i="16" s="1"/>
  <c r="X29" i="16"/>
  <c r="Y29" i="16" s="1"/>
  <c r="U29" i="16"/>
  <c r="T29" i="16"/>
  <c r="S29" i="16"/>
  <c r="R29" i="16"/>
  <c r="Q29" i="16"/>
  <c r="P29" i="16"/>
  <c r="O29" i="16"/>
  <c r="M29" i="16"/>
  <c r="L29" i="16"/>
  <c r="AJ28" i="16"/>
  <c r="AJ29" i="16" s="1"/>
  <c r="AJ30" i="16" s="1"/>
  <c r="AJ31" i="16" s="1"/>
  <c r="AE28" i="16"/>
  <c r="AF28" i="16" s="1"/>
  <c r="X28" i="16"/>
  <c r="Y28" i="16" s="1"/>
  <c r="U28" i="16"/>
  <c r="T28" i="16"/>
  <c r="S28" i="16"/>
  <c r="R28" i="16"/>
  <c r="Q28" i="16"/>
  <c r="P28" i="16"/>
  <c r="O28" i="16"/>
  <c r="M28" i="16"/>
  <c r="L28" i="16"/>
  <c r="Z27" i="16"/>
  <c r="N27" i="16"/>
  <c r="K27" i="16"/>
  <c r="J27" i="16"/>
  <c r="I27" i="16"/>
  <c r="H27" i="16"/>
  <c r="G27" i="16"/>
  <c r="F27" i="16"/>
  <c r="E27" i="16"/>
  <c r="D27" i="16"/>
  <c r="C27" i="16"/>
  <c r="B27" i="16"/>
  <c r="AG26" i="16"/>
  <c r="AG27" i="16" s="1"/>
  <c r="U26" i="16"/>
  <c r="U27" i="16" s="1"/>
  <c r="T26" i="16"/>
  <c r="T27" i="16" s="1"/>
  <c r="S26" i="16"/>
  <c r="S27" i="16" s="1"/>
  <c r="R26" i="16"/>
  <c r="R27" i="16" s="1"/>
  <c r="Q26" i="16"/>
  <c r="Q27" i="16" s="1"/>
  <c r="P26" i="16"/>
  <c r="P27" i="16" s="1"/>
  <c r="O26" i="16"/>
  <c r="O27" i="16" s="1"/>
  <c r="M26" i="16"/>
  <c r="M27" i="16" s="1"/>
  <c r="L26" i="16"/>
  <c r="L27" i="16" s="1"/>
  <c r="AE25" i="16"/>
  <c r="AF25" i="16" s="1"/>
  <c r="X25" i="16"/>
  <c r="Y25" i="16" s="1"/>
  <c r="U25" i="16"/>
  <c r="T25" i="16"/>
  <c r="S25" i="16"/>
  <c r="R25" i="16"/>
  <c r="Q25" i="16"/>
  <c r="P25" i="16"/>
  <c r="O25" i="16"/>
  <c r="M25" i="16"/>
  <c r="L25" i="16"/>
  <c r="AI24" i="16"/>
  <c r="AI25" i="16" s="1"/>
  <c r="AI26" i="16" s="1"/>
  <c r="AI27" i="16" s="1"/>
  <c r="AH24" i="16"/>
  <c r="AH25" i="16" s="1"/>
  <c r="AE24" i="16"/>
  <c r="AF24" i="16" s="1"/>
  <c r="X24" i="16"/>
  <c r="Y24" i="16" s="1"/>
  <c r="U24" i="16"/>
  <c r="T24" i="16"/>
  <c r="S24" i="16"/>
  <c r="R24" i="16"/>
  <c r="Q24" i="16"/>
  <c r="P24" i="16"/>
  <c r="O24" i="16"/>
  <c r="M24" i="16"/>
  <c r="L24" i="16"/>
  <c r="AJ23" i="16"/>
  <c r="AJ24" i="16" s="1"/>
  <c r="AJ25" i="16" s="1"/>
  <c r="AJ26" i="16" s="1"/>
  <c r="AJ27" i="16" s="1"/>
  <c r="AE23" i="16"/>
  <c r="AF23" i="16" s="1"/>
  <c r="X23" i="16"/>
  <c r="U23" i="16"/>
  <c r="T23" i="16"/>
  <c r="S23" i="16"/>
  <c r="R23" i="16"/>
  <c r="Q23" i="16"/>
  <c r="P23" i="16"/>
  <c r="O23" i="16"/>
  <c r="M23" i="16"/>
  <c r="L23" i="16"/>
  <c r="Z22" i="16"/>
  <c r="N22" i="16"/>
  <c r="K22" i="16"/>
  <c r="J22" i="16"/>
  <c r="I22" i="16"/>
  <c r="H22" i="16"/>
  <c r="G22" i="16"/>
  <c r="F22" i="16"/>
  <c r="E22" i="16"/>
  <c r="D22" i="16"/>
  <c r="C22" i="16"/>
  <c r="B22" i="16"/>
  <c r="AG21" i="16"/>
  <c r="AG22" i="16" s="1"/>
  <c r="U21" i="16"/>
  <c r="U22" i="16" s="1"/>
  <c r="T21" i="16"/>
  <c r="T22" i="16" s="1"/>
  <c r="S21" i="16"/>
  <c r="S22" i="16" s="1"/>
  <c r="R21" i="16"/>
  <c r="R22" i="16" s="1"/>
  <c r="Q21" i="16"/>
  <c r="Q22" i="16" s="1"/>
  <c r="P21" i="16"/>
  <c r="P22" i="16" s="1"/>
  <c r="O21" i="16"/>
  <c r="O22" i="16" s="1"/>
  <c r="M21" i="16"/>
  <c r="M22" i="16" s="1"/>
  <c r="L21" i="16"/>
  <c r="L22" i="16" s="1"/>
  <c r="AE20" i="16"/>
  <c r="AF20" i="16" s="1"/>
  <c r="X20" i="16"/>
  <c r="Y20" i="16" s="1"/>
  <c r="U20" i="16"/>
  <c r="T20" i="16"/>
  <c r="S20" i="16"/>
  <c r="R20" i="16"/>
  <c r="Q20" i="16"/>
  <c r="P20" i="16"/>
  <c r="O20" i="16"/>
  <c r="M20" i="16"/>
  <c r="L20" i="16"/>
  <c r="AE19" i="16"/>
  <c r="AF19" i="16" s="1"/>
  <c r="X19" i="16"/>
  <c r="Y19" i="16" s="1"/>
  <c r="U19" i="16"/>
  <c r="T19" i="16"/>
  <c r="S19" i="16"/>
  <c r="R19" i="16"/>
  <c r="Q19" i="16"/>
  <c r="P19" i="16"/>
  <c r="O19" i="16"/>
  <c r="M19" i="16"/>
  <c r="L19" i="16"/>
  <c r="AI18" i="16"/>
  <c r="AI19" i="16" s="1"/>
  <c r="AI20" i="16" s="1"/>
  <c r="AI21" i="16" s="1"/>
  <c r="AI22" i="16" s="1"/>
  <c r="AH18" i="16"/>
  <c r="AH19" i="16" s="1"/>
  <c r="AH20" i="16" s="1"/>
  <c r="AE18" i="16"/>
  <c r="AF18" i="16" s="1"/>
  <c r="X18" i="16"/>
  <c r="Y18" i="16" s="1"/>
  <c r="U18" i="16"/>
  <c r="T18" i="16"/>
  <c r="S18" i="16"/>
  <c r="R18" i="16"/>
  <c r="Q18" i="16"/>
  <c r="P18" i="16"/>
  <c r="O18" i="16"/>
  <c r="M18" i="16"/>
  <c r="L18" i="16"/>
  <c r="AJ17" i="16"/>
  <c r="AJ18" i="16" s="1"/>
  <c r="AJ19" i="16" s="1"/>
  <c r="AJ20" i="16" s="1"/>
  <c r="AJ21" i="16" s="1"/>
  <c r="AJ22" i="16" s="1"/>
  <c r="AE17" i="16"/>
  <c r="AF17" i="16" s="1"/>
  <c r="X17" i="16"/>
  <c r="U17" i="16"/>
  <c r="T17" i="16"/>
  <c r="S17" i="16"/>
  <c r="R17" i="16"/>
  <c r="Q17" i="16"/>
  <c r="P17" i="16"/>
  <c r="O17" i="16"/>
  <c r="M17" i="16"/>
  <c r="L17" i="16"/>
  <c r="Z16" i="16"/>
  <c r="N16" i="16"/>
  <c r="K16" i="16"/>
  <c r="J16" i="16"/>
  <c r="I16" i="16"/>
  <c r="H16" i="16"/>
  <c r="G16" i="16"/>
  <c r="F16" i="16"/>
  <c r="E16" i="16"/>
  <c r="D16" i="16"/>
  <c r="C16" i="16"/>
  <c r="B16" i="16"/>
  <c r="AG15" i="16"/>
  <c r="AG16" i="16" s="1"/>
  <c r="U15" i="16"/>
  <c r="U16" i="16" s="1"/>
  <c r="T15" i="16"/>
  <c r="T16" i="16" s="1"/>
  <c r="S15" i="16"/>
  <c r="S16" i="16" s="1"/>
  <c r="R15" i="16"/>
  <c r="R16" i="16" s="1"/>
  <c r="Q15" i="16"/>
  <c r="Q16" i="16" s="1"/>
  <c r="P15" i="16"/>
  <c r="P16" i="16" s="1"/>
  <c r="O15" i="16"/>
  <c r="O16" i="16" s="1"/>
  <c r="M15" i="16"/>
  <c r="M16" i="16" s="1"/>
  <c r="L15" i="16"/>
  <c r="L16" i="16" s="1"/>
  <c r="AI14" i="16"/>
  <c r="AI15" i="16" s="1"/>
  <c r="AI16" i="16" s="1"/>
  <c r="AH14" i="16"/>
  <c r="AE14" i="16"/>
  <c r="AF14" i="16" s="1"/>
  <c r="X14" i="16"/>
  <c r="U14" i="16"/>
  <c r="T14" i="16"/>
  <c r="S14" i="16"/>
  <c r="R14" i="16"/>
  <c r="Q14" i="16"/>
  <c r="P14" i="16"/>
  <c r="O14" i="16"/>
  <c r="M14" i="16"/>
  <c r="L14" i="16"/>
  <c r="AJ13" i="16"/>
  <c r="AJ14" i="16" s="1"/>
  <c r="AJ15" i="16" s="1"/>
  <c r="AJ16" i="16" s="1"/>
  <c r="AE13" i="16"/>
  <c r="AF13" i="16" s="1"/>
  <c r="X13" i="16"/>
  <c r="Y13" i="16" s="1"/>
  <c r="U13" i="16"/>
  <c r="T13" i="16"/>
  <c r="S13" i="16"/>
  <c r="R13" i="16"/>
  <c r="Q13" i="16"/>
  <c r="P13" i="16"/>
  <c r="O13" i="16"/>
  <c r="M13" i="16"/>
  <c r="L13" i="16"/>
  <c r="Z12" i="16"/>
  <c r="N12" i="16"/>
  <c r="K12" i="16"/>
  <c r="J12" i="16"/>
  <c r="I12" i="16"/>
  <c r="H12" i="16"/>
  <c r="G12" i="16"/>
  <c r="F12" i="16"/>
  <c r="E12" i="16"/>
  <c r="D12" i="16"/>
  <c r="C12" i="16"/>
  <c r="B12" i="16"/>
  <c r="AG11" i="16"/>
  <c r="AG12" i="16" s="1"/>
  <c r="U11" i="16"/>
  <c r="U12" i="16" s="1"/>
  <c r="T11" i="16"/>
  <c r="T12" i="16" s="1"/>
  <c r="S11" i="16"/>
  <c r="S12" i="16" s="1"/>
  <c r="R11" i="16"/>
  <c r="R12" i="16" s="1"/>
  <c r="Q11" i="16"/>
  <c r="Q12" i="16" s="1"/>
  <c r="P11" i="16"/>
  <c r="P12" i="16" s="1"/>
  <c r="O11" i="16"/>
  <c r="O12" i="16" s="1"/>
  <c r="M11" i="16"/>
  <c r="M12" i="16" s="1"/>
  <c r="L11" i="16"/>
  <c r="L12" i="16" s="1"/>
  <c r="AI10" i="16"/>
  <c r="AI11" i="16" s="1"/>
  <c r="AI12" i="16" s="1"/>
  <c r="AH10" i="16"/>
  <c r="AE10" i="16"/>
  <c r="AF10" i="16" s="1"/>
  <c r="X10" i="16"/>
  <c r="Y10" i="16" s="1"/>
  <c r="U10" i="16"/>
  <c r="T10" i="16"/>
  <c r="S10" i="16"/>
  <c r="R10" i="16"/>
  <c r="Q10" i="16"/>
  <c r="P10" i="16"/>
  <c r="O10" i="16"/>
  <c r="M10" i="16"/>
  <c r="L10" i="16"/>
  <c r="AJ9" i="16"/>
  <c r="AJ10" i="16" s="1"/>
  <c r="AJ11" i="16" s="1"/>
  <c r="AJ12" i="16" s="1"/>
  <c r="AE9" i="16"/>
  <c r="AF9" i="16" s="1"/>
  <c r="X9" i="16"/>
  <c r="U9" i="16"/>
  <c r="T9" i="16"/>
  <c r="S9" i="16"/>
  <c r="R9" i="16"/>
  <c r="Q9" i="16"/>
  <c r="P9" i="16"/>
  <c r="O9" i="16"/>
  <c r="M9" i="16"/>
  <c r="L9" i="16"/>
  <c r="Z8" i="16"/>
  <c r="K8" i="16"/>
  <c r="J8" i="16"/>
  <c r="I8" i="16"/>
  <c r="H8" i="16"/>
  <c r="G8" i="16"/>
  <c r="F8" i="16"/>
  <c r="E8" i="16"/>
  <c r="D8" i="16"/>
  <c r="C8" i="16"/>
  <c r="B8" i="16"/>
  <c r="AG7" i="16"/>
  <c r="AG8" i="16" s="1"/>
  <c r="U7" i="16"/>
  <c r="U8" i="16" s="1"/>
  <c r="T7" i="16"/>
  <c r="T8" i="16" s="1"/>
  <c r="S7" i="16"/>
  <c r="S8" i="16" s="1"/>
  <c r="R7" i="16"/>
  <c r="R8" i="16" s="1"/>
  <c r="Q7" i="16"/>
  <c r="Q8" i="16" s="1"/>
  <c r="P7" i="16"/>
  <c r="P8" i="16" s="1"/>
  <c r="O7" i="16"/>
  <c r="O8" i="16" s="1"/>
  <c r="N7" i="16"/>
  <c r="N8" i="16" s="1"/>
  <c r="M7" i="16"/>
  <c r="M8" i="16" s="1"/>
  <c r="L7" i="16"/>
  <c r="L8" i="16" s="1"/>
  <c r="AE6" i="16"/>
  <c r="AF6" i="16" s="1"/>
  <c r="X6" i="16"/>
  <c r="Y6" i="16" s="1"/>
  <c r="U6" i="16"/>
  <c r="T6" i="16"/>
  <c r="S6" i="16"/>
  <c r="R6" i="16"/>
  <c r="Q6" i="16"/>
  <c r="P6" i="16"/>
  <c r="O6" i="16"/>
  <c r="N6" i="16"/>
  <c r="M6" i="16"/>
  <c r="L6" i="16"/>
  <c r="AI5" i="16"/>
  <c r="AI6" i="16" s="1"/>
  <c r="AI7" i="16" s="1"/>
  <c r="AI8" i="16" s="1"/>
  <c r="AH5" i="16"/>
  <c r="AH6" i="16" s="1"/>
  <c r="AH7" i="16" s="1"/>
  <c r="AE5" i="16"/>
  <c r="AF5" i="16" s="1"/>
  <c r="X5" i="16"/>
  <c r="Y5" i="16" s="1"/>
  <c r="U5" i="16"/>
  <c r="T5" i="16"/>
  <c r="S5" i="16"/>
  <c r="R5" i="16"/>
  <c r="Q5" i="16"/>
  <c r="P5" i="16"/>
  <c r="O5" i="16"/>
  <c r="N5" i="16"/>
  <c r="M5" i="16"/>
  <c r="L5" i="16"/>
  <c r="AJ4" i="16"/>
  <c r="AJ5" i="16" s="1"/>
  <c r="AJ6" i="16" s="1"/>
  <c r="AJ7" i="16" s="1"/>
  <c r="AJ8" i="16" s="1"/>
  <c r="AE4" i="16"/>
  <c r="AF4" i="16" s="1"/>
  <c r="X4" i="16"/>
  <c r="Y4" i="16" s="1"/>
  <c r="U4" i="16"/>
  <c r="T4" i="16"/>
  <c r="S4" i="16"/>
  <c r="R4" i="16"/>
  <c r="Q4" i="16"/>
  <c r="P4" i="16"/>
  <c r="O4" i="16"/>
  <c r="N4" i="16"/>
  <c r="M4" i="16"/>
  <c r="L4" i="16"/>
  <c r="U151" i="9"/>
  <c r="U152" i="9" s="1"/>
  <c r="T151" i="9"/>
  <c r="T152" i="9" s="1"/>
  <c r="S151" i="9"/>
  <c r="S152" i="9" s="1"/>
  <c r="R151" i="9"/>
  <c r="R152" i="9" s="1"/>
  <c r="Q151" i="9"/>
  <c r="Q152" i="9" s="1"/>
  <c r="P151" i="9"/>
  <c r="P152" i="9" s="1"/>
  <c r="O151" i="9"/>
  <c r="O152" i="9" s="1"/>
  <c r="N152" i="9"/>
  <c r="M151" i="9"/>
  <c r="M152" i="9" s="1"/>
  <c r="L151" i="9"/>
  <c r="L152" i="9" s="1"/>
  <c r="U150" i="9"/>
  <c r="T150" i="9"/>
  <c r="S150" i="9"/>
  <c r="R150" i="9"/>
  <c r="Q150" i="9"/>
  <c r="P150" i="9"/>
  <c r="O150" i="9"/>
  <c r="M150" i="9"/>
  <c r="L150" i="9"/>
  <c r="U149" i="9"/>
  <c r="T149" i="9"/>
  <c r="S149" i="9"/>
  <c r="R149" i="9"/>
  <c r="Q149" i="9"/>
  <c r="P149" i="9"/>
  <c r="O149" i="9"/>
  <c r="M149" i="9"/>
  <c r="L149" i="9"/>
  <c r="U147" i="9"/>
  <c r="U148" i="9" s="1"/>
  <c r="T147" i="9"/>
  <c r="T148" i="9" s="1"/>
  <c r="S147" i="9"/>
  <c r="S148" i="9" s="1"/>
  <c r="R147" i="9"/>
  <c r="R148" i="9" s="1"/>
  <c r="Q147" i="9"/>
  <c r="Q148" i="9" s="1"/>
  <c r="P147" i="9"/>
  <c r="P148" i="9" s="1"/>
  <c r="O147" i="9"/>
  <c r="O148" i="9" s="1"/>
  <c r="N147" i="9"/>
  <c r="N148" i="9" s="1"/>
  <c r="M147" i="9"/>
  <c r="M148" i="9" s="1"/>
  <c r="L147" i="9"/>
  <c r="L148" i="9" s="1"/>
  <c r="U146" i="9"/>
  <c r="T146" i="9"/>
  <c r="S146" i="9"/>
  <c r="R146" i="9"/>
  <c r="Q146" i="9"/>
  <c r="P146" i="9"/>
  <c r="O146" i="9"/>
  <c r="N146" i="9"/>
  <c r="M146" i="9"/>
  <c r="L146" i="9"/>
  <c r="U145" i="9"/>
  <c r="T145" i="9"/>
  <c r="S145" i="9"/>
  <c r="R145" i="9"/>
  <c r="Q145" i="9"/>
  <c r="P145" i="9"/>
  <c r="O145" i="9"/>
  <c r="N145" i="9"/>
  <c r="M145" i="9"/>
  <c r="L145" i="9"/>
  <c r="U144" i="9"/>
  <c r="T144" i="9"/>
  <c r="S144" i="9"/>
  <c r="R144" i="9"/>
  <c r="Q144" i="9"/>
  <c r="P144" i="9"/>
  <c r="O144" i="9"/>
  <c r="N144" i="9"/>
  <c r="M144" i="9"/>
  <c r="L144" i="9"/>
  <c r="U142" i="9"/>
  <c r="U143" i="9" s="1"/>
  <c r="T142" i="9"/>
  <c r="T143" i="9" s="1"/>
  <c r="S142" i="9"/>
  <c r="S143" i="9" s="1"/>
  <c r="R142" i="9"/>
  <c r="R143" i="9" s="1"/>
  <c r="Q142" i="9"/>
  <c r="Q143" i="9" s="1"/>
  <c r="P142" i="9"/>
  <c r="P143" i="9" s="1"/>
  <c r="O142" i="9"/>
  <c r="O143" i="9" s="1"/>
  <c r="N143" i="9"/>
  <c r="M142" i="9"/>
  <c r="M143" i="9" s="1"/>
  <c r="L142" i="9"/>
  <c r="L143" i="9" s="1"/>
  <c r="U141" i="9"/>
  <c r="T141" i="9"/>
  <c r="S141" i="9"/>
  <c r="R141" i="9"/>
  <c r="Q141" i="9"/>
  <c r="P141" i="9"/>
  <c r="O141" i="9"/>
  <c r="M141" i="9"/>
  <c r="L141" i="9"/>
  <c r="U140" i="9"/>
  <c r="T140" i="9"/>
  <c r="S140" i="9"/>
  <c r="R140" i="9"/>
  <c r="Q140" i="9"/>
  <c r="P140" i="9"/>
  <c r="O140" i="9"/>
  <c r="M140" i="9"/>
  <c r="L140" i="9"/>
  <c r="U139" i="9"/>
  <c r="T139" i="9"/>
  <c r="S139" i="9"/>
  <c r="R139" i="9"/>
  <c r="Q139" i="9"/>
  <c r="P139" i="9"/>
  <c r="O139" i="9"/>
  <c r="M139" i="9"/>
  <c r="L139" i="9"/>
  <c r="U137" i="9"/>
  <c r="U138" i="9" s="1"/>
  <c r="T137" i="9"/>
  <c r="T138" i="9" s="1"/>
  <c r="S137" i="9"/>
  <c r="S138" i="9" s="1"/>
  <c r="R137" i="9"/>
  <c r="R138" i="9" s="1"/>
  <c r="Q137" i="9"/>
  <c r="Q138" i="9" s="1"/>
  <c r="P137" i="9"/>
  <c r="P138" i="9" s="1"/>
  <c r="O137" i="9"/>
  <c r="O138" i="9" s="1"/>
  <c r="N138" i="9"/>
  <c r="M137" i="9"/>
  <c r="M138" i="9" s="1"/>
  <c r="L137" i="9"/>
  <c r="L138" i="9" s="1"/>
  <c r="U136" i="9"/>
  <c r="T136" i="9"/>
  <c r="S136" i="9"/>
  <c r="R136" i="9"/>
  <c r="Q136" i="9"/>
  <c r="P136" i="9"/>
  <c r="O136" i="9"/>
  <c r="M136" i="9"/>
  <c r="L136" i="9"/>
  <c r="U135" i="9"/>
  <c r="T135" i="9"/>
  <c r="S135" i="9"/>
  <c r="R135" i="9"/>
  <c r="Q135" i="9"/>
  <c r="P135" i="9"/>
  <c r="O135" i="9"/>
  <c r="M135" i="9"/>
  <c r="L135" i="9"/>
  <c r="U133" i="9"/>
  <c r="U134" i="9" s="1"/>
  <c r="T133" i="9"/>
  <c r="T134" i="9" s="1"/>
  <c r="S133" i="9"/>
  <c r="S134" i="9" s="1"/>
  <c r="R133" i="9"/>
  <c r="R134" i="9" s="1"/>
  <c r="Q133" i="9"/>
  <c r="Q134" i="9" s="1"/>
  <c r="P133" i="9"/>
  <c r="P134" i="9" s="1"/>
  <c r="O133" i="9"/>
  <c r="O134" i="9" s="1"/>
  <c r="N134" i="9"/>
  <c r="M133" i="9"/>
  <c r="M134" i="9" s="1"/>
  <c r="L133" i="9"/>
  <c r="L134" i="9" s="1"/>
  <c r="U132" i="9"/>
  <c r="T132" i="9"/>
  <c r="S132" i="9"/>
  <c r="R132" i="9"/>
  <c r="Q132" i="9"/>
  <c r="P132" i="9"/>
  <c r="O132" i="9"/>
  <c r="M132" i="9"/>
  <c r="L132" i="9"/>
  <c r="U131" i="9"/>
  <c r="T131" i="9"/>
  <c r="S131" i="9"/>
  <c r="R131" i="9"/>
  <c r="Q131" i="9"/>
  <c r="P131" i="9"/>
  <c r="O131" i="9"/>
  <c r="M131" i="9"/>
  <c r="L131" i="9"/>
  <c r="U130" i="9"/>
  <c r="T130" i="9"/>
  <c r="S130" i="9"/>
  <c r="R130" i="9"/>
  <c r="Q130" i="9"/>
  <c r="P130" i="9"/>
  <c r="O130" i="9"/>
  <c r="M130" i="9"/>
  <c r="L130" i="9"/>
  <c r="U128" i="9"/>
  <c r="U129" i="9" s="1"/>
  <c r="T128" i="9"/>
  <c r="T129" i="9" s="1"/>
  <c r="S128" i="9"/>
  <c r="S129" i="9" s="1"/>
  <c r="R128" i="9"/>
  <c r="R129" i="9" s="1"/>
  <c r="Q128" i="9"/>
  <c r="Q129" i="9" s="1"/>
  <c r="P128" i="9"/>
  <c r="P129" i="9" s="1"/>
  <c r="O128" i="9"/>
  <c r="O129" i="9" s="1"/>
  <c r="N129" i="9"/>
  <c r="M128" i="9"/>
  <c r="M129" i="9" s="1"/>
  <c r="L128" i="9"/>
  <c r="L129" i="9" s="1"/>
  <c r="U127" i="9"/>
  <c r="T127" i="9"/>
  <c r="S127" i="9"/>
  <c r="R127" i="9"/>
  <c r="Q127" i="9"/>
  <c r="P127" i="9"/>
  <c r="O127" i="9"/>
  <c r="M127" i="9"/>
  <c r="L127" i="9"/>
  <c r="U126" i="9"/>
  <c r="T126" i="9"/>
  <c r="S126" i="9"/>
  <c r="R126" i="9"/>
  <c r="Q126" i="9"/>
  <c r="P126" i="9"/>
  <c r="O126" i="9"/>
  <c r="M126" i="9"/>
  <c r="L126" i="9"/>
  <c r="U124" i="9"/>
  <c r="U125" i="9" s="1"/>
  <c r="T124" i="9"/>
  <c r="T125" i="9" s="1"/>
  <c r="S124" i="9"/>
  <c r="S125" i="9" s="1"/>
  <c r="R124" i="9"/>
  <c r="R125" i="9" s="1"/>
  <c r="Q124" i="9"/>
  <c r="Q125" i="9" s="1"/>
  <c r="P124" i="9"/>
  <c r="P125" i="9" s="1"/>
  <c r="O124" i="9"/>
  <c r="O125" i="9" s="1"/>
  <c r="N124" i="9"/>
  <c r="N125" i="9" s="1"/>
  <c r="M124" i="9"/>
  <c r="M125" i="9" s="1"/>
  <c r="L124" i="9"/>
  <c r="L125" i="9" s="1"/>
  <c r="U123" i="9"/>
  <c r="T123" i="9"/>
  <c r="S123" i="9"/>
  <c r="R123" i="9"/>
  <c r="Q123" i="9"/>
  <c r="P123" i="9"/>
  <c r="O123" i="9"/>
  <c r="N123" i="9"/>
  <c r="M123" i="9"/>
  <c r="L123" i="9"/>
  <c r="U122" i="9"/>
  <c r="T122" i="9"/>
  <c r="S122" i="9"/>
  <c r="R122" i="9"/>
  <c r="Q122" i="9"/>
  <c r="P122" i="9"/>
  <c r="O122" i="9"/>
  <c r="N122" i="9"/>
  <c r="M122" i="9"/>
  <c r="L122" i="9"/>
  <c r="U121" i="9"/>
  <c r="T121" i="9"/>
  <c r="S121" i="9"/>
  <c r="R121" i="9"/>
  <c r="Q121" i="9"/>
  <c r="P121" i="9"/>
  <c r="O121" i="9"/>
  <c r="N121" i="9"/>
  <c r="M121" i="9"/>
  <c r="L121" i="9"/>
  <c r="U119" i="9"/>
  <c r="U120" i="9" s="1"/>
  <c r="T119" i="9"/>
  <c r="T120" i="9" s="1"/>
  <c r="S119" i="9"/>
  <c r="S120" i="9" s="1"/>
  <c r="R119" i="9"/>
  <c r="R120" i="9" s="1"/>
  <c r="Q119" i="9"/>
  <c r="Q120" i="9" s="1"/>
  <c r="P119" i="9"/>
  <c r="P120" i="9" s="1"/>
  <c r="O119" i="9"/>
  <c r="O120" i="9" s="1"/>
  <c r="N119" i="9"/>
  <c r="N120" i="9" s="1"/>
  <c r="M119" i="9"/>
  <c r="M120" i="9" s="1"/>
  <c r="L119" i="9"/>
  <c r="L120" i="9" s="1"/>
  <c r="U118" i="9"/>
  <c r="T118" i="9"/>
  <c r="S118" i="9"/>
  <c r="R118" i="9"/>
  <c r="Q118" i="9"/>
  <c r="P118" i="9"/>
  <c r="O118" i="9"/>
  <c r="N118" i="9"/>
  <c r="M118" i="9"/>
  <c r="L118" i="9"/>
  <c r="U117" i="9"/>
  <c r="T117" i="9"/>
  <c r="S117" i="9"/>
  <c r="R117" i="9"/>
  <c r="Q117" i="9"/>
  <c r="P117" i="9"/>
  <c r="O117" i="9"/>
  <c r="N117" i="9"/>
  <c r="M117" i="9"/>
  <c r="L117" i="9"/>
  <c r="U116" i="9"/>
  <c r="T116" i="9"/>
  <c r="S116" i="9"/>
  <c r="R116" i="9"/>
  <c r="Q116" i="9"/>
  <c r="P116" i="9"/>
  <c r="O116" i="9"/>
  <c r="N116" i="9"/>
  <c r="M116" i="9"/>
  <c r="L116" i="9"/>
  <c r="U114" i="9"/>
  <c r="U115" i="9" s="1"/>
  <c r="T114" i="9"/>
  <c r="T115" i="9" s="1"/>
  <c r="S114" i="9"/>
  <c r="S115" i="9" s="1"/>
  <c r="R114" i="9"/>
  <c r="R115" i="9" s="1"/>
  <c r="Q114" i="9"/>
  <c r="Q115" i="9" s="1"/>
  <c r="P114" i="9"/>
  <c r="P115" i="9" s="1"/>
  <c r="O114" i="9"/>
  <c r="O115" i="9" s="1"/>
  <c r="N115" i="9"/>
  <c r="M114" i="9"/>
  <c r="M115" i="9" s="1"/>
  <c r="L114" i="9"/>
  <c r="L115" i="9" s="1"/>
  <c r="U113" i="9"/>
  <c r="T113" i="9"/>
  <c r="S113" i="9"/>
  <c r="R113" i="9"/>
  <c r="Q113" i="9"/>
  <c r="P113" i="9"/>
  <c r="O113" i="9"/>
  <c r="M113" i="9"/>
  <c r="L113" i="9"/>
  <c r="U112" i="9"/>
  <c r="T112" i="9"/>
  <c r="S112" i="9"/>
  <c r="R112" i="9"/>
  <c r="Q112" i="9"/>
  <c r="P112" i="9"/>
  <c r="O112" i="9"/>
  <c r="M112" i="9"/>
  <c r="L112" i="9"/>
  <c r="U111" i="9"/>
  <c r="T111" i="9"/>
  <c r="S111" i="9"/>
  <c r="R111" i="9"/>
  <c r="Q111" i="9"/>
  <c r="P111" i="9"/>
  <c r="O111" i="9"/>
  <c r="M111" i="9"/>
  <c r="L111" i="9"/>
  <c r="U109" i="9"/>
  <c r="U110" i="9" s="1"/>
  <c r="T109" i="9"/>
  <c r="T110" i="9" s="1"/>
  <c r="S109" i="9"/>
  <c r="S110" i="9" s="1"/>
  <c r="R109" i="9"/>
  <c r="R110" i="9" s="1"/>
  <c r="Q109" i="9"/>
  <c r="Q110" i="9" s="1"/>
  <c r="P109" i="9"/>
  <c r="P110" i="9" s="1"/>
  <c r="O109" i="9"/>
  <c r="O110" i="9" s="1"/>
  <c r="N110" i="9"/>
  <c r="M109" i="9"/>
  <c r="M110" i="9" s="1"/>
  <c r="L109" i="9"/>
  <c r="L110" i="9" s="1"/>
  <c r="U107" i="9"/>
  <c r="U108" i="9" s="1"/>
  <c r="T107" i="9"/>
  <c r="T108" i="9" s="1"/>
  <c r="S107" i="9"/>
  <c r="S108" i="9" s="1"/>
  <c r="R107" i="9"/>
  <c r="R108" i="9" s="1"/>
  <c r="Q107" i="9"/>
  <c r="Q108" i="9" s="1"/>
  <c r="P107" i="9"/>
  <c r="P108" i="9" s="1"/>
  <c r="O107" i="9"/>
  <c r="O108" i="9" s="1"/>
  <c r="N108" i="9"/>
  <c r="M107" i="9"/>
  <c r="M108" i="9" s="1"/>
  <c r="L107" i="9"/>
  <c r="L108" i="9" s="1"/>
  <c r="U105" i="9"/>
  <c r="U106" i="9" s="1"/>
  <c r="T105" i="9"/>
  <c r="T106" i="9" s="1"/>
  <c r="S105" i="9"/>
  <c r="S106" i="9" s="1"/>
  <c r="R105" i="9"/>
  <c r="R106" i="9" s="1"/>
  <c r="Q105" i="9"/>
  <c r="Q106" i="9" s="1"/>
  <c r="P105" i="9"/>
  <c r="P106" i="9" s="1"/>
  <c r="O105" i="9"/>
  <c r="O106" i="9" s="1"/>
  <c r="N105" i="9"/>
  <c r="N106" i="9" s="1"/>
  <c r="M105" i="9"/>
  <c r="M106" i="9" s="1"/>
  <c r="L105" i="9"/>
  <c r="L106" i="9" s="1"/>
  <c r="U104" i="9"/>
  <c r="T104" i="9"/>
  <c r="S104" i="9"/>
  <c r="R104" i="9"/>
  <c r="Q104" i="9"/>
  <c r="P104" i="9"/>
  <c r="O104" i="9"/>
  <c r="N104" i="9"/>
  <c r="M104" i="9"/>
  <c r="L104" i="9"/>
  <c r="U103" i="9"/>
  <c r="T103" i="9"/>
  <c r="S103" i="9"/>
  <c r="R103" i="9"/>
  <c r="Q103" i="9"/>
  <c r="P103" i="9"/>
  <c r="O103" i="9"/>
  <c r="N103" i="9"/>
  <c r="M103" i="9"/>
  <c r="L103" i="9"/>
  <c r="U102" i="9"/>
  <c r="T102" i="9"/>
  <c r="S102" i="9"/>
  <c r="R102" i="9"/>
  <c r="Q102" i="9"/>
  <c r="P102" i="9"/>
  <c r="O102" i="9"/>
  <c r="N102" i="9"/>
  <c r="M102" i="9"/>
  <c r="L102" i="9"/>
  <c r="U100" i="9"/>
  <c r="U101" i="9" s="1"/>
  <c r="T100" i="9"/>
  <c r="T101" i="9" s="1"/>
  <c r="S100" i="9"/>
  <c r="S101" i="9" s="1"/>
  <c r="R100" i="9"/>
  <c r="R101" i="9" s="1"/>
  <c r="Q100" i="9"/>
  <c r="Q101" i="9" s="1"/>
  <c r="P100" i="9"/>
  <c r="P101" i="9" s="1"/>
  <c r="O100" i="9"/>
  <c r="O101" i="9" s="1"/>
  <c r="N101" i="9"/>
  <c r="M100" i="9"/>
  <c r="M101" i="9" s="1"/>
  <c r="L100" i="9"/>
  <c r="L101" i="9" s="1"/>
  <c r="U99" i="9"/>
  <c r="T99" i="9"/>
  <c r="S99" i="9"/>
  <c r="R99" i="9"/>
  <c r="Q99" i="9"/>
  <c r="P99" i="9"/>
  <c r="O99" i="9"/>
  <c r="M99" i="9"/>
  <c r="L99" i="9"/>
  <c r="U98" i="9"/>
  <c r="T98" i="9"/>
  <c r="S98" i="9"/>
  <c r="R98" i="9"/>
  <c r="Q98" i="9"/>
  <c r="P98" i="9"/>
  <c r="O98" i="9"/>
  <c r="M98" i="9"/>
  <c r="L98" i="9"/>
  <c r="U97" i="9"/>
  <c r="T97" i="9"/>
  <c r="S97" i="9"/>
  <c r="R97" i="9"/>
  <c r="Q97" i="9"/>
  <c r="P97" i="9"/>
  <c r="O97" i="9"/>
  <c r="M97" i="9"/>
  <c r="L97" i="9"/>
  <c r="U96" i="9"/>
  <c r="T96" i="9"/>
  <c r="S96" i="9"/>
  <c r="R96" i="9"/>
  <c r="Q96" i="9"/>
  <c r="P96" i="9"/>
  <c r="O96" i="9"/>
  <c r="M96" i="9"/>
  <c r="L96" i="9"/>
  <c r="U94" i="9"/>
  <c r="U95" i="9" s="1"/>
  <c r="T94" i="9"/>
  <c r="T95" i="9" s="1"/>
  <c r="S94" i="9"/>
  <c r="S95" i="9" s="1"/>
  <c r="R94" i="9"/>
  <c r="R95" i="9" s="1"/>
  <c r="Q94" i="9"/>
  <c r="Q95" i="9" s="1"/>
  <c r="P94" i="9"/>
  <c r="P95" i="9" s="1"/>
  <c r="O94" i="9"/>
  <c r="O95" i="9" s="1"/>
  <c r="N94" i="9"/>
  <c r="N95" i="9" s="1"/>
  <c r="M94" i="9"/>
  <c r="M95" i="9" s="1"/>
  <c r="L94" i="9"/>
  <c r="L95" i="9" s="1"/>
  <c r="U93" i="9"/>
  <c r="T93" i="9"/>
  <c r="S93" i="9"/>
  <c r="R93" i="9"/>
  <c r="Q93" i="9"/>
  <c r="P93" i="9"/>
  <c r="O93" i="9"/>
  <c r="N93" i="9"/>
  <c r="M93" i="9"/>
  <c r="L93" i="9"/>
  <c r="U92" i="9"/>
  <c r="T92" i="9"/>
  <c r="S92" i="9"/>
  <c r="R92" i="9"/>
  <c r="Q92" i="9"/>
  <c r="P92" i="9"/>
  <c r="O92" i="9"/>
  <c r="N92" i="9"/>
  <c r="M92" i="9"/>
  <c r="L92" i="9"/>
  <c r="U91" i="9"/>
  <c r="T91" i="9"/>
  <c r="S91" i="9"/>
  <c r="R91" i="9"/>
  <c r="Q91" i="9"/>
  <c r="P91" i="9"/>
  <c r="O91" i="9"/>
  <c r="N91" i="9"/>
  <c r="M91" i="9"/>
  <c r="L91" i="9"/>
  <c r="U89" i="9"/>
  <c r="U90" i="9" s="1"/>
  <c r="T89" i="9"/>
  <c r="T90" i="9" s="1"/>
  <c r="S89" i="9"/>
  <c r="S90" i="9" s="1"/>
  <c r="R89" i="9"/>
  <c r="R90" i="9" s="1"/>
  <c r="Q89" i="9"/>
  <c r="Q90" i="9" s="1"/>
  <c r="P89" i="9"/>
  <c r="P90" i="9" s="1"/>
  <c r="O89" i="9"/>
  <c r="O90" i="9" s="1"/>
  <c r="N89" i="9"/>
  <c r="N90" i="9" s="1"/>
  <c r="M89" i="9"/>
  <c r="M90" i="9" s="1"/>
  <c r="L89" i="9"/>
  <c r="L90" i="9" s="1"/>
  <c r="U88" i="9"/>
  <c r="T88" i="9"/>
  <c r="S88" i="9"/>
  <c r="R88" i="9"/>
  <c r="Q88" i="9"/>
  <c r="P88" i="9"/>
  <c r="O88" i="9"/>
  <c r="N88" i="9"/>
  <c r="M88" i="9"/>
  <c r="L88" i="9"/>
  <c r="U87" i="9"/>
  <c r="T87" i="9"/>
  <c r="S87" i="9"/>
  <c r="R87" i="9"/>
  <c r="Q87" i="9"/>
  <c r="P87" i="9"/>
  <c r="O87" i="9"/>
  <c r="N87" i="9"/>
  <c r="M87" i="9"/>
  <c r="L87" i="9"/>
  <c r="U85" i="9"/>
  <c r="U86" i="9" s="1"/>
  <c r="T85" i="9"/>
  <c r="T86" i="9" s="1"/>
  <c r="S85" i="9"/>
  <c r="S86" i="9" s="1"/>
  <c r="R85" i="9"/>
  <c r="R86" i="9" s="1"/>
  <c r="Q85" i="9"/>
  <c r="Q86" i="9" s="1"/>
  <c r="P85" i="9"/>
  <c r="P86" i="9" s="1"/>
  <c r="O85" i="9"/>
  <c r="O86" i="9" s="1"/>
  <c r="N86" i="9"/>
  <c r="M85" i="9"/>
  <c r="M86" i="9" s="1"/>
  <c r="L85" i="9"/>
  <c r="L86" i="9" s="1"/>
  <c r="U84" i="9"/>
  <c r="T84" i="9"/>
  <c r="S84" i="9"/>
  <c r="R84" i="9"/>
  <c r="Q84" i="9"/>
  <c r="P84" i="9"/>
  <c r="O84" i="9"/>
  <c r="M84" i="9"/>
  <c r="L84" i="9"/>
  <c r="U83" i="9"/>
  <c r="T83" i="9"/>
  <c r="S83" i="9"/>
  <c r="R83" i="9"/>
  <c r="Q83" i="9"/>
  <c r="P83" i="9"/>
  <c r="O83" i="9"/>
  <c r="M83" i="9"/>
  <c r="L83" i="9"/>
  <c r="U81" i="9"/>
  <c r="U82" i="9" s="1"/>
  <c r="T81" i="9"/>
  <c r="T82" i="9" s="1"/>
  <c r="S81" i="9"/>
  <c r="S82" i="9" s="1"/>
  <c r="R81" i="9"/>
  <c r="R82" i="9" s="1"/>
  <c r="Q81" i="9"/>
  <c r="Q82" i="9" s="1"/>
  <c r="P81" i="9"/>
  <c r="P82" i="9" s="1"/>
  <c r="O81" i="9"/>
  <c r="O82" i="9" s="1"/>
  <c r="N81" i="9"/>
  <c r="N82" i="9" s="1"/>
  <c r="M81" i="9"/>
  <c r="M82" i="9" s="1"/>
  <c r="L81" i="9"/>
  <c r="L82" i="9" s="1"/>
  <c r="U80" i="9"/>
  <c r="T80" i="9"/>
  <c r="S80" i="9"/>
  <c r="R80" i="9"/>
  <c r="Q80" i="9"/>
  <c r="P80" i="9"/>
  <c r="O80" i="9"/>
  <c r="N80" i="9"/>
  <c r="M80" i="9"/>
  <c r="L80" i="9"/>
  <c r="U79" i="9"/>
  <c r="T79" i="9"/>
  <c r="S79" i="9"/>
  <c r="R79" i="9"/>
  <c r="Q79" i="9"/>
  <c r="P79" i="9"/>
  <c r="O79" i="9"/>
  <c r="N79" i="9"/>
  <c r="M79" i="9"/>
  <c r="L79" i="9"/>
  <c r="U78" i="9"/>
  <c r="T78" i="9"/>
  <c r="S78" i="9"/>
  <c r="R78" i="9"/>
  <c r="Q78" i="9"/>
  <c r="P78" i="9"/>
  <c r="O78" i="9"/>
  <c r="N78" i="9"/>
  <c r="M78" i="9"/>
  <c r="L78" i="9"/>
  <c r="U76" i="9"/>
  <c r="U77" i="9" s="1"/>
  <c r="T76" i="9"/>
  <c r="T77" i="9" s="1"/>
  <c r="S76" i="9"/>
  <c r="S77" i="9" s="1"/>
  <c r="R76" i="9"/>
  <c r="R77" i="9" s="1"/>
  <c r="Q76" i="9"/>
  <c r="Q77" i="9" s="1"/>
  <c r="P76" i="9"/>
  <c r="P77" i="9" s="1"/>
  <c r="O76" i="9"/>
  <c r="O77" i="9" s="1"/>
  <c r="N77" i="9"/>
  <c r="M76" i="9"/>
  <c r="M77" i="9" s="1"/>
  <c r="L76" i="9"/>
  <c r="L77" i="9" s="1"/>
  <c r="U75" i="9"/>
  <c r="T75" i="9"/>
  <c r="S75" i="9"/>
  <c r="R75" i="9"/>
  <c r="Q75" i="9"/>
  <c r="P75" i="9"/>
  <c r="O75" i="9"/>
  <c r="M75" i="9"/>
  <c r="L75" i="9"/>
  <c r="U74" i="9"/>
  <c r="T74" i="9"/>
  <c r="S74" i="9"/>
  <c r="R74" i="9"/>
  <c r="Q74" i="9"/>
  <c r="P74" i="9"/>
  <c r="O74" i="9"/>
  <c r="M74" i="9"/>
  <c r="L74" i="9"/>
  <c r="U73" i="9"/>
  <c r="T73" i="9"/>
  <c r="S73" i="9"/>
  <c r="R73" i="9"/>
  <c r="Q73" i="9"/>
  <c r="P73" i="9"/>
  <c r="O73" i="9"/>
  <c r="M73" i="9"/>
  <c r="L73" i="9"/>
  <c r="U71" i="9"/>
  <c r="U72" i="9" s="1"/>
  <c r="T71" i="9"/>
  <c r="T72" i="9" s="1"/>
  <c r="S71" i="9"/>
  <c r="S72" i="9" s="1"/>
  <c r="R71" i="9"/>
  <c r="R72" i="9" s="1"/>
  <c r="Q71" i="9"/>
  <c r="Q72" i="9" s="1"/>
  <c r="P71" i="9"/>
  <c r="P72" i="9" s="1"/>
  <c r="O71" i="9"/>
  <c r="O72" i="9" s="1"/>
  <c r="N72" i="9"/>
  <c r="M71" i="9"/>
  <c r="M72" i="9" s="1"/>
  <c r="L71" i="9"/>
  <c r="L72" i="9" s="1"/>
  <c r="U70" i="9"/>
  <c r="T70" i="9"/>
  <c r="S70" i="9"/>
  <c r="R70" i="9"/>
  <c r="Q70" i="9"/>
  <c r="P70" i="9"/>
  <c r="O70" i="9"/>
  <c r="M70" i="9"/>
  <c r="L70" i="9"/>
  <c r="U69" i="9"/>
  <c r="T69" i="9"/>
  <c r="S69" i="9"/>
  <c r="R69" i="9"/>
  <c r="Q69" i="9"/>
  <c r="P69" i="9"/>
  <c r="O69" i="9"/>
  <c r="M69" i="9"/>
  <c r="L69" i="9"/>
  <c r="U68" i="9"/>
  <c r="T68" i="9"/>
  <c r="S68" i="9"/>
  <c r="R68" i="9"/>
  <c r="Q68" i="9"/>
  <c r="P68" i="9"/>
  <c r="O68" i="9"/>
  <c r="M68" i="9"/>
  <c r="L68" i="9"/>
  <c r="U67" i="9"/>
  <c r="T67" i="9"/>
  <c r="S67" i="9"/>
  <c r="R67" i="9"/>
  <c r="Q67" i="9"/>
  <c r="P67" i="9"/>
  <c r="O67" i="9"/>
  <c r="M67" i="9"/>
  <c r="L67" i="9"/>
  <c r="U65" i="9"/>
  <c r="U66" i="9" s="1"/>
  <c r="T65" i="9"/>
  <c r="T66" i="9" s="1"/>
  <c r="S65" i="9"/>
  <c r="S66" i="9" s="1"/>
  <c r="R65" i="9"/>
  <c r="R66" i="9" s="1"/>
  <c r="Q65" i="9"/>
  <c r="Q66" i="9" s="1"/>
  <c r="P65" i="9"/>
  <c r="P66" i="9" s="1"/>
  <c r="O65" i="9"/>
  <c r="O66" i="9" s="1"/>
  <c r="N66" i="9"/>
  <c r="M65" i="9"/>
  <c r="M66" i="9" s="1"/>
  <c r="L65" i="9"/>
  <c r="L66" i="9" s="1"/>
  <c r="U64" i="9"/>
  <c r="T64" i="9"/>
  <c r="S64" i="9"/>
  <c r="R64" i="9"/>
  <c r="Q64" i="9"/>
  <c r="P64" i="9"/>
  <c r="O64" i="9"/>
  <c r="M64" i="9"/>
  <c r="L64" i="9"/>
  <c r="U63" i="9"/>
  <c r="T63" i="9"/>
  <c r="S63" i="9"/>
  <c r="R63" i="9"/>
  <c r="Q63" i="9"/>
  <c r="P63" i="9"/>
  <c r="O63" i="9"/>
  <c r="M63" i="9"/>
  <c r="L63" i="9"/>
  <c r="U61" i="9"/>
  <c r="U62" i="9" s="1"/>
  <c r="T61" i="9"/>
  <c r="T62" i="9" s="1"/>
  <c r="S61" i="9"/>
  <c r="S62" i="9" s="1"/>
  <c r="R61" i="9"/>
  <c r="R62" i="9" s="1"/>
  <c r="Q61" i="9"/>
  <c r="Q62" i="9" s="1"/>
  <c r="P61" i="9"/>
  <c r="P62" i="9" s="1"/>
  <c r="O61" i="9"/>
  <c r="O62" i="9" s="1"/>
  <c r="N61" i="9"/>
  <c r="N62" i="9" s="1"/>
  <c r="M61" i="9"/>
  <c r="M62" i="9" s="1"/>
  <c r="L61" i="9"/>
  <c r="L62" i="9" s="1"/>
  <c r="U60" i="9"/>
  <c r="T60" i="9"/>
  <c r="S60" i="9"/>
  <c r="R60" i="9"/>
  <c r="Q60" i="9"/>
  <c r="P60" i="9"/>
  <c r="O60" i="9"/>
  <c r="N60" i="9"/>
  <c r="M60" i="9"/>
  <c r="L60" i="9"/>
  <c r="U59" i="9"/>
  <c r="T59" i="9"/>
  <c r="S59" i="9"/>
  <c r="R59" i="9"/>
  <c r="Q59" i="9"/>
  <c r="P59" i="9"/>
  <c r="O59" i="9"/>
  <c r="N59" i="9"/>
  <c r="M59" i="9"/>
  <c r="L59" i="9"/>
  <c r="U58" i="9"/>
  <c r="T58" i="9"/>
  <c r="S58" i="9"/>
  <c r="R58" i="9"/>
  <c r="Q58" i="9"/>
  <c r="P58" i="9"/>
  <c r="O58" i="9"/>
  <c r="N58" i="9"/>
  <c r="M58" i="9"/>
  <c r="L58" i="9"/>
  <c r="U57" i="9"/>
  <c r="T57" i="9"/>
  <c r="S57" i="9"/>
  <c r="R57" i="9"/>
  <c r="Q57" i="9"/>
  <c r="P57" i="9"/>
  <c r="O57" i="9"/>
  <c r="N57" i="9"/>
  <c r="M57" i="9"/>
  <c r="L57" i="9"/>
  <c r="U55" i="9"/>
  <c r="U56" i="9" s="1"/>
  <c r="T55" i="9"/>
  <c r="T56" i="9" s="1"/>
  <c r="S55" i="9"/>
  <c r="S56" i="9" s="1"/>
  <c r="R55" i="9"/>
  <c r="R56" i="9" s="1"/>
  <c r="Q55" i="9"/>
  <c r="Q56" i="9" s="1"/>
  <c r="P55" i="9"/>
  <c r="P56" i="9" s="1"/>
  <c r="O55" i="9"/>
  <c r="O56" i="9" s="1"/>
  <c r="N55" i="9"/>
  <c r="N56" i="9" s="1"/>
  <c r="M55" i="9"/>
  <c r="M56" i="9" s="1"/>
  <c r="L55" i="9"/>
  <c r="L56" i="9" s="1"/>
  <c r="U54" i="9"/>
  <c r="T54" i="9"/>
  <c r="S54" i="9"/>
  <c r="R54" i="9"/>
  <c r="Q54" i="9"/>
  <c r="P54" i="9"/>
  <c r="O54" i="9"/>
  <c r="N54" i="9"/>
  <c r="M54" i="9"/>
  <c r="L54" i="9"/>
  <c r="U53" i="9"/>
  <c r="T53" i="9"/>
  <c r="S53" i="9"/>
  <c r="R53" i="9"/>
  <c r="Q53" i="9"/>
  <c r="P53" i="9"/>
  <c r="O53" i="9"/>
  <c r="N53" i="9"/>
  <c r="M53" i="9"/>
  <c r="L53" i="9"/>
  <c r="U51" i="9"/>
  <c r="U52" i="9" s="1"/>
  <c r="T51" i="9"/>
  <c r="T52" i="9" s="1"/>
  <c r="S51" i="9"/>
  <c r="S52" i="9" s="1"/>
  <c r="R51" i="9"/>
  <c r="R52" i="9" s="1"/>
  <c r="Q51" i="9"/>
  <c r="Q52" i="9" s="1"/>
  <c r="P51" i="9"/>
  <c r="P52" i="9" s="1"/>
  <c r="O51" i="9"/>
  <c r="O52" i="9" s="1"/>
  <c r="N52" i="9"/>
  <c r="M51" i="9"/>
  <c r="M52" i="9" s="1"/>
  <c r="L51" i="9"/>
  <c r="L52" i="9" s="1"/>
  <c r="U50" i="9"/>
  <c r="T50" i="9"/>
  <c r="S50" i="9"/>
  <c r="R50" i="9"/>
  <c r="Q50" i="9"/>
  <c r="P50" i="9"/>
  <c r="O50" i="9"/>
  <c r="M50" i="9"/>
  <c r="L50" i="9"/>
  <c r="U49" i="9"/>
  <c r="T49" i="9"/>
  <c r="S49" i="9"/>
  <c r="R49" i="9"/>
  <c r="Q49" i="9"/>
  <c r="P49" i="9"/>
  <c r="O49" i="9"/>
  <c r="M49" i="9"/>
  <c r="L49" i="9"/>
  <c r="U47" i="9"/>
  <c r="U48" i="9" s="1"/>
  <c r="T47" i="9"/>
  <c r="T48" i="9" s="1"/>
  <c r="S47" i="9"/>
  <c r="S48" i="9" s="1"/>
  <c r="R47" i="9"/>
  <c r="R48" i="9" s="1"/>
  <c r="Q47" i="9"/>
  <c r="Q48" i="9" s="1"/>
  <c r="P47" i="9"/>
  <c r="P48" i="9" s="1"/>
  <c r="O47" i="9"/>
  <c r="O48" i="9" s="1"/>
  <c r="N47" i="9"/>
  <c r="N48" i="9" s="1"/>
  <c r="M47" i="9"/>
  <c r="M48" i="9" s="1"/>
  <c r="L47" i="9"/>
  <c r="L48" i="9" s="1"/>
  <c r="U46" i="9"/>
  <c r="T46" i="9"/>
  <c r="S46" i="9"/>
  <c r="R46" i="9"/>
  <c r="Q46" i="9"/>
  <c r="P46" i="9"/>
  <c r="O46" i="9"/>
  <c r="N46" i="9"/>
  <c r="M46" i="9"/>
  <c r="L46" i="9"/>
  <c r="U45" i="9"/>
  <c r="T45" i="9"/>
  <c r="S45" i="9"/>
  <c r="R45" i="9"/>
  <c r="Q45" i="9"/>
  <c r="P45" i="9"/>
  <c r="O45" i="9"/>
  <c r="N45" i="9"/>
  <c r="M45" i="9"/>
  <c r="L45" i="9"/>
  <c r="U43" i="9"/>
  <c r="U44" i="9" s="1"/>
  <c r="T43" i="9"/>
  <c r="T44" i="9" s="1"/>
  <c r="S43" i="9"/>
  <c r="S44" i="9" s="1"/>
  <c r="R43" i="9"/>
  <c r="R44" i="9" s="1"/>
  <c r="Q43" i="9"/>
  <c r="Q44" i="9" s="1"/>
  <c r="P43" i="9"/>
  <c r="P44" i="9" s="1"/>
  <c r="O43" i="9"/>
  <c r="O44" i="9" s="1"/>
  <c r="N43" i="9"/>
  <c r="N44" i="9" s="1"/>
  <c r="M43" i="9"/>
  <c r="M44" i="9" s="1"/>
  <c r="L43" i="9"/>
  <c r="L44" i="9" s="1"/>
  <c r="U42" i="9"/>
  <c r="T42" i="9"/>
  <c r="S42" i="9"/>
  <c r="R42" i="9"/>
  <c r="Q42" i="9"/>
  <c r="P42" i="9"/>
  <c r="O42" i="9"/>
  <c r="N42" i="9"/>
  <c r="M42" i="9"/>
  <c r="L42" i="9"/>
  <c r="U41" i="9"/>
  <c r="T41" i="9"/>
  <c r="S41" i="9"/>
  <c r="R41" i="9"/>
  <c r="Q41" i="9"/>
  <c r="P41" i="9"/>
  <c r="O41" i="9"/>
  <c r="N41" i="9"/>
  <c r="M41" i="9"/>
  <c r="L41" i="9"/>
  <c r="U40" i="9"/>
  <c r="T40" i="9"/>
  <c r="S40" i="9"/>
  <c r="R40" i="9"/>
  <c r="Q40" i="9"/>
  <c r="P40" i="9"/>
  <c r="O40" i="9"/>
  <c r="N40" i="9"/>
  <c r="M40" i="9"/>
  <c r="L40" i="9"/>
  <c r="U38" i="9"/>
  <c r="U39" i="9" s="1"/>
  <c r="T38" i="9"/>
  <c r="T39" i="9" s="1"/>
  <c r="S38" i="9"/>
  <c r="S39" i="9" s="1"/>
  <c r="R38" i="9"/>
  <c r="R39" i="9" s="1"/>
  <c r="Q38" i="9"/>
  <c r="Q39" i="9" s="1"/>
  <c r="P38" i="9"/>
  <c r="P39" i="9" s="1"/>
  <c r="O38" i="9"/>
  <c r="O39" i="9" s="1"/>
  <c r="N39" i="9"/>
  <c r="M38" i="9"/>
  <c r="M39" i="9" s="1"/>
  <c r="L38" i="9"/>
  <c r="L39" i="9" s="1"/>
  <c r="U37" i="9"/>
  <c r="T37" i="9"/>
  <c r="S37" i="9"/>
  <c r="R37" i="9"/>
  <c r="Q37" i="9"/>
  <c r="P37" i="9"/>
  <c r="O37" i="9"/>
  <c r="M37" i="9"/>
  <c r="L37" i="9"/>
  <c r="U36" i="9"/>
  <c r="T36" i="9"/>
  <c r="S36" i="9"/>
  <c r="R36" i="9"/>
  <c r="Q36" i="9"/>
  <c r="P36" i="9"/>
  <c r="O36" i="9"/>
  <c r="M36" i="9"/>
  <c r="L36" i="9"/>
  <c r="U34" i="9"/>
  <c r="U35" i="9" s="1"/>
  <c r="T34" i="9"/>
  <c r="T35" i="9" s="1"/>
  <c r="S34" i="9"/>
  <c r="S35" i="9" s="1"/>
  <c r="R34" i="9"/>
  <c r="R35" i="9" s="1"/>
  <c r="Q34" i="9"/>
  <c r="Q35" i="9" s="1"/>
  <c r="P34" i="9"/>
  <c r="P35" i="9" s="1"/>
  <c r="O34" i="9"/>
  <c r="O35" i="9" s="1"/>
  <c r="N35" i="9"/>
  <c r="M34" i="9"/>
  <c r="M35" i="9" s="1"/>
  <c r="L34" i="9"/>
  <c r="L35" i="9" s="1"/>
  <c r="U33" i="9"/>
  <c r="T33" i="9"/>
  <c r="S33" i="9"/>
  <c r="R33" i="9"/>
  <c r="Q33" i="9"/>
  <c r="P33" i="9"/>
  <c r="O33" i="9"/>
  <c r="M33" i="9"/>
  <c r="L33" i="9"/>
  <c r="U32" i="9"/>
  <c r="T32" i="9"/>
  <c r="S32" i="9"/>
  <c r="R32" i="9"/>
  <c r="Q32" i="9"/>
  <c r="P32" i="9"/>
  <c r="O32" i="9"/>
  <c r="M32" i="9"/>
  <c r="L32" i="9"/>
  <c r="U31" i="9"/>
  <c r="T31" i="9"/>
  <c r="S31" i="9"/>
  <c r="R31" i="9"/>
  <c r="Q31" i="9"/>
  <c r="P31" i="9"/>
  <c r="O31" i="9"/>
  <c r="M31" i="9"/>
  <c r="L31" i="9"/>
  <c r="U29" i="9"/>
  <c r="U30" i="9" s="1"/>
  <c r="T29" i="9"/>
  <c r="T30" i="9" s="1"/>
  <c r="S29" i="9"/>
  <c r="S30" i="9" s="1"/>
  <c r="R29" i="9"/>
  <c r="R30" i="9" s="1"/>
  <c r="Q29" i="9"/>
  <c r="Q30" i="9" s="1"/>
  <c r="P29" i="9"/>
  <c r="P30" i="9" s="1"/>
  <c r="O29" i="9"/>
  <c r="O30" i="9" s="1"/>
  <c r="N30" i="9"/>
  <c r="M29" i="9"/>
  <c r="M30" i="9" s="1"/>
  <c r="L29" i="9"/>
  <c r="L30" i="9" s="1"/>
  <c r="U28" i="9"/>
  <c r="T28" i="9"/>
  <c r="S28" i="9"/>
  <c r="R28" i="9"/>
  <c r="Q28" i="9"/>
  <c r="P28" i="9"/>
  <c r="O28" i="9"/>
  <c r="M28" i="9"/>
  <c r="L28" i="9"/>
  <c r="U27" i="9"/>
  <c r="T27" i="9"/>
  <c r="S27" i="9"/>
  <c r="R27" i="9"/>
  <c r="Q27" i="9"/>
  <c r="P27" i="9"/>
  <c r="O27" i="9"/>
  <c r="M27" i="9"/>
  <c r="L27" i="9"/>
  <c r="U26" i="9"/>
  <c r="T26" i="9"/>
  <c r="S26" i="9"/>
  <c r="R26" i="9"/>
  <c r="Q26" i="9"/>
  <c r="P26" i="9"/>
  <c r="O26" i="9"/>
  <c r="M26" i="9"/>
  <c r="L26" i="9"/>
  <c r="U25" i="9"/>
  <c r="T25" i="9"/>
  <c r="S25" i="9"/>
  <c r="R25" i="9"/>
  <c r="Q25" i="9"/>
  <c r="P25" i="9"/>
  <c r="O25" i="9"/>
  <c r="M25" i="9"/>
  <c r="L25" i="9"/>
  <c r="U23" i="9"/>
  <c r="U24" i="9" s="1"/>
  <c r="T23" i="9"/>
  <c r="T24" i="9" s="1"/>
  <c r="S23" i="9"/>
  <c r="S24" i="9" s="1"/>
  <c r="R23" i="9"/>
  <c r="R24" i="9" s="1"/>
  <c r="Q23" i="9"/>
  <c r="Q24" i="9" s="1"/>
  <c r="P23" i="9"/>
  <c r="P24" i="9" s="1"/>
  <c r="O23" i="9"/>
  <c r="O24" i="9" s="1"/>
  <c r="N24" i="9"/>
  <c r="M23" i="9"/>
  <c r="M24" i="9" s="1"/>
  <c r="L23" i="9"/>
  <c r="L24" i="9" s="1"/>
  <c r="U22" i="9"/>
  <c r="T22" i="9"/>
  <c r="S22" i="9"/>
  <c r="R22" i="9"/>
  <c r="Q22" i="9"/>
  <c r="P22" i="9"/>
  <c r="O22" i="9"/>
  <c r="M22" i="9"/>
  <c r="L22" i="9"/>
  <c r="U21" i="9"/>
  <c r="T21" i="9"/>
  <c r="S21" i="9"/>
  <c r="R21" i="9"/>
  <c r="Q21" i="9"/>
  <c r="P21" i="9"/>
  <c r="O21" i="9"/>
  <c r="M21" i="9"/>
  <c r="L21" i="9"/>
  <c r="U19" i="9"/>
  <c r="U20" i="9" s="1"/>
  <c r="T19" i="9"/>
  <c r="T20" i="9" s="1"/>
  <c r="S19" i="9"/>
  <c r="S20" i="9" s="1"/>
  <c r="R19" i="9"/>
  <c r="R20" i="9" s="1"/>
  <c r="Q19" i="9"/>
  <c r="Q20" i="9" s="1"/>
  <c r="P19" i="9"/>
  <c r="P20" i="9" s="1"/>
  <c r="O19" i="9"/>
  <c r="O20" i="9" s="1"/>
  <c r="N20" i="9"/>
  <c r="M19" i="9"/>
  <c r="M20" i="9" s="1"/>
  <c r="L19" i="9"/>
  <c r="L20" i="9" s="1"/>
  <c r="U18" i="9"/>
  <c r="T18" i="9"/>
  <c r="S18" i="9"/>
  <c r="R18" i="9"/>
  <c r="Q18" i="9"/>
  <c r="P18" i="9"/>
  <c r="O18" i="9"/>
  <c r="M18" i="9"/>
  <c r="L18" i="9"/>
  <c r="U17" i="9"/>
  <c r="T17" i="9"/>
  <c r="S17" i="9"/>
  <c r="R17" i="9"/>
  <c r="Q17" i="9"/>
  <c r="P17" i="9"/>
  <c r="O17" i="9"/>
  <c r="M17" i="9"/>
  <c r="L17" i="9"/>
  <c r="S12" i="9"/>
  <c r="U15" i="9"/>
  <c r="U16" i="9" s="1"/>
  <c r="T15" i="9"/>
  <c r="T16" i="9" s="1"/>
  <c r="S15" i="9"/>
  <c r="S16" i="9" s="1"/>
  <c r="U14" i="9"/>
  <c r="T14" i="9"/>
  <c r="S14" i="9"/>
  <c r="U13" i="9"/>
  <c r="T13" i="9"/>
  <c r="S13" i="9"/>
  <c r="U12" i="9"/>
  <c r="T12" i="9"/>
  <c r="R15" i="9"/>
  <c r="R16" i="9" s="1"/>
  <c r="Q15" i="9"/>
  <c r="Q16" i="9" s="1"/>
  <c r="P15" i="9"/>
  <c r="P16" i="9" s="1"/>
  <c r="O15" i="9"/>
  <c r="O16" i="9" s="1"/>
  <c r="N15" i="9"/>
  <c r="N16" i="9" s="1"/>
  <c r="M15" i="9"/>
  <c r="M16" i="9" s="1"/>
  <c r="L15" i="9"/>
  <c r="L16" i="9" s="1"/>
  <c r="R14" i="9"/>
  <c r="Q14" i="9"/>
  <c r="P14" i="9"/>
  <c r="O14" i="9"/>
  <c r="N14" i="9"/>
  <c r="M14" i="9"/>
  <c r="L14" i="9"/>
  <c r="R13" i="9"/>
  <c r="Q13" i="9"/>
  <c r="P13" i="9"/>
  <c r="O13" i="9"/>
  <c r="N13" i="9"/>
  <c r="M13" i="9"/>
  <c r="L13" i="9"/>
  <c r="L12" i="9"/>
  <c r="R12" i="9"/>
  <c r="Q12" i="9"/>
  <c r="P12" i="9"/>
  <c r="O12" i="9"/>
  <c r="N12" i="9"/>
  <c r="M12" i="9"/>
  <c r="F152" i="9"/>
  <c r="F148" i="9"/>
  <c r="F143" i="9"/>
  <c r="F138" i="9"/>
  <c r="F134" i="9"/>
  <c r="F129" i="9"/>
  <c r="F125" i="9"/>
  <c r="F120" i="9"/>
  <c r="F115" i="9"/>
  <c r="F110" i="9"/>
  <c r="F108" i="9"/>
  <c r="F106" i="9"/>
  <c r="F101" i="9"/>
  <c r="F95" i="9"/>
  <c r="F90" i="9"/>
  <c r="F86" i="9"/>
  <c r="F82" i="9"/>
  <c r="F77" i="9"/>
  <c r="F72" i="9"/>
  <c r="F66" i="9"/>
  <c r="F62" i="9"/>
  <c r="F56" i="9"/>
  <c r="F52" i="9"/>
  <c r="F48" i="9"/>
  <c r="F44" i="9"/>
  <c r="F39" i="9"/>
  <c r="F35" i="9"/>
  <c r="F30" i="9"/>
  <c r="F24" i="9"/>
  <c r="F20" i="9"/>
  <c r="F16" i="9"/>
  <c r="E152" i="9"/>
  <c r="E148" i="9"/>
  <c r="E143" i="9"/>
  <c r="E138" i="9"/>
  <c r="E134" i="9"/>
  <c r="E129" i="9"/>
  <c r="E125" i="9"/>
  <c r="E120" i="9"/>
  <c r="E115" i="9"/>
  <c r="E110" i="9"/>
  <c r="E108" i="9"/>
  <c r="E106" i="9"/>
  <c r="E101" i="9"/>
  <c r="E95" i="9"/>
  <c r="E90" i="9"/>
  <c r="E86" i="9"/>
  <c r="E82" i="9"/>
  <c r="E77" i="9"/>
  <c r="E72" i="9"/>
  <c r="E66" i="9"/>
  <c r="E62" i="9"/>
  <c r="E56" i="9"/>
  <c r="E52" i="9"/>
  <c r="E48" i="9"/>
  <c r="E44" i="9"/>
  <c r="E39" i="9"/>
  <c r="E35" i="9"/>
  <c r="E30" i="9"/>
  <c r="E24" i="9"/>
  <c r="E20" i="9"/>
  <c r="E16" i="9"/>
  <c r="C116" i="9"/>
  <c r="C117" i="9" s="1"/>
  <c r="C118" i="9" s="1"/>
  <c r="C119" i="9" s="1"/>
  <c r="C120" i="9" s="1"/>
  <c r="C91" i="9"/>
  <c r="C92" i="9" s="1"/>
  <c r="C93" i="9" s="1"/>
  <c r="C94" i="9" s="1"/>
  <c r="C95" i="9" s="1"/>
  <c r="AH153" i="9"/>
  <c r="AH150" i="9"/>
  <c r="C87" i="9"/>
  <c r="C88" i="9" s="1"/>
  <c r="C89" i="9" s="1"/>
  <c r="C90" i="9" s="1"/>
  <c r="K152" i="9"/>
  <c r="J152" i="9"/>
  <c r="I152" i="9"/>
  <c r="H152" i="9"/>
  <c r="G152" i="9"/>
  <c r="K148" i="9"/>
  <c r="J148" i="9"/>
  <c r="I148" i="9"/>
  <c r="H148" i="9"/>
  <c r="G148" i="9"/>
  <c r="K143" i="9"/>
  <c r="J143" i="9"/>
  <c r="I143" i="9"/>
  <c r="H143" i="9"/>
  <c r="G143" i="9"/>
  <c r="K138" i="9"/>
  <c r="J138" i="9"/>
  <c r="I138" i="9"/>
  <c r="H138" i="9"/>
  <c r="G138" i="9"/>
  <c r="K134" i="9"/>
  <c r="J134" i="9"/>
  <c r="I134" i="9"/>
  <c r="H134" i="9"/>
  <c r="G134" i="9"/>
  <c r="K129" i="9"/>
  <c r="J129" i="9"/>
  <c r="I129" i="9"/>
  <c r="H129" i="9"/>
  <c r="G129" i="9"/>
  <c r="K125" i="9"/>
  <c r="J125" i="9"/>
  <c r="I125" i="9"/>
  <c r="H125" i="9"/>
  <c r="G125" i="9"/>
  <c r="K120" i="9"/>
  <c r="J120" i="9"/>
  <c r="I120" i="9"/>
  <c r="H120" i="9"/>
  <c r="G120" i="9"/>
  <c r="K115" i="9"/>
  <c r="J115" i="9"/>
  <c r="I115" i="9"/>
  <c r="H115" i="9"/>
  <c r="G115" i="9"/>
  <c r="K110" i="9"/>
  <c r="J110" i="9"/>
  <c r="I110" i="9"/>
  <c r="H110" i="9"/>
  <c r="G110" i="9"/>
  <c r="K108" i="9"/>
  <c r="J108" i="9"/>
  <c r="I108" i="9"/>
  <c r="H108" i="9"/>
  <c r="G108" i="9"/>
  <c r="K106" i="9"/>
  <c r="J106" i="9"/>
  <c r="I106" i="9"/>
  <c r="H106" i="9"/>
  <c r="G106" i="9"/>
  <c r="K101" i="9"/>
  <c r="J101" i="9"/>
  <c r="I101" i="9"/>
  <c r="H101" i="9"/>
  <c r="G101" i="9"/>
  <c r="K95" i="9"/>
  <c r="J95" i="9"/>
  <c r="I95" i="9"/>
  <c r="H95" i="9"/>
  <c r="G95" i="9"/>
  <c r="K90" i="9"/>
  <c r="J90" i="9"/>
  <c r="I90" i="9"/>
  <c r="H90" i="9"/>
  <c r="G90" i="9"/>
  <c r="K86" i="9"/>
  <c r="J86" i="9"/>
  <c r="I86" i="9"/>
  <c r="H86" i="9"/>
  <c r="G86" i="9"/>
  <c r="K82" i="9"/>
  <c r="J82" i="9"/>
  <c r="I82" i="9"/>
  <c r="H82" i="9"/>
  <c r="G82" i="9"/>
  <c r="K77" i="9"/>
  <c r="J77" i="9"/>
  <c r="I77" i="9"/>
  <c r="H77" i="9"/>
  <c r="G77" i="9"/>
  <c r="K72" i="9"/>
  <c r="J72" i="9"/>
  <c r="I72" i="9"/>
  <c r="H72" i="9"/>
  <c r="G72" i="9"/>
  <c r="K66" i="9"/>
  <c r="J66" i="9"/>
  <c r="I66" i="9"/>
  <c r="H66" i="9"/>
  <c r="G66" i="9"/>
  <c r="K62" i="9"/>
  <c r="J62" i="9"/>
  <c r="I62" i="9"/>
  <c r="H62" i="9"/>
  <c r="G62" i="9"/>
  <c r="K56" i="9"/>
  <c r="J56" i="9"/>
  <c r="I56" i="9"/>
  <c r="H56" i="9"/>
  <c r="G56" i="9"/>
  <c r="K52" i="9"/>
  <c r="J52" i="9"/>
  <c r="I52" i="9"/>
  <c r="H52" i="9"/>
  <c r="G52" i="9"/>
  <c r="K48" i="9"/>
  <c r="J48" i="9"/>
  <c r="I48" i="9"/>
  <c r="H48" i="9"/>
  <c r="G48" i="9"/>
  <c r="K44" i="9"/>
  <c r="J44" i="9"/>
  <c r="I44" i="9"/>
  <c r="H44" i="9"/>
  <c r="G44" i="9"/>
  <c r="K39" i="9"/>
  <c r="J39" i="9"/>
  <c r="I39" i="9"/>
  <c r="H39" i="9"/>
  <c r="G39" i="9"/>
  <c r="K35" i="9"/>
  <c r="J35" i="9"/>
  <c r="I35" i="9"/>
  <c r="H35" i="9"/>
  <c r="G35" i="9"/>
  <c r="K30" i="9"/>
  <c r="J30" i="9"/>
  <c r="I30" i="9"/>
  <c r="H30" i="9"/>
  <c r="G30" i="9"/>
  <c r="K24" i="9"/>
  <c r="J24" i="9"/>
  <c r="I24" i="9"/>
  <c r="H24" i="9"/>
  <c r="G24" i="9"/>
  <c r="K20" i="9"/>
  <c r="J20" i="9"/>
  <c r="I20" i="9"/>
  <c r="H20" i="9"/>
  <c r="G20" i="9"/>
  <c r="D16" i="9"/>
  <c r="K16" i="9"/>
  <c r="J16" i="9"/>
  <c r="I16" i="9"/>
  <c r="H16" i="9"/>
  <c r="G16" i="9"/>
  <c r="AF153" i="9"/>
  <c r="AE13" i="9"/>
  <c r="AF13" i="9" s="1"/>
  <c r="AE14" i="9"/>
  <c r="AF14" i="9" s="1"/>
  <c r="AE12" i="9"/>
  <c r="AF12" i="9" s="1"/>
  <c r="AI110" i="9"/>
  <c r="AG110" i="9"/>
  <c r="Z110" i="9"/>
  <c r="W110" i="9"/>
  <c r="D110" i="9"/>
  <c r="C110" i="9"/>
  <c r="B110" i="9"/>
  <c r="AI108" i="9"/>
  <c r="AG108" i="9"/>
  <c r="Z108" i="9"/>
  <c r="W108" i="9"/>
  <c r="D108" i="9"/>
  <c r="C108" i="9"/>
  <c r="B108" i="9"/>
  <c r="Z16" i="9"/>
  <c r="AJ53" i="9"/>
  <c r="AJ54" i="9" s="1"/>
  <c r="AJ55" i="9" s="1"/>
  <c r="AJ56" i="9" s="1"/>
  <c r="AI54" i="9"/>
  <c r="AI55" i="9" s="1"/>
  <c r="AI56" i="9" s="1"/>
  <c r="AG71" i="9"/>
  <c r="AG72" i="9" s="1"/>
  <c r="AG76" i="9"/>
  <c r="AG77" i="9" s="1"/>
  <c r="AG81" i="9"/>
  <c r="AG82" i="9" s="1"/>
  <c r="AG85" i="9"/>
  <c r="AG86" i="9" s="1"/>
  <c r="AG89" i="9"/>
  <c r="AG90" i="9" s="1"/>
  <c r="AG94" i="9"/>
  <c r="AG95" i="9" s="1"/>
  <c r="AG100" i="9"/>
  <c r="AG101" i="9" s="1"/>
  <c r="AG105" i="9"/>
  <c r="AG106" i="9" s="1"/>
  <c r="AG114" i="9"/>
  <c r="AG115" i="9" s="1"/>
  <c r="AG119" i="9"/>
  <c r="AG120" i="9" s="1"/>
  <c r="AG124" i="9"/>
  <c r="AG125" i="9" s="1"/>
  <c r="AG128" i="9"/>
  <c r="AG129" i="9" s="1"/>
  <c r="AG133" i="9"/>
  <c r="AG134" i="9" s="1"/>
  <c r="AG137" i="9"/>
  <c r="AG138" i="9" s="1"/>
  <c r="AG142" i="9"/>
  <c r="AG143" i="9" s="1"/>
  <c r="AG147" i="9"/>
  <c r="AG148" i="9" s="1"/>
  <c r="AG151" i="9"/>
  <c r="AG152" i="9" s="1"/>
  <c r="AG65" i="9"/>
  <c r="AG66" i="9" s="1"/>
  <c r="AG61" i="9"/>
  <c r="AG62" i="9" s="1"/>
  <c r="AG55" i="9"/>
  <c r="AG56" i="9" s="1"/>
  <c r="AG51" i="9"/>
  <c r="AG52" i="9" s="1"/>
  <c r="AG47" i="9"/>
  <c r="AG48" i="9" s="1"/>
  <c r="AG43" i="9"/>
  <c r="AG44" i="9" s="1"/>
  <c r="AG38" i="9"/>
  <c r="AG39" i="9" s="1"/>
  <c r="AG34" i="9"/>
  <c r="AG35" i="9" s="1"/>
  <c r="AG29" i="9"/>
  <c r="AG30" i="9" s="1"/>
  <c r="AG23" i="9"/>
  <c r="AG24" i="9" s="1"/>
  <c r="AG19" i="9"/>
  <c r="AG20" i="9" s="1"/>
  <c r="AG15" i="9"/>
  <c r="AG16" i="9" s="1"/>
  <c r="Z152" i="9"/>
  <c r="D152" i="9"/>
  <c r="C152" i="9"/>
  <c r="B152" i="9"/>
  <c r="Z148" i="9"/>
  <c r="D148" i="9"/>
  <c r="C148" i="9"/>
  <c r="B148" i="9"/>
  <c r="Z143" i="9"/>
  <c r="D143" i="9"/>
  <c r="C143" i="9"/>
  <c r="B143" i="9"/>
  <c r="Z138" i="9"/>
  <c r="D138" i="9"/>
  <c r="C138" i="9"/>
  <c r="B138" i="9"/>
  <c r="Z134" i="9"/>
  <c r="D134" i="9"/>
  <c r="C134" i="9"/>
  <c r="B134" i="9"/>
  <c r="Z129" i="9"/>
  <c r="D129" i="9"/>
  <c r="C129" i="9"/>
  <c r="B129" i="9"/>
  <c r="Z125" i="9"/>
  <c r="D125" i="9"/>
  <c r="C125" i="9"/>
  <c r="B125" i="9"/>
  <c r="Z120" i="9"/>
  <c r="D120" i="9"/>
  <c r="B120" i="9"/>
  <c r="Z115" i="9"/>
  <c r="D115" i="9"/>
  <c r="C115" i="9"/>
  <c r="B115" i="9"/>
  <c r="Z106" i="9"/>
  <c r="D106" i="9"/>
  <c r="C106" i="9"/>
  <c r="B106" i="9"/>
  <c r="Z101" i="9"/>
  <c r="D101" i="9"/>
  <c r="C101" i="9"/>
  <c r="B101" i="9"/>
  <c r="Z95" i="9"/>
  <c r="D95" i="9"/>
  <c r="B95" i="9"/>
  <c r="Z90" i="9"/>
  <c r="D90" i="9"/>
  <c r="B90" i="9"/>
  <c r="Z86" i="9"/>
  <c r="D86" i="9"/>
  <c r="C86" i="9"/>
  <c r="B86" i="9"/>
  <c r="Z82" i="9"/>
  <c r="D82" i="9"/>
  <c r="C82" i="9"/>
  <c r="B82" i="9"/>
  <c r="Z77" i="9"/>
  <c r="D77" i="9"/>
  <c r="C77" i="9"/>
  <c r="B77" i="9"/>
  <c r="Z72" i="9"/>
  <c r="D72" i="9"/>
  <c r="C72" i="9"/>
  <c r="B72" i="9"/>
  <c r="Z66" i="9"/>
  <c r="D66" i="9"/>
  <c r="C66" i="9"/>
  <c r="B66" i="9"/>
  <c r="Z62" i="9"/>
  <c r="D62" i="9"/>
  <c r="C62" i="9"/>
  <c r="B62" i="9"/>
  <c r="Z56" i="9"/>
  <c r="D56" i="9"/>
  <c r="C56" i="9"/>
  <c r="B56" i="9"/>
  <c r="Z52" i="9"/>
  <c r="D52" i="9"/>
  <c r="C52" i="9"/>
  <c r="B52" i="9"/>
  <c r="Z48" i="9"/>
  <c r="D48" i="9"/>
  <c r="C48" i="9"/>
  <c r="B48" i="9"/>
  <c r="Z44" i="9"/>
  <c r="D44" i="9"/>
  <c r="C44" i="9"/>
  <c r="B44" i="9"/>
  <c r="Z39" i="9"/>
  <c r="D39" i="9"/>
  <c r="C39" i="9"/>
  <c r="B39" i="9"/>
  <c r="Z35" i="9"/>
  <c r="D35" i="9"/>
  <c r="C35" i="9"/>
  <c r="B35" i="9"/>
  <c r="Z30" i="9"/>
  <c r="D30" i="9"/>
  <c r="C30" i="9"/>
  <c r="B30" i="9"/>
  <c r="Z24" i="9"/>
  <c r="D24" i="9"/>
  <c r="C24" i="9"/>
  <c r="B24" i="9"/>
  <c r="Z20" i="9"/>
  <c r="C20" i="9"/>
  <c r="B20" i="9"/>
  <c r="D20" i="9"/>
  <c r="C16" i="9"/>
  <c r="B16" i="9"/>
  <c r="F4" i="12"/>
  <c r="F5" i="12"/>
  <c r="F3" i="12"/>
  <c r="E5" i="12"/>
  <c r="E4" i="12"/>
  <c r="H4" i="12" s="1"/>
  <c r="E3" i="12"/>
  <c r="H3" i="12" s="1"/>
  <c r="X17" i="9"/>
  <c r="Y17" i="9" s="1"/>
  <c r="X18" i="9"/>
  <c r="Y18" i="9" s="1"/>
  <c r="X21" i="9"/>
  <c r="Y21" i="9" s="1"/>
  <c r="X22" i="9"/>
  <c r="Y22" i="9" s="1"/>
  <c r="X25" i="9"/>
  <c r="Y25" i="9" s="1"/>
  <c r="X26" i="9"/>
  <c r="Y26" i="9" s="1"/>
  <c r="X27" i="9"/>
  <c r="Y27" i="9" s="1"/>
  <c r="X28" i="9"/>
  <c r="Y28" i="9" s="1"/>
  <c r="X31" i="9"/>
  <c r="X32" i="9"/>
  <c r="Y32" i="9" s="1"/>
  <c r="X33" i="9"/>
  <c r="Y33" i="9" s="1"/>
  <c r="X36" i="9"/>
  <c r="Y36" i="9" s="1"/>
  <c r="X37" i="9"/>
  <c r="Y37" i="9" s="1"/>
  <c r="X40" i="9"/>
  <c r="X41" i="9"/>
  <c r="Y41" i="9" s="1"/>
  <c r="X42" i="9"/>
  <c r="Y42" i="9" s="1"/>
  <c r="X45" i="9"/>
  <c r="X46" i="9"/>
  <c r="Y46" i="9" s="1"/>
  <c r="X49" i="9"/>
  <c r="Y49" i="9" s="1"/>
  <c r="X50" i="9"/>
  <c r="Y50" i="9" s="1"/>
  <c r="X150" i="9"/>
  <c r="Y150" i="9" s="1"/>
  <c r="X149" i="9"/>
  <c r="Y149" i="9" s="1"/>
  <c r="X146" i="9"/>
  <c r="Y146" i="9" s="1"/>
  <c r="X145" i="9"/>
  <c r="Y145" i="9" s="1"/>
  <c r="X144" i="9"/>
  <c r="Y144" i="9" s="1"/>
  <c r="X141" i="9"/>
  <c r="Y141" i="9" s="1"/>
  <c r="X140" i="9"/>
  <c r="Y140" i="9" s="1"/>
  <c r="X139" i="9"/>
  <c r="Y139" i="9" s="1"/>
  <c r="X136" i="9"/>
  <c r="Y136" i="9" s="1"/>
  <c r="X135" i="9"/>
  <c r="Y135" i="9" s="1"/>
  <c r="X132" i="9"/>
  <c r="Y132" i="9" s="1"/>
  <c r="X131" i="9"/>
  <c r="Y131" i="9" s="1"/>
  <c r="X130" i="9"/>
  <c r="Y130" i="9" s="1"/>
  <c r="X127" i="9"/>
  <c r="Y127" i="9" s="1"/>
  <c r="X126" i="9"/>
  <c r="Y126" i="9" s="1"/>
  <c r="X123" i="9"/>
  <c r="Y123" i="9" s="1"/>
  <c r="X122" i="9"/>
  <c r="Y122" i="9" s="1"/>
  <c r="X121" i="9"/>
  <c r="Y121" i="9" s="1"/>
  <c r="X118" i="9"/>
  <c r="Y118" i="9" s="1"/>
  <c r="X117" i="9"/>
  <c r="Y117" i="9" s="1"/>
  <c r="X116" i="9"/>
  <c r="Y116" i="9" s="1"/>
  <c r="X113" i="9"/>
  <c r="Y113" i="9" s="1"/>
  <c r="X112" i="9"/>
  <c r="Y112" i="9" s="1"/>
  <c r="X111" i="9"/>
  <c r="Y111" i="9" s="1"/>
  <c r="X109" i="9"/>
  <c r="Y109" i="9" s="1"/>
  <c r="Y110" i="9" s="1"/>
  <c r="X107" i="9"/>
  <c r="Y107" i="9" s="1"/>
  <c r="Y108" i="9" s="1"/>
  <c r="X104" i="9"/>
  <c r="Y104" i="9" s="1"/>
  <c r="X103" i="9"/>
  <c r="Y103" i="9" s="1"/>
  <c r="X102" i="9"/>
  <c r="Y102" i="9" s="1"/>
  <c r="X99" i="9"/>
  <c r="Y99" i="9" s="1"/>
  <c r="X98" i="9"/>
  <c r="Y98" i="9" s="1"/>
  <c r="X97" i="9"/>
  <c r="Y97" i="9" s="1"/>
  <c r="X96" i="9"/>
  <c r="Y96" i="9" s="1"/>
  <c r="X93" i="9"/>
  <c r="Y93" i="9" s="1"/>
  <c r="X92" i="9"/>
  <c r="Y92" i="9" s="1"/>
  <c r="X91" i="9"/>
  <c r="Y91" i="9" s="1"/>
  <c r="X88" i="9"/>
  <c r="Y88" i="9" s="1"/>
  <c r="X87" i="9"/>
  <c r="Y87" i="9" s="1"/>
  <c r="X84" i="9"/>
  <c r="Y84" i="9" s="1"/>
  <c r="X83" i="9"/>
  <c r="Y83" i="9" s="1"/>
  <c r="X80" i="9"/>
  <c r="Y80" i="9" s="1"/>
  <c r="X79" i="9"/>
  <c r="Y79" i="9" s="1"/>
  <c r="X78" i="9"/>
  <c r="Y78" i="9" s="1"/>
  <c r="X75" i="9"/>
  <c r="Y75" i="9" s="1"/>
  <c r="X74" i="9"/>
  <c r="Y74" i="9" s="1"/>
  <c r="X73" i="9"/>
  <c r="Y73" i="9" s="1"/>
  <c r="X70" i="9"/>
  <c r="Y70" i="9" s="1"/>
  <c r="X69" i="9"/>
  <c r="Y69" i="9" s="1"/>
  <c r="X68" i="9"/>
  <c r="Y68" i="9" s="1"/>
  <c r="X67" i="9"/>
  <c r="Y67" i="9" s="1"/>
  <c r="X64" i="9"/>
  <c r="Y64" i="9" s="1"/>
  <c r="X63" i="9"/>
  <c r="Y63" i="9" s="1"/>
  <c r="X60" i="9"/>
  <c r="Y60" i="9" s="1"/>
  <c r="X59" i="9"/>
  <c r="Y59" i="9" s="1"/>
  <c r="X58" i="9"/>
  <c r="Y58" i="9" s="1"/>
  <c r="X57" i="9"/>
  <c r="Y57" i="9" s="1"/>
  <c r="X54" i="9"/>
  <c r="Y54" i="9" s="1"/>
  <c r="X53" i="9"/>
  <c r="Y53" i="9" s="1"/>
  <c r="X14" i="9"/>
  <c r="Y14" i="9" s="1"/>
  <c r="X13" i="9"/>
  <c r="Y13" i="9" s="1"/>
  <c r="X12" i="9"/>
  <c r="AI13" i="9"/>
  <c r="AI14" i="9" s="1"/>
  <c r="AI15" i="9" s="1"/>
  <c r="AI16" i="9" s="1"/>
  <c r="AI18" i="9"/>
  <c r="AI19" i="9" s="1"/>
  <c r="AI20" i="9" s="1"/>
  <c r="AI22" i="9"/>
  <c r="AI23" i="9" s="1"/>
  <c r="AI24" i="9" s="1"/>
  <c r="AI26" i="9"/>
  <c r="AI27" i="9" s="1"/>
  <c r="AI28" i="9" s="1"/>
  <c r="AI29" i="9" s="1"/>
  <c r="AI30" i="9" s="1"/>
  <c r="AI32" i="9"/>
  <c r="AI33" i="9" s="1"/>
  <c r="AI34" i="9" s="1"/>
  <c r="AI35" i="9" s="1"/>
  <c r="AI37" i="9"/>
  <c r="AI38" i="9" s="1"/>
  <c r="AI39" i="9" s="1"/>
  <c r="AI41" i="9"/>
  <c r="AI42" i="9" s="1"/>
  <c r="AI43" i="9" s="1"/>
  <c r="AI44" i="9" s="1"/>
  <c r="AI46" i="9"/>
  <c r="AI47" i="9" s="1"/>
  <c r="AI48" i="9" s="1"/>
  <c r="AI50" i="9"/>
  <c r="AI51" i="9" s="1"/>
  <c r="AI52" i="9" s="1"/>
  <c r="AI58" i="9"/>
  <c r="AI59" i="9" s="1"/>
  <c r="AI60" i="9" s="1"/>
  <c r="AI61" i="9" s="1"/>
  <c r="AI62" i="9" s="1"/>
  <c r="AI64" i="9"/>
  <c r="AI65" i="9" s="1"/>
  <c r="AI66" i="9" s="1"/>
  <c r="AI68" i="9"/>
  <c r="AI69" i="9" s="1"/>
  <c r="AI70" i="9" s="1"/>
  <c r="AI71" i="9" s="1"/>
  <c r="AI72" i="9" s="1"/>
  <c r="AI74" i="9"/>
  <c r="AI75" i="9" s="1"/>
  <c r="AI76" i="9" s="1"/>
  <c r="AI77" i="9" s="1"/>
  <c r="AI79" i="9"/>
  <c r="AI80" i="9" s="1"/>
  <c r="AI81" i="9" s="1"/>
  <c r="AI82" i="9" s="1"/>
  <c r="AI84" i="9"/>
  <c r="AI85" i="9" s="1"/>
  <c r="AI86" i="9" s="1"/>
  <c r="AI88" i="9"/>
  <c r="AI89" i="9" s="1"/>
  <c r="AI90" i="9" s="1"/>
  <c r="AI92" i="9"/>
  <c r="AI93" i="9" s="1"/>
  <c r="AI94" i="9" s="1"/>
  <c r="AI95" i="9" s="1"/>
  <c r="AI97" i="9"/>
  <c r="AI98" i="9" s="1"/>
  <c r="AI99" i="9" s="1"/>
  <c r="AI100" i="9" s="1"/>
  <c r="AI101" i="9" s="1"/>
  <c r="AI103" i="9"/>
  <c r="AI104" i="9" s="1"/>
  <c r="AI105" i="9" s="1"/>
  <c r="AI106" i="9" s="1"/>
  <c r="AI112" i="9"/>
  <c r="AI113" i="9" s="1"/>
  <c r="AI114" i="9" s="1"/>
  <c r="AI115" i="9" s="1"/>
  <c r="AI117" i="9"/>
  <c r="AI118" i="9" s="1"/>
  <c r="AI119" i="9" s="1"/>
  <c r="AI120" i="9" s="1"/>
  <c r="AI122" i="9"/>
  <c r="AI123" i="9" s="1"/>
  <c r="AI124" i="9" s="1"/>
  <c r="AI125" i="9" s="1"/>
  <c r="AI127" i="9"/>
  <c r="AI128" i="9" s="1"/>
  <c r="AI129" i="9" s="1"/>
  <c r="AI131" i="9"/>
  <c r="AI132" i="9" s="1"/>
  <c r="AI133" i="9" s="1"/>
  <c r="AI134" i="9" s="1"/>
  <c r="AI136" i="9"/>
  <c r="AI137" i="9" s="1"/>
  <c r="AI138" i="9" s="1"/>
  <c r="AI140" i="9"/>
  <c r="AI141" i="9" s="1"/>
  <c r="AI142" i="9" s="1"/>
  <c r="AI143" i="9" s="1"/>
  <c r="AI145" i="9"/>
  <c r="AI146" i="9" s="1"/>
  <c r="AI147" i="9" s="1"/>
  <c r="AI148" i="9" s="1"/>
  <c r="AI150" i="9"/>
  <c r="AI151" i="9" s="1"/>
  <c r="AI152" i="9" s="1"/>
  <c r="AJ45" i="9"/>
  <c r="AJ46" i="9" s="1"/>
  <c r="AJ47" i="9" s="1"/>
  <c r="AJ48" i="9" s="1"/>
  <c r="AJ139" i="9"/>
  <c r="AJ140" i="9" s="1"/>
  <c r="AJ141" i="9" s="1"/>
  <c r="AJ142" i="9" s="1"/>
  <c r="AJ143" i="9" s="1"/>
  <c r="AJ135" i="9"/>
  <c r="AJ136" i="9" s="1"/>
  <c r="AJ137" i="9" s="1"/>
  <c r="AJ138" i="9" s="1"/>
  <c r="AJ130" i="9"/>
  <c r="AJ131" i="9" s="1"/>
  <c r="AJ132" i="9" s="1"/>
  <c r="AJ133" i="9" s="1"/>
  <c r="AJ134" i="9" s="1"/>
  <c r="AJ126" i="9"/>
  <c r="AJ127" i="9" s="1"/>
  <c r="AJ128" i="9" s="1"/>
  <c r="AJ129" i="9" s="1"/>
  <c r="AJ121" i="9"/>
  <c r="AJ122" i="9" s="1"/>
  <c r="AJ123" i="9" s="1"/>
  <c r="AJ124" i="9" s="1"/>
  <c r="AJ125" i="9" s="1"/>
  <c r="AJ116" i="9"/>
  <c r="AJ117" i="9" s="1"/>
  <c r="AJ118" i="9" s="1"/>
  <c r="AJ119" i="9" s="1"/>
  <c r="AJ120" i="9" s="1"/>
  <c r="AJ111" i="9"/>
  <c r="AJ112" i="9" s="1"/>
  <c r="AJ113" i="9" s="1"/>
  <c r="AJ114" i="9" s="1"/>
  <c r="AJ115" i="9" s="1"/>
  <c r="AJ109" i="9"/>
  <c r="AJ110" i="9" s="1"/>
  <c r="AJ107" i="9"/>
  <c r="AJ108" i="9" s="1"/>
  <c r="AJ102" i="9"/>
  <c r="AJ103" i="9" s="1"/>
  <c r="AJ104" i="9" s="1"/>
  <c r="AJ105" i="9" s="1"/>
  <c r="AJ106" i="9" s="1"/>
  <c r="AJ96" i="9"/>
  <c r="AJ97" i="9" s="1"/>
  <c r="AJ98" i="9" s="1"/>
  <c r="AJ99" i="9" s="1"/>
  <c r="AJ100" i="9" s="1"/>
  <c r="AJ101" i="9" s="1"/>
  <c r="AJ91" i="9"/>
  <c r="AJ92" i="9" s="1"/>
  <c r="AJ93" i="9" s="1"/>
  <c r="AJ94" i="9" s="1"/>
  <c r="AJ95" i="9" s="1"/>
  <c r="AJ87" i="9"/>
  <c r="AJ88" i="9" s="1"/>
  <c r="AJ89" i="9" s="1"/>
  <c r="AJ90" i="9" s="1"/>
  <c r="AJ83" i="9"/>
  <c r="AJ84" i="9" s="1"/>
  <c r="AJ85" i="9" s="1"/>
  <c r="AJ86" i="9" s="1"/>
  <c r="AJ78" i="9"/>
  <c r="AJ79" i="9" s="1"/>
  <c r="AJ80" i="9" s="1"/>
  <c r="AJ81" i="9" s="1"/>
  <c r="AJ82" i="9" s="1"/>
  <c r="AJ73" i="9"/>
  <c r="AJ74" i="9" s="1"/>
  <c r="AJ75" i="9" s="1"/>
  <c r="AJ76" i="9" s="1"/>
  <c r="AJ77" i="9" s="1"/>
  <c r="AJ67" i="9"/>
  <c r="AJ68" i="9" s="1"/>
  <c r="AJ69" i="9" s="1"/>
  <c r="AJ70" i="9" s="1"/>
  <c r="AJ71" i="9" s="1"/>
  <c r="AJ72" i="9" s="1"/>
  <c r="AJ63" i="9"/>
  <c r="AJ64" i="9" s="1"/>
  <c r="AJ65" i="9" s="1"/>
  <c r="AJ66" i="9" s="1"/>
  <c r="AJ57" i="9"/>
  <c r="AJ58" i="9" s="1"/>
  <c r="AJ59" i="9" s="1"/>
  <c r="AJ60" i="9" s="1"/>
  <c r="AJ61" i="9" s="1"/>
  <c r="AJ62" i="9" s="1"/>
  <c r="AJ49" i="9"/>
  <c r="AJ50" i="9" s="1"/>
  <c r="AJ51" i="9" s="1"/>
  <c r="AJ52" i="9" s="1"/>
  <c r="AJ40" i="9"/>
  <c r="AJ41" i="9" s="1"/>
  <c r="AJ42" i="9" s="1"/>
  <c r="AJ43" i="9" s="1"/>
  <c r="AJ44" i="9" s="1"/>
  <c r="AJ36" i="9"/>
  <c r="AJ37" i="9" s="1"/>
  <c r="AJ38" i="9" s="1"/>
  <c r="AJ39" i="9" s="1"/>
  <c r="AJ31" i="9"/>
  <c r="AJ32" i="9" s="1"/>
  <c r="AJ33" i="9" s="1"/>
  <c r="AJ34" i="9" s="1"/>
  <c r="AJ35" i="9" s="1"/>
  <c r="AJ25" i="9"/>
  <c r="AJ26" i="9" s="1"/>
  <c r="AJ27" i="9" s="1"/>
  <c r="AJ28" i="9" s="1"/>
  <c r="AJ29" i="9" s="1"/>
  <c r="AJ30" i="9" s="1"/>
  <c r="AJ21" i="9"/>
  <c r="AJ22" i="9" s="1"/>
  <c r="AJ23" i="9" s="1"/>
  <c r="AJ24" i="9" s="1"/>
  <c r="AJ17" i="9"/>
  <c r="AJ18" i="9" s="1"/>
  <c r="AJ19" i="9" s="1"/>
  <c r="AJ20" i="9" s="1"/>
  <c r="AJ12" i="9"/>
  <c r="AJ13" i="9" s="1"/>
  <c r="AJ14" i="9" s="1"/>
  <c r="AJ15" i="9" s="1"/>
  <c r="AJ16" i="9" s="1"/>
  <c r="AJ144" i="9"/>
  <c r="AJ145" i="9" s="1"/>
  <c r="AJ146" i="9" s="1"/>
  <c r="AJ147" i="9" s="1"/>
  <c r="AJ148" i="9" s="1"/>
  <c r="AJ149" i="9"/>
  <c r="AJ150" i="9" s="1"/>
  <c r="AJ151" i="9" s="1"/>
  <c r="AJ152" i="9" s="1"/>
  <c r="B4" i="6"/>
  <c r="AE22" i="9"/>
  <c r="AF22" i="9" s="1"/>
  <c r="AE21" i="9"/>
  <c r="AF21" i="9" s="1"/>
  <c r="AE18" i="9"/>
  <c r="AF18" i="9" s="1"/>
  <c r="AE17" i="9"/>
  <c r="AF17" i="9" s="1"/>
  <c r="AE150" i="9"/>
  <c r="AF150" i="9" s="1"/>
  <c r="AE149" i="9"/>
  <c r="AF149" i="9" s="1"/>
  <c r="AE146" i="9"/>
  <c r="AF146" i="9" s="1"/>
  <c r="AE145" i="9"/>
  <c r="AF145" i="9" s="1"/>
  <c r="AE144" i="9"/>
  <c r="AF144" i="9" s="1"/>
  <c r="AE141" i="9"/>
  <c r="AF141" i="9" s="1"/>
  <c r="AE140" i="9"/>
  <c r="AF140" i="9" s="1"/>
  <c r="AE139" i="9"/>
  <c r="AF139" i="9" s="1"/>
  <c r="AE136" i="9"/>
  <c r="AF136" i="9" s="1"/>
  <c r="AE135" i="9"/>
  <c r="AF135" i="9" s="1"/>
  <c r="AE132" i="9"/>
  <c r="AF132" i="9" s="1"/>
  <c r="AE131" i="9"/>
  <c r="AF131" i="9" s="1"/>
  <c r="AE130" i="9"/>
  <c r="AF130" i="9" s="1"/>
  <c r="AE127" i="9"/>
  <c r="AF127" i="9" s="1"/>
  <c r="AE126" i="9"/>
  <c r="AF126" i="9" s="1"/>
  <c r="AE123" i="9"/>
  <c r="AF123" i="9" s="1"/>
  <c r="AE122" i="9"/>
  <c r="AF122" i="9" s="1"/>
  <c r="AE121" i="9"/>
  <c r="AF121" i="9" s="1"/>
  <c r="AE118" i="9"/>
  <c r="AF118" i="9" s="1"/>
  <c r="AE117" i="9"/>
  <c r="AF117" i="9" s="1"/>
  <c r="AE116" i="9"/>
  <c r="AF116" i="9" s="1"/>
  <c r="AE113" i="9"/>
  <c r="AF113" i="9" s="1"/>
  <c r="AE112" i="9"/>
  <c r="AF112" i="9" s="1"/>
  <c r="AE111" i="9"/>
  <c r="AF111" i="9" s="1"/>
  <c r="AE109" i="9"/>
  <c r="AF109" i="9" s="1"/>
  <c r="AF110" i="9" s="1"/>
  <c r="AE107" i="9"/>
  <c r="AF107" i="9" s="1"/>
  <c r="AF108" i="9" s="1"/>
  <c r="AE104" i="9"/>
  <c r="AF104" i="9" s="1"/>
  <c r="AE103" i="9"/>
  <c r="AF103" i="9" s="1"/>
  <c r="AE102" i="9"/>
  <c r="AF102" i="9" s="1"/>
  <c r="AE99" i="9"/>
  <c r="AF99" i="9" s="1"/>
  <c r="AE98" i="9"/>
  <c r="AF98" i="9" s="1"/>
  <c r="AE97" i="9"/>
  <c r="AF97" i="9" s="1"/>
  <c r="AE96" i="9"/>
  <c r="AF96" i="9" s="1"/>
  <c r="AE93" i="9"/>
  <c r="AF93" i="9" s="1"/>
  <c r="AE92" i="9"/>
  <c r="AF92" i="9" s="1"/>
  <c r="AE91" i="9"/>
  <c r="AF91" i="9" s="1"/>
  <c r="AE88" i="9"/>
  <c r="AF88" i="9" s="1"/>
  <c r="AE87" i="9"/>
  <c r="AF87" i="9" s="1"/>
  <c r="AE84" i="9"/>
  <c r="AF84" i="9" s="1"/>
  <c r="AE83" i="9"/>
  <c r="AF83" i="9" s="1"/>
  <c r="AE80" i="9"/>
  <c r="AF80" i="9" s="1"/>
  <c r="AE79" i="9"/>
  <c r="AF79" i="9" s="1"/>
  <c r="AE78" i="9"/>
  <c r="AF78" i="9" s="1"/>
  <c r="AE75" i="9"/>
  <c r="AF75" i="9" s="1"/>
  <c r="AE74" i="9"/>
  <c r="AF74" i="9" s="1"/>
  <c r="AE73" i="9"/>
  <c r="AF73" i="9" s="1"/>
  <c r="AE70" i="9"/>
  <c r="AF70" i="9" s="1"/>
  <c r="AE69" i="9"/>
  <c r="AF69" i="9" s="1"/>
  <c r="AE68" i="9"/>
  <c r="AF68" i="9" s="1"/>
  <c r="AE67" i="9"/>
  <c r="AF67" i="9" s="1"/>
  <c r="AE64" i="9"/>
  <c r="AF64" i="9" s="1"/>
  <c r="AE63" i="9"/>
  <c r="AF63" i="9" s="1"/>
  <c r="AE60" i="9"/>
  <c r="AF60" i="9" s="1"/>
  <c r="AE59" i="9"/>
  <c r="AF59" i="9" s="1"/>
  <c r="AE58" i="9"/>
  <c r="AF58" i="9" s="1"/>
  <c r="AE57" i="9"/>
  <c r="AF57" i="9" s="1"/>
  <c r="AE54" i="9"/>
  <c r="AF54" i="9" s="1"/>
  <c r="AE53" i="9"/>
  <c r="AF53" i="9" s="1"/>
  <c r="AE50" i="9"/>
  <c r="AF50" i="9" s="1"/>
  <c r="AE49" i="9"/>
  <c r="AF49" i="9" s="1"/>
  <c r="AE46" i="9"/>
  <c r="AF46" i="9" s="1"/>
  <c r="AE45" i="9"/>
  <c r="AF45" i="9" s="1"/>
  <c r="AE42" i="9"/>
  <c r="AF42" i="9" s="1"/>
  <c r="AE41" i="9"/>
  <c r="AF41" i="9" s="1"/>
  <c r="AE40" i="9"/>
  <c r="AF40" i="9" s="1"/>
  <c r="AE37" i="9"/>
  <c r="AF37" i="9" s="1"/>
  <c r="AE36" i="9"/>
  <c r="AF36" i="9" s="1"/>
  <c r="AE33" i="9"/>
  <c r="AF33" i="9" s="1"/>
  <c r="AE32" i="9"/>
  <c r="AF32" i="9" s="1"/>
  <c r="AE31" i="9"/>
  <c r="AF31" i="9" s="1"/>
  <c r="AE28" i="9"/>
  <c r="AF28" i="9" s="1"/>
  <c r="AE27" i="9"/>
  <c r="AF27" i="9" s="1"/>
  <c r="AE26" i="9"/>
  <c r="AF26" i="9" s="1"/>
  <c r="AE25" i="9"/>
  <c r="AF25" i="9" s="1"/>
  <c r="AH13" i="9"/>
  <c r="AH14" i="9" s="1"/>
  <c r="AH15" i="9" s="1"/>
  <c r="AH18" i="9"/>
  <c r="AH22" i="9"/>
  <c r="AH26" i="9"/>
  <c r="AH27" i="9" s="1"/>
  <c r="AH28" i="9" s="1"/>
  <c r="AH32" i="9"/>
  <c r="AH33" i="9" s="1"/>
  <c r="AH37" i="9"/>
  <c r="AH41" i="9"/>
  <c r="AH42" i="9" s="1"/>
  <c r="AH46" i="9"/>
  <c r="AH50" i="9"/>
  <c r="AH54" i="9"/>
  <c r="AH58" i="9"/>
  <c r="AH59" i="9" s="1"/>
  <c r="AH60" i="9" s="1"/>
  <c r="AH64" i="9"/>
  <c r="AH68" i="9"/>
  <c r="AH69" i="9" s="1"/>
  <c r="AH70" i="9" s="1"/>
  <c r="AH74" i="9"/>
  <c r="AH75" i="9" s="1"/>
  <c r="AH79" i="9"/>
  <c r="AH80" i="9" s="1"/>
  <c r="AH84" i="9"/>
  <c r="AH88" i="9"/>
  <c r="AH92" i="9"/>
  <c r="AH93" i="9" s="1"/>
  <c r="AH97" i="9"/>
  <c r="AH98" i="9" s="1"/>
  <c r="AH99" i="9" s="1"/>
  <c r="AH103" i="9"/>
  <c r="AH104" i="9" s="1"/>
  <c r="AH112" i="9"/>
  <c r="AH113" i="9" s="1"/>
  <c r="AH117" i="9"/>
  <c r="AH118" i="9" s="1"/>
  <c r="AH122" i="9"/>
  <c r="AH123" i="9" s="1"/>
  <c r="AH127" i="9"/>
  <c r="AH131" i="9"/>
  <c r="AH132" i="9" s="1"/>
  <c r="AH136" i="9"/>
  <c r="AH140" i="9"/>
  <c r="AH141" i="9" s="1"/>
  <c r="AH145" i="9"/>
  <c r="AH146" i="9" s="1"/>
  <c r="AC153" i="9"/>
  <c r="AA153" i="9"/>
  <c r="B27" i="19" s="1"/>
  <c r="D153" i="9"/>
  <c r="AG153" i="9"/>
  <c r="P161" i="6"/>
  <c r="N161" i="6"/>
  <c r="AP33" i="6"/>
  <c r="AN33" i="6"/>
  <c r="AL33" i="6"/>
  <c r="AE33" i="6"/>
  <c r="AD33" i="6"/>
  <c r="AC33" i="6"/>
  <c r="AB33" i="6"/>
  <c r="AA33" i="6"/>
  <c r="Z33" i="6"/>
  <c r="Y33" i="6"/>
  <c r="X33" i="6"/>
  <c r="AP32" i="6"/>
  <c r="AN32" i="6"/>
  <c r="AL32" i="6"/>
  <c r="AE32" i="6"/>
  <c r="AD32" i="6"/>
  <c r="AC32" i="6"/>
  <c r="AB32" i="6"/>
  <c r="AA32" i="6"/>
  <c r="Z32" i="6"/>
  <c r="Y32" i="6"/>
  <c r="X32" i="6"/>
  <c r="AP31" i="6"/>
  <c r="AN31" i="6"/>
  <c r="AL31" i="6"/>
  <c r="AE31" i="6"/>
  <c r="AD31" i="6"/>
  <c r="AC31" i="6"/>
  <c r="AB31" i="6"/>
  <c r="AA31" i="6"/>
  <c r="Z31" i="6"/>
  <c r="Y31" i="6"/>
  <c r="X31" i="6"/>
  <c r="AP30" i="6"/>
  <c r="AN30" i="6"/>
  <c r="AL30" i="6"/>
  <c r="AE30" i="6"/>
  <c r="AD30" i="6"/>
  <c r="AC30" i="6"/>
  <c r="AB30" i="6"/>
  <c r="AA30" i="6"/>
  <c r="Z30" i="6"/>
  <c r="Y30" i="6"/>
  <c r="X30" i="6"/>
  <c r="AP29" i="6"/>
  <c r="AN29" i="6"/>
  <c r="AL29" i="6"/>
  <c r="AE29" i="6"/>
  <c r="AD29" i="6"/>
  <c r="AC29" i="6"/>
  <c r="AB29" i="6"/>
  <c r="AA29" i="6"/>
  <c r="Z29" i="6"/>
  <c r="Y29" i="6"/>
  <c r="X29" i="6"/>
  <c r="AP28" i="6"/>
  <c r="AN28" i="6"/>
  <c r="AL28" i="6"/>
  <c r="AE28" i="6"/>
  <c r="AD28" i="6"/>
  <c r="AC28" i="6"/>
  <c r="AB28" i="6"/>
  <c r="AA28" i="6"/>
  <c r="Z28" i="6"/>
  <c r="Y28" i="6"/>
  <c r="X28" i="6"/>
  <c r="AP27" i="6"/>
  <c r="AN27" i="6"/>
  <c r="AL27" i="6"/>
  <c r="AE27" i="6"/>
  <c r="AD27" i="6"/>
  <c r="AC27" i="6"/>
  <c r="AB27" i="6"/>
  <c r="AA27" i="6"/>
  <c r="Z27" i="6"/>
  <c r="Y27" i="6"/>
  <c r="X27" i="6"/>
  <c r="AP26" i="6"/>
  <c r="AN26" i="6"/>
  <c r="AL26" i="6"/>
  <c r="AE26" i="6"/>
  <c r="AD26" i="6"/>
  <c r="AC26" i="6"/>
  <c r="AB26" i="6"/>
  <c r="AA26" i="6"/>
  <c r="Z26" i="6"/>
  <c r="Y26" i="6"/>
  <c r="X26" i="6"/>
  <c r="AP25" i="6"/>
  <c r="AN25" i="6"/>
  <c r="AL25" i="6"/>
  <c r="AE25" i="6"/>
  <c r="AD25" i="6"/>
  <c r="AC25" i="6"/>
  <c r="AB25" i="6"/>
  <c r="AA25" i="6"/>
  <c r="Z25" i="6"/>
  <c r="Y25" i="6"/>
  <c r="X25" i="6"/>
  <c r="AP24" i="6"/>
  <c r="AN24" i="6"/>
  <c r="AL24" i="6"/>
  <c r="AK24" i="6"/>
  <c r="AJ24" i="6"/>
  <c r="AI24" i="6"/>
  <c r="AH24" i="6"/>
  <c r="AG24" i="6"/>
  <c r="AF24" i="6"/>
  <c r="AE24" i="6"/>
  <c r="AD24" i="6"/>
  <c r="AC24" i="6"/>
  <c r="AB24" i="6"/>
  <c r="AA24" i="6"/>
  <c r="Z24" i="6"/>
  <c r="Y24" i="6"/>
  <c r="X24" i="6"/>
  <c r="AP23" i="6"/>
  <c r="AN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AP22" i="6"/>
  <c r="AN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AP21" i="6"/>
  <c r="AN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AP20" i="6"/>
  <c r="AN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X20" i="6"/>
  <c r="AP19" i="6"/>
  <c r="AN19" i="6"/>
  <c r="AL19" i="6"/>
  <c r="AK19" i="6"/>
  <c r="AJ19" i="6"/>
  <c r="AI19" i="6"/>
  <c r="AH19" i="6"/>
  <c r="AG19" i="6"/>
  <c r="AF19" i="6"/>
  <c r="AE19" i="6"/>
  <c r="AD19" i="6"/>
  <c r="AC19" i="6"/>
  <c r="AB19" i="6"/>
  <c r="AA19" i="6"/>
  <c r="Z19" i="6"/>
  <c r="Y19" i="6"/>
  <c r="X19" i="6"/>
  <c r="AP18" i="6"/>
  <c r="AN18" i="6"/>
  <c r="AL18" i="6"/>
  <c r="AG18" i="6"/>
  <c r="AE18" i="6"/>
  <c r="AD18" i="6"/>
  <c r="AC18" i="6"/>
  <c r="AB18" i="6"/>
  <c r="AA18" i="6"/>
  <c r="Z18" i="6"/>
  <c r="Y18" i="6"/>
  <c r="X18" i="6"/>
  <c r="AP17" i="6"/>
  <c r="AN17" i="6"/>
  <c r="AL17" i="6"/>
  <c r="AG17" i="6"/>
  <c r="AE17" i="6"/>
  <c r="AD17" i="6"/>
  <c r="AC17" i="6"/>
  <c r="AB17" i="6"/>
  <c r="AA17" i="6"/>
  <c r="Z17" i="6"/>
  <c r="Y17" i="6"/>
  <c r="X17" i="6"/>
  <c r="AP16" i="6"/>
  <c r="AN16" i="6"/>
  <c r="AL16" i="6"/>
  <c r="AG16" i="6"/>
  <c r="AE16" i="6"/>
  <c r="AD16" i="6"/>
  <c r="AC16" i="6"/>
  <c r="AB16" i="6"/>
  <c r="AA16" i="6"/>
  <c r="Z16" i="6"/>
  <c r="Y16" i="6"/>
  <c r="X16" i="6"/>
  <c r="AP15" i="6"/>
  <c r="AN15" i="6"/>
  <c r="AL15" i="6"/>
  <c r="AG15" i="6"/>
  <c r="AE15" i="6"/>
  <c r="AD15" i="6"/>
  <c r="AC15" i="6"/>
  <c r="AB15" i="6"/>
  <c r="AA15" i="6"/>
  <c r="Z15" i="6"/>
  <c r="Y15" i="6"/>
  <c r="X15" i="6"/>
  <c r="AP14" i="6"/>
  <c r="AN14" i="6"/>
  <c r="AL14" i="6"/>
  <c r="AG14" i="6"/>
  <c r="AE14" i="6"/>
  <c r="AD14" i="6"/>
  <c r="AC14" i="6"/>
  <c r="AB14" i="6"/>
  <c r="AA14" i="6"/>
  <c r="Z14" i="6"/>
  <c r="Y14" i="6"/>
  <c r="X14" i="6"/>
  <c r="AP13" i="6"/>
  <c r="AN13" i="6"/>
  <c r="AL13" i="6"/>
  <c r="AG13" i="6"/>
  <c r="AE13" i="6"/>
  <c r="AD13" i="6"/>
  <c r="AC13" i="6"/>
  <c r="AB13" i="6"/>
  <c r="AA13" i="6"/>
  <c r="Z13" i="6"/>
  <c r="Y13" i="6"/>
  <c r="X13" i="6"/>
  <c r="AP12" i="6"/>
  <c r="AN12" i="6"/>
  <c r="AL12" i="6"/>
  <c r="AG12" i="6"/>
  <c r="AE12" i="6"/>
  <c r="AD12" i="6"/>
  <c r="AC12" i="6"/>
  <c r="AB12" i="6"/>
  <c r="AA12" i="6"/>
  <c r="Z12" i="6"/>
  <c r="Y12" i="6"/>
  <c r="X12" i="6"/>
  <c r="AP11" i="6"/>
  <c r="AN11" i="6"/>
  <c r="AL11" i="6"/>
  <c r="AG11" i="6"/>
  <c r="AE11" i="6"/>
  <c r="AD11" i="6"/>
  <c r="AC11" i="6"/>
  <c r="AB11" i="6"/>
  <c r="AA11" i="6"/>
  <c r="Z11" i="6"/>
  <c r="Y11" i="6"/>
  <c r="X11" i="6"/>
  <c r="AP10" i="6"/>
  <c r="AN10" i="6"/>
  <c r="AL10" i="6"/>
  <c r="AG10" i="6"/>
  <c r="AE10" i="6"/>
  <c r="AD10" i="6"/>
  <c r="AC10" i="6"/>
  <c r="AB10" i="6"/>
  <c r="AA10" i="6"/>
  <c r="Z10" i="6"/>
  <c r="Y10" i="6"/>
  <c r="X10" i="6"/>
  <c r="AP9" i="6"/>
  <c r="AN9" i="6"/>
  <c r="AL9" i="6"/>
  <c r="AK9" i="6"/>
  <c r="AJ9" i="6"/>
  <c r="AI9" i="6"/>
  <c r="AH9" i="6"/>
  <c r="AG9" i="6"/>
  <c r="AF9" i="6"/>
  <c r="AE9" i="6"/>
  <c r="AD9" i="6"/>
  <c r="AC9" i="6"/>
  <c r="AB9" i="6"/>
  <c r="AA9" i="6"/>
  <c r="Z9" i="6"/>
  <c r="Y9" i="6"/>
  <c r="X9" i="6"/>
  <c r="AP8" i="6"/>
  <c r="AN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AP7" i="6"/>
  <c r="AN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X7" i="6"/>
  <c r="AP6" i="6"/>
  <c r="AN6" i="6"/>
  <c r="AL6" i="6"/>
  <c r="AK6" i="6"/>
  <c r="AJ6" i="6"/>
  <c r="AI6" i="6"/>
  <c r="AH6" i="6"/>
  <c r="AG6" i="6"/>
  <c r="AF6" i="6"/>
  <c r="AE6" i="6"/>
  <c r="AD6" i="6"/>
  <c r="AC6" i="6"/>
  <c r="AB6" i="6"/>
  <c r="AA6" i="6"/>
  <c r="Z6" i="6"/>
  <c r="Y6" i="6"/>
  <c r="X6" i="6"/>
  <c r="AP5" i="6"/>
  <c r="AN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AP4" i="6"/>
  <c r="AL4" i="6"/>
  <c r="AN4" i="6"/>
  <c r="AF4" i="6"/>
  <c r="Z4" i="6"/>
  <c r="AK4" i="6"/>
  <c r="AJ4" i="6"/>
  <c r="AI4" i="6"/>
  <c r="AH4" i="6"/>
  <c r="AG4" i="6"/>
  <c r="AE4" i="6"/>
  <c r="AD4" i="6"/>
  <c r="AC4" i="6"/>
  <c r="AB4" i="6"/>
  <c r="AA4" i="6"/>
  <c r="Y4" i="6"/>
  <c r="X4" i="6"/>
  <c r="C5" i="5"/>
  <c r="C31" i="5" s="1"/>
  <c r="P34" i="6"/>
  <c r="T34" i="6" s="1"/>
  <c r="O34" i="6"/>
  <c r="N34" i="6"/>
  <c r="M34" i="6"/>
  <c r="K34" i="6"/>
  <c r="B34" i="6"/>
  <c r="R34" i="6"/>
  <c r="U34" i="6"/>
  <c r="T24" i="6"/>
  <c r="AO24" i="6" s="1"/>
  <c r="T23" i="6"/>
  <c r="AO23" i="6" s="1"/>
  <c r="T22" i="6"/>
  <c r="AO22" i="6" s="1"/>
  <c r="T21" i="6"/>
  <c r="AO21" i="6" s="1"/>
  <c r="T20" i="6"/>
  <c r="AO20" i="6" s="1"/>
  <c r="T19" i="6"/>
  <c r="AO19" i="6" s="1"/>
  <c r="T9" i="6"/>
  <c r="AO9" i="6" s="1"/>
  <c r="T8" i="6"/>
  <c r="AO8" i="6" s="1"/>
  <c r="T7" i="6"/>
  <c r="AO7" i="6" s="1"/>
  <c r="T6" i="6"/>
  <c r="AO6" i="6" s="1"/>
  <c r="T5" i="6"/>
  <c r="AO5" i="6" s="1"/>
  <c r="T4" i="6"/>
  <c r="AO4" i="6" s="1"/>
  <c r="R33" i="6"/>
  <c r="AM33" i="6" s="1"/>
  <c r="R32" i="6"/>
  <c r="AM32" i="6" s="1"/>
  <c r="R31" i="6"/>
  <c r="AM31" i="6" s="1"/>
  <c r="R30" i="6"/>
  <c r="AM30" i="6" s="1"/>
  <c r="R29" i="6"/>
  <c r="AM29" i="6" s="1"/>
  <c r="R28" i="6"/>
  <c r="AM28" i="6" s="1"/>
  <c r="R27" i="6"/>
  <c r="AM27" i="6" s="1"/>
  <c r="R26" i="6"/>
  <c r="AM26" i="6" s="1"/>
  <c r="R25" i="6"/>
  <c r="AM25" i="6" s="1"/>
  <c r="R24" i="6"/>
  <c r="AM24" i="6" s="1"/>
  <c r="R23" i="6"/>
  <c r="AM23" i="6" s="1"/>
  <c r="R22" i="6"/>
  <c r="AM22" i="6" s="1"/>
  <c r="R21" i="6"/>
  <c r="AM21" i="6" s="1"/>
  <c r="R20" i="6"/>
  <c r="AM20" i="6" s="1"/>
  <c r="R19" i="6"/>
  <c r="AM19" i="6" s="1"/>
  <c r="R18" i="6"/>
  <c r="AM18" i="6" s="1"/>
  <c r="R17" i="6"/>
  <c r="AM17" i="6" s="1"/>
  <c r="R16" i="6"/>
  <c r="AM16" i="6" s="1"/>
  <c r="R15" i="6"/>
  <c r="AM15" i="6" s="1"/>
  <c r="R14" i="6"/>
  <c r="AM14" i="6" s="1"/>
  <c r="R13" i="6"/>
  <c r="AM13" i="6" s="1"/>
  <c r="R12" i="6"/>
  <c r="AM12" i="6" s="1"/>
  <c r="R11" i="6"/>
  <c r="AM11" i="6" s="1"/>
  <c r="R10" i="6"/>
  <c r="AM10" i="6" s="1"/>
  <c r="R9" i="6"/>
  <c r="AM9" i="6" s="1"/>
  <c r="R8" i="6"/>
  <c r="AM8" i="6" s="1"/>
  <c r="R7" i="6"/>
  <c r="AM7" i="6" s="1"/>
  <c r="R6" i="6"/>
  <c r="AM6" i="6" s="1"/>
  <c r="R5" i="6"/>
  <c r="AM5" i="6" s="1"/>
  <c r="R4" i="6"/>
  <c r="AM4" i="6" s="1"/>
  <c r="P33" i="6"/>
  <c r="T33" i="6" s="1"/>
  <c r="AO33" i="6" s="1"/>
  <c r="O33" i="6"/>
  <c r="AJ33" i="6" s="1"/>
  <c r="N33" i="6"/>
  <c r="AI33" i="6" s="1"/>
  <c r="M33" i="6"/>
  <c r="AH33" i="6" s="1"/>
  <c r="L33" i="6"/>
  <c r="AG33" i="6" s="1"/>
  <c r="P32" i="6"/>
  <c r="T32" i="6" s="1"/>
  <c r="AO32" i="6" s="1"/>
  <c r="O32" i="6"/>
  <c r="AJ32" i="6" s="1"/>
  <c r="N32" i="6"/>
  <c r="AI32" i="6" s="1"/>
  <c r="M32" i="6"/>
  <c r="AH32" i="6" s="1"/>
  <c r="L32" i="6"/>
  <c r="AG32" i="6" s="1"/>
  <c r="P31" i="6"/>
  <c r="T31" i="6" s="1"/>
  <c r="AO31" i="6" s="1"/>
  <c r="O31" i="6"/>
  <c r="AJ31" i="6" s="1"/>
  <c r="N31" i="6"/>
  <c r="AI31" i="6" s="1"/>
  <c r="M31" i="6"/>
  <c r="AH31" i="6" s="1"/>
  <c r="L31" i="6"/>
  <c r="AG31" i="6" s="1"/>
  <c r="P30" i="6"/>
  <c r="T30" i="6" s="1"/>
  <c r="AO30" i="6" s="1"/>
  <c r="O30" i="6"/>
  <c r="AJ30" i="6" s="1"/>
  <c r="N30" i="6"/>
  <c r="AI30" i="6" s="1"/>
  <c r="M30" i="6"/>
  <c r="AH30" i="6" s="1"/>
  <c r="L30" i="6"/>
  <c r="AG30" i="6" s="1"/>
  <c r="P29" i="6"/>
  <c r="T29" i="6" s="1"/>
  <c r="AO29" i="6" s="1"/>
  <c r="O29" i="6"/>
  <c r="AJ29" i="6" s="1"/>
  <c r="N29" i="6"/>
  <c r="AI29" i="6" s="1"/>
  <c r="M29" i="6"/>
  <c r="AH29" i="6" s="1"/>
  <c r="L29" i="6"/>
  <c r="AG29" i="6" s="1"/>
  <c r="P28" i="6"/>
  <c r="T28" i="6" s="1"/>
  <c r="AO28" i="6" s="1"/>
  <c r="O28" i="6"/>
  <c r="AJ28" i="6" s="1"/>
  <c r="N28" i="6"/>
  <c r="AI28" i="6" s="1"/>
  <c r="M28" i="6"/>
  <c r="AH28" i="6" s="1"/>
  <c r="L28" i="6"/>
  <c r="AG28" i="6" s="1"/>
  <c r="P27" i="6"/>
  <c r="T27" i="6" s="1"/>
  <c r="AO27" i="6" s="1"/>
  <c r="O27" i="6"/>
  <c r="AJ27" i="6" s="1"/>
  <c r="N27" i="6"/>
  <c r="AI27" i="6" s="1"/>
  <c r="M27" i="6"/>
  <c r="AH27" i="6" s="1"/>
  <c r="L27" i="6"/>
  <c r="AG27" i="6" s="1"/>
  <c r="P26" i="6"/>
  <c r="T26" i="6" s="1"/>
  <c r="AO26" i="6" s="1"/>
  <c r="O26" i="6"/>
  <c r="AJ26" i="6" s="1"/>
  <c r="N26" i="6"/>
  <c r="AI26" i="6" s="1"/>
  <c r="M26" i="6"/>
  <c r="AH26" i="6" s="1"/>
  <c r="L26" i="6"/>
  <c r="AG26" i="6" s="1"/>
  <c r="P25" i="6"/>
  <c r="AK25" i="6" s="1"/>
  <c r="O25" i="6"/>
  <c r="AJ25" i="6" s="1"/>
  <c r="N25" i="6"/>
  <c r="AI25" i="6" s="1"/>
  <c r="M25" i="6"/>
  <c r="AH25" i="6" s="1"/>
  <c r="L25" i="6"/>
  <c r="AG25" i="6" s="1"/>
  <c r="K33" i="6"/>
  <c r="AF33" i="6" s="1"/>
  <c r="K32" i="6"/>
  <c r="AF32" i="6" s="1"/>
  <c r="K31" i="6"/>
  <c r="AF31" i="6" s="1"/>
  <c r="K30" i="6"/>
  <c r="AF30" i="6" s="1"/>
  <c r="K29" i="6"/>
  <c r="AF29" i="6" s="1"/>
  <c r="K28" i="6"/>
  <c r="AF28" i="6" s="1"/>
  <c r="K27" i="6"/>
  <c r="AF27" i="6" s="1"/>
  <c r="K26" i="6"/>
  <c r="AF26" i="6" s="1"/>
  <c r="K25" i="6"/>
  <c r="AF25" i="6" s="1"/>
  <c r="P18" i="6"/>
  <c r="T18" i="6" s="1"/>
  <c r="AO18" i="6" s="1"/>
  <c r="O18" i="6"/>
  <c r="AJ18" i="6" s="1"/>
  <c r="N18" i="6"/>
  <c r="AI18" i="6" s="1"/>
  <c r="M18" i="6"/>
  <c r="AH18" i="6" s="1"/>
  <c r="K18" i="6"/>
  <c r="AF18" i="6" s="1"/>
  <c r="P17" i="6"/>
  <c r="T17" i="6" s="1"/>
  <c r="AO17" i="6" s="1"/>
  <c r="O17" i="6"/>
  <c r="AJ17" i="6" s="1"/>
  <c r="N17" i="6"/>
  <c r="AI17" i="6" s="1"/>
  <c r="M17" i="6"/>
  <c r="AH17" i="6" s="1"/>
  <c r="K17" i="6"/>
  <c r="AF17" i="6" s="1"/>
  <c r="P16" i="6"/>
  <c r="AK16" i="6" s="1"/>
  <c r="O16" i="6"/>
  <c r="AJ16" i="6" s="1"/>
  <c r="N16" i="6"/>
  <c r="AI16" i="6" s="1"/>
  <c r="M16" i="6"/>
  <c r="AH16" i="6" s="1"/>
  <c r="K16" i="6"/>
  <c r="AF16" i="6" s="1"/>
  <c r="P15" i="6"/>
  <c r="T15" i="6" s="1"/>
  <c r="AO15" i="6" s="1"/>
  <c r="O15" i="6"/>
  <c r="AJ15" i="6" s="1"/>
  <c r="N15" i="6"/>
  <c r="AI15" i="6" s="1"/>
  <c r="M15" i="6"/>
  <c r="AH15" i="6" s="1"/>
  <c r="K15" i="6"/>
  <c r="AF15" i="6" s="1"/>
  <c r="P14" i="6"/>
  <c r="T14" i="6" s="1"/>
  <c r="AO14" i="6" s="1"/>
  <c r="O14" i="6"/>
  <c r="AJ14" i="6" s="1"/>
  <c r="N14" i="6"/>
  <c r="AI14" i="6" s="1"/>
  <c r="M14" i="6"/>
  <c r="AH14" i="6" s="1"/>
  <c r="K14" i="6"/>
  <c r="AF14" i="6" s="1"/>
  <c r="P13" i="6"/>
  <c r="T13" i="6" s="1"/>
  <c r="AO13" i="6" s="1"/>
  <c r="O13" i="6"/>
  <c r="AJ13" i="6" s="1"/>
  <c r="N13" i="6"/>
  <c r="AI13" i="6" s="1"/>
  <c r="M13" i="6"/>
  <c r="AH13" i="6" s="1"/>
  <c r="K13" i="6"/>
  <c r="AF13" i="6" s="1"/>
  <c r="P12" i="6"/>
  <c r="T12" i="6" s="1"/>
  <c r="AO12" i="6" s="1"/>
  <c r="O12" i="6"/>
  <c r="AJ12" i="6" s="1"/>
  <c r="N12" i="6"/>
  <c r="AI12" i="6" s="1"/>
  <c r="M12" i="6"/>
  <c r="AH12" i="6" s="1"/>
  <c r="K12" i="6"/>
  <c r="AF12" i="6" s="1"/>
  <c r="P11" i="6"/>
  <c r="AK11" i="6" s="1"/>
  <c r="O11" i="6"/>
  <c r="AJ11" i="6" s="1"/>
  <c r="N11" i="6"/>
  <c r="AI11" i="6" s="1"/>
  <c r="M11" i="6"/>
  <c r="AH11" i="6" s="1"/>
  <c r="K11" i="6"/>
  <c r="AF11" i="6" s="1"/>
  <c r="P10" i="6"/>
  <c r="T10" i="6" s="1"/>
  <c r="AO10" i="6" s="1"/>
  <c r="O10" i="6"/>
  <c r="AJ10" i="6" s="1"/>
  <c r="N10" i="6"/>
  <c r="AI10" i="6" s="1"/>
  <c r="M10" i="6"/>
  <c r="AH10" i="6" s="1"/>
  <c r="K10" i="6"/>
  <c r="AF10" i="6" s="1"/>
  <c r="B33" i="6"/>
  <c r="W33" i="6" s="1"/>
  <c r="B32" i="6"/>
  <c r="W32" i="6" s="1"/>
  <c r="B31" i="6"/>
  <c r="W31" i="6" s="1"/>
  <c r="B30" i="6"/>
  <c r="W30" i="6" s="1"/>
  <c r="B29" i="6"/>
  <c r="W29" i="6" s="1"/>
  <c r="B28" i="6"/>
  <c r="W28" i="6" s="1"/>
  <c r="B27" i="6"/>
  <c r="W27" i="6" s="1"/>
  <c r="B26" i="6"/>
  <c r="W26" i="6" s="1"/>
  <c r="B25" i="6"/>
  <c r="W25" i="6" s="1"/>
  <c r="B24" i="6"/>
  <c r="W24" i="6" s="1"/>
  <c r="B23" i="6"/>
  <c r="W23" i="6" s="1"/>
  <c r="B22" i="6"/>
  <c r="W22" i="6" s="1"/>
  <c r="B21" i="6"/>
  <c r="W21" i="6" s="1"/>
  <c r="B20" i="6"/>
  <c r="W20" i="6" s="1"/>
  <c r="B19" i="6"/>
  <c r="W19" i="6" s="1"/>
  <c r="B18" i="6"/>
  <c r="W18" i="6" s="1"/>
  <c r="B17" i="6"/>
  <c r="W17" i="6" s="1"/>
  <c r="B16" i="6"/>
  <c r="W16" i="6" s="1"/>
  <c r="B15" i="6"/>
  <c r="W15" i="6" s="1"/>
  <c r="B14" i="6"/>
  <c r="W14" i="6" s="1"/>
  <c r="B13" i="6"/>
  <c r="W13" i="6" s="1"/>
  <c r="B12" i="6"/>
  <c r="W12" i="6" s="1"/>
  <c r="B11" i="6"/>
  <c r="W11" i="6" s="1"/>
  <c r="B10" i="6"/>
  <c r="W10" i="6" s="1"/>
  <c r="B9" i="6"/>
  <c r="W9" i="6" s="1"/>
  <c r="B8" i="6"/>
  <c r="W8" i="6" s="1"/>
  <c r="B7" i="6"/>
  <c r="W7" i="6" s="1"/>
  <c r="B6" i="6"/>
  <c r="W6" i="6" s="1"/>
  <c r="B5" i="6"/>
  <c r="W5" i="6" s="1"/>
  <c r="W4" i="6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E32" i="8"/>
  <c r="E31" i="8"/>
  <c r="E20" i="8"/>
  <c r="E19" i="8"/>
  <c r="E33" i="8"/>
  <c r="E18" i="8"/>
  <c r="E29" i="8"/>
  <c r="E23" i="8"/>
  <c r="E22" i="8"/>
  <c r="E12" i="8"/>
  <c r="E26" i="8"/>
  <c r="E27" i="8"/>
  <c r="E28" i="8"/>
  <c r="E17" i="8"/>
  <c r="E24" i="8"/>
  <c r="E6" i="8"/>
  <c r="E7" i="8"/>
  <c r="E21" i="8"/>
  <c r="E14" i="8"/>
  <c r="E10" i="8"/>
  <c r="E30" i="8"/>
  <c r="E34" i="8"/>
  <c r="E9" i="8"/>
  <c r="E25" i="8"/>
  <c r="E13" i="8"/>
  <c r="E5" i="8"/>
  <c r="E11" i="8"/>
  <c r="E16" i="8"/>
  <c r="E15" i="8"/>
  <c r="E8" i="8"/>
  <c r="D32" i="8"/>
  <c r="C32" i="8"/>
  <c r="D31" i="8"/>
  <c r="C31" i="8"/>
  <c r="D20" i="8"/>
  <c r="C20" i="8"/>
  <c r="D19" i="8"/>
  <c r="C19" i="8"/>
  <c r="D33" i="8"/>
  <c r="C33" i="8"/>
  <c r="D18" i="8"/>
  <c r="C18" i="8"/>
  <c r="D29" i="8"/>
  <c r="C29" i="8"/>
  <c r="D23" i="8"/>
  <c r="C23" i="8"/>
  <c r="D22" i="8"/>
  <c r="C22" i="8"/>
  <c r="D12" i="8"/>
  <c r="C12" i="8"/>
  <c r="D26" i="8"/>
  <c r="C26" i="8"/>
  <c r="D27" i="8"/>
  <c r="C27" i="8"/>
  <c r="D28" i="8"/>
  <c r="C28" i="8"/>
  <c r="D17" i="8"/>
  <c r="C17" i="8"/>
  <c r="D24" i="8"/>
  <c r="C24" i="8"/>
  <c r="D6" i="8"/>
  <c r="C6" i="8"/>
  <c r="D7" i="8"/>
  <c r="C7" i="8"/>
  <c r="D21" i="8"/>
  <c r="C21" i="8"/>
  <c r="D14" i="8"/>
  <c r="C14" i="8"/>
  <c r="D10" i="8"/>
  <c r="C10" i="8"/>
  <c r="D30" i="8"/>
  <c r="C30" i="8"/>
  <c r="D34" i="8"/>
  <c r="C34" i="8"/>
  <c r="D9" i="8"/>
  <c r="C9" i="8"/>
  <c r="D25" i="8"/>
  <c r="C25" i="8"/>
  <c r="D13" i="8"/>
  <c r="C13" i="8"/>
  <c r="D5" i="8"/>
  <c r="C5" i="8"/>
  <c r="D11" i="8"/>
  <c r="C11" i="8"/>
  <c r="D16" i="8"/>
  <c r="C16" i="8"/>
  <c r="D15" i="8"/>
  <c r="C15" i="8"/>
  <c r="D8" i="8"/>
  <c r="C8" i="8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C37" i="5"/>
  <c r="C36" i="5"/>
  <c r="C35" i="5"/>
  <c r="C34" i="5"/>
  <c r="C33" i="5"/>
  <c r="C32" i="5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AG2" i="5" a="1"/>
  <c r="AG2" i="5" s="1"/>
  <c r="AG3" i="5" s="1"/>
  <c r="AF2" i="5" a="1"/>
  <c r="AF2" i="5" s="1"/>
  <c r="AF3" i="5" s="1"/>
  <c r="AE2" i="5" a="1"/>
  <c r="AE2" i="5" s="1"/>
  <c r="AE3" i="5" s="1"/>
  <c r="AD2" i="5" a="1"/>
  <c r="AD2" i="5" s="1"/>
  <c r="AD3" i="5" s="1"/>
  <c r="AC2" i="5" a="1"/>
  <c r="AC2" i="5" s="1"/>
  <c r="AC3" i="5" s="1"/>
  <c r="AB2" i="5" a="1"/>
  <c r="AB2" i="5" s="1"/>
  <c r="AB3" i="5" s="1"/>
  <c r="AA2" i="5" a="1"/>
  <c r="AA2" i="5" s="1"/>
  <c r="AA3" i="5" s="1"/>
  <c r="Z2" i="5" a="1"/>
  <c r="Z2" i="5" s="1"/>
  <c r="Z3" i="5" s="1"/>
  <c r="Y2" i="5" a="1"/>
  <c r="Y2" i="5" s="1"/>
  <c r="Y3" i="5" s="1"/>
  <c r="X2" i="5" a="1"/>
  <c r="X2" i="5" s="1"/>
  <c r="X3" i="5" s="1"/>
  <c r="W2" i="5" a="1"/>
  <c r="W2" i="5" s="1"/>
  <c r="W3" i="5" s="1"/>
  <c r="V2" i="5" a="1"/>
  <c r="V2" i="5" s="1"/>
  <c r="V3" i="5" s="1"/>
  <c r="U2" i="5" a="1"/>
  <c r="U2" i="5" s="1"/>
  <c r="U3" i="5" s="1"/>
  <c r="T2" i="5" a="1"/>
  <c r="T2" i="5" s="1"/>
  <c r="T3" i="5" s="1"/>
  <c r="S2" i="5" a="1"/>
  <c r="S2" i="5" s="1"/>
  <c r="S3" i="5" s="1"/>
  <c r="R2" i="5" a="1"/>
  <c r="R2" i="5" s="1"/>
  <c r="R3" i="5" s="1"/>
  <c r="Q2" i="5" a="1"/>
  <c r="Q2" i="5" s="1"/>
  <c r="Q3" i="5" s="1"/>
  <c r="P2" i="5" a="1"/>
  <c r="P2" i="5" s="1"/>
  <c r="P3" i="5" s="1"/>
  <c r="O2" i="5" a="1"/>
  <c r="O2" i="5" s="1"/>
  <c r="O3" i="5" s="1"/>
  <c r="N2" i="5" a="1"/>
  <c r="N2" i="5" s="1"/>
  <c r="N3" i="5" s="1"/>
  <c r="M2" i="5" a="1"/>
  <c r="M2" i="5" s="1"/>
  <c r="M3" i="5" s="1"/>
  <c r="L2" i="5" a="1"/>
  <c r="L2" i="5" s="1"/>
  <c r="L3" i="5" s="1"/>
  <c r="K2" i="5" a="1"/>
  <c r="K2" i="5" s="1"/>
  <c r="K3" i="5" s="1"/>
  <c r="J2" i="5" a="1"/>
  <c r="J2" i="5" s="1"/>
  <c r="J3" i="5" s="1"/>
  <c r="I2" i="5" a="1"/>
  <c r="I2" i="5" s="1"/>
  <c r="I3" i="5" s="1"/>
  <c r="H2" i="5" a="1"/>
  <c r="H2" i="5" s="1"/>
  <c r="H3" i="5" s="1"/>
  <c r="G2" i="5" a="1"/>
  <c r="G2" i="5" s="1"/>
  <c r="G3" i="5" s="1"/>
  <c r="F2" i="5" a="1"/>
  <c r="F2" i="5" s="1"/>
  <c r="F3" i="5" s="1"/>
  <c r="E2" i="5" a="1"/>
  <c r="E2" i="5" s="1"/>
  <c r="E3" i="5" s="1"/>
  <c r="D2" i="5" a="1"/>
  <c r="D2" i="5" s="1"/>
  <c r="D3" i="5" s="1"/>
  <c r="C2" i="5" a="1"/>
  <c r="C2" i="5" s="1"/>
  <c r="C3" i="5" s="1"/>
  <c r="N5" i="1"/>
  <c r="L5" i="1"/>
  <c r="N4" i="1"/>
  <c r="L4" i="1"/>
  <c r="N3" i="1"/>
  <c r="L3" i="1"/>
  <c r="Y7" i="19" l="1"/>
  <c r="Y8" i="19"/>
  <c r="Y20" i="19"/>
  <c r="Y10" i="19"/>
  <c r="Y5" i="19"/>
  <c r="Y13" i="19"/>
  <c r="Y14" i="19"/>
  <c r="Y9" i="19"/>
  <c r="Y25" i="19"/>
  <c r="Y4" i="19"/>
  <c r="Y21" i="19"/>
  <c r="Y17" i="19"/>
  <c r="Y16" i="19"/>
  <c r="Y6" i="19"/>
  <c r="S27" i="19"/>
  <c r="Y11" i="19"/>
  <c r="Y19" i="19"/>
  <c r="Y22" i="19"/>
  <c r="Y12" i="19"/>
  <c r="Y15" i="19"/>
  <c r="Y23" i="19"/>
  <c r="Y18" i="19"/>
  <c r="Y26" i="19"/>
  <c r="Y24" i="19"/>
  <c r="G27" i="19"/>
  <c r="R27" i="19" s="1"/>
  <c r="AF121" i="16"/>
  <c r="X116" i="16"/>
  <c r="X117" i="16" s="1"/>
  <c r="X57" i="16"/>
  <c r="X73" i="16"/>
  <c r="X74" i="16" s="1"/>
  <c r="AF48" i="16"/>
  <c r="AF117" i="16"/>
  <c r="AF107" i="16"/>
  <c r="X11" i="16"/>
  <c r="X12" i="16" s="1"/>
  <c r="AF69" i="16"/>
  <c r="Y129" i="16"/>
  <c r="Y130" i="16" s="1"/>
  <c r="Y9" i="16"/>
  <c r="Y11" i="16" s="1"/>
  <c r="Y12" i="16" s="1"/>
  <c r="X26" i="16"/>
  <c r="Y56" i="16"/>
  <c r="Y57" i="16" s="1"/>
  <c r="Y58" i="16" s="1"/>
  <c r="X35" i="16"/>
  <c r="X36" i="16" s="1"/>
  <c r="AF40" i="16"/>
  <c r="Y101" i="16"/>
  <c r="Y102" i="16" s="1"/>
  <c r="AM102" i="16" s="1"/>
  <c r="AF64" i="16"/>
  <c r="X129" i="16"/>
  <c r="X130" i="16" s="1"/>
  <c r="X86" i="16"/>
  <c r="X87" i="16" s="1"/>
  <c r="Y143" i="16"/>
  <c r="Y144" i="16" s="1"/>
  <c r="AF22" i="16"/>
  <c r="Y134" i="16"/>
  <c r="Y135" i="16" s="1"/>
  <c r="AF126" i="16"/>
  <c r="X21" i="16"/>
  <c r="X125" i="16"/>
  <c r="X126" i="16" s="1"/>
  <c r="AF27" i="16"/>
  <c r="X111" i="16"/>
  <c r="X143" i="16"/>
  <c r="X144" i="16" s="1"/>
  <c r="Y30" i="16"/>
  <c r="Y31" i="16" s="1"/>
  <c r="AF87" i="16"/>
  <c r="Y108" i="16"/>
  <c r="Y111" i="16" s="1"/>
  <c r="Y112" i="16" s="1"/>
  <c r="AF112" i="16"/>
  <c r="AF12" i="16"/>
  <c r="AF44" i="16"/>
  <c r="X81" i="16"/>
  <c r="X82" i="16" s="1"/>
  <c r="AF31" i="16"/>
  <c r="AF54" i="16"/>
  <c r="AF140" i="16"/>
  <c r="Y92" i="16"/>
  <c r="Y93" i="16" s="1"/>
  <c r="X7" i="16"/>
  <c r="X8" i="16" s="1"/>
  <c r="X15" i="16"/>
  <c r="X16" i="16" s="1"/>
  <c r="X68" i="16"/>
  <c r="X69" i="16" s="1"/>
  <c r="AF82" i="16"/>
  <c r="AF93" i="16"/>
  <c r="X77" i="16"/>
  <c r="X78" i="16" s="1"/>
  <c r="X92" i="16"/>
  <c r="X93" i="16" s="1"/>
  <c r="Y77" i="16"/>
  <c r="Y78" i="16" s="1"/>
  <c r="AF36" i="16"/>
  <c r="X63" i="16"/>
  <c r="X64" i="16" s="1"/>
  <c r="E145" i="16"/>
  <c r="L145" i="16" s="1"/>
  <c r="O145" i="16"/>
  <c r="P145" i="16"/>
  <c r="AF16" i="16"/>
  <c r="Y7" i="16"/>
  <c r="Y8" i="16" s="1"/>
  <c r="AF8" i="16"/>
  <c r="X22" i="16"/>
  <c r="X27" i="16"/>
  <c r="X39" i="16"/>
  <c r="Y37" i="16"/>
  <c r="Y39" i="16" s="1"/>
  <c r="Y40" i="16" s="1"/>
  <c r="X47" i="16"/>
  <c r="Y45" i="16"/>
  <c r="Y47" i="16" s="1"/>
  <c r="Y48" i="16" s="1"/>
  <c r="Y63" i="16"/>
  <c r="Y64" i="16" s="1"/>
  <c r="AF78" i="16"/>
  <c r="AF144" i="16"/>
  <c r="Y23" i="16"/>
  <c r="Y26" i="16" s="1"/>
  <c r="Y27" i="16" s="1"/>
  <c r="X53" i="16"/>
  <c r="Y49" i="16"/>
  <c r="Y53" i="16" s="1"/>
  <c r="Y54" i="16" s="1"/>
  <c r="X97" i="16"/>
  <c r="Y97" i="16"/>
  <c r="Y98" i="16" s="1"/>
  <c r="AF135" i="16"/>
  <c r="X58" i="16"/>
  <c r="AF98" i="16"/>
  <c r="X100" i="16"/>
  <c r="X106" i="16" s="1"/>
  <c r="X120" i="16"/>
  <c r="Y119" i="16"/>
  <c r="Y120" i="16" s="1"/>
  <c r="Y121" i="16" s="1"/>
  <c r="Y100" i="16"/>
  <c r="Y32" i="16"/>
  <c r="Y35" i="16" s="1"/>
  <c r="Y36" i="16" s="1"/>
  <c r="AF130" i="16"/>
  <c r="Y17" i="16"/>
  <c r="Y21" i="16" s="1"/>
  <c r="Y22" i="16" s="1"/>
  <c r="Y86" i="16"/>
  <c r="AF58" i="16"/>
  <c r="AF74" i="16"/>
  <c r="Y139" i="16"/>
  <c r="Y140" i="16" s="1"/>
  <c r="Y14" i="16"/>
  <c r="Y15" i="16" s="1"/>
  <c r="Y16" i="16" s="1"/>
  <c r="X30" i="16"/>
  <c r="C85" i="16"/>
  <c r="Y113" i="16"/>
  <c r="Y116" i="16" s="1"/>
  <c r="Y117" i="16" s="1"/>
  <c r="X43" i="16"/>
  <c r="Y41" i="16"/>
  <c r="Y43" i="16" s="1"/>
  <c r="Y44" i="16" s="1"/>
  <c r="Y122" i="16"/>
  <c r="Y125" i="16" s="1"/>
  <c r="Y126" i="16" s="1"/>
  <c r="C109" i="16"/>
  <c r="X134" i="16"/>
  <c r="N145" i="16"/>
  <c r="X139" i="16"/>
  <c r="Q145" i="16"/>
  <c r="R145" i="16"/>
  <c r="Y65" i="16"/>
  <c r="Y68" i="16" s="1"/>
  <c r="Y69" i="16" s="1"/>
  <c r="Y70" i="16"/>
  <c r="Y73" i="16" s="1"/>
  <c r="Y74" i="16" s="1"/>
  <c r="S145" i="16"/>
  <c r="T145" i="16"/>
  <c r="U145" i="16"/>
  <c r="Y80" i="16"/>
  <c r="Y81" i="16" s="1"/>
  <c r="F145" i="16"/>
  <c r="G145" i="16"/>
  <c r="AB145" i="16"/>
  <c r="H145" i="16"/>
  <c r="I145" i="16"/>
  <c r="J145" i="16"/>
  <c r="K145" i="16"/>
  <c r="AD153" i="9"/>
  <c r="Q161" i="6"/>
  <c r="AF90" i="9"/>
  <c r="AF62" i="9"/>
  <c r="AF86" i="9"/>
  <c r="AF115" i="9"/>
  <c r="AF143" i="9"/>
  <c r="AF44" i="9"/>
  <c r="AF20" i="9"/>
  <c r="AF48" i="9"/>
  <c r="AF77" i="9"/>
  <c r="AF24" i="9"/>
  <c r="AF39" i="9"/>
  <c r="AF101" i="9"/>
  <c r="AF56" i="9"/>
  <c r="AF138" i="9"/>
  <c r="AF129" i="9"/>
  <c r="AF35" i="9"/>
  <c r="AF120" i="9"/>
  <c r="AF148" i="9"/>
  <c r="AF66" i="9"/>
  <c r="AF95" i="9"/>
  <c r="AF72" i="9"/>
  <c r="AF125" i="9"/>
  <c r="AF152" i="9"/>
  <c r="AF106" i="9"/>
  <c r="AF134" i="9"/>
  <c r="AF16" i="9"/>
  <c r="AF52" i="9"/>
  <c r="AF82" i="9"/>
  <c r="AF30" i="9"/>
  <c r="X110" i="9"/>
  <c r="X108" i="9"/>
  <c r="Y65" i="9"/>
  <c r="Y66" i="9" s="1"/>
  <c r="Y89" i="9"/>
  <c r="Y90" i="9" s="1"/>
  <c r="Y85" i="9"/>
  <c r="Y86" i="9" s="1"/>
  <c r="Y128" i="9"/>
  <c r="Y129" i="9" s="1"/>
  <c r="H5" i="12"/>
  <c r="B153" i="9"/>
  <c r="AK153" i="9"/>
  <c r="Y119" i="9"/>
  <c r="Y120" i="9" s="1"/>
  <c r="Y147" i="9"/>
  <c r="Y148" i="9" s="1"/>
  <c r="Y100" i="9"/>
  <c r="Y101" i="9" s="1"/>
  <c r="X15" i="9"/>
  <c r="X16" i="9" s="1"/>
  <c r="Y105" i="9"/>
  <c r="Y106" i="9" s="1"/>
  <c r="Y133" i="9"/>
  <c r="Y134" i="9" s="1"/>
  <c r="X51" i="9"/>
  <c r="X52" i="9" s="1"/>
  <c r="X47" i="9"/>
  <c r="X48" i="9" s="1"/>
  <c r="Y19" i="9"/>
  <c r="Y20" i="9" s="1"/>
  <c r="X65" i="9"/>
  <c r="X66" i="9" s="1"/>
  <c r="X23" i="9"/>
  <c r="X24" i="9" s="1"/>
  <c r="Y51" i="9"/>
  <c r="Y52" i="9" s="1"/>
  <c r="X151" i="9"/>
  <c r="X152" i="9" s="1"/>
  <c r="X43" i="9"/>
  <c r="X44" i="9" s="1"/>
  <c r="X133" i="9"/>
  <c r="X134" i="9" s="1"/>
  <c r="X128" i="9"/>
  <c r="Y61" i="9"/>
  <c r="Y62" i="9" s="1"/>
  <c r="X76" i="9"/>
  <c r="X77" i="9" s="1"/>
  <c r="X34" i="9"/>
  <c r="X35" i="9" s="1"/>
  <c r="X147" i="9"/>
  <c r="X71" i="9"/>
  <c r="X72" i="9" s="1"/>
  <c r="Y31" i="9"/>
  <c r="Y34" i="9" s="1"/>
  <c r="Y35" i="9" s="1"/>
  <c r="X38" i="9"/>
  <c r="X39" i="9" s="1"/>
  <c r="Y40" i="9"/>
  <c r="Y43" i="9" s="1"/>
  <c r="Y44" i="9" s="1"/>
  <c r="X137" i="9"/>
  <c r="X138" i="9" s="1"/>
  <c r="Y45" i="9"/>
  <c r="Y47" i="9" s="1"/>
  <c r="Y48" i="9" s="1"/>
  <c r="Y76" i="9"/>
  <c r="Y77" i="9" s="1"/>
  <c r="X105" i="9"/>
  <c r="X106" i="9" s="1"/>
  <c r="X29" i="9"/>
  <c r="X30" i="9" s="1"/>
  <c r="Y71" i="9"/>
  <c r="Y72" i="9" s="1"/>
  <c r="X119" i="9"/>
  <c r="X120" i="9" s="1"/>
  <c r="X100" i="9"/>
  <c r="X101" i="9" s="1"/>
  <c r="X81" i="9"/>
  <c r="X82" i="9" s="1"/>
  <c r="X142" i="9"/>
  <c r="X143" i="9" s="1"/>
  <c r="X94" i="9"/>
  <c r="X19" i="9"/>
  <c r="X20" i="9" s="1"/>
  <c r="X61" i="9"/>
  <c r="X62" i="9" s="1"/>
  <c r="X55" i="9"/>
  <c r="X56" i="9" s="1"/>
  <c r="X124" i="9"/>
  <c r="X125" i="9" s="1"/>
  <c r="Y12" i="9"/>
  <c r="Y15" i="9" s="1"/>
  <c r="Y16" i="9" s="1"/>
  <c r="X89" i="9"/>
  <c r="X90" i="9" s="1"/>
  <c r="Y55" i="9"/>
  <c r="Y56" i="9" s="1"/>
  <c r="Y137" i="9"/>
  <c r="Y138" i="9" s="1"/>
  <c r="X85" i="9"/>
  <c r="X86" i="9" s="1"/>
  <c r="Y81" i="9"/>
  <c r="Y82" i="9" s="1"/>
  <c r="Y23" i="9"/>
  <c r="Y24" i="9" s="1"/>
  <c r="Y114" i="9"/>
  <c r="Y115" i="9" s="1"/>
  <c r="Y94" i="9"/>
  <c r="Y95" i="9" s="1"/>
  <c r="Y142" i="9"/>
  <c r="Y143" i="9" s="1"/>
  <c r="Y124" i="9"/>
  <c r="Y125" i="9" s="1"/>
  <c r="Y29" i="9"/>
  <c r="Y30" i="9" s="1"/>
  <c r="Y38" i="9"/>
  <c r="Y39" i="9" s="1"/>
  <c r="Y151" i="9"/>
  <c r="Y152" i="9" s="1"/>
  <c r="C153" i="9"/>
  <c r="AB153" i="9"/>
  <c r="O161" i="6"/>
  <c r="T11" i="6"/>
  <c r="AO11" i="6" s="1"/>
  <c r="AR11" i="6" s="1"/>
  <c r="AR7" i="6"/>
  <c r="AR24" i="6"/>
  <c r="AK31" i="6"/>
  <c r="AR31" i="6" s="1"/>
  <c r="AR4" i="6"/>
  <c r="T25" i="6"/>
  <c r="AO25" i="6" s="1"/>
  <c r="AR25" i="6" s="1"/>
  <c r="AR20" i="6"/>
  <c r="AR6" i="6"/>
  <c r="AK27" i="6"/>
  <c r="AR27" i="6" s="1"/>
  <c r="AK28" i="6"/>
  <c r="AR28" i="6" s="1"/>
  <c r="AK13" i="6"/>
  <c r="AR13" i="6" s="1"/>
  <c r="AR19" i="6"/>
  <c r="AK17" i="6"/>
  <c r="AR17" i="6" s="1"/>
  <c r="AR22" i="6"/>
  <c r="AR23" i="6"/>
  <c r="AR8" i="6"/>
  <c r="AR9" i="6"/>
  <c r="AR5" i="6"/>
  <c r="AR21" i="6"/>
  <c r="AK15" i="6"/>
  <c r="AR15" i="6" s="1"/>
  <c r="AK12" i="6"/>
  <c r="AR12" i="6" s="1"/>
  <c r="AK32" i="6"/>
  <c r="AR32" i="6" s="1"/>
  <c r="AK33" i="6"/>
  <c r="AR33" i="6" s="1"/>
  <c r="AK29" i="6"/>
  <c r="AR29" i="6" s="1"/>
  <c r="AK10" i="6"/>
  <c r="AR10" i="6" s="1"/>
  <c r="AK14" i="6"/>
  <c r="AR14" i="6" s="1"/>
  <c r="AK18" i="6"/>
  <c r="AR18" i="6" s="1"/>
  <c r="AK26" i="6"/>
  <c r="AR26" i="6" s="1"/>
  <c r="AK30" i="6"/>
  <c r="AR30" i="6" s="1"/>
  <c r="T16" i="6"/>
  <c r="AO16" i="6" s="1"/>
  <c r="AR16" i="6" s="1"/>
  <c r="F4" i="5"/>
  <c r="G4" i="5"/>
  <c r="H4" i="5"/>
  <c r="I4" i="5"/>
  <c r="N4" i="5"/>
  <c r="Q4" i="5"/>
  <c r="R4" i="5"/>
  <c r="S4" i="5"/>
  <c r="T4" i="5"/>
  <c r="U4" i="5"/>
  <c r="V4" i="5"/>
  <c r="W4" i="5"/>
  <c r="X4" i="5"/>
  <c r="Y4" i="5"/>
  <c r="D4" i="5"/>
  <c r="AD4" i="5"/>
  <c r="E4" i="5"/>
  <c r="AG4" i="5"/>
  <c r="J4" i="5"/>
  <c r="Z4" i="5"/>
  <c r="K4" i="5"/>
  <c r="AA4" i="5"/>
  <c r="L4" i="5"/>
  <c r="AB4" i="5"/>
  <c r="M4" i="5"/>
  <c r="AC4" i="5"/>
  <c r="O4" i="5"/>
  <c r="AE4" i="5"/>
  <c r="P4" i="5"/>
  <c r="AF4" i="5"/>
  <c r="C4" i="5"/>
  <c r="W143" i="16" l="1"/>
  <c r="W144" i="16" s="1"/>
  <c r="W92" i="16"/>
  <c r="W93" i="16" s="1"/>
  <c r="W7" i="16"/>
  <c r="W8" i="16" s="1"/>
  <c r="W129" i="16"/>
  <c r="W130" i="16" s="1"/>
  <c r="W57" i="16"/>
  <c r="W58" i="16" s="1"/>
  <c r="Y82" i="16"/>
  <c r="W81" i="16"/>
  <c r="W82" i="16" s="1"/>
  <c r="X112" i="16"/>
  <c r="W111" i="16"/>
  <c r="W112" i="16" s="1"/>
  <c r="W116" i="16"/>
  <c r="W117" i="16" s="1"/>
  <c r="AM100" i="16"/>
  <c r="W77" i="16"/>
  <c r="W78" i="16" s="1"/>
  <c r="W63" i="16"/>
  <c r="W64" i="16" s="1"/>
  <c r="W11" i="16"/>
  <c r="W12" i="16" s="1"/>
  <c r="W26" i="16"/>
  <c r="W27" i="16" s="1"/>
  <c r="C110" i="16"/>
  <c r="W47" i="16"/>
  <c r="W48" i="16" s="1"/>
  <c r="X48" i="16"/>
  <c r="X140" i="16"/>
  <c r="W139" i="16"/>
  <c r="W140" i="16" s="1"/>
  <c r="W30" i="16"/>
  <c r="W31" i="16" s="1"/>
  <c r="X31" i="16"/>
  <c r="Y87" i="16"/>
  <c r="W86" i="16"/>
  <c r="W87" i="16" s="1"/>
  <c r="W97" i="16"/>
  <c r="W98" i="16" s="1"/>
  <c r="X98" i="16"/>
  <c r="W21" i="16"/>
  <c r="W22" i="16" s="1"/>
  <c r="W53" i="16"/>
  <c r="W54" i="16" s="1"/>
  <c r="X54" i="16"/>
  <c r="W35" i="16"/>
  <c r="W36" i="16" s="1"/>
  <c r="X107" i="16"/>
  <c r="W43" i="16"/>
  <c r="W44" i="16" s="1"/>
  <c r="X44" i="16"/>
  <c r="W73" i="16"/>
  <c r="W74" i="16" s="1"/>
  <c r="W134" i="16"/>
  <c r="W135" i="16" s="1"/>
  <c r="X135" i="16"/>
  <c r="W125" i="16"/>
  <c r="W126" i="16" s="1"/>
  <c r="W39" i="16"/>
  <c r="W40" i="16" s="1"/>
  <c r="X40" i="16"/>
  <c r="C86" i="16"/>
  <c r="Y106" i="16"/>
  <c r="Y107" i="16" s="1"/>
  <c r="X121" i="16"/>
  <c r="W120" i="16"/>
  <c r="W121" i="16" s="1"/>
  <c r="W68" i="16"/>
  <c r="W69" i="16" s="1"/>
  <c r="W15" i="16"/>
  <c r="W16" i="16" s="1"/>
  <c r="V151" i="9"/>
  <c r="V152" i="9" s="1"/>
  <c r="V131" i="9"/>
  <c r="V111" i="9"/>
  <c r="V89" i="9"/>
  <c r="V90" i="9" s="1"/>
  <c r="V69" i="9"/>
  <c r="V49" i="9"/>
  <c r="V28" i="9"/>
  <c r="V25" i="9"/>
  <c r="V150" i="9"/>
  <c r="V130" i="9"/>
  <c r="V110" i="9"/>
  <c r="AM110" i="9" s="1"/>
  <c r="V88" i="9"/>
  <c r="V68" i="9"/>
  <c r="V47" i="9"/>
  <c r="V48" i="9" s="1"/>
  <c r="V27" i="9"/>
  <c r="V67" i="9"/>
  <c r="V26" i="9"/>
  <c r="V45" i="9"/>
  <c r="V149" i="9"/>
  <c r="V128" i="9"/>
  <c r="V129" i="9" s="1"/>
  <c r="V108" i="9"/>
  <c r="AM108" i="9" s="1"/>
  <c r="V87" i="9"/>
  <c r="V46" i="9"/>
  <c r="V23" i="9"/>
  <c r="V24" i="9" s="1"/>
  <c r="V147" i="9"/>
  <c r="V148" i="9" s="1"/>
  <c r="V127" i="9"/>
  <c r="V105" i="9"/>
  <c r="V106" i="9" s="1"/>
  <c r="V85" i="9"/>
  <c r="V86" i="9" s="1"/>
  <c r="V65" i="9"/>
  <c r="V66" i="9" s="1"/>
  <c r="V146" i="9"/>
  <c r="V126" i="9"/>
  <c r="V104" i="9"/>
  <c r="V84" i="9"/>
  <c r="V64" i="9"/>
  <c r="V43" i="9"/>
  <c r="V44" i="9" s="1"/>
  <c r="V145" i="9"/>
  <c r="V124" i="9"/>
  <c r="V125" i="9" s="1"/>
  <c r="V103" i="9"/>
  <c r="V83" i="9"/>
  <c r="V63" i="9"/>
  <c r="V42" i="9"/>
  <c r="V144" i="9"/>
  <c r="V123" i="9"/>
  <c r="V102" i="9"/>
  <c r="V81" i="9"/>
  <c r="V82" i="9" s="1"/>
  <c r="V61" i="9"/>
  <c r="V62" i="9" s="1"/>
  <c r="V41" i="9"/>
  <c r="V21" i="9"/>
  <c r="V70" i="9"/>
  <c r="V142" i="9"/>
  <c r="V143" i="9" s="1"/>
  <c r="V122" i="9"/>
  <c r="V100" i="9"/>
  <c r="V101" i="9" s="1"/>
  <c r="V80" i="9"/>
  <c r="V60" i="9"/>
  <c r="V40" i="9"/>
  <c r="V19" i="9"/>
  <c r="V20" i="9" s="1"/>
  <c r="V34" i="9"/>
  <c r="V35" i="9" s="1"/>
  <c r="V50" i="9"/>
  <c r="V141" i="9"/>
  <c r="V121" i="9"/>
  <c r="V99" i="9"/>
  <c r="V79" i="9"/>
  <c r="V59" i="9"/>
  <c r="V38" i="9"/>
  <c r="V39" i="9" s="1"/>
  <c r="V18" i="9"/>
  <c r="V57" i="9"/>
  <c r="V33" i="9"/>
  <c r="V22" i="9"/>
  <c r="V140" i="9"/>
  <c r="V119" i="9"/>
  <c r="V120" i="9" s="1"/>
  <c r="V98" i="9"/>
  <c r="V78" i="9"/>
  <c r="V58" i="9"/>
  <c r="V37" i="9"/>
  <c r="V17" i="9"/>
  <c r="V36" i="9"/>
  <c r="V32" i="9"/>
  <c r="V139" i="9"/>
  <c r="V118" i="9"/>
  <c r="V97" i="9"/>
  <c r="V76" i="9"/>
  <c r="V77" i="9" s="1"/>
  <c r="V15" i="9"/>
  <c r="V16" i="9" s="1"/>
  <c r="V137" i="9"/>
  <c r="V138" i="9" s="1"/>
  <c r="V117" i="9"/>
  <c r="V96" i="9"/>
  <c r="V75" i="9"/>
  <c r="V55" i="9"/>
  <c r="V56" i="9" s="1"/>
  <c r="V136" i="9"/>
  <c r="V116" i="9"/>
  <c r="V94" i="9"/>
  <c r="V95" i="9" s="1"/>
  <c r="V74" i="9"/>
  <c r="V54" i="9"/>
  <c r="V135" i="9"/>
  <c r="V114" i="9"/>
  <c r="V115" i="9" s="1"/>
  <c r="V93" i="9"/>
  <c r="V73" i="9"/>
  <c r="V53" i="9"/>
  <c r="V133" i="9"/>
  <c r="V134" i="9" s="1"/>
  <c r="V113" i="9"/>
  <c r="V92" i="9"/>
  <c r="V71" i="9"/>
  <c r="V72" i="9" s="1"/>
  <c r="V51" i="9"/>
  <c r="V52" i="9" s="1"/>
  <c r="V31" i="9"/>
  <c r="V132" i="9"/>
  <c r="V112" i="9"/>
  <c r="V91" i="9"/>
  <c r="V29" i="9"/>
  <c r="V30" i="9" s="1"/>
  <c r="V12" i="9"/>
  <c r="V14" i="9"/>
  <c r="V13" i="9"/>
  <c r="U153" i="9"/>
  <c r="T153" i="9"/>
  <c r="S153" i="9"/>
  <c r="R153" i="9"/>
  <c r="Q153" i="9"/>
  <c r="P153" i="9"/>
  <c r="O153" i="9"/>
  <c r="N153" i="9"/>
  <c r="M153" i="9"/>
  <c r="E153" i="9"/>
  <c r="L153" i="9" s="1"/>
  <c r="X114" i="9"/>
  <c r="X115" i="9" s="1"/>
  <c r="W147" i="9"/>
  <c r="W148" i="9" s="1"/>
  <c r="X148" i="9"/>
  <c r="W128" i="9"/>
  <c r="W129" i="9" s="1"/>
  <c r="X129" i="9"/>
  <c r="W94" i="9"/>
  <c r="W95" i="9" s="1"/>
  <c r="X95" i="9"/>
  <c r="W119" i="9"/>
  <c r="W120" i="9" s="1"/>
  <c r="W65" i="9"/>
  <c r="W66" i="9" s="1"/>
  <c r="W85" i="9"/>
  <c r="W86" i="9" s="1"/>
  <c r="W51" i="9"/>
  <c r="W52" i="9" s="1"/>
  <c r="W142" i="9"/>
  <c r="W143" i="9" s="1"/>
  <c r="W89" i="9"/>
  <c r="W90" i="9" s="1"/>
  <c r="W15" i="9"/>
  <c r="W19" i="9"/>
  <c r="W133" i="9"/>
  <c r="W134" i="9" s="1"/>
  <c r="W105" i="9"/>
  <c r="W106" i="9" s="1"/>
  <c r="H153" i="9"/>
  <c r="G153" i="9"/>
  <c r="J153" i="9"/>
  <c r="I153" i="9"/>
  <c r="K153" i="9"/>
  <c r="F153" i="9"/>
  <c r="W100" i="9"/>
  <c r="W101" i="9" s="1"/>
  <c r="W137" i="9"/>
  <c r="W138" i="9" s="1"/>
  <c r="W55" i="9"/>
  <c r="W56" i="9" s="1"/>
  <c r="W81" i="9"/>
  <c r="W82" i="9" s="1"/>
  <c r="W76" i="9"/>
  <c r="W77" i="9" s="1"/>
  <c r="W71" i="9"/>
  <c r="W72" i="9" s="1"/>
  <c r="W23" i="9"/>
  <c r="W24" i="9" s="1"/>
  <c r="W47" i="9"/>
  <c r="W48" i="9" s="1"/>
  <c r="W124" i="9"/>
  <c r="W125" i="9" s="1"/>
  <c r="W61" i="9"/>
  <c r="W62" i="9" s="1"/>
  <c r="W34" i="9"/>
  <c r="W35" i="9" s="1"/>
  <c r="W29" i="9"/>
  <c r="W30" i="9" s="1"/>
  <c r="W43" i="9"/>
  <c r="W44" i="9" s="1"/>
  <c r="W151" i="9"/>
  <c r="W152" i="9" s="1"/>
  <c r="W38" i="9"/>
  <c r="W39" i="9" s="1"/>
  <c r="AM24" i="9" l="1"/>
  <c r="W106" i="16"/>
  <c r="W107" i="16" s="1"/>
  <c r="C111" i="16"/>
  <c r="C87" i="16"/>
  <c r="AM90" i="9"/>
  <c r="AM125" i="9"/>
  <c r="AM106" i="9"/>
  <c r="AM152" i="9"/>
  <c r="AM143" i="9"/>
  <c r="AM35" i="9"/>
  <c r="AM86" i="9"/>
  <c r="AM77" i="9"/>
  <c r="AM39" i="9"/>
  <c r="AM56" i="9"/>
  <c r="AM52" i="9"/>
  <c r="AM66" i="9"/>
  <c r="AM120" i="9"/>
  <c r="AM62" i="9"/>
  <c r="AM82" i="9"/>
  <c r="AM44" i="9"/>
  <c r="AM30" i="9"/>
  <c r="AM134" i="9"/>
  <c r="AM48" i="9"/>
  <c r="AM72" i="9"/>
  <c r="AM138" i="9"/>
  <c r="AM101" i="9"/>
  <c r="W114" i="9"/>
  <c r="W115" i="9" s="1"/>
  <c r="AM115" i="9" s="1"/>
  <c r="W16" i="9"/>
  <c r="AM16" i="9" s="1"/>
  <c r="AM95" i="9"/>
  <c r="AM148" i="9"/>
  <c r="AM129" i="9"/>
  <c r="W20" i="9"/>
  <c r="AM20" i="9" s="1"/>
  <c r="C112" i="16" l="1"/>
  <c r="V113" i="16" s="1"/>
  <c r="V52" i="16"/>
  <c r="V95" i="16"/>
  <c r="V32" i="16"/>
  <c r="V105" i="16"/>
  <c r="V136" i="16"/>
  <c r="V20" i="16"/>
  <c r="V92" i="16"/>
  <c r="V93" i="16" s="1"/>
  <c r="AM93" i="16" s="1"/>
  <c r="V128" i="16"/>
  <c r="V70" i="16"/>
  <c r="V91" i="16"/>
  <c r="V62" i="16" l="1"/>
  <c r="V49" i="16"/>
  <c r="V18" i="16"/>
  <c r="V110" i="16"/>
  <c r="V111" i="16"/>
  <c r="V112" i="16" s="1"/>
  <c r="AM112" i="16" s="1"/>
  <c r="V80" i="16"/>
  <c r="V97" i="16"/>
  <c r="V98" i="16" s="1"/>
  <c r="AM98" i="16" s="1"/>
  <c r="V23" i="16"/>
  <c r="V94" i="16"/>
  <c r="V103" i="16"/>
  <c r="V17" i="16"/>
  <c r="V133" i="16"/>
  <c r="V104" i="16"/>
  <c r="V42" i="16"/>
  <c r="V46" i="16"/>
  <c r="V59" i="16"/>
  <c r="V55" i="16"/>
  <c r="V123" i="16"/>
  <c r="V90" i="16"/>
  <c r="V15" i="16"/>
  <c r="V16" i="16" s="1"/>
  <c r="AM16" i="16" s="1"/>
  <c r="V6" i="16"/>
  <c r="V41" i="16"/>
  <c r="V43" i="16"/>
  <c r="V44" i="16" s="1"/>
  <c r="AM44" i="16" s="1"/>
  <c r="V116" i="16"/>
  <c r="V117" i="16" s="1"/>
  <c r="AM117" i="16" s="1"/>
  <c r="V66" i="16"/>
  <c r="V19" i="16"/>
  <c r="V38" i="16"/>
  <c r="V10" i="16"/>
  <c r="V29" i="16"/>
  <c r="V127" i="16"/>
  <c r="V34" i="16"/>
  <c r="V67" i="16"/>
  <c r="V76" i="16"/>
  <c r="V47" i="16"/>
  <c r="V48" i="16" s="1"/>
  <c r="AM48" i="16" s="1"/>
  <c r="V30" i="16"/>
  <c r="V31" i="16" s="1"/>
  <c r="AM31" i="16" s="1"/>
  <c r="V134" i="16"/>
  <c r="V135" i="16" s="1"/>
  <c r="AM135" i="16" s="1"/>
  <c r="V37" i="16"/>
  <c r="V65" i="16"/>
  <c r="V7" i="16"/>
  <c r="V8" i="16" s="1"/>
  <c r="AM8" i="16" s="1"/>
  <c r="V106" i="16"/>
  <c r="V107" i="16" s="1"/>
  <c r="AM107" i="16" s="1"/>
  <c r="V21" i="16"/>
  <c r="V22" i="16" s="1"/>
  <c r="AM22" i="16" s="1"/>
  <c r="V89" i="16"/>
  <c r="V120" i="16"/>
  <c r="V121" i="16" s="1"/>
  <c r="AM121" i="16" s="1"/>
  <c r="V35" i="16"/>
  <c r="V36" i="16" s="1"/>
  <c r="AM36" i="16" s="1"/>
  <c r="V25" i="16"/>
  <c r="V83" i="16"/>
  <c r="V73" i="16"/>
  <c r="V74" i="16" s="1"/>
  <c r="AM74" i="16" s="1"/>
  <c r="V139" i="16"/>
  <c r="V140" i="16" s="1"/>
  <c r="AM140" i="16" s="1"/>
  <c r="V56" i="16"/>
  <c r="V61" i="16"/>
  <c r="V85" i="16"/>
  <c r="V108" i="16"/>
  <c r="V33" i="16"/>
  <c r="V115" i="16"/>
  <c r="V68" i="16"/>
  <c r="V69" i="16" s="1"/>
  <c r="AM69" i="16" s="1"/>
  <c r="V109" i="16"/>
  <c r="V28" i="16"/>
  <c r="V75" i="16"/>
  <c r="V138" i="16"/>
  <c r="V142" i="16"/>
  <c r="V53" i="16"/>
  <c r="V54" i="16" s="1"/>
  <c r="AM54" i="16" s="1"/>
  <c r="V45" i="16"/>
  <c r="V77" i="16"/>
  <c r="V78" i="16" s="1"/>
  <c r="AM78" i="16" s="1"/>
  <c r="V71" i="16"/>
  <c r="V132" i="16"/>
  <c r="V119" i="16"/>
  <c r="V86" i="16"/>
  <c r="V87" i="16" s="1"/>
  <c r="AM87" i="16" s="1"/>
  <c r="V26" i="16"/>
  <c r="V27" i="16" s="1"/>
  <c r="AM27" i="16" s="1"/>
  <c r="V5" i="16"/>
  <c r="V137" i="16"/>
  <c r="V122" i="16"/>
  <c r="V88" i="16"/>
  <c r="V63" i="16"/>
  <c r="V64" i="16" s="1"/>
  <c r="AM64" i="16" s="1"/>
  <c r="V24" i="16"/>
  <c r="V60" i="16"/>
  <c r="V114" i="16"/>
  <c r="V141" i="16"/>
  <c r="V57" i="16"/>
  <c r="V58" i="16" s="1"/>
  <c r="AM58" i="16" s="1"/>
  <c r="V51" i="16"/>
  <c r="V9" i="16"/>
  <c r="V129" i="16"/>
  <c r="V130" i="16" s="1"/>
  <c r="AM130" i="16" s="1"/>
  <c r="V96" i="16"/>
  <c r="V14" i="16"/>
  <c r="V131" i="16"/>
  <c r="V118" i="16"/>
  <c r="V125" i="16"/>
  <c r="V126" i="16" s="1"/>
  <c r="AM126" i="16" s="1"/>
  <c r="V39" i="16"/>
  <c r="V40" i="16" s="1"/>
  <c r="AM40" i="16" s="1"/>
  <c r="V50" i="16"/>
  <c r="V11" i="16"/>
  <c r="V12" i="16" s="1"/>
  <c r="AM12" i="16" s="1"/>
  <c r="V81" i="16"/>
  <c r="V82" i="16" s="1"/>
  <c r="AM82" i="16" s="1"/>
  <c r="V72" i="16"/>
  <c r="V84" i="16"/>
  <c r="V79" i="16"/>
  <c r="V13" i="16"/>
  <c r="V4" i="16"/>
  <c r="V124" i="16"/>
  <c r="V143" i="16"/>
  <c r="V144" i="16" s="1"/>
  <c r="AM144" i="1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tc={385ADD36-4A56-4DAA-B2B8-4A089A2CA486}</author>
  </authors>
  <commentList>
    <comment ref="R2" authorId="0" shapeId="0" xr:uid="{385ADD36-4A56-4DAA-B2B8-4A089A2CA486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field?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tc={6E1E8C1F-C767-45AE-A8C7-F0A66578DD88}</author>
  </authors>
  <commentList>
    <comment ref="C8" authorId="0" shapeId="0" xr:uid="{6E1E8C1F-C767-45AE-A8C7-F0A66578DD88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field?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tc={CB522B4D-6E6D-411E-8986-09A70C231C14}</author>
  </authors>
  <commentList>
    <comment ref="C5" authorId="0" shapeId="0" xr:uid="{CB522B4D-6E6D-411E-8986-09A70C231C14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Computed field?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tc={96EF426C-54A9-49D7-AF87-BD22D2C63A1F}</author>
    <author>tc={B075416D-7FBF-45A1-B4E1-E592B203D233}</author>
    <author>tc={DFE6E58E-0681-466B-ABC5-3E789B29B03B}</author>
    <author>tc={5FABDA85-C6FB-4F9B-8657-6EB08B8D91C4}</author>
    <author>tc={323E6D18-1200-4265-9037-5A3899C49F43}</author>
    <author>tc={9BB8D5BA-E15B-4641-801D-89E789BDB436}</author>
  </authors>
  <commentList>
    <comment ref="E16" authorId="0" shapeId="0" xr:uid="{96EF426C-54A9-49D7-AF87-BD22D2C63A1F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extended reference</t>
      </text>
    </comment>
    <comment ref="E24" authorId="1" shapeId="0" xr:uid="{B075416D-7FBF-45A1-B4E1-E592B203D233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extended reference</t>
      </text>
    </comment>
    <comment ref="C31" authorId="2" shapeId="0" xr:uid="{DFE6E58E-0681-466B-ABC5-3E789B29B03B}">
      <text>
        <t>[Threaded comment]
Your version of Excel allows you to read this threaded comment; however, any edits to it will get removed if the file is opened in a newer version of Excel. Learn more: https://go.microsoft.com/fwlink/?linkid=870924
Comment:
    Debit/Credit</t>
      </text>
    </comment>
    <comment ref="E32" authorId="3" shapeId="0" xr:uid="{5FABDA85-C6FB-4F9B-8657-6EB08B8D91C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extended reference</t>
      </text>
    </comment>
    <comment ref="G37" authorId="4" shapeId="0" xr:uid="{323E6D18-1200-4265-9037-5A3899C49F43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computed pattern</t>
      </text>
    </comment>
    <comment ref="G38" authorId="5" shapeId="0" xr:uid="{9BB8D5BA-E15B-4641-801D-89E789BDB436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computed pattern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tc={F81155E4-9F96-49DC-8543-1E3165092698}</author>
    <author>tc={89E49FF9-E79C-474D-86FF-05BB9477C5D1}</author>
    <author>tc={05294A45-06F8-4652-A164-91350BC2492E}</author>
    <author>tc={892F8864-2FE1-4D05-BE65-27866EDC834B}</author>
  </authors>
  <commentList>
    <comment ref="B22" authorId="0" shapeId="0" xr:uid="{F81155E4-9F96-49DC-8543-1E3165092698}">
      <text>
        <t>[Threaded comment]
Your version of Excel allows you to read this threaded comment; however, any edits to it will get removed if the file is opened in a newer version of Excel. Learn more: https://go.microsoft.com/fwlink/?linkid=870924
Comment:
    Debit/Credit</t>
      </text>
    </comment>
    <comment ref="B30" authorId="1" shapeId="0" xr:uid="{89E49FF9-E79C-474D-86FF-05BB9477C5D1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extended reference</t>
      </text>
    </comment>
    <comment ref="B62" authorId="2" shapeId="0" xr:uid="{05294A45-06F8-4652-A164-91350BC2492E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computed pattern</t>
      </text>
    </comment>
    <comment ref="B63" authorId="3" shapeId="0" xr:uid="{892F8864-2FE1-4D05-BE65-27866EDC834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computed pattern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tc={64BAF25D-B69B-4581-A16C-2142EF1342D0}</author>
  </authors>
  <commentList>
    <comment ref="AH11" authorId="0" shapeId="0" xr:uid="{64BAF25D-B69B-4581-A16C-2142EF1342D0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Accepts order from 8 AM to 12 NN only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tc={DDF3675D-73E0-4486-B5E6-3A85E20665C8}</author>
  </authors>
  <commentList>
    <comment ref="AH3" authorId="0" shapeId="0" xr:uid="{DDF3675D-73E0-4486-B5E6-3A85E20665C8}">
      <text>
        <t>[Threaded comment]
Your version of Excel allows you to read this threaded comment; however, any edits to it will get removed if the file is opened in a newer version of Excel. Learn more: https://go.microsoft.com/fwlink/?linkid=870924
Comment:
    Accepts order from 8 AM to 12 NN only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<sst xmlns="http://schemas.openxmlformats.org/spreadsheetml/2006/main" count="4401" uniqueCount="833">
  <si>
    <t>Employee</t>
  </si>
  <si>
    <t>Customer</t>
  </si>
  <si>
    <t>Order</t>
  </si>
  <si>
    <t>EmployeeID</t>
  </si>
  <si>
    <t>EmployeeName</t>
  </si>
  <si>
    <t>CustomerID</t>
  </si>
  <si>
    <t>LastName</t>
  </si>
  <si>
    <t>FirstName</t>
  </si>
  <si>
    <t>Phone</t>
  </si>
  <si>
    <t>StreetAddress</t>
  </si>
  <si>
    <t>City</t>
  </si>
  <si>
    <t>State</t>
  </si>
  <si>
    <t>Zip</t>
  </si>
  <si>
    <t>OrderNumber</t>
  </si>
  <si>
    <t>OrderStatus</t>
  </si>
  <si>
    <t>DateOrdered</t>
  </si>
  <si>
    <t>DateReceived</t>
  </si>
  <si>
    <t>OrderTotal</t>
  </si>
  <si>
    <t>TestData 1</t>
  </si>
  <si>
    <t>E0900</t>
  </si>
  <si>
    <t>Luz Zapanta</t>
  </si>
  <si>
    <t>C10000</t>
  </si>
  <si>
    <t>Simmons</t>
  </si>
  <si>
    <t>Daryl</t>
  </si>
  <si>
    <t>200 Bidwell Trail</t>
  </si>
  <si>
    <t>Mississauga</t>
  </si>
  <si>
    <t>Ontario</t>
  </si>
  <si>
    <t>L5V1V2</t>
  </si>
  <si>
    <t>Baking</t>
  </si>
  <si>
    <t>TestData 2</t>
  </si>
  <si>
    <t>E0901</t>
  </si>
  <si>
    <t>Jovi Bartolata</t>
  </si>
  <si>
    <t>C10001</t>
  </si>
  <si>
    <t>Owens</t>
  </si>
  <si>
    <t>Ronald</t>
  </si>
  <si>
    <t>100 Main Street</t>
  </si>
  <si>
    <t>Emporia</t>
  </si>
  <si>
    <t>New  Jersey</t>
  </si>
  <si>
    <t>L3865V</t>
  </si>
  <si>
    <t>preparing</t>
  </si>
  <si>
    <t>TestData 3</t>
  </si>
  <si>
    <t>E0902</t>
  </si>
  <si>
    <t>Matty Jones</t>
  </si>
  <si>
    <t>C10002</t>
  </si>
  <si>
    <t>Barner</t>
  </si>
  <si>
    <t>Pamela</t>
  </si>
  <si>
    <t>12 Khan Circle</t>
  </si>
  <si>
    <t>L5V1V5</t>
  </si>
  <si>
    <t>toasting</t>
  </si>
  <si>
    <t>ProductionData 1</t>
  </si>
  <si>
    <t>ProductionData 2</t>
  </si>
  <si>
    <t>ProductionData 3</t>
  </si>
  <si>
    <t>ProductionData 4</t>
  </si>
  <si>
    <t>ProductionData 5</t>
  </si>
  <si>
    <t>Product</t>
  </si>
  <si>
    <t>ProductNumber</t>
  </si>
  <si>
    <t>ProductName</t>
  </si>
  <si>
    <t>ProductDescription</t>
  </si>
  <si>
    <t>ProductCategory</t>
  </si>
  <si>
    <t>ProductRating</t>
  </si>
  <si>
    <t>Price</t>
  </si>
  <si>
    <t>QuantityOnHand</t>
  </si>
  <si>
    <t>Bagel Bread</t>
  </si>
  <si>
    <t>Plain Bagel</t>
  </si>
  <si>
    <t>Breakfast Assortments</t>
  </si>
  <si>
    <t>Bagel</t>
  </si>
  <si>
    <t>Asiago Cheese Bagel</t>
  </si>
  <si>
    <t>Cinnamon Crunch Bagel</t>
  </si>
  <si>
    <t>Everything Bagel</t>
  </si>
  <si>
    <t>Bear Claw</t>
  </si>
  <si>
    <t>Chocolate Croissant</t>
  </si>
  <si>
    <t>Orange Scone</t>
  </si>
  <si>
    <t>Vanilla Cinnamon Roll</t>
  </si>
  <si>
    <t>Pecan Braid</t>
  </si>
  <si>
    <t>Blueberry Muffin</t>
  </si>
  <si>
    <t>Sesame Bagel</t>
  </si>
  <si>
    <t>Empanada</t>
  </si>
  <si>
    <t>Rolls</t>
  </si>
  <si>
    <t>Continental Bread</t>
  </si>
  <si>
    <t>Pandesal</t>
  </si>
  <si>
    <t>All the time bread</t>
  </si>
  <si>
    <t>Pan de Coco</t>
  </si>
  <si>
    <t>Sprouted Grain Flat Bagel</t>
  </si>
  <si>
    <t>Chocolate Chip Bagel</t>
  </si>
  <si>
    <t>Malunggay Bread</t>
  </si>
  <si>
    <t>Cheese Bread</t>
  </si>
  <si>
    <t>Cinnammon Swirl and Raisen Bagel</t>
  </si>
  <si>
    <t>Cherry Vanilla Bagel</t>
  </si>
  <si>
    <t>Drinks</t>
  </si>
  <si>
    <t>Hot Chocolait</t>
  </si>
  <si>
    <t>Heated drink</t>
  </si>
  <si>
    <t>Drink Totes</t>
  </si>
  <si>
    <t>Greek Yougurt with mixed Berries</t>
  </si>
  <si>
    <t>Cold Drink</t>
  </si>
  <si>
    <t>Continental Drinks</t>
  </si>
  <si>
    <t>Cold Drinks</t>
  </si>
  <si>
    <t>MenuOrderDetails</t>
  </si>
  <si>
    <t>ProductIngredient</t>
  </si>
  <si>
    <t>IngredientID</t>
  </si>
  <si>
    <t>Quantity</t>
  </si>
  <si>
    <t>OrderDetails</t>
  </si>
  <si>
    <t>Notes</t>
  </si>
  <si>
    <t>TestData - 1/0 tag</t>
  </si>
  <si>
    <t>IsOffered - 1/0 tag</t>
  </si>
  <si>
    <t>Reviews</t>
  </si>
  <si>
    <t>Inventory</t>
  </si>
  <si>
    <t>productId</t>
  </si>
  <si>
    <t>orderId</t>
  </si>
  <si>
    <t>ingredientId</t>
  </si>
  <si>
    <t>employeeName</t>
  </si>
  <si>
    <t>lastName</t>
  </si>
  <si>
    <t>productName</t>
  </si>
  <si>
    <t>firstName</t>
  </si>
  <si>
    <t>productDescription</t>
  </si>
  <si>
    <t>reviewDetails</t>
  </si>
  <si>
    <t>contactDetails</t>
  </si>
  <si>
    <t>orderTotal</t>
  </si>
  <si>
    <t>productCategory</t>
  </si>
  <si>
    <t>date</t>
  </si>
  <si>
    <t>mobilePhone</t>
  </si>
  <si>
    <t>orderDetails</t>
  </si>
  <si>
    <t>price</t>
  </si>
  <si>
    <t>reviewText</t>
  </si>
  <si>
    <t>totalStock</t>
  </si>
  <si>
    <t>quantity</t>
  </si>
  <si>
    <t>telephone</t>
  </si>
  <si>
    <t>productRating</t>
  </si>
  <si>
    <t>stockDetails</t>
  </si>
  <si>
    <t>creationDate</t>
  </si>
  <si>
    <t>address</t>
  </si>
  <si>
    <t>expiryDate</t>
  </si>
  <si>
    <t>city</t>
  </si>
  <si>
    <t>state</t>
  </si>
  <si>
    <t>orderStatus</t>
  </si>
  <si>
    <t>stockThreshold</t>
  </si>
  <si>
    <t>zip</t>
  </si>
  <si>
    <t>statusDate</t>
  </si>
  <si>
    <t>paymentDetails</t>
  </si>
  <si>
    <t>orderDate</t>
  </si>
  <si>
    <t>paymentType</t>
  </si>
  <si>
    <t>deliveryDate</t>
  </si>
  <si>
    <t>name</t>
  </si>
  <si>
    <t>scheme</t>
  </si>
  <si>
    <t>issuer</t>
  </si>
  <si>
    <t>cardLast4</t>
  </si>
  <si>
    <t>employeeUserName</t>
  </si>
  <si>
    <t>isOffered</t>
  </si>
  <si>
    <t>isAvailable</t>
  </si>
  <si>
    <t>Relationship Mapping</t>
  </si>
  <si>
    <t>Data Model</t>
  </si>
  <si>
    <t>1 : M</t>
  </si>
  <si>
    <t>M : 1</t>
  </si>
  <si>
    <t>totalRatings</t>
  </si>
  <si>
    <t>ratingCount</t>
  </si>
  <si>
    <t>rating</t>
  </si>
  <si>
    <t>When updating the database, update some summary records too. https://www.youtube.com/watch?v=3GHZd0zv170</t>
  </si>
  <si>
    <t>billingAddress</t>
  </si>
  <si>
    <t>mobileNumber</t>
  </si>
  <si>
    <t>paymentMethod</t>
  </si>
  <si>
    <t>nameOnCard</t>
  </si>
  <si>
    <t>cardScheme</t>
  </si>
  <si>
    <t>cardExpiryDate</t>
  </si>
  <si>
    <t>fullName</t>
  </si>
  <si>
    <t>order_1</t>
  </si>
  <si>
    <t>order_2</t>
  </si>
  <si>
    <t>order_3</t>
  </si>
  <si>
    <t>order_4</t>
  </si>
  <si>
    <t>order_5</t>
  </si>
  <si>
    <t>order_6</t>
  </si>
  <si>
    <t>order_7</t>
  </si>
  <si>
    <t>order_8</t>
  </si>
  <si>
    <t>order_9</t>
  </si>
  <si>
    <t>order_10</t>
  </si>
  <si>
    <t>order_11</t>
  </si>
  <si>
    <t>order_12</t>
  </si>
  <si>
    <t>order_13</t>
  </si>
  <si>
    <t>order_14</t>
  </si>
  <si>
    <t>order_15</t>
  </si>
  <si>
    <t>order_16</t>
  </si>
  <si>
    <t>order_17</t>
  </si>
  <si>
    <t>order_18</t>
  </si>
  <si>
    <t>order_19</t>
  </si>
  <si>
    <t>order_20</t>
  </si>
  <si>
    <t>order_21</t>
  </si>
  <si>
    <t>order_22</t>
  </si>
  <si>
    <t>order_23</t>
  </si>
  <si>
    <t>order_24</t>
  </si>
  <si>
    <t>order_25</t>
  </si>
  <si>
    <t>order_26</t>
  </si>
  <si>
    <t>order_27</t>
  </si>
  <si>
    <t>order_28</t>
  </si>
  <si>
    <t>order_29</t>
  </si>
  <si>
    <t>order_30</t>
  </si>
  <si>
    <t>Formula</t>
  </si>
  <si>
    <r>
      <t>Street:</t>
    </r>
    <r>
      <rPr>
        <sz val="7"/>
        <color rgb="FF333333"/>
        <rFont val="Open Sans"/>
        <family val="2"/>
      </rPr>
      <t>  2267 184th Street</t>
    </r>
  </si>
  <si>
    <r>
      <t>City:</t>
    </r>
    <r>
      <rPr>
        <sz val="7"/>
        <color rgb="FF333333"/>
        <rFont val="Open Sans"/>
        <family val="2"/>
      </rPr>
      <t>  Edmonton</t>
    </r>
  </si>
  <si>
    <r>
      <t>Street:</t>
    </r>
    <r>
      <rPr>
        <sz val="7"/>
        <color rgb="FF333333"/>
        <rFont val="Open Sans"/>
        <family val="2"/>
      </rPr>
      <t>  1751 Wallbridge Loyalist Rd</t>
    </r>
  </si>
  <si>
    <r>
      <t>City:</t>
    </r>
    <r>
      <rPr>
        <sz val="7"/>
        <color rgb="FF333333"/>
        <rFont val="Open Sans"/>
        <family val="2"/>
      </rPr>
      <t>  Belleville</t>
    </r>
  </si>
  <si>
    <r>
      <t>Street:</t>
    </r>
    <r>
      <rPr>
        <sz val="7"/>
        <color rgb="FF333333"/>
        <rFont val="Open Sans"/>
        <family val="2"/>
      </rPr>
      <t>  2963 Pine Street</t>
    </r>
  </si>
  <si>
    <r>
      <t>City:</t>
    </r>
    <r>
      <rPr>
        <sz val="7"/>
        <color rgb="FF333333"/>
        <rFont val="Open Sans"/>
        <family val="2"/>
      </rPr>
      <t>  Nisku</t>
    </r>
  </si>
  <si>
    <r>
      <t>Street:</t>
    </r>
    <r>
      <rPr>
        <sz val="7"/>
        <color rgb="FF333333"/>
        <rFont val="Open Sans"/>
        <family val="2"/>
      </rPr>
      <t>  1808 Pope St</t>
    </r>
  </si>
  <si>
    <r>
      <t>City:</t>
    </r>
    <r>
      <rPr>
        <sz val="7"/>
        <color rgb="FF333333"/>
        <rFont val="Open Sans"/>
        <family val="2"/>
      </rPr>
      <t>  Alberton</t>
    </r>
  </si>
  <si>
    <r>
      <t>Street:</t>
    </r>
    <r>
      <rPr>
        <sz val="7"/>
        <color rgb="FF333333"/>
        <rFont val="Open Sans"/>
        <family val="2"/>
      </rPr>
      <t>  4650 rue St-Paul</t>
    </r>
  </si>
  <si>
    <r>
      <t>City:</t>
    </r>
    <r>
      <rPr>
        <sz val="7"/>
        <color rgb="FF333333"/>
        <rFont val="Open Sans"/>
        <family val="2"/>
      </rPr>
      <t>  Sorel</t>
    </r>
  </si>
  <si>
    <r>
      <t>Street:</t>
    </r>
    <r>
      <rPr>
        <sz val="7"/>
        <color rgb="FF333333"/>
        <rFont val="Open Sans"/>
        <family val="2"/>
      </rPr>
      <t>  1228 A Avenue</t>
    </r>
  </si>
  <si>
    <r>
      <t>City:</t>
    </r>
    <r>
      <rPr>
        <sz val="7"/>
        <color rgb="FF333333"/>
        <rFont val="Open Sans"/>
        <family val="2"/>
      </rPr>
      <t>  Toronto</t>
    </r>
  </si>
  <si>
    <r>
      <t>City:</t>
    </r>
    <r>
      <rPr>
        <sz val="7"/>
        <color rgb="FF333333"/>
        <rFont val="Open Sans"/>
        <family val="2"/>
      </rPr>
      <t>  Montreal</t>
    </r>
  </si>
  <si>
    <r>
      <t>Street:</t>
    </r>
    <r>
      <rPr>
        <sz val="7"/>
        <color rgb="FF333333"/>
        <rFont val="Open Sans"/>
        <family val="2"/>
      </rPr>
      <t>  1827 Albert Street</t>
    </r>
  </si>
  <si>
    <r>
      <t>City:</t>
    </r>
    <r>
      <rPr>
        <sz val="7"/>
        <color rgb="FF333333"/>
        <rFont val="Open Sans"/>
        <family val="2"/>
      </rPr>
      <t>  Kitchener</t>
    </r>
  </si>
  <si>
    <r>
      <t>Street:</t>
    </r>
    <r>
      <rPr>
        <sz val="7"/>
        <color rgb="FF333333"/>
        <rFont val="Open Sans"/>
        <family val="2"/>
      </rPr>
      <t>  3504 Rose Street</t>
    </r>
  </si>
  <si>
    <r>
      <t>City:</t>
    </r>
    <r>
      <rPr>
        <sz val="7"/>
        <color rgb="FF333333"/>
        <rFont val="Open Sans"/>
        <family val="2"/>
      </rPr>
      <t>  Regina</t>
    </r>
  </si>
  <si>
    <r>
      <t>Street:</t>
    </r>
    <r>
      <rPr>
        <sz val="7"/>
        <color rgb="FF333333"/>
        <rFont val="Open Sans"/>
        <family val="2"/>
      </rPr>
      <t>  1364 Bridgeport Rd</t>
    </r>
  </si>
  <si>
    <r>
      <t>City:</t>
    </r>
    <r>
      <rPr>
        <sz val="7"/>
        <color rgb="FF333333"/>
        <rFont val="Open Sans"/>
        <family val="2"/>
      </rPr>
      <t>  Orangeville</t>
    </r>
  </si>
  <si>
    <r>
      <t>Street:</t>
    </r>
    <r>
      <rPr>
        <sz val="7"/>
        <color rgb="FF333333"/>
        <rFont val="Open Sans"/>
        <family val="2"/>
      </rPr>
      <t>  3610 Yonge Street</t>
    </r>
  </si>
  <si>
    <r>
      <t>Street:</t>
    </r>
    <r>
      <rPr>
        <sz val="7"/>
        <color rgb="FF333333"/>
        <rFont val="Open Sans"/>
        <family val="2"/>
      </rPr>
      <t>  1676 Speers Road</t>
    </r>
  </si>
  <si>
    <r>
      <t>City:</t>
    </r>
    <r>
      <rPr>
        <sz val="7"/>
        <color rgb="FF333333"/>
        <rFont val="Open Sans"/>
        <family val="2"/>
      </rPr>
      <t>  Oakville</t>
    </r>
  </si>
  <si>
    <r>
      <t>Street:</t>
    </r>
    <r>
      <rPr>
        <sz val="7"/>
        <color rgb="FF333333"/>
        <rFont val="Open Sans"/>
        <family val="2"/>
      </rPr>
      <t>  1315 St. John Street</t>
    </r>
  </si>
  <si>
    <r>
      <t>City:</t>
    </r>
    <r>
      <rPr>
        <sz val="7"/>
        <color rgb="FF333333"/>
        <rFont val="Open Sans"/>
        <family val="2"/>
      </rPr>
      <t>  Davidson</t>
    </r>
  </si>
  <si>
    <r>
      <t>Street:</t>
    </r>
    <r>
      <rPr>
        <sz val="7"/>
        <color rgb="FF333333"/>
        <rFont val="Open Sans"/>
        <family val="2"/>
      </rPr>
      <t>  1188 St. John Street</t>
    </r>
  </si>
  <si>
    <r>
      <t>City:</t>
    </r>
    <r>
      <rPr>
        <sz val="7"/>
        <color rgb="FF333333"/>
        <rFont val="Open Sans"/>
        <family val="2"/>
      </rPr>
      <t>  Big River</t>
    </r>
  </si>
  <si>
    <r>
      <t>Street:</t>
    </r>
    <r>
      <rPr>
        <sz val="7"/>
        <color rgb="FF333333"/>
        <rFont val="Open Sans"/>
        <family val="2"/>
      </rPr>
      <t>  1220 Tycos Dr</t>
    </r>
  </si>
  <si>
    <r>
      <t>Street:</t>
    </r>
    <r>
      <rPr>
        <sz val="7"/>
        <color rgb="FF333333"/>
        <rFont val="Open Sans"/>
        <family val="2"/>
      </rPr>
      <t>  1817 Pope St</t>
    </r>
  </si>
  <si>
    <r>
      <t>Street:</t>
    </r>
    <r>
      <rPr>
        <sz val="7"/>
        <color rgb="FF333333"/>
        <rFont val="Open Sans"/>
        <family val="2"/>
      </rPr>
      <t>  3082 De L'Acadie Boul</t>
    </r>
  </si>
  <si>
    <r>
      <t>Street:</t>
    </r>
    <r>
      <rPr>
        <sz val="7"/>
        <color rgb="FF333333"/>
        <rFont val="Open Sans"/>
        <family val="2"/>
      </rPr>
      <t>  4854 Tycos Dr</t>
    </r>
  </si>
  <si>
    <r>
      <t>Street:</t>
    </r>
    <r>
      <rPr>
        <sz val="7"/>
        <color rgb="FF333333"/>
        <rFont val="Open Sans"/>
        <family val="2"/>
      </rPr>
      <t>  625 40th Street</t>
    </r>
  </si>
  <si>
    <r>
      <t>City:</t>
    </r>
    <r>
      <rPr>
        <sz val="7"/>
        <color rgb="FF333333"/>
        <rFont val="Open Sans"/>
        <family val="2"/>
      </rPr>
      <t>  Calgary</t>
    </r>
  </si>
  <si>
    <r>
      <t>Street:</t>
    </r>
    <r>
      <rPr>
        <sz val="7"/>
        <color rgb="FF333333"/>
        <rFont val="Open Sans"/>
        <family val="2"/>
      </rPr>
      <t>  1266 rue Ontario Ouest</t>
    </r>
  </si>
  <si>
    <r>
      <t>Street:</t>
    </r>
    <r>
      <rPr>
        <sz val="7"/>
        <color rgb="FF333333"/>
        <rFont val="Open Sans"/>
        <family val="2"/>
      </rPr>
      <t>  2172 Stoney Creek</t>
    </r>
  </si>
  <si>
    <r>
      <t>City:</t>
    </r>
    <r>
      <rPr>
        <sz val="7"/>
        <color rgb="FF333333"/>
        <rFont val="Open Sans"/>
        <family val="2"/>
      </rPr>
      <t>  Green Lake</t>
    </r>
  </si>
  <si>
    <r>
      <t>Street:</t>
    </r>
    <r>
      <rPr>
        <sz val="7"/>
        <color rgb="FF333333"/>
        <rFont val="Open Sans"/>
        <family val="2"/>
      </rPr>
      <t>  564 Heritage Drive</t>
    </r>
  </si>
  <si>
    <r>
      <t>Street:</t>
    </r>
    <r>
      <rPr>
        <sz val="7"/>
        <color rgb="FF333333"/>
        <rFont val="Open Sans"/>
        <family val="2"/>
      </rPr>
      <t>  1028 Garafraxa St</t>
    </r>
  </si>
  <si>
    <r>
      <t>City:</t>
    </r>
    <r>
      <rPr>
        <sz val="7"/>
        <color rgb="FF333333"/>
        <rFont val="Open Sans"/>
        <family val="2"/>
      </rPr>
      <t>  Tara</t>
    </r>
  </si>
  <si>
    <r>
      <t>Street:</t>
    </r>
    <r>
      <rPr>
        <sz val="7"/>
        <color rgb="FF333333"/>
        <rFont val="Open Sans"/>
        <family val="2"/>
      </rPr>
      <t>  3816 Hardy Street</t>
    </r>
  </si>
  <si>
    <r>
      <t>City:</t>
    </r>
    <r>
      <rPr>
        <sz val="7"/>
        <color rgb="FF333333"/>
        <rFont val="Open Sans"/>
        <family val="2"/>
      </rPr>
      <t>  Kelowna</t>
    </r>
  </si>
  <si>
    <r>
      <t>Street:</t>
    </r>
    <r>
      <rPr>
        <sz val="7"/>
        <color rgb="FF333333"/>
        <rFont val="Open Sans"/>
        <family val="2"/>
      </rPr>
      <t>  2179 Côte Joyeuse</t>
    </r>
  </si>
  <si>
    <r>
      <t>City:</t>
    </r>
    <r>
      <rPr>
        <sz val="7"/>
        <color rgb="FF333333"/>
        <rFont val="Open Sans"/>
        <family val="2"/>
      </rPr>
      <t>  L'etape</t>
    </r>
  </si>
  <si>
    <t>Phone number:  780-485-2704</t>
  </si>
  <si>
    <t>Phone number:  613-847-5941</t>
  </si>
  <si>
    <t>Phone number:  780-955-0637</t>
  </si>
  <si>
    <t>Phone number:  902-853-1818</t>
  </si>
  <si>
    <t>Phone number:  450-881-8290</t>
  </si>
  <si>
    <t>Phone number:  780-917-8428</t>
  </si>
  <si>
    <t>Phone number:  519-880-5763</t>
  </si>
  <si>
    <t>Phone number:  306-569-6952</t>
  </si>
  <si>
    <t>Phone number:  519-215-3537</t>
  </si>
  <si>
    <t>Phone number:  416-962-6864</t>
  </si>
  <si>
    <t>Phone number:  905-815-1914</t>
  </si>
  <si>
    <t>Phone number:  306-567-8680</t>
  </si>
  <si>
    <t>Phone number:  306-469-8013</t>
  </si>
  <si>
    <t>Phone number:  416-595-0997</t>
  </si>
  <si>
    <t>Phone number:  902-853-7192</t>
  </si>
  <si>
    <t>Phone number:  514-233-5038</t>
  </si>
  <si>
    <t>Phone number:  416-343-8934</t>
  </si>
  <si>
    <t>Phone number:  403-283-1490</t>
  </si>
  <si>
    <t>Phone number:  514-982-1624</t>
  </si>
  <si>
    <t>Phone number:  306-832-9394</t>
  </si>
  <si>
    <t>Phone number:  403-875-0334</t>
  </si>
  <si>
    <t>Phone number:  519-934-6315</t>
  </si>
  <si>
    <t>Phone number:  250-712-4772</t>
  </si>
  <si>
    <t>Phone number:  418-859-5959</t>
  </si>
  <si>
    <t>Zip code:  T5J 2R4</t>
  </si>
  <si>
    <t>Zip code:  K8N 1L9</t>
  </si>
  <si>
    <t>Zip code:  T0C 2G0</t>
  </si>
  <si>
    <t>Zip code:  C0B 1K0</t>
  </si>
  <si>
    <t>Zip code:  J3P 4M9</t>
  </si>
  <si>
    <t>Zip code:  T5J 0K7</t>
  </si>
  <si>
    <t>Zip code:  N2L 3V2</t>
  </si>
  <si>
    <t>Zip code:  S4P 3Y2</t>
  </si>
  <si>
    <t>Zip code:  L9W 2J9</t>
  </si>
  <si>
    <t>Zip code:  M4W 1J7</t>
  </si>
  <si>
    <t>Zip code:  L6J 3X4</t>
  </si>
  <si>
    <t>Zip code:  M5T 1T4</t>
  </si>
  <si>
    <t>Zip code:  H4N 3C5</t>
  </si>
  <si>
    <t>Zip code:  T2N 2A7</t>
  </si>
  <si>
    <t>Zip code:  H2X 1Y8</t>
  </si>
  <si>
    <t>Zip code:  T2V 2W2</t>
  </si>
  <si>
    <t>Zip code:  N0H 2N0</t>
  </si>
  <si>
    <t>Zip code:  V1Y 8H2</t>
  </si>
  <si>
    <t>Zip code:  H0H 0H0</t>
  </si>
  <si>
    <t>Country calling code:  +1</t>
  </si>
  <si>
    <t>Country:  Canada</t>
  </si>
  <si>
    <t>https://www.bestrandoms.com/random-address-in-ca</t>
  </si>
  <si>
    <t>street</t>
  </si>
  <si>
    <t>unit</t>
  </si>
  <si>
    <t>province</t>
  </si>
  <si>
    <t>Random Addresses</t>
  </si>
  <si>
    <t>Random Names</t>
  </si>
  <si>
    <t>https://www.fantasynamegenerators.com/canadian-names.php</t>
  </si>
  <si>
    <r>
      <t>Street:</t>
    </r>
    <r>
      <rPr>
        <sz val="7"/>
        <color rgb="FF333333"/>
        <rFont val="Open Sans"/>
        <family val="2"/>
      </rPr>
      <t>  454 Merivale Road</t>
    </r>
  </si>
  <si>
    <r>
      <t>City:</t>
    </r>
    <r>
      <rPr>
        <sz val="7"/>
        <color rgb="FF333333"/>
        <rFont val="Open Sans"/>
        <family val="2"/>
      </rPr>
      <t>  Ottawa</t>
    </r>
  </si>
  <si>
    <r>
      <t>Street:</t>
    </r>
    <r>
      <rPr>
        <sz val="7"/>
        <color rgb="FF333333"/>
        <rFont val="Open Sans"/>
        <family val="2"/>
      </rPr>
      <t>  4337 Algonquin Blvd</t>
    </r>
  </si>
  <si>
    <r>
      <t>City:</t>
    </r>
    <r>
      <rPr>
        <sz val="7"/>
        <color rgb="FF333333"/>
        <rFont val="Open Sans"/>
        <family val="2"/>
      </rPr>
      <t>  Timmins</t>
    </r>
  </si>
  <si>
    <r>
      <t>Street:</t>
    </r>
    <r>
      <rPr>
        <sz val="7"/>
        <color rgb="FF333333"/>
        <rFont val="Open Sans"/>
        <family val="2"/>
      </rPr>
      <t>  3729 Northumberland Street</t>
    </r>
  </si>
  <si>
    <r>
      <t>City:</t>
    </r>
    <r>
      <rPr>
        <sz val="7"/>
        <color rgb="FF333333"/>
        <rFont val="Open Sans"/>
        <family val="2"/>
      </rPr>
      <t>  Hillsburgh</t>
    </r>
  </si>
  <si>
    <r>
      <t>Street:</t>
    </r>
    <r>
      <rPr>
        <sz val="7"/>
        <color rgb="FF333333"/>
        <rFont val="Open Sans"/>
        <family val="2"/>
      </rPr>
      <t>  3908 René-Lévesque Blvd</t>
    </r>
  </si>
  <si>
    <r>
      <t>Street:</t>
    </r>
    <r>
      <rPr>
        <sz val="7"/>
        <color rgb="FF333333"/>
        <rFont val="Open Sans"/>
        <family val="2"/>
      </rPr>
      <t>  3610 Bloor Street</t>
    </r>
  </si>
  <si>
    <r>
      <t>City:</t>
    </r>
    <r>
      <rPr>
        <sz val="7"/>
        <color rgb="FF333333"/>
        <rFont val="Open Sans"/>
        <family val="2"/>
      </rPr>
      <t>  Vegreville</t>
    </r>
  </si>
  <si>
    <r>
      <t>Street:</t>
    </r>
    <r>
      <rPr>
        <sz val="7"/>
        <color rgb="FF333333"/>
        <rFont val="Open Sans"/>
        <family val="2"/>
      </rPr>
      <t>  3371 Woolwick Drive</t>
    </r>
  </si>
  <si>
    <t>Phone number:  613-721-0698</t>
  </si>
  <si>
    <t>Phone number:  705-668-1540</t>
  </si>
  <si>
    <t>Phone number:  519-855-4411</t>
  </si>
  <si>
    <t>Phone number:  514-573-0262</t>
  </si>
  <si>
    <t>Phone number:  780-632-2540</t>
  </si>
  <si>
    <t>Phone number:  416-438-7286</t>
  </si>
  <si>
    <t>Zip code:  K2H 5B6</t>
  </si>
  <si>
    <t>Zip code:  P4N 7C4</t>
  </si>
  <si>
    <t>Zip code:  N0B 1Z0</t>
  </si>
  <si>
    <t>Zip code:  H3B 4W8</t>
  </si>
  <si>
    <t>Zip code:  T0B 4L0</t>
  </si>
  <si>
    <t>Zip code:  M1H 1A8</t>
  </si>
  <si>
    <t>Field Name</t>
  </si>
  <si>
    <t>Value</t>
  </si>
  <si>
    <t>First Name</t>
  </si>
  <si>
    <t>Last Name</t>
  </si>
  <si>
    <t>Leo Clarkson</t>
  </si>
  <si>
    <t>Declan Johnson</t>
  </si>
  <si>
    <t>Kyle Hill</t>
  </si>
  <si>
    <t>Quinn White</t>
  </si>
  <si>
    <t>Rhett Fuller</t>
  </si>
  <si>
    <t>Hudson Davies</t>
  </si>
  <si>
    <t>Jesse Williams</t>
  </si>
  <si>
    <t>Joshua Rose</t>
  </si>
  <si>
    <t>Kaleb Banks</t>
  </si>
  <si>
    <t>Donovan Markle</t>
  </si>
  <si>
    <t>Male</t>
  </si>
  <si>
    <t>Penelope Piers</t>
  </si>
  <si>
    <t>Amanda Park</t>
  </si>
  <si>
    <t>Charlotte Altman</t>
  </si>
  <si>
    <t>Sawyer Oliver</t>
  </si>
  <si>
    <t>Norah Fessenden</t>
  </si>
  <si>
    <t>Adelaide Hennessy</t>
  </si>
  <si>
    <t>Ariana Evans</t>
  </si>
  <si>
    <t>Octavia Boyd</t>
  </si>
  <si>
    <t>Bethany Nevin</t>
  </si>
  <si>
    <t>Ivy Clarkson</t>
  </si>
  <si>
    <t>Female</t>
  </si>
  <si>
    <t>Trinity Gosling</t>
  </si>
  <si>
    <t>Brielle Olson</t>
  </si>
  <si>
    <t>Charlie McCoy</t>
  </si>
  <si>
    <t>Anastasia Timbrell</t>
  </si>
  <si>
    <t>Scarlett David</t>
  </si>
  <si>
    <t>Serena Reeves</t>
  </si>
  <si>
    <t>Annika Boyle</t>
  </si>
  <si>
    <t>Natalie Currie</t>
  </si>
  <si>
    <t>Sloan McLaughlin</t>
  </si>
  <si>
    <t>Sarah Oliver</t>
  </si>
  <si>
    <t>Full Name</t>
  </si>
  <si>
    <t>Sex</t>
  </si>
  <si>
    <r>
      <t>Street:</t>
    </r>
    <r>
      <rPr>
        <sz val="7"/>
        <color rgb="FF333333"/>
        <rFont val="Open Sans"/>
        <family val="2"/>
      </rPr>
      <t>  1958 Weir Crescent</t>
    </r>
  </si>
  <si>
    <r>
      <t>Street:</t>
    </r>
    <r>
      <rPr>
        <sz val="7"/>
        <color rgb="FF333333"/>
        <rFont val="Open Sans"/>
        <family val="2"/>
      </rPr>
      <t>  694 Yonge Street</t>
    </r>
  </si>
  <si>
    <r>
      <t>Street:</t>
    </r>
    <r>
      <rPr>
        <sz val="7"/>
        <color rgb="FF333333"/>
        <rFont val="Open Sans"/>
        <family val="2"/>
      </rPr>
      <t>  674 Montreal Road</t>
    </r>
  </si>
  <si>
    <r>
      <t>Street:</t>
    </r>
    <r>
      <rPr>
        <sz val="7"/>
        <color rgb="FF333333"/>
        <rFont val="Open Sans"/>
        <family val="2"/>
      </rPr>
      <t>  832 Nelson Street</t>
    </r>
  </si>
  <si>
    <r>
      <t>City:</t>
    </r>
    <r>
      <rPr>
        <sz val="7"/>
        <color rgb="FF333333"/>
        <rFont val="Open Sans"/>
        <family val="2"/>
      </rPr>
      <t>  Cat Lake</t>
    </r>
  </si>
  <si>
    <r>
      <t>Street:</t>
    </r>
    <r>
      <rPr>
        <sz val="7"/>
        <color rgb="FF333333"/>
        <rFont val="Open Sans"/>
        <family val="2"/>
      </rPr>
      <t>  3818 Merton Street</t>
    </r>
  </si>
  <si>
    <r>
      <t>Street:</t>
    </r>
    <r>
      <rPr>
        <sz val="7"/>
        <color rgb="FF333333"/>
        <rFont val="Open Sans"/>
        <family val="2"/>
      </rPr>
      <t>  3050 Speers Road</t>
    </r>
  </si>
  <si>
    <t>Shipping Address</t>
  </si>
  <si>
    <t>Billing Address</t>
  </si>
  <si>
    <r>
      <t>Street:</t>
    </r>
    <r>
      <rPr>
        <sz val="7"/>
        <color rgb="FF333333"/>
        <rFont val="Open Sans"/>
        <family val="2"/>
      </rPr>
      <t>  3567 Brand Road</t>
    </r>
  </si>
  <si>
    <r>
      <t>City:</t>
    </r>
    <r>
      <rPr>
        <sz val="7"/>
        <color rgb="FF333333"/>
        <rFont val="Open Sans"/>
        <family val="2"/>
      </rPr>
      <t>  Saskatoon</t>
    </r>
  </si>
  <si>
    <r>
      <t>Street:</t>
    </r>
    <r>
      <rPr>
        <sz val="7"/>
        <color rgb="FF333333"/>
        <rFont val="Open Sans"/>
        <family val="2"/>
      </rPr>
      <t>  4554 chemin Georges</t>
    </r>
  </si>
  <si>
    <r>
      <t>City:</t>
    </r>
    <r>
      <rPr>
        <sz val="7"/>
        <color rgb="FF333333"/>
        <rFont val="Open Sans"/>
        <family val="2"/>
      </rPr>
      <t>  St Felix De Valois</t>
    </r>
  </si>
  <si>
    <r>
      <t>Street:</t>
    </r>
    <r>
      <rPr>
        <sz val="7"/>
        <color rgb="FF333333"/>
        <rFont val="Open Sans"/>
        <family val="2"/>
      </rPr>
      <t>  2665 rue Parc</t>
    </r>
  </si>
  <si>
    <r>
      <t>City:</t>
    </r>
    <r>
      <rPr>
        <sz val="7"/>
        <color rgb="FF333333"/>
        <rFont val="Open Sans"/>
        <family val="2"/>
      </rPr>
      <t>  St Cyrille De Wendover</t>
    </r>
  </si>
  <si>
    <r>
      <t>Street:</t>
    </r>
    <r>
      <rPr>
        <sz val="7"/>
        <color rgb="FF333333"/>
        <rFont val="Open Sans"/>
        <family val="2"/>
      </rPr>
      <t>  1165 Duke Street</t>
    </r>
  </si>
  <si>
    <r>
      <t>Street:</t>
    </r>
    <r>
      <rPr>
        <sz val="7"/>
        <color rgb="FF333333"/>
        <rFont val="Open Sans"/>
        <family val="2"/>
      </rPr>
      <t>  3238 102nd Avenue</t>
    </r>
  </si>
  <si>
    <r>
      <t>City:</t>
    </r>
    <r>
      <rPr>
        <sz val="7"/>
        <color rgb="FF333333"/>
        <rFont val="Open Sans"/>
        <family val="2"/>
      </rPr>
      <t>  Fort St John</t>
    </r>
  </si>
  <si>
    <r>
      <t>Street:</t>
    </r>
    <r>
      <rPr>
        <sz val="7"/>
        <color rgb="FF333333"/>
        <rFont val="Open Sans"/>
        <family val="2"/>
      </rPr>
      <t>  4681 Baker Street</t>
    </r>
  </si>
  <si>
    <r>
      <t>City:</t>
    </r>
    <r>
      <rPr>
        <sz val="7"/>
        <color rgb="FF333333"/>
        <rFont val="Open Sans"/>
        <family val="2"/>
      </rPr>
      <t>  London</t>
    </r>
  </si>
  <si>
    <t>Phone number:  647-828-4520</t>
  </si>
  <si>
    <t>Phone number:  416-963-8125</t>
  </si>
  <si>
    <t>Phone number:  613-744-0751</t>
  </si>
  <si>
    <t>Phone number:  807-347-1528</t>
  </si>
  <si>
    <t>Phone number:  416-527-3767</t>
  </si>
  <si>
    <t>Phone number:  905-467-2429</t>
  </si>
  <si>
    <t>Phone number:  306-717-8298</t>
  </si>
  <si>
    <t>Phone number:  450-889-2867</t>
  </si>
  <si>
    <t>Phone number:  819-397-4174</t>
  </si>
  <si>
    <t>Phone number:  514-229-9713</t>
  </si>
  <si>
    <t>Phone number:  250-263-5582</t>
  </si>
  <si>
    <t>Phone number:  519-858-8035</t>
  </si>
  <si>
    <t>Zip code:  M1E 3T8</t>
  </si>
  <si>
    <t>Zip code:  K1L 6C7</t>
  </si>
  <si>
    <t>Zip code:  P0V 1J0</t>
  </si>
  <si>
    <t>Zip code:  M1L 3K7</t>
  </si>
  <si>
    <t>Zip code:  L6H 3H5</t>
  </si>
  <si>
    <t>Zip code:  S7K 1W8</t>
  </si>
  <si>
    <t>Zip code:  J0K 2M0</t>
  </si>
  <si>
    <t>Zip code:  J1Z 1E1</t>
  </si>
  <si>
    <t>Zip code:  H3C 5K4</t>
  </si>
  <si>
    <t>Zip code:  V1J 3Y7</t>
  </si>
  <si>
    <t>Zip code:  N0N 0N0</t>
  </si>
  <si>
    <t>Employees</t>
  </si>
  <si>
    <t>Customers</t>
  </si>
  <si>
    <t>2267 184th Street</t>
  </si>
  <si>
    <t>1751 Wallbridge Loyalist Rd</t>
  </si>
  <si>
    <t>2963 Pine Street</t>
  </si>
  <si>
    <t>1808 Pope St</t>
  </si>
  <si>
    <t>4650 rue St-Paul</t>
  </si>
  <si>
    <t>1228 A Avenue</t>
  </si>
  <si>
    <t>1827 Albert Street</t>
  </si>
  <si>
    <t>3504 Rose Street</t>
  </si>
  <si>
    <t>1364 Bridgeport Rd</t>
  </si>
  <si>
    <t>3610 Yonge Street</t>
  </si>
  <si>
    <t>1676 Speers Road</t>
  </si>
  <si>
    <t>1315 St. John Street</t>
  </si>
  <si>
    <t>1188 St. John Street</t>
  </si>
  <si>
    <t>1220 Tycos Dr</t>
  </si>
  <si>
    <t>1817 Pope St</t>
  </si>
  <si>
    <t>3082 De L'Acadie Boul</t>
  </si>
  <si>
    <t>4854 Tycos Dr</t>
  </si>
  <si>
    <t>625 40th Street</t>
  </si>
  <si>
    <t>1266 rue Ontario Ouest</t>
  </si>
  <si>
    <t>2172 Stoney Creek</t>
  </si>
  <si>
    <t>564 Heritage Drive</t>
  </si>
  <si>
    <t>1028 Garafraxa St</t>
  </si>
  <si>
    <t>3816 Hardy Street</t>
  </si>
  <si>
    <t>2179 Côte Joyeuse</t>
  </si>
  <si>
    <t>454 Merivale Road</t>
  </si>
  <si>
    <t>4337 Algonquin Blvd</t>
  </si>
  <si>
    <t>3729 Northumberland Street</t>
  </si>
  <si>
    <t>3908 René-Lévesque Blvd</t>
  </si>
  <si>
    <t>3610 Bloor Street</t>
  </si>
  <si>
    <t>3371 Woolwick Drive</t>
  </si>
  <si>
    <t>Edmonton</t>
  </si>
  <si>
    <t>Belleville</t>
  </si>
  <si>
    <t>Nisku</t>
  </si>
  <si>
    <t>Alberton</t>
  </si>
  <si>
    <t>Sorel</t>
  </si>
  <si>
    <t>Kitchener</t>
  </si>
  <si>
    <t>Regina</t>
  </si>
  <si>
    <t>Orangeville</t>
  </si>
  <si>
    <t>Toronto</t>
  </si>
  <si>
    <t>Oakville</t>
  </si>
  <si>
    <t>Davidson</t>
  </si>
  <si>
    <t>Big River</t>
  </si>
  <si>
    <t>Montreal</t>
  </si>
  <si>
    <t>Calgary</t>
  </si>
  <si>
    <t>Green Lake</t>
  </si>
  <si>
    <t>Tara</t>
  </si>
  <si>
    <t>Kelowna</t>
  </si>
  <si>
    <t>L'etape</t>
  </si>
  <si>
    <t>Ottawa</t>
  </si>
  <si>
    <t>Timmins</t>
  </si>
  <si>
    <t>Hillsburgh</t>
  </si>
  <si>
    <t>Vegreville</t>
  </si>
  <si>
    <t>State/province/area:  Ontario</t>
  </si>
  <si>
    <t>State/province/area:  Saskatchewan</t>
  </si>
  <si>
    <t>State/province/area:  Quebec</t>
  </si>
  <si>
    <t>State/province/area:  British Columbia</t>
  </si>
  <si>
    <t>State/province/area:  Alberta</t>
  </si>
  <si>
    <t>State/province/area:  Prince Edward Island</t>
  </si>
  <si>
    <t>Alberta</t>
  </si>
  <si>
    <t>Prince Edward Island</t>
  </si>
  <si>
    <t>Quebec</t>
  </si>
  <si>
    <t>Saskatchewan</t>
  </si>
  <si>
    <t>British Columbia</t>
  </si>
  <si>
    <t>T5J 2R4</t>
  </si>
  <si>
    <t>K8N 1L9</t>
  </si>
  <si>
    <t>T0C 2G0</t>
  </si>
  <si>
    <t>C0B 1K0</t>
  </si>
  <si>
    <t>J3P 4M9</t>
  </si>
  <si>
    <t>T5J 0K7</t>
  </si>
  <si>
    <t>N2L 3V2</t>
  </si>
  <si>
    <t>S4P 3Y2</t>
  </si>
  <si>
    <t>L9W 2J9</t>
  </si>
  <si>
    <t>M4W 1J7</t>
  </si>
  <si>
    <t>L6J 3X4</t>
  </si>
  <si>
    <t>M5T 1T4</t>
  </si>
  <si>
    <t>H4N 3C5</t>
  </si>
  <si>
    <t>T2N 2A7</t>
  </si>
  <si>
    <t>H2X 1Y8</t>
  </si>
  <si>
    <t>T2V 2W2</t>
  </si>
  <si>
    <t>N0H 2N0</t>
  </si>
  <si>
    <t>V1Y 8H2</t>
  </si>
  <si>
    <t>H0H 0H0</t>
  </si>
  <si>
    <t>K2H 5B6</t>
  </si>
  <si>
    <t>P4N 7C4</t>
  </si>
  <si>
    <t>N0B 1Z0</t>
  </si>
  <si>
    <t>H3B 4W8</t>
  </si>
  <si>
    <t>T0B 4L0</t>
  </si>
  <si>
    <t>M1H 1A8</t>
  </si>
  <si>
    <t>780-485-2704</t>
  </si>
  <si>
    <t>613-847-5941</t>
  </si>
  <si>
    <t>780-955-0637</t>
  </si>
  <si>
    <t>902-853-1818</t>
  </si>
  <si>
    <t>450-881-8290</t>
  </si>
  <si>
    <t>780-917-8428</t>
  </si>
  <si>
    <t>519-880-5763</t>
  </si>
  <si>
    <t>306-569-6952</t>
  </si>
  <si>
    <t>519-215-3537</t>
  </si>
  <si>
    <t>416-962-6864</t>
  </si>
  <si>
    <t>905-815-1914</t>
  </si>
  <si>
    <t>306-567-8680</t>
  </si>
  <si>
    <t>306-469-8013</t>
  </si>
  <si>
    <t>416-595-0997</t>
  </si>
  <si>
    <t>902-853-7192</t>
  </si>
  <si>
    <t>514-233-5038</t>
  </si>
  <si>
    <t>416-343-8934</t>
  </si>
  <si>
    <t>403-283-1490</t>
  </si>
  <si>
    <t>514-982-1624</t>
  </si>
  <si>
    <t>306-832-9394</t>
  </si>
  <si>
    <t>403-875-0334</t>
  </si>
  <si>
    <t>519-934-6315</t>
  </si>
  <si>
    <t>250-712-4772</t>
  </si>
  <si>
    <t>418-859-5959</t>
  </si>
  <si>
    <t>613-721-0698</t>
  </si>
  <si>
    <t>705-668-1540</t>
  </si>
  <si>
    <t>519-855-4411</t>
  </si>
  <si>
    <t>514-573-0262</t>
  </si>
  <si>
    <t>780-632-2540</t>
  </si>
  <si>
    <t>416-438-7286</t>
  </si>
  <si>
    <t>Rhett</t>
  </si>
  <si>
    <t>Norah</t>
  </si>
  <si>
    <t>Sawyer</t>
  </si>
  <si>
    <t>Leo</t>
  </si>
  <si>
    <t>Joshua</t>
  </si>
  <si>
    <t>Penelope</t>
  </si>
  <si>
    <t>Quinn</t>
  </si>
  <si>
    <t>Trinity</t>
  </si>
  <si>
    <t>Hudson</t>
  </si>
  <si>
    <t>Amanda</t>
  </si>
  <si>
    <t>Declan</t>
  </si>
  <si>
    <t>Kyle</t>
  </si>
  <si>
    <t>Ariana</t>
  </si>
  <si>
    <t>Scarlett</t>
  </si>
  <si>
    <t>Annika</t>
  </si>
  <si>
    <t>Natalie</t>
  </si>
  <si>
    <t>Charlotte</t>
  </si>
  <si>
    <t>Brielle</t>
  </si>
  <si>
    <t>Charlie</t>
  </si>
  <si>
    <t>Adelaide</t>
  </si>
  <si>
    <t>Jesse</t>
  </si>
  <si>
    <t>Ivy</t>
  </si>
  <si>
    <t>Bethany</t>
  </si>
  <si>
    <t>Octavia</t>
  </si>
  <si>
    <t>Anastasia</t>
  </si>
  <si>
    <t>Donovan</t>
  </si>
  <si>
    <t>Sloan</t>
  </si>
  <si>
    <t>Sarah</t>
  </si>
  <si>
    <t>Serena</t>
  </si>
  <si>
    <t>Kaleb</t>
  </si>
  <si>
    <t>Fuller</t>
  </si>
  <si>
    <t>Fessenden</t>
  </si>
  <si>
    <t>Oliver</t>
  </si>
  <si>
    <t>Clarkson</t>
  </si>
  <si>
    <t>Rose</t>
  </si>
  <si>
    <t>Piers</t>
  </si>
  <si>
    <t>White</t>
  </si>
  <si>
    <t>Gosling</t>
  </si>
  <si>
    <t>Davies</t>
  </si>
  <si>
    <t>Park</t>
  </si>
  <si>
    <t>Johnson</t>
  </si>
  <si>
    <t>Hill</t>
  </si>
  <si>
    <t>Evans</t>
  </si>
  <si>
    <t>David</t>
  </si>
  <si>
    <t>Boyle</t>
  </si>
  <si>
    <t>Currie</t>
  </si>
  <si>
    <t>Altman</t>
  </si>
  <si>
    <t>Olson</t>
  </si>
  <si>
    <t>McCoy</t>
  </si>
  <si>
    <t>Hennessy</t>
  </si>
  <si>
    <t>Williams</t>
  </si>
  <si>
    <t>Nevin</t>
  </si>
  <si>
    <t>Boyd</t>
  </si>
  <si>
    <t>Timbrell</t>
  </si>
  <si>
    <t>Markle</t>
  </si>
  <si>
    <t>McLaughlin</t>
  </si>
  <si>
    <t>Reeves</t>
  </si>
  <si>
    <t>Banks</t>
  </si>
  <si>
    <t>310</t>
  </si>
  <si>
    <t>311</t>
  </si>
  <si>
    <t>312</t>
  </si>
  <si>
    <t>313</t>
  </si>
  <si>
    <t>314</t>
  </si>
  <si>
    <t>215</t>
  </si>
  <si>
    <t>216</t>
  </si>
  <si>
    <t>117</t>
  </si>
  <si>
    <t>218</t>
  </si>
  <si>
    <t>219</t>
  </si>
  <si>
    <t>320</t>
  </si>
  <si>
    <t>516</t>
  </si>
  <si>
    <t>319</t>
  </si>
  <si>
    <t>1958 Weir Crescent</t>
  </si>
  <si>
    <t>694 Yonge Street</t>
  </si>
  <si>
    <t>674 Montreal Road</t>
  </si>
  <si>
    <t>832 Nelson Street</t>
  </si>
  <si>
    <t>3818 Merton Street</t>
  </si>
  <si>
    <t>3050 Speers Road</t>
  </si>
  <si>
    <t>3567 Brand Road</t>
  </si>
  <si>
    <t>4554 chemin Georges</t>
  </si>
  <si>
    <t>2665 rue Parc</t>
  </si>
  <si>
    <t>1165 Duke Street</t>
  </si>
  <si>
    <t>3238 102nd Avenue</t>
  </si>
  <si>
    <t>4681 Baker Street</t>
  </si>
  <si>
    <t>deliveryAddress</t>
  </si>
  <si>
    <t>Cat Lake</t>
  </si>
  <si>
    <t>Saskatoon</t>
  </si>
  <si>
    <t>St Felix De Valois</t>
  </si>
  <si>
    <t>St Cyrille De Wendover</t>
  </si>
  <si>
    <t>Fort St John</t>
  </si>
  <si>
    <t>London</t>
  </si>
  <si>
    <t>71</t>
  </si>
  <si>
    <t>102</t>
  </si>
  <si>
    <t>13</t>
  </si>
  <si>
    <t>44</t>
  </si>
  <si>
    <t>15</t>
  </si>
  <si>
    <t>86</t>
  </si>
  <si>
    <t>27</t>
  </si>
  <si>
    <t>108</t>
  </si>
  <si>
    <t>19</t>
  </si>
  <si>
    <t>110</t>
  </si>
  <si>
    <t>411</t>
  </si>
  <si>
    <t>M1E 3T8</t>
  </si>
  <si>
    <t>K1L 6C7</t>
  </si>
  <si>
    <t>P0V 1J0</t>
  </si>
  <si>
    <t>M1L 3K7</t>
  </si>
  <si>
    <t>L6H 3H5</t>
  </si>
  <si>
    <t>S7K 1W8</t>
  </si>
  <si>
    <t>J0K 2M0</t>
  </si>
  <si>
    <t>J1Z 1E1</t>
  </si>
  <si>
    <t>H3C 5K4</t>
  </si>
  <si>
    <t>V1J 3Y7</t>
  </si>
  <si>
    <t>N0N 0N0</t>
  </si>
  <si>
    <t>647-828-4520</t>
  </si>
  <si>
    <t>416-963-8125</t>
  </si>
  <si>
    <t>613-744-0751</t>
  </si>
  <si>
    <t>807-347-1528</t>
  </si>
  <si>
    <t>416-527-3767</t>
  </si>
  <si>
    <t>905-467-2429</t>
  </si>
  <si>
    <t>306-717-8298</t>
  </si>
  <si>
    <t>450-889-2867</t>
  </si>
  <si>
    <t>819-397-4174</t>
  </si>
  <si>
    <t>514-229-9713</t>
  </si>
  <si>
    <t>250-263-5582</t>
  </si>
  <si>
    <t>519-858-8035</t>
  </si>
  <si>
    <t>Debit</t>
  </si>
  <si>
    <t>Credit</t>
  </si>
  <si>
    <t>Visa</t>
  </si>
  <si>
    <t>Mastercard</t>
  </si>
  <si>
    <t>x</t>
  </si>
  <si>
    <t>12/2024</t>
  </si>
  <si>
    <t>06/2023</t>
  </si>
  <si>
    <t>03/2025</t>
  </si>
  <si>
    <t>12/2026</t>
  </si>
  <si>
    <t>06/2025</t>
  </si>
  <si>
    <t>12/2025</t>
  </si>
  <si>
    <t>01/2024</t>
  </si>
  <si>
    <t>08/2025</t>
  </si>
  <si>
    <t>07/2026</t>
  </si>
  <si>
    <t>03/2023</t>
  </si>
  <si>
    <t>03/2024</t>
  </si>
  <si>
    <t>02/2024</t>
  </si>
  <si>
    <t>12/2023</t>
  </si>
  <si>
    <t>04/2025</t>
  </si>
  <si>
    <t>01/2023</t>
  </si>
  <si>
    <t>11/2023</t>
  </si>
  <si>
    <t>10/2026</t>
  </si>
  <si>
    <t>05/2026</t>
  </si>
  <si>
    <t>04/2026</t>
  </si>
  <si>
    <t>09/2023</t>
  </si>
  <si>
    <t>08/2024</t>
  </si>
  <si>
    <t>10/2024</t>
  </si>
  <si>
    <t>08/2023</t>
  </si>
  <si>
    <t>a</t>
  </si>
  <si>
    <t>b</t>
  </si>
  <si>
    <t>c</t>
  </si>
  <si>
    <t>e</t>
  </si>
  <si>
    <t>d</t>
  </si>
  <si>
    <t>f</t>
  </si>
  <si>
    <t>g</t>
  </si>
  <si>
    <t>Value for Document Insert</t>
  </si>
  <si>
    <t>Orders</t>
  </si>
  <si>
    <t>Products</t>
  </si>
  <si>
    <t>emailAddress</t>
  </si>
  <si>
    <t xml:space="preserve">         1 : 1 ??</t>
  </si>
  <si>
    <t>Order Status</t>
  </si>
  <si>
    <t>In Process</t>
  </si>
  <si>
    <t>Confirmed</t>
  </si>
  <si>
    <t>Cancelled</t>
  </si>
  <si>
    <t>orderTime</t>
  </si>
  <si>
    <t>lzapanta</t>
  </si>
  <si>
    <t>jbartolata</t>
  </si>
  <si>
    <t>mjones</t>
  </si>
  <si>
    <t>jessewilliams@gmail.com</t>
  </si>
  <si>
    <t>20221101101912</t>
  </si>
  <si>
    <t>101912</t>
  </si>
  <si>
    <t>trinity_gosling@gmail.com</t>
  </si>
  <si>
    <t>20221101104800</t>
  </si>
  <si>
    <t>104800</t>
  </si>
  <si>
    <t>penelope_piers@gmail.com</t>
  </si>
  <si>
    <t>boyleannika@gmail.com</t>
  </si>
  <si>
    <t>20221101103336</t>
  </si>
  <si>
    <t>103336</t>
  </si>
  <si>
    <t>sloanmclaughlin@gmail.com</t>
  </si>
  <si>
    <t>norah_fessenden@gmail.com</t>
  </si>
  <si>
    <t>20221101100448</t>
  </si>
  <si>
    <t>100448</t>
  </si>
  <si>
    <t>bethanynevin@gmail.com</t>
  </si>
  <si>
    <t>johnsondeclan@gmail.com</t>
  </si>
  <si>
    <t>20221102092136</t>
  </si>
  <si>
    <t>092136</t>
  </si>
  <si>
    <t>anastasiatimbrell@gmail.com</t>
  </si>
  <si>
    <t>20221103080936</t>
  </si>
  <si>
    <t>080936</t>
  </si>
  <si>
    <t>serenareeves@gmail.com</t>
  </si>
  <si>
    <t>altmancharlotte@gmail.com</t>
  </si>
  <si>
    <t>20221103113112</t>
  </si>
  <si>
    <t>113112</t>
  </si>
  <si>
    <t>joshua_rose@gmail.com</t>
  </si>
  <si>
    <t>donovanmarkle@gmail.com</t>
  </si>
  <si>
    <t>20221103082400</t>
  </si>
  <si>
    <t>082400</t>
  </si>
  <si>
    <t>davidscarlett@gmail.com</t>
  </si>
  <si>
    <t>20221103085248</t>
  </si>
  <si>
    <t>085248</t>
  </si>
  <si>
    <t>mccoycharlie@gmail.com</t>
  </si>
  <si>
    <t>20221104113112</t>
  </si>
  <si>
    <t>currienatalie@gmail.com</t>
  </si>
  <si>
    <t>hennessyadelaide@gmail.com</t>
  </si>
  <si>
    <t>20221104120000</t>
  </si>
  <si>
    <t>120000</t>
  </si>
  <si>
    <t>quinn_white@gmail.com</t>
  </si>
  <si>
    <t>20221104103336</t>
  </si>
  <si>
    <t>leo_clarkson@gmail.com</t>
  </si>
  <si>
    <t>20221105104800</t>
  </si>
  <si>
    <t>rhett_fuller@gmail.com</t>
  </si>
  <si>
    <t>20221105082400</t>
  </si>
  <si>
    <t>ivyclarkson@gmail.com</t>
  </si>
  <si>
    <t>20221105090712</t>
  </si>
  <si>
    <t>090712</t>
  </si>
  <si>
    <t>20221106111648</t>
  </si>
  <si>
    <t>111648</t>
  </si>
  <si>
    <t>octaviaboyd@gmail.com</t>
  </si>
  <si>
    <t>saraholiver@gmail.com</t>
  </si>
  <si>
    <t>hudson_davies@gmail.com</t>
  </si>
  <si>
    <t>sawyer_oliver@gmail.com</t>
  </si>
  <si>
    <t>20221107082400</t>
  </si>
  <si>
    <t>20221107085248</t>
  </si>
  <si>
    <t>20221108104800</t>
  </si>
  <si>
    <t>20221108114536</t>
  </si>
  <si>
    <t>114536</t>
  </si>
  <si>
    <t>20221108111648</t>
  </si>
  <si>
    <t>20221109093600</t>
  </si>
  <si>
    <t>093600</t>
  </si>
  <si>
    <t>20221109095024</t>
  </si>
  <si>
    <t>095024</t>
  </si>
  <si>
    <t>20221110104800</t>
  </si>
  <si>
    <t>parkamanda@gmail.com</t>
  </si>
  <si>
    <t>evansariana@gmail.com</t>
  </si>
  <si>
    <t>20221110085248</t>
  </si>
  <si>
    <t>olsonbrielle@gmail.com</t>
  </si>
  <si>
    <t>20221111111648</t>
  </si>
  <si>
    <t>20221111103336</t>
  </si>
  <si>
    <t>20221111120000</t>
  </si>
  <si>
    <t>Order Placed</t>
  </si>
  <si>
    <t>Delivered</t>
  </si>
  <si>
    <t>tax</t>
  </si>
  <si>
    <t>deliveryFee</t>
  </si>
  <si>
    <t>grossTotal</t>
  </si>
  <si>
    <t>end</t>
  </si>
  <si>
    <t>concat</t>
  </si>
  <si>
    <t>subTotal</t>
  </si>
  <si>
    <t>101913</t>
  </si>
  <si>
    <t>114537</t>
  </si>
  <si>
    <t>billingsAddress</t>
  </si>
  <si>
    <t>totalQty</t>
  </si>
  <si>
    <t>remaining</t>
  </si>
  <si>
    <t>[{"creationDate":{"$date":"2022-11-10T00:00:00Z"},"expiryDate":{"$date":"2022-11-17T00:00:00Z"},"quantity":12,"remaining":10}]</t>
  </si>
  <si>
    <t>[{"creationDate":{"$date":"2022-11-11T00:00:00Z"},"expiryDate":{"$date":"2022-11-18T00:00:00Z"},"quantity":24,"remaining":20}]</t>
  </si>
  <si>
    <t>[{"creationDate":{"$date":"2022-11-11T00:00:00Z"},"expiryDate":{"$date":"2022-11-18T00:00:00Z"},"quantity":12,"remaining":6}]</t>
  </si>
  <si>
    <t>[{"creationDate":{"$date":"2022-11-11T00:00:00Z"},"expiryDate":{"$date":"2022-11-18T00:00:00Z"},"quantity":12,"remaining":11}]</t>
  </si>
  <si>
    <t>[{"creationDate":{"$date":"2022-11-11T00:00:00Z"},"expiryDate":{"$date":"2022-12-11T00:00:00Z"},"quantity":60,"remaining":39}]</t>
  </si>
  <si>
    <t>[{"creationDate":{"$date":"2022-11-11T00:00:00Z"},"expiryDate":{"$date":"2022-11-18T00:00:00Z"},"quantity":24,"remaining":11}]</t>
  </si>
  <si>
    <t>[{"creationDate":{"$date":"2022-11-11T00:00:00Z"},"expiryDate":{"$date":"2023-01-10T00:00:00Z"},"quantity":60,"remaining":25}]</t>
  </si>
  <si>
    <t>[{"creationDate":{"$date":"2022-11-10T00:00:00Z"},"expiryDate":{"$date":"2022-11-17T00:00:00Z"},"quantity":24,"remaining":2},</t>
  </si>
  <si>
    <t>{"creationDate":{"$date":"2022-11-11T00:00:00Z"},"expiryDate":{"$date":"2022-11-18T00:00:00Z"},"quantity":24,"remaining":24}]</t>
  </si>
  <si>
    <t>[{"creationDate":{"$date":"2022-11-10T00:00:00Z"},"expiryDate":{"$date":"2022-11-17T00:00:00Z"},"quantity":12,"remaining":3},</t>
  </si>
  <si>
    <t>{"creationDate":{"$date":"2022-11-11T00:00:00Z"},"expiryDate":{"$date":"2022-11-18T00:00:00Z"},"quantity":12,"remaining":12}]</t>
  </si>
  <si>
    <t>[{"creationDate":{"$date":"2022-11-10T00:00:00Z"},"expiryDate":{"$date":"2022-11-17T00:00:00Z"},"quantity":12,"remaining":1},</t>
  </si>
  <si>
    <t>[{"creationDate":{"$date":"2022-11-10T00:00:00Z"},"expiryDate":{"$date":"2022-11-17T00:00:00Z"},"quantity":24,"remaining":4},</t>
  </si>
  <si>
    <t>[{"creationDate":{"$date":"2022-11-10T00:00:00Z"},"expiryDate":{"$date":"2022-11-17T00:00:00Z"},"quantity":12,"remaining":4},</t>
  </si>
  <si>
    <t>[{"creationDate":{"$date":"2022-11-10T00:00:00Z"},"expiryDate":{"$date":"2022-11-17T00:00:00Z"},"quantity":24,"remaining":3},</t>
  </si>
  <si>
    <t>[{"creationDate":{"$date":"2022-11-10T00:00:00Z"},"expiryDate":{"$date":"2022-11-17T00:00:00Z"},"quantity":12,"remaining":5},</t>
  </si>
  <si>
    <t>[{"creationDate":{"$date":"2022-11-10T00:00:00Z"},"expiryDate":{"$date":"2022-11-17T00:00:00Z"},"quantity":12,"remaining":2},</t>
  </si>
  <si>
    <t>[{"creationDate":{"$date":"2022-11-10T00:00:00Z"},"expiryDate":{"$date":"2022-11-17T00:00:00Z"},"quantity":12,"remaining":6},</t>
  </si>
  <si>
    <t>postDate</t>
  </si>
  <si>
    <t>Review</t>
  </si>
  <si>
    <t>Go get these. You will not be disappointed as they are the best.</t>
  </si>
  <si>
    <t>The products are excellent, especially like the pan de coco.</t>
  </si>
  <si>
    <t>So glad that this place is open! I live for their everythin bagel.</t>
  </si>
  <si>
    <t>If you want a authentic pastries that are fresh and delicious you have to come here.</t>
  </si>
  <si>
    <t>The bakeshop in CN. So many fresh options and great service. Love their pandesal. So delicious!</t>
  </si>
  <si>
    <t xml:space="preserve">We have been ordering malunggay bread from here since its birth and they are world class bakers I would recommend. </t>
  </si>
  <si>
    <t>I like the bread the most. It is soft and yummmmy</t>
  </si>
  <si>
    <t>good bakery, but when I ordered for in bulk the quality was a bit unacceptable. rest is good for routine.</t>
  </si>
  <si>
    <t>so so</t>
  </si>
  <si>
    <t>Must visit for scone lovers.</t>
  </si>
  <si>
    <t>postTime</t>
  </si>
  <si>
    <t>022400</t>
  </si>
  <si>
    <t>051648</t>
  </si>
  <si>
    <t>195512</t>
  </si>
  <si>
    <t>200936</t>
  </si>
  <si>
    <t>124312</t>
  </si>
  <si>
    <t>134048</t>
  </si>
  <si>
    <t>163336</t>
  </si>
  <si>
    <t>060000</t>
  </si>
  <si>
    <t>223336</t>
  </si>
  <si>
    <t>072624</t>
  </si>
  <si>
    <t>131200</t>
  </si>
  <si>
    <t>234536</t>
  </si>
  <si>
    <t>015512</t>
  </si>
  <si>
    <t>062848</t>
  </si>
  <si>
    <t>132624</t>
  </si>
  <si>
    <t>075512</t>
  </si>
  <si>
    <t>164800</t>
  </si>
  <si>
    <t>203824</t>
  </si>
  <si>
    <t>004312</t>
  </si>
  <si>
    <t>reviewId</t>
  </si>
  <si>
    <t xml:space="preserve">         M : M ??</t>
  </si>
  <si>
    <t>bStreet</t>
  </si>
  <si>
    <t>bUnit</t>
  </si>
  <si>
    <t>bCity</t>
  </si>
  <si>
    <t>bProvince</t>
  </si>
  <si>
    <t>bZip</t>
  </si>
  <si>
    <t>bMobileNumber</t>
  </si>
  <si>
    <t>dStreet</t>
  </si>
  <si>
    <t>dUnit</t>
  </si>
  <si>
    <t>dCity</t>
  </si>
  <si>
    <t>dProvince</t>
  </si>
  <si>
    <t>dZip</t>
  </si>
  <si>
    <t>dMobileNumber</t>
  </si>
  <si>
    <t>dName</t>
  </si>
  <si>
    <t>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</si>
</sst>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64" formatCode="[$-F400]h:mm:ss\ AM/PM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7"/>
      <color rgb="FF333333"/>
      <name val="Open Sans"/>
      <family val="2"/>
    </font>
    <font>
      <sz val="7"/>
      <color rgb="FF333333"/>
      <name val="Open Sans"/>
      <family val="2"/>
    </font>
    <font>
      <u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CF8FA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rgb="FFFFFFFF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indent="2"/>
    </xf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15" fontId="0" fillId="0" borderId="0" xfId="0" applyNumberFormat="1"/>
    <xf numFmtId="6" fontId="0" fillId="0" borderId="0" xfId="0" applyNumberFormat="1"/>
    <xf numFmtId="0" fontId="2" fillId="0" borderId="0" xfId="0" applyFont="1"/>
    <xf numFmtId="0" fontId="0" fillId="0" borderId="0" xfId="0" applyAlignment="1">
      <alignment horizontal="left" indent="1"/>
    </xf>
    <xf numFmtId="0" fontId="0" fillId="5" borderId="0" xfId="0" applyFill="1" applyAlignment="1">
      <alignment horizontal="left" indent="2"/>
    </xf>
    <xf numFmtId="0" fontId="0" fillId="3" borderId="0" xfId="0" applyFill="1" applyAlignment="1">
      <alignment horizontal="left" indent="2"/>
    </xf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indent="2"/>
    </xf>
    <xf numFmtId="0" fontId="0" fillId="4" borderId="1" xfId="0" applyFill="1" applyBorder="1"/>
    <xf numFmtId="0" fontId="0" fillId="5" borderId="1" xfId="0" applyFill="1" applyBorder="1" applyAlignment="1">
      <alignment horizontal="left" indent="2"/>
    </xf>
    <xf numFmtId="0" fontId="0" fillId="5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left" indent="1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left" indent="1"/>
    </xf>
    <xf numFmtId="0" fontId="0" fillId="3" borderId="1" xfId="0" applyFill="1" applyBorder="1" applyAlignment="1">
      <alignment horizontal="left"/>
    </xf>
    <xf numFmtId="0" fontId="5" fillId="0" borderId="0" xfId="0" applyFont="1"/>
    <xf numFmtId="0" fontId="0" fillId="0" borderId="0" xfId="0" applyAlignment="1">
      <alignment horizontal="left" indent="3"/>
    </xf>
    <xf numFmtId="0" fontId="0" fillId="0" borderId="0" xfId="0" applyAlignment="1">
      <alignment vertical="center"/>
    </xf>
    <xf numFmtId="0" fontId="0" fillId="8" borderId="0" xfId="0" applyFill="1"/>
    <xf numFmtId="0" fontId="7" fillId="0" borderId="0" xfId="0" applyFont="1" applyAlignment="1">
      <alignment horizontal="left" vertical="center"/>
    </xf>
    <xf numFmtId="0" fontId="7" fillId="9" borderId="7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9" borderId="7" xfId="0" applyFont="1" applyFill="1" applyBorder="1" applyAlignment="1">
      <alignment horizontal="left" vertical="center" wrapText="1"/>
    </xf>
    <xf numFmtId="0" fontId="9" fillId="0" borderId="0" xfId="0" applyFont="1"/>
    <xf numFmtId="0" fontId="0" fillId="10" borderId="0" xfId="0" applyFill="1"/>
    <xf numFmtId="0" fontId="10" fillId="0" borderId="0" xfId="0" applyFont="1"/>
    <xf numFmtId="0" fontId="10" fillId="10" borderId="0" xfId="0" applyFont="1" applyFill="1"/>
    <xf numFmtId="0" fontId="0" fillId="11" borderId="0" xfId="0" applyFill="1"/>
    <xf numFmtId="0" fontId="0" fillId="0" borderId="0" xfId="0" applyAlignment="1">
      <alignment horizontal="left" indent="6"/>
    </xf>
    <xf numFmtId="0" fontId="4" fillId="7" borderId="0" xfId="0" applyFont="1" applyFill="1"/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center"/>
    </xf>
    <xf numFmtId="0" fontId="0" fillId="6" borderId="1" xfId="0" applyFill="1" applyBorder="1" applyAlignment="1">
      <alignment horizontal="left" indent="2"/>
    </xf>
    <xf numFmtId="14" fontId="0" fillId="0" borderId="0" xfId="0" applyNumberFormat="1"/>
    <xf numFmtId="0" fontId="0" fillId="0" borderId="0" xfId="0" quotePrefix="1"/>
    <xf numFmtId="164" fontId="0" fillId="0" borderId="0" xfId="0" applyNumberFormat="1"/>
    <xf numFmtId="0" fontId="11" fillId="0" borderId="0" xfId="0" applyFont="1"/>
    <xf numFmtId="14" fontId="10" fillId="0" borderId="0" xfId="0" applyNumberFormat="1" applyFont="1"/>
    <xf numFmtId="164" fontId="10" fillId="0" borderId="0" xfId="0" applyNumberFormat="1" applyFont="1"/>
    <xf numFmtId="14" fontId="0" fillId="12" borderId="0" xfId="0" applyNumberFormat="1" applyFill="1"/>
    <xf numFmtId="0" fontId="2" fillId="7" borderId="0" xfId="0" applyFont="1" applyFill="1"/>
    <xf numFmtId="0" fontId="3" fillId="7" borderId="0" xfId="0" applyFont="1" applyFill="1"/>
    <xf numFmtId="0" fontId="10" fillId="11" borderId="0" xfId="0" applyFont="1" applyFill="1"/>
    <xf numFmtId="0" fontId="0" fillId="0" borderId="0" xfId="0" applyAlignment="1">
      <alignment vertical="top"/>
    </xf>
    <xf numFmtId="0" fontId="0" fillId="11" borderId="0" xfId="0" applyFill="1" applyAlignment="1">
      <alignment vertical="top"/>
    </xf>
    <xf numFmtId="0" fontId="1" fillId="12" borderId="0" xfId="0" applyFont="1" applyFill="1" applyAlignment="1">
      <alignment vertical="top" wrapText="1"/>
    </xf>
    <xf numFmtId="164" fontId="0" fillId="0" borderId="0" xfId="0" quotePrefix="1" applyNumberFormat="1"/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4" borderId="1" xfId="0" applyFill="1" applyBorder="1" applyAlignment="1">
      <alignment horizontal="left" inden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2723</xdr:colOff>
      <xdr:row>0</xdr:row>
      <xdr:rowOff>0</xdr:rowOff>
    </xdr:from>
    <xdr:to>
      <xdr:col>25</xdr:col>
      <xdr:colOff>452894</xdr:colOff>
      <xdr:row>35</xdr:row>
      <xdr:rowOff>146050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3C4270-4BE7-4614-878E-78C4686F7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9523" y="0"/>
          <a:ext cx="11422971" cy="659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43793</xdr:colOff>
      <xdr:row>13</xdr:row>
      <xdr:rowOff>0</xdr:rowOff>
    </xdr:from>
    <xdr:to>
      <xdr:col>3</xdr:col>
      <xdr:colOff>1217448</xdr:colOff>
      <xdr:row>13</xdr:row>
      <xdr:rowOff>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DB1B3F4C-D4A9-4169-95AD-CBD55EC259E4}"/>
            </a:ext>
          </a:extLst>
        </xdr:cNvPr>
        <xdr:cNvCxnSpPr/>
      </xdr:nvCxnSpPr>
      <xdr:spPr>
        <a:xfrm>
          <a:off x="1291381" y="948765"/>
          <a:ext cx="117365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43793</xdr:colOff>
      <xdr:row>13</xdr:row>
      <xdr:rowOff>0</xdr:rowOff>
    </xdr:from>
    <xdr:to>
      <xdr:col>5</xdr:col>
      <xdr:colOff>1217448</xdr:colOff>
      <xdr:row>13</xdr:row>
      <xdr:rowOff>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08952E48-0C71-4CAD-9D9F-E91C4DBD02DA}"/>
            </a:ext>
          </a:extLst>
        </xdr:cNvPr>
        <xdr:cNvCxnSpPr/>
      </xdr:nvCxnSpPr>
      <xdr:spPr>
        <a:xfrm>
          <a:off x="3584852" y="948765"/>
          <a:ext cx="117365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612588</xdr:colOff>
      <xdr:row>24</xdr:row>
      <xdr:rowOff>67235</xdr:rowOff>
    </xdr:from>
    <xdr:to>
      <xdr:col>6</xdr:col>
      <xdr:colOff>620058</xdr:colOff>
      <xdr:row>26</xdr:row>
      <xdr:rowOff>112062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C5022AF-D68A-4147-90F2-1A9C7AB7D2ED}"/>
            </a:ext>
          </a:extLst>
        </xdr:cNvPr>
        <xdr:cNvCxnSpPr/>
      </xdr:nvCxnSpPr>
      <xdr:spPr>
        <a:xfrm>
          <a:off x="8180294" y="5124823"/>
          <a:ext cx="7470" cy="418357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82177</xdr:colOff>
      <xdr:row>25</xdr:row>
      <xdr:rowOff>59765</xdr:rowOff>
    </xdr:from>
    <xdr:to>
      <xdr:col>5</xdr:col>
      <xdr:colOff>1165412</xdr:colOff>
      <xdr:row>29</xdr:row>
      <xdr:rowOff>156882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E2A5306D-B5E7-4365-8AEF-71E268CA26EB}"/>
            </a:ext>
          </a:extLst>
        </xdr:cNvPr>
        <xdr:cNvCxnSpPr/>
      </xdr:nvCxnSpPr>
      <xdr:spPr>
        <a:xfrm>
          <a:off x="6118412" y="3436471"/>
          <a:ext cx="1083235" cy="844176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575236</xdr:colOff>
      <xdr:row>7</xdr:row>
      <xdr:rowOff>59762</xdr:rowOff>
    </xdr:from>
    <xdr:to>
      <xdr:col>4</xdr:col>
      <xdr:colOff>582706</xdr:colOff>
      <xdr:row>10</xdr:row>
      <xdr:rowOff>134468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05321E5-1306-43A6-A7B9-4D77F560F528}"/>
            </a:ext>
          </a:extLst>
        </xdr:cNvPr>
        <xdr:cNvCxnSpPr/>
      </xdr:nvCxnSpPr>
      <xdr:spPr>
        <a:xfrm>
          <a:off x="5647765" y="1382056"/>
          <a:ext cx="7470" cy="6350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406400</xdr:colOff>
      <xdr:row>29</xdr:row>
      <xdr:rowOff>107950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7D34AD-4BCD-74E4-1A74-C9EE75D3B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160000" cy="544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ovi Fez Bartolata" id="{69819980-E944-46BD-9F00-F19738A2CCC5}" userId="Jovi Fez Bartolat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2" dT="2022-11-12T18:29:23.43" personId="{69819980-E944-46BD-9F00-F19738A2CCC5}" id="{385ADD36-4A56-4DAA-B2B8-4A089A2CA486}">
    <text>Computed field?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8" dT="2022-11-12T18:29:23.43" personId="{69819980-E944-46BD-9F00-F19738A2CCC5}" id="{6E1E8C1F-C767-45AE-A8C7-F0A66578DD88}">
    <text>Computed field?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5" dT="2022-11-12T18:29:23.43" personId="{69819980-E944-46BD-9F00-F19738A2CCC5}" id="{CB522B4D-6E6D-411E-8986-09A70C231C14}">
    <text>Computed field?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16" dT="2022-11-21T19:50:56.73" personId="{69819980-E944-46BD-9F00-F19738A2CCC5}" id="{96EF426C-54A9-49D7-AF87-BD22D2C63A1F}">
    <text>Use extended reference</text>
  </threadedComment>
  <threadedComment ref="E24" dT="2022-11-21T19:50:56.73" personId="{69819980-E944-46BD-9F00-F19738A2CCC5}" id="{B075416D-7FBF-45A1-B4E1-E592B203D233}">
    <text>Use extended reference</text>
  </threadedComment>
  <threadedComment ref="C31" dT="2022-11-21T19:44:28.19" personId="{69819980-E944-46BD-9F00-F19738A2CCC5}" id="{DFE6E58E-0681-466B-ABC5-3E789B29B03B}">
    <text>Debit/Credit</text>
  </threadedComment>
  <threadedComment ref="E32" dT="2022-11-21T19:50:56.73" personId="{69819980-E944-46BD-9F00-F19738A2CCC5}" id="{5FABDA85-C6FB-4F9B-8657-6EB08B8D91C4}">
    <text>Use extended reference</text>
  </threadedComment>
  <threadedComment ref="G37" dT="2022-11-21T19:29:13.54" personId="{69819980-E944-46BD-9F00-F19738A2CCC5}" id="{323E6D18-1200-4265-9037-5A3899C49F43}">
    <text>Use computed pattern</text>
  </threadedComment>
  <threadedComment ref="G38" dT="2022-11-21T19:29:03.07" personId="{69819980-E944-46BD-9F00-F19738A2CCC5}" id="{9BB8D5BA-E15B-4641-801D-89E789BDB436}">
    <text>Use computed pattern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B22" dT="2022-11-21T19:44:28.19" personId="{69819980-E944-46BD-9F00-F19738A2CCC5}" id="{F81155E4-9F96-49DC-8543-1E3165092698}">
    <text>Debit/Credit</text>
  </threadedComment>
  <threadedComment ref="B30" dT="2022-11-21T19:50:56.73" personId="{69819980-E944-46BD-9F00-F19738A2CCC5}" id="{89E49FF9-E79C-474D-86FF-05BB9477C5D1}">
    <text>Use extended reference</text>
  </threadedComment>
  <threadedComment ref="B62" dT="2022-11-21T19:29:13.54" personId="{69819980-E944-46BD-9F00-F19738A2CCC5}" id="{05294A45-06F8-4652-A164-91350BC2492E}">
    <text>Use computed pattern</text>
  </threadedComment>
  <threadedComment ref="B63" dT="2022-11-21T19:29:03.07" personId="{69819980-E944-46BD-9F00-F19738A2CCC5}" id="{892F8864-2FE1-4D05-BE65-27866EDC834B}">
    <text>Use computed pattern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H11" dT="2022-11-23T01:23:37.26" personId="{69819980-E944-46BD-9F00-F19738A2CCC5}" id="{64BAF25D-B69B-4581-A16C-2142EF1342D0}">
    <text>Accepts order from 8 AM to 12 NN only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AH3" dT="2022-11-23T01:23:37.26" personId="{69819980-E944-46BD-9F00-F19738A2CCC5}" id="{DDF3675D-73E0-4486-B5E6-3A85E20665C8}">
    <text>Accepts order from 8 AM to 12 NN only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"/>
  <sheetViews>
    <sheetView zoomScale="70" zoomScaleNormal="70" workbookViewId="0"/>
  </sheetViews>
  <sheetFormatPr defaultRowHeight="14.5" x14ac:dyDescent="0.35"/>
  <cols>
    <col min="1" max="1" width="17" bestFit="1" customWidth="1"/>
    <col min="2" max="2" width="15.54296875" bestFit="1" customWidth="1"/>
    <col min="3" max="3" width="32.453125" bestFit="1" customWidth="1"/>
    <col min="4" max="4" width="21.1796875" bestFit="1" customWidth="1"/>
    <col min="5" max="5" width="16.26953125" bestFit="1" customWidth="1"/>
    <col min="6" max="6" width="14" bestFit="1" customWidth="1"/>
    <col min="7" max="7" width="12" bestFit="1" customWidth="1"/>
    <col min="8" max="8" width="16.453125" bestFit="1" customWidth="1"/>
    <col min="9" max="10" width="11.453125" bestFit="1" customWidth="1"/>
    <col min="11" max="11" width="7.7265625" bestFit="1" customWidth="1"/>
    <col min="12" max="12" width="11.453125" bestFit="1" customWidth="1"/>
    <col min="13" max="13" width="13.54296875" bestFit="1" customWidth="1"/>
    <col min="15" max="15" width="11.7265625" bestFit="1" customWidth="1"/>
    <col min="16" max="16" width="12.54296875" bestFit="1" customWidth="1"/>
    <col min="17" max="17" width="13.26953125" bestFit="1" customWidth="1"/>
    <col min="18" max="18" width="10.7265625" bestFit="1" customWidth="1"/>
  </cols>
  <sheetData>
    <row r="1" spans="1:18" x14ac:dyDescent="0.35">
      <c r="B1" s="62" t="s">
        <v>0</v>
      </c>
      <c r="C1" s="62"/>
      <c r="D1" s="62" t="s">
        <v>1</v>
      </c>
      <c r="E1" s="62"/>
      <c r="F1" s="62"/>
      <c r="G1" s="62"/>
      <c r="H1" s="62"/>
      <c r="I1" s="62"/>
      <c r="J1" s="62"/>
      <c r="K1" s="62"/>
      <c r="L1" s="62" t="s">
        <v>2</v>
      </c>
      <c r="M1" s="62"/>
      <c r="N1" s="62"/>
      <c r="O1" s="62"/>
      <c r="P1" s="62"/>
      <c r="Q1" s="62"/>
      <c r="R1" s="62"/>
    </row>
    <row r="2" spans="1:18" x14ac:dyDescent="0.35">
      <c r="B2" s="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s="4" t="s">
        <v>10</v>
      </c>
      <c r="J2" s="4" t="s">
        <v>11</v>
      </c>
      <c r="K2" s="4" t="s">
        <v>12</v>
      </c>
      <c r="L2" s="3" t="s">
        <v>5</v>
      </c>
      <c r="M2" s="5" t="s">
        <v>13</v>
      </c>
      <c r="N2" s="2" t="s">
        <v>3</v>
      </c>
      <c r="O2" t="s">
        <v>14</v>
      </c>
      <c r="P2" t="s">
        <v>15</v>
      </c>
      <c r="Q2" t="s">
        <v>16</v>
      </c>
      <c r="R2" s="6" t="s">
        <v>17</v>
      </c>
    </row>
    <row r="3" spans="1:18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6474308072</v>
      </c>
      <c r="H3" t="s">
        <v>24</v>
      </c>
      <c r="I3" t="s">
        <v>25</v>
      </c>
      <c r="J3" t="s">
        <v>26</v>
      </c>
      <c r="K3" t="s">
        <v>27</v>
      </c>
      <c r="L3" t="str">
        <f>+D3</f>
        <v>C10000</v>
      </c>
      <c r="M3">
        <v>2000</v>
      </c>
      <c r="N3" t="str">
        <f>+B3</f>
        <v>E0900</v>
      </c>
      <c r="O3" t="s">
        <v>28</v>
      </c>
      <c r="P3" s="10">
        <v>44881</v>
      </c>
      <c r="Q3" s="10">
        <v>44881</v>
      </c>
      <c r="R3" s="11">
        <v>25.05</v>
      </c>
    </row>
    <row r="4" spans="1:18" x14ac:dyDescent="0.3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4344305064</v>
      </c>
      <c r="H4" t="s">
        <v>35</v>
      </c>
      <c r="I4" t="s">
        <v>36</v>
      </c>
      <c r="J4" t="s">
        <v>37</v>
      </c>
      <c r="K4" t="s">
        <v>38</v>
      </c>
      <c r="L4" t="str">
        <f>+D4</f>
        <v>C10001</v>
      </c>
      <c r="M4">
        <v>2001</v>
      </c>
      <c r="N4" t="str">
        <f>+B4</f>
        <v>E0901</v>
      </c>
      <c r="O4" t="s">
        <v>39</v>
      </c>
      <c r="P4" s="10">
        <v>44880</v>
      </c>
      <c r="Q4" s="10">
        <v>44880</v>
      </c>
      <c r="R4" s="11">
        <v>39.54</v>
      </c>
    </row>
    <row r="5" spans="1:18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>
        <v>6478384511</v>
      </c>
      <c r="H5" t="s">
        <v>46</v>
      </c>
      <c r="I5" t="s">
        <v>25</v>
      </c>
      <c r="J5" t="s">
        <v>26</v>
      </c>
      <c r="K5" t="s">
        <v>47</v>
      </c>
      <c r="L5" t="str">
        <f>+D5</f>
        <v>C10002</v>
      </c>
      <c r="M5">
        <v>2002</v>
      </c>
      <c r="N5" t="str">
        <f>+B5</f>
        <v>E0902</v>
      </c>
      <c r="O5" t="s">
        <v>48</v>
      </c>
      <c r="P5" s="10">
        <v>44879</v>
      </c>
      <c r="Q5" s="10">
        <v>44879</v>
      </c>
      <c r="R5" s="11">
        <v>29.94</v>
      </c>
    </row>
    <row r="6" spans="1:18" x14ac:dyDescent="0.35">
      <c r="A6" t="s">
        <v>49</v>
      </c>
    </row>
    <row r="7" spans="1:18" x14ac:dyDescent="0.35">
      <c r="A7" t="s">
        <v>50</v>
      </c>
    </row>
    <row r="8" spans="1:18" x14ac:dyDescent="0.35">
      <c r="A8" t="s">
        <v>51</v>
      </c>
    </row>
    <row r="9" spans="1:18" x14ac:dyDescent="0.35">
      <c r="A9" t="s">
        <v>52</v>
      </c>
    </row>
    <row r="10" spans="1:18" x14ac:dyDescent="0.35">
      <c r="A10" t="s">
        <v>53</v>
      </c>
    </row>
    <row r="12" spans="1:18" x14ac:dyDescent="0.35">
      <c r="B12" s="12" t="s">
        <v>54</v>
      </c>
      <c r="C12" s="12" t="s">
        <v>55</v>
      </c>
      <c r="D12" s="12" t="s">
        <v>56</v>
      </c>
      <c r="E12" s="12" t="s">
        <v>57</v>
      </c>
      <c r="F12" s="12" t="s">
        <v>58</v>
      </c>
      <c r="G12" s="12" t="s">
        <v>59</v>
      </c>
      <c r="H12" s="12" t="s">
        <v>60</v>
      </c>
      <c r="I12" s="12" t="s">
        <v>61</v>
      </c>
    </row>
    <row r="13" spans="1:18" x14ac:dyDescent="0.35">
      <c r="A13">
        <v>1</v>
      </c>
      <c r="B13" t="s">
        <v>62</v>
      </c>
      <c r="C13">
        <v>4001</v>
      </c>
      <c r="D13" t="s">
        <v>63</v>
      </c>
      <c r="E13" t="s">
        <v>64</v>
      </c>
      <c r="F13" t="s">
        <v>65</v>
      </c>
      <c r="G13">
        <v>7</v>
      </c>
      <c r="H13">
        <v>4.99</v>
      </c>
      <c r="I13">
        <v>50</v>
      </c>
    </row>
    <row r="14" spans="1:18" x14ac:dyDescent="0.35">
      <c r="A14">
        <v>2</v>
      </c>
      <c r="B14" t="s">
        <v>62</v>
      </c>
      <c r="C14">
        <v>4002</v>
      </c>
      <c r="D14" t="s">
        <v>66</v>
      </c>
      <c r="E14" t="s">
        <v>64</v>
      </c>
      <c r="F14" t="s">
        <v>65</v>
      </c>
      <c r="G14">
        <v>7</v>
      </c>
      <c r="H14">
        <v>5.99</v>
      </c>
      <c r="I14">
        <v>40</v>
      </c>
    </row>
    <row r="15" spans="1:18" x14ac:dyDescent="0.35">
      <c r="A15">
        <v>3</v>
      </c>
      <c r="B15" t="s">
        <v>62</v>
      </c>
      <c r="C15">
        <v>4003</v>
      </c>
      <c r="D15" t="s">
        <v>67</v>
      </c>
      <c r="E15" t="s">
        <v>64</v>
      </c>
      <c r="F15" t="s">
        <v>65</v>
      </c>
      <c r="G15">
        <v>8</v>
      </c>
      <c r="H15">
        <v>6.25</v>
      </c>
      <c r="I15">
        <v>50</v>
      </c>
    </row>
    <row r="16" spans="1:18" x14ac:dyDescent="0.35">
      <c r="A16">
        <v>4</v>
      </c>
      <c r="B16" t="s">
        <v>62</v>
      </c>
      <c r="C16">
        <v>4004</v>
      </c>
      <c r="D16" t="s">
        <v>68</v>
      </c>
      <c r="E16" t="s">
        <v>64</v>
      </c>
      <c r="F16" t="s">
        <v>65</v>
      </c>
      <c r="G16">
        <v>9</v>
      </c>
      <c r="H16">
        <v>7.49</v>
      </c>
      <c r="I16">
        <v>55</v>
      </c>
    </row>
    <row r="17" spans="1:9" x14ac:dyDescent="0.35">
      <c r="A17">
        <v>5</v>
      </c>
      <c r="B17" t="s">
        <v>62</v>
      </c>
      <c r="C17">
        <v>4005</v>
      </c>
      <c r="D17" t="s">
        <v>69</v>
      </c>
      <c r="E17" t="s">
        <v>64</v>
      </c>
      <c r="F17" t="s">
        <v>65</v>
      </c>
      <c r="G17">
        <v>6</v>
      </c>
      <c r="H17">
        <v>5.99</v>
      </c>
      <c r="I17">
        <v>60</v>
      </c>
    </row>
    <row r="18" spans="1:9" x14ac:dyDescent="0.35">
      <c r="A18">
        <v>6</v>
      </c>
      <c r="B18" t="s">
        <v>62</v>
      </c>
      <c r="C18">
        <v>4006</v>
      </c>
      <c r="D18" t="s">
        <v>70</v>
      </c>
      <c r="E18" t="s">
        <v>64</v>
      </c>
      <c r="F18" t="s">
        <v>65</v>
      </c>
      <c r="G18">
        <v>8</v>
      </c>
      <c r="H18">
        <v>7.65</v>
      </c>
      <c r="I18">
        <v>30</v>
      </c>
    </row>
    <row r="19" spans="1:9" x14ac:dyDescent="0.35">
      <c r="A19">
        <v>7</v>
      </c>
      <c r="B19" t="s">
        <v>62</v>
      </c>
      <c r="C19">
        <v>4007</v>
      </c>
      <c r="D19" t="s">
        <v>71</v>
      </c>
      <c r="E19" t="s">
        <v>64</v>
      </c>
      <c r="F19" t="s">
        <v>65</v>
      </c>
      <c r="G19">
        <v>7</v>
      </c>
      <c r="H19">
        <v>5.49</v>
      </c>
      <c r="I19">
        <v>25</v>
      </c>
    </row>
    <row r="20" spans="1:9" x14ac:dyDescent="0.35">
      <c r="A20">
        <v>8</v>
      </c>
      <c r="B20" t="s">
        <v>62</v>
      </c>
      <c r="C20">
        <v>4008</v>
      </c>
      <c r="D20" t="s">
        <v>72</v>
      </c>
      <c r="E20" t="s">
        <v>64</v>
      </c>
      <c r="F20" t="s">
        <v>65</v>
      </c>
      <c r="G20">
        <v>9</v>
      </c>
      <c r="H20">
        <v>6.45</v>
      </c>
      <c r="I20">
        <v>55</v>
      </c>
    </row>
    <row r="21" spans="1:9" x14ac:dyDescent="0.35">
      <c r="A21">
        <v>9</v>
      </c>
      <c r="B21" t="s">
        <v>62</v>
      </c>
      <c r="C21">
        <v>4009</v>
      </c>
      <c r="D21" t="s">
        <v>73</v>
      </c>
      <c r="E21" t="s">
        <v>64</v>
      </c>
      <c r="F21" t="s">
        <v>65</v>
      </c>
      <c r="G21">
        <v>7</v>
      </c>
      <c r="H21">
        <v>7.59</v>
      </c>
      <c r="I21">
        <v>60</v>
      </c>
    </row>
    <row r="22" spans="1:9" x14ac:dyDescent="0.35">
      <c r="A22">
        <v>10</v>
      </c>
      <c r="B22" t="s">
        <v>62</v>
      </c>
      <c r="C22">
        <v>4010</v>
      </c>
      <c r="D22" t="s">
        <v>74</v>
      </c>
      <c r="E22" t="s">
        <v>64</v>
      </c>
      <c r="F22" t="s">
        <v>65</v>
      </c>
      <c r="G22">
        <v>9</v>
      </c>
      <c r="H22">
        <v>8.35</v>
      </c>
      <c r="I22">
        <v>44</v>
      </c>
    </row>
    <row r="23" spans="1:9" x14ac:dyDescent="0.35">
      <c r="A23">
        <v>11</v>
      </c>
      <c r="B23" t="s">
        <v>62</v>
      </c>
      <c r="C23">
        <v>4011</v>
      </c>
      <c r="D23" t="s">
        <v>75</v>
      </c>
      <c r="E23" t="s">
        <v>64</v>
      </c>
      <c r="F23" t="s">
        <v>65</v>
      </c>
      <c r="G23">
        <v>8</v>
      </c>
      <c r="H23">
        <v>5.45</v>
      </c>
      <c r="I23">
        <v>55</v>
      </c>
    </row>
    <row r="24" spans="1:9" x14ac:dyDescent="0.35">
      <c r="A24">
        <v>12</v>
      </c>
      <c r="B24" t="s">
        <v>62</v>
      </c>
      <c r="C24">
        <v>4012</v>
      </c>
      <c r="D24" t="s">
        <v>76</v>
      </c>
      <c r="E24" t="s">
        <v>64</v>
      </c>
      <c r="F24" t="s">
        <v>77</v>
      </c>
      <c r="G24">
        <v>9</v>
      </c>
      <c r="H24">
        <v>6.79</v>
      </c>
      <c r="I24">
        <v>70</v>
      </c>
    </row>
    <row r="25" spans="1:9" x14ac:dyDescent="0.35">
      <c r="A25">
        <v>13</v>
      </c>
      <c r="B25" t="s">
        <v>78</v>
      </c>
      <c r="C25">
        <v>4013</v>
      </c>
      <c r="D25" t="s">
        <v>79</v>
      </c>
      <c r="E25" t="s">
        <v>80</v>
      </c>
      <c r="F25" t="s">
        <v>77</v>
      </c>
      <c r="G25">
        <v>10</v>
      </c>
      <c r="H25">
        <v>4.99</v>
      </c>
      <c r="I25">
        <v>100</v>
      </c>
    </row>
    <row r="26" spans="1:9" x14ac:dyDescent="0.35">
      <c r="A26">
        <v>14</v>
      </c>
      <c r="B26" t="s">
        <v>78</v>
      </c>
      <c r="C26">
        <v>4014</v>
      </c>
      <c r="D26" t="s">
        <v>81</v>
      </c>
      <c r="E26" t="s">
        <v>80</v>
      </c>
      <c r="F26" t="s">
        <v>77</v>
      </c>
      <c r="G26">
        <v>7</v>
      </c>
      <c r="H26">
        <v>4.8899999999999997</v>
      </c>
      <c r="I26">
        <v>60</v>
      </c>
    </row>
    <row r="27" spans="1:9" x14ac:dyDescent="0.35">
      <c r="A27">
        <v>15</v>
      </c>
      <c r="B27" t="s">
        <v>62</v>
      </c>
      <c r="C27">
        <v>4015</v>
      </c>
      <c r="D27" t="s">
        <v>82</v>
      </c>
      <c r="E27" t="s">
        <v>64</v>
      </c>
      <c r="F27" t="s">
        <v>65</v>
      </c>
      <c r="G27">
        <v>8</v>
      </c>
      <c r="H27">
        <v>6.59</v>
      </c>
      <c r="I27">
        <v>30</v>
      </c>
    </row>
    <row r="28" spans="1:9" x14ac:dyDescent="0.35">
      <c r="A28">
        <v>16</v>
      </c>
      <c r="B28" t="s">
        <v>62</v>
      </c>
      <c r="C28">
        <v>4016</v>
      </c>
      <c r="D28" t="s">
        <v>83</v>
      </c>
      <c r="E28" t="s">
        <v>64</v>
      </c>
      <c r="F28" t="s">
        <v>65</v>
      </c>
      <c r="G28">
        <v>9</v>
      </c>
      <c r="H28">
        <v>7.23</v>
      </c>
      <c r="I28">
        <v>64</v>
      </c>
    </row>
    <row r="29" spans="1:9" x14ac:dyDescent="0.35">
      <c r="A29">
        <v>17</v>
      </c>
      <c r="B29" t="s">
        <v>78</v>
      </c>
      <c r="C29">
        <v>4017</v>
      </c>
      <c r="D29" t="s">
        <v>84</v>
      </c>
      <c r="E29" t="s">
        <v>80</v>
      </c>
      <c r="F29" t="s">
        <v>77</v>
      </c>
      <c r="G29">
        <v>9</v>
      </c>
      <c r="H29">
        <v>5.65</v>
      </c>
      <c r="I29">
        <v>50</v>
      </c>
    </row>
    <row r="30" spans="1:9" x14ac:dyDescent="0.35">
      <c r="A30">
        <v>18</v>
      </c>
      <c r="B30" t="s">
        <v>78</v>
      </c>
      <c r="C30">
        <v>4018</v>
      </c>
      <c r="D30" t="s">
        <v>85</v>
      </c>
      <c r="E30" t="s">
        <v>80</v>
      </c>
      <c r="F30" t="s">
        <v>77</v>
      </c>
      <c r="G30">
        <v>10</v>
      </c>
      <c r="H30">
        <v>5.99</v>
      </c>
      <c r="I30">
        <v>80</v>
      </c>
    </row>
    <row r="31" spans="1:9" x14ac:dyDescent="0.35">
      <c r="A31">
        <v>19</v>
      </c>
      <c r="B31" t="s">
        <v>62</v>
      </c>
      <c r="C31">
        <v>4019</v>
      </c>
      <c r="D31" t="s">
        <v>86</v>
      </c>
      <c r="E31" t="s">
        <v>64</v>
      </c>
      <c r="F31" t="s">
        <v>65</v>
      </c>
      <c r="G31">
        <v>9</v>
      </c>
      <c r="H31">
        <v>6.45</v>
      </c>
      <c r="I31">
        <v>58</v>
      </c>
    </row>
    <row r="32" spans="1:9" x14ac:dyDescent="0.35">
      <c r="A32">
        <v>20</v>
      </c>
      <c r="B32" t="s">
        <v>62</v>
      </c>
      <c r="C32">
        <v>4020</v>
      </c>
      <c r="D32" t="s">
        <v>87</v>
      </c>
      <c r="E32" t="s">
        <v>64</v>
      </c>
      <c r="F32" t="s">
        <v>65</v>
      </c>
      <c r="G32">
        <v>8</v>
      </c>
      <c r="H32">
        <v>6.75</v>
      </c>
      <c r="I32">
        <v>60</v>
      </c>
    </row>
    <row r="33" spans="1:9" x14ac:dyDescent="0.35">
      <c r="A33">
        <v>21</v>
      </c>
      <c r="B33" t="s">
        <v>88</v>
      </c>
      <c r="C33">
        <v>5001</v>
      </c>
      <c r="D33" t="s">
        <v>89</v>
      </c>
      <c r="E33" t="s">
        <v>90</v>
      </c>
      <c r="F33" t="s">
        <v>91</v>
      </c>
      <c r="G33">
        <v>10</v>
      </c>
      <c r="H33">
        <v>3.99</v>
      </c>
      <c r="I33">
        <v>60</v>
      </c>
    </row>
    <row r="34" spans="1:9" x14ac:dyDescent="0.35">
      <c r="A34">
        <v>22</v>
      </c>
      <c r="B34" t="s">
        <v>88</v>
      </c>
      <c r="C34">
        <v>5002</v>
      </c>
      <c r="D34" t="s">
        <v>92</v>
      </c>
      <c r="E34" t="s">
        <v>93</v>
      </c>
      <c r="F34" t="s">
        <v>91</v>
      </c>
      <c r="G34">
        <v>9</v>
      </c>
      <c r="H34">
        <v>4.99</v>
      </c>
      <c r="I34">
        <v>70</v>
      </c>
    </row>
    <row r="35" spans="1:9" x14ac:dyDescent="0.35">
      <c r="A35">
        <v>23</v>
      </c>
      <c r="B35" t="s">
        <v>88</v>
      </c>
      <c r="C35">
        <v>5003</v>
      </c>
      <c r="D35" t="s">
        <v>94</v>
      </c>
      <c r="E35" t="s">
        <v>95</v>
      </c>
      <c r="F35" t="s">
        <v>91</v>
      </c>
      <c r="G35">
        <v>8</v>
      </c>
      <c r="H35">
        <v>3.99</v>
      </c>
      <c r="I35">
        <v>80</v>
      </c>
    </row>
  </sheetData>
  <mergeCells count="3">
    <mergeCell ref="B1:C1"/>
    <mergeCell ref="D1:K1"/>
    <mergeCell ref="L1:R1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074C-7C26-4BB2-9CD5-B3E2F058B56D}">
  <dimension ref="A1:F9"/>
  <sheetViews>
    <sheetView topLeftCell="I7" zoomScale="70" zoomScaleNormal="70" workbookViewId="0">
      <selection sqref="A1:F9"/>
    </sheetView>
  </sheetViews>
  <sheetFormatPr defaultColWidth="15.26953125" defaultRowHeight="14.5" x14ac:dyDescent="0.35"/>
  <cols>
    <col min="1" max="6" width="18.26953125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96</v>
      </c>
      <c r="E1" s="1" t="s">
        <v>54</v>
      </c>
      <c r="F1" s="1" t="s">
        <v>97</v>
      </c>
    </row>
    <row r="2" spans="1:6" x14ac:dyDescent="0.35">
      <c r="A2" s="2" t="s">
        <v>3</v>
      </c>
      <c r="B2" s="3" t="s">
        <v>5</v>
      </c>
      <c r="C2" s="3" t="s">
        <v>5</v>
      </c>
      <c r="D2" s="5" t="s">
        <v>13</v>
      </c>
      <c r="E2" s="7" t="s">
        <v>55</v>
      </c>
      <c r="F2" t="s">
        <v>98</v>
      </c>
    </row>
    <row r="3" spans="1:6" x14ac:dyDescent="0.35">
      <c r="A3" t="s">
        <v>4</v>
      </c>
      <c r="B3" t="s">
        <v>6</v>
      </c>
      <c r="C3" s="5" t="s">
        <v>13</v>
      </c>
      <c r="D3" s="7" t="s">
        <v>55</v>
      </c>
      <c r="E3" s="8" t="s">
        <v>56</v>
      </c>
      <c r="F3" s="7" t="s">
        <v>55</v>
      </c>
    </row>
    <row r="4" spans="1:6" x14ac:dyDescent="0.35">
      <c r="B4" t="s">
        <v>7</v>
      </c>
      <c r="C4" s="2" t="s">
        <v>3</v>
      </c>
      <c r="D4" t="s">
        <v>99</v>
      </c>
      <c r="E4" t="s">
        <v>57</v>
      </c>
      <c r="F4" s="8" t="s">
        <v>56</v>
      </c>
    </row>
    <row r="5" spans="1:6" x14ac:dyDescent="0.35">
      <c r="B5" t="s">
        <v>8</v>
      </c>
      <c r="C5" t="s">
        <v>14</v>
      </c>
      <c r="D5" t="s">
        <v>60</v>
      </c>
      <c r="E5" t="s">
        <v>58</v>
      </c>
      <c r="F5" t="s">
        <v>58</v>
      </c>
    </row>
    <row r="6" spans="1:6" x14ac:dyDescent="0.35">
      <c r="B6" t="s">
        <v>9</v>
      </c>
      <c r="C6" t="s">
        <v>15</v>
      </c>
      <c r="D6" t="s">
        <v>100</v>
      </c>
      <c r="E6" s="6" t="s">
        <v>59</v>
      </c>
      <c r="F6" t="s">
        <v>99</v>
      </c>
    </row>
    <row r="7" spans="1:6" x14ac:dyDescent="0.35">
      <c r="B7" s="4" t="s">
        <v>10</v>
      </c>
      <c r="C7" t="s">
        <v>16</v>
      </c>
      <c r="E7" t="s">
        <v>60</v>
      </c>
      <c r="F7" t="s">
        <v>101</v>
      </c>
    </row>
    <row r="8" spans="1:6" x14ac:dyDescent="0.35">
      <c r="B8" s="4" t="s">
        <v>11</v>
      </c>
      <c r="C8" s="6" t="s">
        <v>17</v>
      </c>
      <c r="E8" s="6" t="s">
        <v>61</v>
      </c>
    </row>
    <row r="9" spans="1:6" x14ac:dyDescent="0.35">
      <c r="B9" s="4" t="s">
        <v>12</v>
      </c>
      <c r="C9" s="9" t="s">
        <v>102</v>
      </c>
      <c r="E9" s="9" t="s">
        <v>103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8AA0-EB3A-4D0A-9A3C-CE0968FB884A}">
  <dimension ref="A1:H18"/>
  <sheetViews>
    <sheetView workbookViewId="0">
      <selection activeCell="G5" sqref="G5"/>
    </sheetView>
  </sheetViews>
  <sheetFormatPr defaultRowHeight="14.5" x14ac:dyDescent="0.35"/>
  <cols>
    <col min="1" max="6" width="18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54</v>
      </c>
      <c r="E1" s="1" t="s">
        <v>104</v>
      </c>
      <c r="F1" s="1" t="s">
        <v>105</v>
      </c>
      <c r="G1" s="1"/>
      <c r="H1" s="1" t="s">
        <v>97</v>
      </c>
    </row>
    <row r="2" spans="1:8" x14ac:dyDescent="0.35">
      <c r="A2" s="2" t="s">
        <v>145</v>
      </c>
      <c r="B2" t="s">
        <v>110</v>
      </c>
      <c r="C2" s="3" t="s">
        <v>673</v>
      </c>
      <c r="D2" s="7" t="s">
        <v>106</v>
      </c>
      <c r="E2" s="5" t="s">
        <v>107</v>
      </c>
      <c r="F2" s="7" t="s">
        <v>106</v>
      </c>
      <c r="H2" t="s">
        <v>108</v>
      </c>
    </row>
    <row r="3" spans="1:8" x14ac:dyDescent="0.35">
      <c r="A3" t="s">
        <v>109</v>
      </c>
      <c r="B3" t="s">
        <v>112</v>
      </c>
      <c r="C3" s="5" t="s">
        <v>107</v>
      </c>
      <c r="D3" s="8" t="s">
        <v>111</v>
      </c>
      <c r="E3" s="7" t="s">
        <v>106</v>
      </c>
      <c r="F3" s="8" t="s">
        <v>111</v>
      </c>
      <c r="H3" s="7" t="s">
        <v>106</v>
      </c>
    </row>
    <row r="4" spans="1:8" x14ac:dyDescent="0.35">
      <c r="B4" t="s">
        <v>115</v>
      </c>
      <c r="C4" s="2" t="s">
        <v>145</v>
      </c>
      <c r="D4" t="s">
        <v>113</v>
      </c>
      <c r="E4" t="s">
        <v>114</v>
      </c>
      <c r="F4" t="s">
        <v>113</v>
      </c>
      <c r="H4" s="8" t="s">
        <v>111</v>
      </c>
    </row>
    <row r="5" spans="1:8" x14ac:dyDescent="0.35">
      <c r="B5" s="4" t="s">
        <v>119</v>
      </c>
      <c r="C5" s="6" t="s">
        <v>116</v>
      </c>
      <c r="D5" t="s">
        <v>117</v>
      </c>
      <c r="E5" s="13" t="s">
        <v>118</v>
      </c>
      <c r="F5" t="s">
        <v>117</v>
      </c>
      <c r="H5" t="s">
        <v>117</v>
      </c>
    </row>
    <row r="6" spans="1:8" x14ac:dyDescent="0.35">
      <c r="B6" s="4" t="s">
        <v>125</v>
      </c>
      <c r="C6" t="s">
        <v>120</v>
      </c>
      <c r="D6" t="s">
        <v>121</v>
      </c>
      <c r="E6" s="13" t="s">
        <v>122</v>
      </c>
      <c r="F6" t="s">
        <v>123</v>
      </c>
      <c r="H6" t="s">
        <v>124</v>
      </c>
    </row>
    <row r="7" spans="1:8" x14ac:dyDescent="0.35">
      <c r="B7" s="15" t="s">
        <v>673</v>
      </c>
      <c r="C7" s="14" t="s">
        <v>106</v>
      </c>
      <c r="D7" t="s">
        <v>146</v>
      </c>
      <c r="E7" s="13" t="s">
        <v>126</v>
      </c>
      <c r="F7" t="s">
        <v>127</v>
      </c>
      <c r="H7" t="s">
        <v>101</v>
      </c>
    </row>
    <row r="8" spans="1:8" x14ac:dyDescent="0.35">
      <c r="B8" t="s">
        <v>129</v>
      </c>
      <c r="C8" s="4" t="s">
        <v>124</v>
      </c>
      <c r="D8" s="6"/>
      <c r="F8" s="4" t="s">
        <v>128</v>
      </c>
    </row>
    <row r="9" spans="1:8" x14ac:dyDescent="0.35">
      <c r="B9" s="4" t="s">
        <v>131</v>
      </c>
      <c r="C9" s="4" t="s">
        <v>121</v>
      </c>
      <c r="F9" s="4" t="s">
        <v>130</v>
      </c>
    </row>
    <row r="10" spans="1:8" x14ac:dyDescent="0.35">
      <c r="B10" s="4" t="s">
        <v>132</v>
      </c>
      <c r="C10" s="4" t="s">
        <v>120</v>
      </c>
      <c r="F10" s="4" t="s">
        <v>124</v>
      </c>
    </row>
    <row r="11" spans="1:8" x14ac:dyDescent="0.35">
      <c r="B11" s="4" t="s">
        <v>135</v>
      </c>
      <c r="C11" t="s">
        <v>133</v>
      </c>
      <c r="F11" t="s">
        <v>134</v>
      </c>
    </row>
    <row r="12" spans="1:8" x14ac:dyDescent="0.35">
      <c r="B12" t="s">
        <v>137</v>
      </c>
      <c r="C12" t="s">
        <v>136</v>
      </c>
      <c r="F12" t="s">
        <v>147</v>
      </c>
    </row>
    <row r="13" spans="1:8" x14ac:dyDescent="0.35">
      <c r="B13" s="4" t="s">
        <v>139</v>
      </c>
      <c r="C13" t="s">
        <v>138</v>
      </c>
    </row>
    <row r="14" spans="1:8" x14ac:dyDescent="0.35">
      <c r="B14" s="4" t="s">
        <v>141</v>
      </c>
      <c r="C14" t="s">
        <v>140</v>
      </c>
    </row>
    <row r="15" spans="1:8" x14ac:dyDescent="0.35">
      <c r="B15" s="4" t="s">
        <v>142</v>
      </c>
    </row>
    <row r="16" spans="1:8" x14ac:dyDescent="0.35">
      <c r="B16" s="4" t="s">
        <v>143</v>
      </c>
    </row>
    <row r="17" spans="2:2" x14ac:dyDescent="0.35">
      <c r="B17" s="4" t="s">
        <v>144</v>
      </c>
    </row>
    <row r="18" spans="2:2" x14ac:dyDescent="0.35">
      <c r="B18" s="4" t="s">
        <v>130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00C5-C3D2-4F2A-B020-34B10B50914D}">
  <sheetPr>
    <tabColor rgb="FF0070C0"/>
  </sheetPr>
  <dimension ref="A1:I54"/>
  <sheetViews>
    <sheetView showGridLines="0" zoomScale="70" zoomScaleNormal="70" workbookViewId="0">
      <selection activeCell="I16" sqref="I16"/>
    </sheetView>
  </sheetViews>
  <sheetFormatPr defaultRowHeight="14.5" x14ac:dyDescent="0.35"/>
  <cols>
    <col min="1" max="1" width="17.90625" bestFit="1" customWidth="1"/>
    <col min="2" max="2" width="17.90625" customWidth="1"/>
    <col min="3" max="3" width="19" bestFit="1" customWidth="1"/>
    <col min="4" max="4" width="17.90625" customWidth="1"/>
    <col min="5" max="5" width="17.90625" bestFit="1" customWidth="1"/>
    <col min="6" max="6" width="17.90625" customWidth="1"/>
    <col min="7" max="7" width="19.36328125" bestFit="1" customWidth="1"/>
    <col min="8" max="8" width="17.90625" customWidth="1"/>
    <col min="9" max="9" width="17" bestFit="1" customWidth="1"/>
  </cols>
  <sheetData>
    <row r="1" spans="1:9" ht="15.5" x14ac:dyDescent="0.35">
      <c r="A1" s="25" t="s">
        <v>149</v>
      </c>
    </row>
    <row r="2" spans="1:9" ht="15.5" x14ac:dyDescent="0.35">
      <c r="A2" s="25" t="s">
        <v>148</v>
      </c>
    </row>
    <row r="5" spans="1:9" x14ac:dyDescent="0.35">
      <c r="E5" s="16" t="s">
        <v>391</v>
      </c>
    </row>
    <row r="6" spans="1:9" x14ac:dyDescent="0.35">
      <c r="E6" s="17" t="s">
        <v>145</v>
      </c>
    </row>
    <row r="7" spans="1:9" x14ac:dyDescent="0.35">
      <c r="E7" s="18" t="s">
        <v>109</v>
      </c>
      <c r="F7" s="1"/>
    </row>
    <row r="9" spans="1:9" x14ac:dyDescent="0.35">
      <c r="E9" s="43" t="s">
        <v>150</v>
      </c>
    </row>
    <row r="12" spans="1:9" x14ac:dyDescent="0.35">
      <c r="C12" s="16" t="s">
        <v>392</v>
      </c>
      <c r="E12" s="16" t="s">
        <v>671</v>
      </c>
      <c r="G12" s="16" t="s">
        <v>672</v>
      </c>
      <c r="H12" s="1"/>
      <c r="I12" s="6"/>
    </row>
    <row r="13" spans="1:9" x14ac:dyDescent="0.35">
      <c r="C13" s="29" t="s">
        <v>673</v>
      </c>
      <c r="D13" s="26" t="s">
        <v>150</v>
      </c>
      <c r="E13" s="29" t="s">
        <v>673</v>
      </c>
      <c r="F13" s="26" t="s">
        <v>151</v>
      </c>
      <c r="G13" s="22" t="s">
        <v>106</v>
      </c>
      <c r="H13" s="1"/>
    </row>
    <row r="14" spans="1:9" x14ac:dyDescent="0.35">
      <c r="C14" s="18" t="s">
        <v>112</v>
      </c>
      <c r="D14" s="1"/>
      <c r="E14" s="20" t="s">
        <v>107</v>
      </c>
      <c r="F14" s="27"/>
      <c r="G14" s="23" t="s">
        <v>111</v>
      </c>
    </row>
    <row r="15" spans="1:9" x14ac:dyDescent="0.35">
      <c r="C15" s="18" t="s">
        <v>110</v>
      </c>
      <c r="E15" s="17" t="s">
        <v>145</v>
      </c>
      <c r="G15" s="18" t="s">
        <v>113</v>
      </c>
    </row>
    <row r="16" spans="1:9" x14ac:dyDescent="0.35">
      <c r="C16" s="18" t="s">
        <v>156</v>
      </c>
      <c r="E16" s="18" t="s">
        <v>594</v>
      </c>
      <c r="G16" s="18" t="s">
        <v>117</v>
      </c>
    </row>
    <row r="17" spans="3:7" x14ac:dyDescent="0.35">
      <c r="C17" s="19" t="s">
        <v>282</v>
      </c>
      <c r="E17" s="19" t="s">
        <v>141</v>
      </c>
      <c r="G17" s="18" t="s">
        <v>121</v>
      </c>
    </row>
    <row r="18" spans="3:7" x14ac:dyDescent="0.35">
      <c r="C18" s="19" t="s">
        <v>283</v>
      </c>
      <c r="E18" s="19" t="s">
        <v>282</v>
      </c>
      <c r="G18" s="18" t="s">
        <v>123</v>
      </c>
    </row>
    <row r="19" spans="3:7" x14ac:dyDescent="0.35">
      <c r="C19" s="19" t="s">
        <v>131</v>
      </c>
      <c r="E19" s="19" t="s">
        <v>283</v>
      </c>
      <c r="G19" s="18" t="s">
        <v>127</v>
      </c>
    </row>
    <row r="20" spans="3:7" x14ac:dyDescent="0.35">
      <c r="C20" s="19" t="s">
        <v>284</v>
      </c>
      <c r="E20" s="19" t="s">
        <v>131</v>
      </c>
      <c r="G20" s="19" t="s">
        <v>128</v>
      </c>
    </row>
    <row r="21" spans="3:7" x14ac:dyDescent="0.35">
      <c r="C21" s="19" t="s">
        <v>135</v>
      </c>
      <c r="E21" s="19" t="s">
        <v>284</v>
      </c>
      <c r="G21" s="19" t="s">
        <v>130</v>
      </c>
    </row>
    <row r="22" spans="3:7" x14ac:dyDescent="0.35">
      <c r="C22" s="19" t="s">
        <v>157</v>
      </c>
      <c r="E22" s="19" t="s">
        <v>135</v>
      </c>
      <c r="G22" s="19" t="s">
        <v>124</v>
      </c>
    </row>
    <row r="23" spans="3:7" x14ac:dyDescent="0.35">
      <c r="C23" s="18" t="s">
        <v>594</v>
      </c>
      <c r="E23" s="19" t="s">
        <v>157</v>
      </c>
      <c r="G23" s="19" t="s">
        <v>766</v>
      </c>
    </row>
    <row r="24" spans="3:7" x14ac:dyDescent="0.35">
      <c r="C24" s="19" t="s">
        <v>282</v>
      </c>
      <c r="E24" s="18" t="s">
        <v>156</v>
      </c>
      <c r="G24" s="18" t="s">
        <v>146</v>
      </c>
    </row>
    <row r="25" spans="3:7" x14ac:dyDescent="0.35">
      <c r="C25" s="19" t="s">
        <v>283</v>
      </c>
      <c r="E25" s="19" t="s">
        <v>141</v>
      </c>
    </row>
    <row r="26" spans="3:7" x14ac:dyDescent="0.35">
      <c r="C26" s="19" t="s">
        <v>131</v>
      </c>
      <c r="E26" s="19" t="s">
        <v>282</v>
      </c>
      <c r="F26" s="26"/>
      <c r="G26" s="45" t="s">
        <v>674</v>
      </c>
    </row>
    <row r="27" spans="3:7" x14ac:dyDescent="0.35">
      <c r="C27" s="19" t="s">
        <v>284</v>
      </c>
      <c r="E27" s="19" t="s">
        <v>283</v>
      </c>
      <c r="F27" s="46" t="s">
        <v>818</v>
      </c>
    </row>
    <row r="28" spans="3:7" x14ac:dyDescent="0.35">
      <c r="C28" s="19" t="s">
        <v>135</v>
      </c>
      <c r="E28" s="19" t="s">
        <v>131</v>
      </c>
      <c r="F28" s="31"/>
      <c r="G28" s="16" t="s">
        <v>104</v>
      </c>
    </row>
    <row r="29" spans="3:7" x14ac:dyDescent="0.35">
      <c r="C29" s="19" t="s">
        <v>157</v>
      </c>
      <c r="E29" s="19" t="s">
        <v>284</v>
      </c>
      <c r="G29" s="22" t="s">
        <v>106</v>
      </c>
    </row>
    <row r="30" spans="3:7" x14ac:dyDescent="0.35">
      <c r="C30" s="18" t="s">
        <v>158</v>
      </c>
      <c r="E30" s="19" t="s">
        <v>135</v>
      </c>
      <c r="G30" s="18" t="s">
        <v>817</v>
      </c>
    </row>
    <row r="31" spans="3:7" x14ac:dyDescent="0.35">
      <c r="C31" s="19" t="s">
        <v>139</v>
      </c>
      <c r="E31" s="19" t="s">
        <v>157</v>
      </c>
      <c r="G31" s="18" t="s">
        <v>114</v>
      </c>
    </row>
    <row r="32" spans="3:7" x14ac:dyDescent="0.35">
      <c r="C32" s="19" t="s">
        <v>159</v>
      </c>
      <c r="E32" s="18" t="s">
        <v>158</v>
      </c>
      <c r="G32" s="68" t="s">
        <v>107</v>
      </c>
    </row>
    <row r="33" spans="3:8" x14ac:dyDescent="0.35">
      <c r="C33" s="19" t="s">
        <v>160</v>
      </c>
      <c r="E33" s="19" t="s">
        <v>139</v>
      </c>
      <c r="G33" s="24" t="s">
        <v>785</v>
      </c>
    </row>
    <row r="34" spans="3:8" x14ac:dyDescent="0.35">
      <c r="C34" s="19" t="s">
        <v>144</v>
      </c>
      <c r="E34" s="19" t="s">
        <v>160</v>
      </c>
      <c r="G34" s="24" t="s">
        <v>154</v>
      </c>
      <c r="H34" s="30" t="s">
        <v>155</v>
      </c>
    </row>
    <row r="35" spans="3:8" x14ac:dyDescent="0.35">
      <c r="C35" s="19" t="s">
        <v>161</v>
      </c>
      <c r="E35" s="19" t="s">
        <v>144</v>
      </c>
      <c r="G35" s="24" t="s">
        <v>122</v>
      </c>
    </row>
    <row r="36" spans="3:8" x14ac:dyDescent="0.35">
      <c r="E36" s="18" t="s">
        <v>116</v>
      </c>
      <c r="G36" s="28" t="s">
        <v>673</v>
      </c>
    </row>
    <row r="37" spans="3:8" x14ac:dyDescent="0.35">
      <c r="E37" s="18" t="s">
        <v>758</v>
      </c>
      <c r="G37" s="18" t="s">
        <v>152</v>
      </c>
    </row>
    <row r="38" spans="3:8" x14ac:dyDescent="0.35">
      <c r="E38" s="18" t="s">
        <v>756</v>
      </c>
      <c r="G38" s="18" t="s">
        <v>153</v>
      </c>
    </row>
    <row r="39" spans="3:8" x14ac:dyDescent="0.35">
      <c r="E39" s="18" t="s">
        <v>757</v>
      </c>
    </row>
    <row r="40" spans="3:8" x14ac:dyDescent="0.35">
      <c r="E40" s="18" t="s">
        <v>120</v>
      </c>
    </row>
    <row r="41" spans="3:8" x14ac:dyDescent="0.35">
      <c r="E41" s="21" t="s">
        <v>106</v>
      </c>
    </row>
    <row r="42" spans="3:8" x14ac:dyDescent="0.35">
      <c r="E42" s="47" t="s">
        <v>111</v>
      </c>
    </row>
    <row r="43" spans="3:8" x14ac:dyDescent="0.35">
      <c r="E43" s="19" t="s">
        <v>124</v>
      </c>
    </row>
    <row r="44" spans="3:8" x14ac:dyDescent="0.35">
      <c r="E44" s="19" t="s">
        <v>121</v>
      </c>
    </row>
    <row r="45" spans="3:8" x14ac:dyDescent="0.35">
      <c r="E45" s="19" t="s">
        <v>761</v>
      </c>
    </row>
    <row r="46" spans="3:8" x14ac:dyDescent="0.35">
      <c r="E46" s="18" t="s">
        <v>138</v>
      </c>
    </row>
    <row r="47" spans="3:8" x14ac:dyDescent="0.35">
      <c r="E47" s="18" t="s">
        <v>133</v>
      </c>
    </row>
    <row r="48" spans="3:8" x14ac:dyDescent="0.35">
      <c r="E48" s="18" t="s">
        <v>136</v>
      </c>
    </row>
    <row r="51" spans="5:5" x14ac:dyDescent="0.35">
      <c r="E51" s="26"/>
    </row>
    <row r="54" spans="5:5" x14ac:dyDescent="0.35">
      <c r="E54" s="26"/>
    </row>
  </sheetData>
  <pageMargins left="0.7" right="0.7" top="0.75" bottom="0.75" header="0.3" footer="0.3"/>
  <pageSetup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BCB8-9BB9-4F77-B98D-025F2E2AC7D9}">
  <sheetPr>
    <tabColor rgb="FF0070C0"/>
  </sheetPr>
  <dimension ref="A1:AG68"/>
  <sheetViews>
    <sheetView workbookViewId="0">
      <selection activeCell="E7" sqref="E7"/>
    </sheetView>
  </sheetViews>
  <sheetFormatPr defaultRowHeight="14.5" x14ac:dyDescent="0.35"/>
  <cols>
    <col min="1" max="1" width="9" style="32" bestFit="1" customWidth="1"/>
    <col min="2" max="2" width="17.90625" bestFit="1" customWidth="1"/>
    <col min="3" max="3" width="12" style="33" bestFit="1" customWidth="1"/>
    <col min="4" max="5" width="10.81640625" bestFit="1" customWidth="1"/>
    <col min="6" max="6" width="12" bestFit="1" customWidth="1"/>
    <col min="7" max="7" width="10.81640625" bestFit="1" customWidth="1"/>
    <col min="8" max="9" width="12" bestFit="1" customWidth="1"/>
    <col min="10" max="10" width="10.81640625" bestFit="1" customWidth="1"/>
    <col min="11" max="12" width="12" bestFit="1" customWidth="1"/>
    <col min="13" max="13" width="10.7265625" bestFit="1" customWidth="1"/>
    <col min="14" max="14" width="12" bestFit="1" customWidth="1"/>
    <col min="15" max="15" width="10.7265625" bestFit="1" customWidth="1"/>
    <col min="16" max="16" width="10.81640625" bestFit="1" customWidth="1"/>
    <col min="17" max="17" width="12" bestFit="1" customWidth="1"/>
    <col min="18" max="18" width="10.81640625" bestFit="1" customWidth="1"/>
    <col min="19" max="20" width="10.7265625" bestFit="1" customWidth="1"/>
    <col min="21" max="21" width="10.81640625" bestFit="1" customWidth="1"/>
    <col min="22" max="23" width="12" bestFit="1" customWidth="1"/>
    <col min="24" max="26" width="10.7265625" bestFit="1" customWidth="1"/>
    <col min="27" max="28" width="10.81640625" bestFit="1" customWidth="1"/>
    <col min="29" max="30" width="12" bestFit="1" customWidth="1"/>
    <col min="31" max="31" width="10.81640625" bestFit="1" customWidth="1"/>
    <col min="32" max="32" width="12" bestFit="1" customWidth="1"/>
    <col min="33" max="33" width="10.81640625" bestFit="1" customWidth="1"/>
  </cols>
  <sheetData>
    <row r="1" spans="1:33" x14ac:dyDescent="0.35">
      <c r="C1" s="33" t="s">
        <v>193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</row>
    <row r="2" spans="1:33" x14ac:dyDescent="0.35">
      <c r="A2" s="66" t="s">
        <v>391</v>
      </c>
      <c r="B2" s="19" t="s">
        <v>145</v>
      </c>
      <c r="C2" s="33" cm="1">
        <f t="array" aca="1" ref="C2" ca="1">INDEX(Employees!$A$3:$A$5,RANDBETWEEN(1,3))</f>
        <v>3</v>
      </c>
      <c r="D2" cm="1">
        <f t="array" aca="1" ref="D2" ca="1">INDEX(Employees!$A$3:$A$5,RANDBETWEEN(1,3))</f>
        <v>1</v>
      </c>
      <c r="E2" cm="1">
        <f t="array" aca="1" ref="E2" ca="1">INDEX(Employees!$A$3:$A$5,RANDBETWEEN(1,3))</f>
        <v>2</v>
      </c>
      <c r="F2" cm="1">
        <f t="array" aca="1" ref="F2" ca="1">INDEX(Employees!$A$3:$A$5,RANDBETWEEN(1,3))</f>
        <v>1</v>
      </c>
      <c r="G2" cm="1">
        <f t="array" aca="1" ref="G2" ca="1">INDEX(Employees!$A$3:$A$5,RANDBETWEEN(1,3))</f>
        <v>3</v>
      </c>
      <c r="H2" cm="1">
        <f t="array" aca="1" ref="H2" ca="1">INDEX(Employees!$A$3:$A$5,RANDBETWEEN(1,3))</f>
        <v>1</v>
      </c>
      <c r="I2" cm="1">
        <f t="array" aca="1" ref="I2" ca="1">INDEX(Employees!$A$3:$A$5,RANDBETWEEN(1,3))</f>
        <v>3</v>
      </c>
      <c r="J2" cm="1">
        <f t="array" aca="1" ref="J2" ca="1">INDEX(Employees!$A$3:$A$5,RANDBETWEEN(1,3))</f>
        <v>3</v>
      </c>
      <c r="K2" cm="1">
        <f t="array" aca="1" ref="K2" ca="1">INDEX(Employees!$A$3:$A$5,RANDBETWEEN(1,3))</f>
        <v>1</v>
      </c>
      <c r="L2" cm="1">
        <f t="array" aca="1" ref="L2" ca="1">INDEX(Employees!$A$3:$A$5,RANDBETWEEN(1,3))</f>
        <v>3</v>
      </c>
      <c r="M2" cm="1">
        <f t="array" aca="1" ref="M2" ca="1">INDEX(Employees!$A$3:$A$5,RANDBETWEEN(1,3))</f>
        <v>3</v>
      </c>
      <c r="N2" cm="1">
        <f t="array" aca="1" ref="N2" ca="1">INDEX(Employees!$A$3:$A$5,RANDBETWEEN(1,3))</f>
        <v>2</v>
      </c>
      <c r="O2" cm="1">
        <f t="array" aca="1" ref="O2" ca="1">INDEX(Employees!$A$3:$A$5,RANDBETWEEN(1,3))</f>
        <v>3</v>
      </c>
      <c r="P2" cm="1">
        <f t="array" aca="1" ref="P2" ca="1">INDEX(Employees!$A$3:$A$5,RANDBETWEEN(1,3))</f>
        <v>2</v>
      </c>
      <c r="Q2" cm="1">
        <f t="array" aca="1" ref="Q2" ca="1">INDEX(Employees!$A$3:$A$5,RANDBETWEEN(1,3))</f>
        <v>1</v>
      </c>
      <c r="R2" cm="1">
        <f t="array" aca="1" ref="R2" ca="1">INDEX(Employees!$A$3:$A$5,RANDBETWEEN(1,3))</f>
        <v>3</v>
      </c>
      <c r="S2" cm="1">
        <f t="array" aca="1" ref="S2" ca="1">INDEX(Employees!$A$3:$A$5,RANDBETWEEN(1,3))</f>
        <v>1</v>
      </c>
      <c r="T2" cm="1">
        <f t="array" aca="1" ref="T2" ca="1">INDEX(Employees!$A$3:$A$5,RANDBETWEEN(1,3))</f>
        <v>2</v>
      </c>
      <c r="U2" cm="1">
        <f t="array" aca="1" ref="U2" ca="1">INDEX(Employees!$A$3:$A$5,RANDBETWEEN(1,3))</f>
        <v>1</v>
      </c>
      <c r="V2" cm="1">
        <f t="array" aca="1" ref="V2" ca="1">INDEX(Employees!$A$3:$A$5,RANDBETWEEN(1,3))</f>
        <v>2</v>
      </c>
      <c r="W2" cm="1">
        <f t="array" aca="1" ref="W2" ca="1">INDEX(Employees!$A$3:$A$5,RANDBETWEEN(1,3))</f>
        <v>2</v>
      </c>
      <c r="X2" cm="1">
        <f t="array" aca="1" ref="X2" ca="1">INDEX(Employees!$A$3:$A$5,RANDBETWEEN(1,3))</f>
        <v>3</v>
      </c>
      <c r="Y2" cm="1">
        <f t="array" aca="1" ref="Y2" ca="1">INDEX(Employees!$A$3:$A$5,RANDBETWEEN(1,3))</f>
        <v>2</v>
      </c>
      <c r="Z2" cm="1">
        <f t="array" aca="1" ref="Z2" ca="1">INDEX(Employees!$A$3:$A$5,RANDBETWEEN(1,3))</f>
        <v>2</v>
      </c>
      <c r="AA2" cm="1">
        <f t="array" aca="1" ref="AA2" ca="1">INDEX(Employees!$A$3:$A$5,RANDBETWEEN(1,3))</f>
        <v>1</v>
      </c>
      <c r="AB2" cm="1">
        <f t="array" aca="1" ref="AB2" ca="1">INDEX(Employees!$A$3:$A$5,RANDBETWEEN(1,3))</f>
        <v>1</v>
      </c>
      <c r="AC2" cm="1">
        <f t="array" aca="1" ref="AC2" ca="1">INDEX(Employees!$A$3:$A$5,RANDBETWEEN(1,3))</f>
        <v>3</v>
      </c>
      <c r="AD2" cm="1">
        <f t="array" aca="1" ref="AD2" ca="1">INDEX(Employees!$A$3:$A$5,RANDBETWEEN(1,3))</f>
        <v>1</v>
      </c>
      <c r="AE2" cm="1">
        <f t="array" aca="1" ref="AE2" ca="1">INDEX(Employees!$A$3:$A$5,RANDBETWEEN(1,3))</f>
        <v>1</v>
      </c>
      <c r="AF2" cm="1">
        <f t="array" aca="1" ref="AF2" ca="1">INDEX(Employees!$A$3:$A$5,RANDBETWEEN(1,3))</f>
        <v>3</v>
      </c>
      <c r="AG2" cm="1">
        <f t="array" aca="1" ref="AG2" ca="1">INDEX(Employees!$A$3:$A$5,RANDBETWEEN(1,3))</f>
        <v>2</v>
      </c>
    </row>
    <row r="3" spans="1:33" x14ac:dyDescent="0.35">
      <c r="A3" s="67"/>
      <c r="B3" s="18" t="s">
        <v>109</v>
      </c>
      <c r="C3" s="33" t="str">
        <f ca="1">VLOOKUP(C2,Employees!$A$3:$B$5,2,0)</f>
        <v>mjones</v>
      </c>
      <c r="D3" t="str">
        <f ca="1">VLOOKUP(D2,Employees!$A$3:$B$5,2,0)</f>
        <v>lzapanta</v>
      </c>
      <c r="E3" t="str">
        <f ca="1">VLOOKUP(E2,Employees!$A$3:$B$5,2,0)</f>
        <v>jbartolata</v>
      </c>
      <c r="F3" t="str">
        <f ca="1">VLOOKUP(F2,Employees!$A$3:$B$5,2,0)</f>
        <v>lzapanta</v>
      </c>
      <c r="G3" t="str">
        <f ca="1">VLOOKUP(G2,Employees!$A$3:$B$5,2,0)</f>
        <v>mjones</v>
      </c>
      <c r="H3" t="str">
        <f ca="1">VLOOKUP(H2,Employees!$A$3:$B$5,2,0)</f>
        <v>lzapanta</v>
      </c>
      <c r="I3" t="str">
        <f ca="1">VLOOKUP(I2,Employees!$A$3:$B$5,2,0)</f>
        <v>mjones</v>
      </c>
      <c r="J3" t="str">
        <f ca="1">VLOOKUP(J2,Employees!$A$3:$B$5,2,0)</f>
        <v>mjones</v>
      </c>
      <c r="K3" t="str">
        <f ca="1">VLOOKUP(K2,Employees!$A$3:$B$5,2,0)</f>
        <v>lzapanta</v>
      </c>
      <c r="L3" t="str">
        <f ca="1">VLOOKUP(L2,Employees!$A$3:$B$5,2,0)</f>
        <v>mjones</v>
      </c>
      <c r="M3" t="str">
        <f ca="1">VLOOKUP(M2,Employees!$A$3:$B$5,2,0)</f>
        <v>mjones</v>
      </c>
      <c r="N3" t="str">
        <f ca="1">VLOOKUP(N2,Employees!$A$3:$B$5,2,0)</f>
        <v>jbartolata</v>
      </c>
      <c r="O3" t="str">
        <f ca="1">VLOOKUP(O2,Employees!$A$3:$B$5,2,0)</f>
        <v>mjones</v>
      </c>
      <c r="P3" t="str">
        <f ca="1">VLOOKUP(P2,Employees!$A$3:$B$5,2,0)</f>
        <v>jbartolata</v>
      </c>
      <c r="Q3" t="str">
        <f ca="1">VLOOKUP(Q2,Employees!$A$3:$B$5,2,0)</f>
        <v>lzapanta</v>
      </c>
      <c r="R3" t="str">
        <f ca="1">VLOOKUP(R2,Employees!$A$3:$B$5,2,0)</f>
        <v>mjones</v>
      </c>
      <c r="S3" t="str">
        <f ca="1">VLOOKUP(S2,Employees!$A$3:$B$5,2,0)</f>
        <v>lzapanta</v>
      </c>
      <c r="T3" t="str">
        <f ca="1">VLOOKUP(T2,Employees!$A$3:$B$5,2,0)</f>
        <v>jbartolata</v>
      </c>
      <c r="U3" t="str">
        <f ca="1">VLOOKUP(U2,Employees!$A$3:$B$5,2,0)</f>
        <v>lzapanta</v>
      </c>
      <c r="V3" t="str">
        <f ca="1">VLOOKUP(V2,Employees!$A$3:$B$5,2,0)</f>
        <v>jbartolata</v>
      </c>
      <c r="W3" t="str">
        <f ca="1">VLOOKUP(W2,Employees!$A$3:$B$5,2,0)</f>
        <v>jbartolata</v>
      </c>
      <c r="X3" t="str">
        <f ca="1">VLOOKUP(X2,Employees!$A$3:$B$5,2,0)</f>
        <v>mjones</v>
      </c>
      <c r="Y3" t="str">
        <f ca="1">VLOOKUP(Y2,Employees!$A$3:$B$5,2,0)</f>
        <v>jbartolata</v>
      </c>
      <c r="Z3" t="str">
        <f ca="1">VLOOKUP(Z2,Employees!$A$3:$B$5,2,0)</f>
        <v>jbartolata</v>
      </c>
      <c r="AA3" t="str">
        <f ca="1">VLOOKUP(AA2,Employees!$A$3:$B$5,2,0)</f>
        <v>lzapanta</v>
      </c>
      <c r="AB3" t="str">
        <f ca="1">VLOOKUP(AB2,Employees!$A$3:$B$5,2,0)</f>
        <v>lzapanta</v>
      </c>
      <c r="AC3" t="str">
        <f ca="1">VLOOKUP(AC2,Employees!$A$3:$B$5,2,0)</f>
        <v>mjones</v>
      </c>
      <c r="AD3" t="str">
        <f ca="1">VLOOKUP(AD2,Employees!$A$3:$B$5,2,0)</f>
        <v>lzapanta</v>
      </c>
      <c r="AE3" t="str">
        <f ca="1">VLOOKUP(AE2,Employees!$A$3:$B$5,2,0)</f>
        <v>lzapanta</v>
      </c>
      <c r="AF3" t="str">
        <f ca="1">VLOOKUP(AF2,Employees!$A$3:$B$5,2,0)</f>
        <v>mjones</v>
      </c>
      <c r="AG3" t="str">
        <f ca="1">VLOOKUP(AG2,Employees!$A$3:$B$5,2,0)</f>
        <v>jbartolata</v>
      </c>
    </row>
    <row r="4" spans="1:33" x14ac:dyDescent="0.35">
      <c r="A4" s="66" t="s">
        <v>392</v>
      </c>
      <c r="B4" s="29" t="s">
        <v>673</v>
      </c>
      <c r="C4" s="33" t="str">
        <f ca="1">VLOOKUP(C2,Employees!$A$3:$C$5,3,0)</f>
        <v>Matty Jones</v>
      </c>
      <c r="D4" t="str">
        <f ca="1">VLOOKUP(D2,Employees!$A$3:$C$5,3,0)</f>
        <v>Luz Zapanta</v>
      </c>
      <c r="E4" t="str">
        <f ca="1">VLOOKUP(E2,Employees!$A$3:$C$5,3,0)</f>
        <v>Jovi Bartolata</v>
      </c>
      <c r="F4" t="str">
        <f ca="1">VLOOKUP(F2,Employees!$A$3:$C$5,3,0)</f>
        <v>Luz Zapanta</v>
      </c>
      <c r="G4" t="str">
        <f ca="1">VLOOKUP(G2,Employees!$A$3:$C$5,3,0)</f>
        <v>Matty Jones</v>
      </c>
      <c r="H4" t="str">
        <f ca="1">VLOOKUP(H2,Employees!$A$3:$C$5,3,0)</f>
        <v>Luz Zapanta</v>
      </c>
      <c r="I4" t="str">
        <f ca="1">VLOOKUP(I2,Employees!$A$3:$C$5,3,0)</f>
        <v>Matty Jones</v>
      </c>
      <c r="J4" t="str">
        <f ca="1">VLOOKUP(J2,Employees!$A$3:$C$5,3,0)</f>
        <v>Matty Jones</v>
      </c>
      <c r="K4" t="str">
        <f ca="1">VLOOKUP(K2,Employees!$A$3:$C$5,3,0)</f>
        <v>Luz Zapanta</v>
      </c>
      <c r="L4" t="str">
        <f ca="1">VLOOKUP(L2,Employees!$A$3:$C$5,3,0)</f>
        <v>Matty Jones</v>
      </c>
      <c r="M4" t="str">
        <f ca="1">VLOOKUP(M2,Employees!$A$3:$C$5,3,0)</f>
        <v>Matty Jones</v>
      </c>
      <c r="N4" t="str">
        <f ca="1">VLOOKUP(N2,Employees!$A$3:$C$5,3,0)</f>
        <v>Jovi Bartolata</v>
      </c>
      <c r="O4" t="str">
        <f ca="1">VLOOKUP(O2,Employees!$A$3:$C$5,3,0)</f>
        <v>Matty Jones</v>
      </c>
      <c r="P4" t="str">
        <f ca="1">VLOOKUP(P2,Employees!$A$3:$C$5,3,0)</f>
        <v>Jovi Bartolata</v>
      </c>
      <c r="Q4" t="str">
        <f ca="1">VLOOKUP(Q2,Employees!$A$3:$C$5,3,0)</f>
        <v>Luz Zapanta</v>
      </c>
      <c r="R4" t="str">
        <f ca="1">VLOOKUP(R2,Employees!$A$3:$C$5,3,0)</f>
        <v>Matty Jones</v>
      </c>
      <c r="S4" t="str">
        <f ca="1">VLOOKUP(S2,Employees!$A$3:$C$5,3,0)</f>
        <v>Luz Zapanta</v>
      </c>
      <c r="T4" t="str">
        <f ca="1">VLOOKUP(T2,Employees!$A$3:$C$5,3,0)</f>
        <v>Jovi Bartolata</v>
      </c>
      <c r="U4" t="str">
        <f ca="1">VLOOKUP(U2,Employees!$A$3:$C$5,3,0)</f>
        <v>Luz Zapanta</v>
      </c>
      <c r="V4" t="str">
        <f ca="1">VLOOKUP(V2,Employees!$A$3:$C$5,3,0)</f>
        <v>Jovi Bartolata</v>
      </c>
      <c r="W4" t="str">
        <f ca="1">VLOOKUP(W2,Employees!$A$3:$C$5,3,0)</f>
        <v>Jovi Bartolata</v>
      </c>
      <c r="X4" t="str">
        <f ca="1">VLOOKUP(X2,Employees!$A$3:$C$5,3,0)</f>
        <v>Matty Jones</v>
      </c>
      <c r="Y4" t="str">
        <f ca="1">VLOOKUP(Y2,Employees!$A$3:$C$5,3,0)</f>
        <v>Jovi Bartolata</v>
      </c>
      <c r="Z4" t="str">
        <f ca="1">VLOOKUP(Z2,Employees!$A$3:$C$5,3,0)</f>
        <v>Jovi Bartolata</v>
      </c>
      <c r="AA4" t="str">
        <f ca="1">VLOOKUP(AA2,Employees!$A$3:$C$5,3,0)</f>
        <v>Luz Zapanta</v>
      </c>
      <c r="AB4" t="str">
        <f ca="1">VLOOKUP(AB2,Employees!$A$3:$C$5,3,0)</f>
        <v>Luz Zapanta</v>
      </c>
      <c r="AC4" t="str">
        <f ca="1">VLOOKUP(AC2,Employees!$A$3:$C$5,3,0)</f>
        <v>Matty Jones</v>
      </c>
      <c r="AD4" t="str">
        <f ca="1">VLOOKUP(AD2,Employees!$A$3:$C$5,3,0)</f>
        <v>Luz Zapanta</v>
      </c>
      <c r="AE4" t="str">
        <f ca="1">VLOOKUP(AE2,Employees!$A$3:$C$5,3,0)</f>
        <v>Luz Zapanta</v>
      </c>
      <c r="AF4" t="str">
        <f ca="1">VLOOKUP(AF2,Employees!$A$3:$C$5,3,0)</f>
        <v>Matty Jones</v>
      </c>
      <c r="AG4" t="str">
        <f ca="1">VLOOKUP(AG2,Employees!$A$3:$C$5,3,0)</f>
        <v>Jovi Bartolata</v>
      </c>
    </row>
    <row r="5" spans="1:33" x14ac:dyDescent="0.35">
      <c r="A5" s="67"/>
      <c r="B5" s="18" t="s">
        <v>112</v>
      </c>
      <c r="C5" s="33">
        <f ca="1">RANDBETWEEN(1,30)</f>
        <v>13</v>
      </c>
    </row>
    <row r="6" spans="1:33" x14ac:dyDescent="0.35">
      <c r="A6" s="67"/>
      <c r="B6" s="18" t="s">
        <v>110</v>
      </c>
    </row>
    <row r="7" spans="1:33" x14ac:dyDescent="0.35">
      <c r="A7" s="67"/>
      <c r="B7" s="18" t="s">
        <v>156</v>
      </c>
    </row>
    <row r="8" spans="1:33" x14ac:dyDescent="0.35">
      <c r="A8" s="67"/>
      <c r="B8" s="19" t="s">
        <v>282</v>
      </c>
    </row>
    <row r="9" spans="1:33" x14ac:dyDescent="0.35">
      <c r="A9" s="67"/>
      <c r="B9" s="19" t="s">
        <v>283</v>
      </c>
    </row>
    <row r="10" spans="1:33" x14ac:dyDescent="0.35">
      <c r="A10" s="67"/>
      <c r="B10" s="19" t="s">
        <v>131</v>
      </c>
    </row>
    <row r="11" spans="1:33" x14ac:dyDescent="0.35">
      <c r="A11" s="67"/>
      <c r="B11" s="19" t="s">
        <v>284</v>
      </c>
    </row>
    <row r="12" spans="1:33" x14ac:dyDescent="0.35">
      <c r="A12" s="67"/>
      <c r="B12" s="19" t="s">
        <v>135</v>
      </c>
    </row>
    <row r="13" spans="1:33" x14ac:dyDescent="0.35">
      <c r="A13" s="67"/>
      <c r="B13" s="19" t="s">
        <v>157</v>
      </c>
    </row>
    <row r="14" spans="1:33" x14ac:dyDescent="0.35">
      <c r="A14" s="67"/>
      <c r="B14" s="18" t="s">
        <v>594</v>
      </c>
    </row>
    <row r="15" spans="1:33" x14ac:dyDescent="0.35">
      <c r="A15" s="67"/>
      <c r="B15" s="19" t="s">
        <v>282</v>
      </c>
    </row>
    <row r="16" spans="1:33" x14ac:dyDescent="0.35">
      <c r="A16" s="67"/>
      <c r="B16" s="19" t="s">
        <v>283</v>
      </c>
    </row>
    <row r="17" spans="1:3" x14ac:dyDescent="0.35">
      <c r="A17" s="67"/>
      <c r="B17" s="19" t="s">
        <v>131</v>
      </c>
    </row>
    <row r="18" spans="1:3" x14ac:dyDescent="0.35">
      <c r="A18" s="67"/>
      <c r="B18" s="19" t="s">
        <v>284</v>
      </c>
    </row>
    <row r="19" spans="1:3" x14ac:dyDescent="0.35">
      <c r="A19" s="67"/>
      <c r="B19" s="19" t="s">
        <v>135</v>
      </c>
    </row>
    <row r="20" spans="1:3" x14ac:dyDescent="0.35">
      <c r="A20" s="67"/>
      <c r="B20" s="19" t="s">
        <v>157</v>
      </c>
    </row>
    <row r="21" spans="1:3" x14ac:dyDescent="0.35">
      <c r="A21" s="67"/>
      <c r="B21" s="18" t="s">
        <v>158</v>
      </c>
    </row>
    <row r="22" spans="1:3" x14ac:dyDescent="0.35">
      <c r="A22" s="67"/>
      <c r="B22" s="19" t="s">
        <v>139</v>
      </c>
    </row>
    <row r="23" spans="1:3" x14ac:dyDescent="0.35">
      <c r="A23" s="67"/>
      <c r="B23" s="19" t="s">
        <v>159</v>
      </c>
    </row>
    <row r="24" spans="1:3" x14ac:dyDescent="0.35">
      <c r="A24" s="67"/>
      <c r="B24" s="19" t="s">
        <v>160</v>
      </c>
    </row>
    <row r="25" spans="1:3" x14ac:dyDescent="0.35">
      <c r="A25" s="67"/>
      <c r="B25" s="19" t="s">
        <v>144</v>
      </c>
    </row>
    <row r="26" spans="1:3" x14ac:dyDescent="0.35">
      <c r="A26" s="67"/>
      <c r="B26" s="19" t="s">
        <v>161</v>
      </c>
    </row>
    <row r="27" spans="1:3" x14ac:dyDescent="0.35">
      <c r="A27" s="66" t="s">
        <v>671</v>
      </c>
      <c r="B27" s="29" t="s">
        <v>673</v>
      </c>
    </row>
    <row r="28" spans="1:3" x14ac:dyDescent="0.35">
      <c r="A28" s="67"/>
      <c r="B28" s="20" t="s">
        <v>107</v>
      </c>
    </row>
    <row r="29" spans="1:3" x14ac:dyDescent="0.35">
      <c r="A29" s="67"/>
      <c r="B29" s="17" t="s">
        <v>145</v>
      </c>
    </row>
    <row r="30" spans="1:3" x14ac:dyDescent="0.35">
      <c r="A30" s="67"/>
      <c r="B30" s="18" t="s">
        <v>594</v>
      </c>
    </row>
    <row r="31" spans="1:3" x14ac:dyDescent="0.35">
      <c r="A31" s="67"/>
      <c r="B31" s="19" t="s">
        <v>162</v>
      </c>
      <c r="C31" s="33" t="str">
        <f ca="1">C5&amp;" "&amp;C6</f>
        <v xml:space="preserve">13 </v>
      </c>
    </row>
    <row r="32" spans="1:3" x14ac:dyDescent="0.35">
      <c r="A32" s="67"/>
      <c r="B32" s="19" t="s">
        <v>282</v>
      </c>
      <c r="C32" s="33" t="str">
        <f>IF(C8="","",C8)</f>
        <v/>
      </c>
    </row>
    <row r="33" spans="1:3" x14ac:dyDescent="0.35">
      <c r="A33" s="67"/>
      <c r="B33" s="19" t="s">
        <v>283</v>
      </c>
      <c r="C33" s="33" t="str">
        <f t="shared" ref="C33:C37" si="0">IF(C9="","",C9)</f>
        <v/>
      </c>
    </row>
    <row r="34" spans="1:3" x14ac:dyDescent="0.35">
      <c r="A34" s="67"/>
      <c r="B34" s="19" t="s">
        <v>131</v>
      </c>
      <c r="C34" s="33" t="str">
        <f t="shared" si="0"/>
        <v/>
      </c>
    </row>
    <row r="35" spans="1:3" x14ac:dyDescent="0.35">
      <c r="A35" s="67"/>
      <c r="B35" s="19" t="s">
        <v>284</v>
      </c>
      <c r="C35" s="33" t="str">
        <f t="shared" si="0"/>
        <v/>
      </c>
    </row>
    <row r="36" spans="1:3" x14ac:dyDescent="0.35">
      <c r="A36" s="67"/>
      <c r="B36" s="19" t="s">
        <v>135</v>
      </c>
      <c r="C36" s="33" t="str">
        <f t="shared" si="0"/>
        <v/>
      </c>
    </row>
    <row r="37" spans="1:3" x14ac:dyDescent="0.35">
      <c r="A37" s="67"/>
      <c r="B37" s="19" t="s">
        <v>157</v>
      </c>
      <c r="C37" s="33" t="str">
        <f t="shared" si="0"/>
        <v/>
      </c>
    </row>
    <row r="38" spans="1:3" x14ac:dyDescent="0.35">
      <c r="A38" s="67"/>
      <c r="B38" s="18" t="s">
        <v>116</v>
      </c>
    </row>
    <row r="39" spans="1:3" x14ac:dyDescent="0.35">
      <c r="A39" s="67"/>
      <c r="B39" s="18" t="s">
        <v>120</v>
      </c>
    </row>
    <row r="40" spans="1:3" x14ac:dyDescent="0.35">
      <c r="A40" s="67"/>
      <c r="B40" s="21" t="s">
        <v>106</v>
      </c>
    </row>
    <row r="41" spans="1:3" x14ac:dyDescent="0.35">
      <c r="A41" s="67"/>
      <c r="B41" s="47" t="s">
        <v>111</v>
      </c>
    </row>
    <row r="42" spans="1:3" x14ac:dyDescent="0.35">
      <c r="A42" s="67"/>
      <c r="B42" s="19" t="s">
        <v>124</v>
      </c>
    </row>
    <row r="43" spans="1:3" x14ac:dyDescent="0.35">
      <c r="A43" s="67"/>
      <c r="B43" s="19" t="s">
        <v>121</v>
      </c>
    </row>
    <row r="44" spans="1:3" x14ac:dyDescent="0.35">
      <c r="A44" s="67"/>
      <c r="B44" s="18" t="s">
        <v>138</v>
      </c>
    </row>
    <row r="45" spans="1:3" x14ac:dyDescent="0.35">
      <c r="A45" s="67"/>
      <c r="B45" s="18" t="s">
        <v>133</v>
      </c>
    </row>
    <row r="46" spans="1:3" x14ac:dyDescent="0.35">
      <c r="A46" s="67"/>
      <c r="B46" s="18" t="s">
        <v>136</v>
      </c>
    </row>
    <row r="47" spans="1:3" x14ac:dyDescent="0.35">
      <c r="A47" s="67"/>
      <c r="B47" s="18" t="s">
        <v>140</v>
      </c>
    </row>
    <row r="48" spans="1:3" x14ac:dyDescent="0.35">
      <c r="A48" s="66" t="s">
        <v>672</v>
      </c>
      <c r="B48" s="22" t="s">
        <v>106</v>
      </c>
    </row>
    <row r="49" spans="1:2" x14ac:dyDescent="0.35">
      <c r="A49" s="67"/>
      <c r="B49" s="23" t="s">
        <v>111</v>
      </c>
    </row>
    <row r="50" spans="1:2" x14ac:dyDescent="0.35">
      <c r="A50" s="67"/>
      <c r="B50" s="18" t="s">
        <v>113</v>
      </c>
    </row>
    <row r="51" spans="1:2" x14ac:dyDescent="0.35">
      <c r="A51" s="67"/>
      <c r="B51" s="18" t="s">
        <v>117</v>
      </c>
    </row>
    <row r="52" spans="1:2" x14ac:dyDescent="0.35">
      <c r="A52" s="67"/>
      <c r="B52" s="18" t="s">
        <v>121</v>
      </c>
    </row>
    <row r="53" spans="1:2" x14ac:dyDescent="0.35">
      <c r="A53" s="67"/>
      <c r="B53" s="18" t="s">
        <v>123</v>
      </c>
    </row>
    <row r="54" spans="1:2" x14ac:dyDescent="0.35">
      <c r="A54" s="67"/>
      <c r="B54" s="18" t="s">
        <v>127</v>
      </c>
    </row>
    <row r="55" spans="1:2" x14ac:dyDescent="0.35">
      <c r="A55" s="67"/>
      <c r="B55" s="19" t="s">
        <v>128</v>
      </c>
    </row>
    <row r="56" spans="1:2" x14ac:dyDescent="0.35">
      <c r="A56" s="67"/>
      <c r="B56" s="19" t="s">
        <v>130</v>
      </c>
    </row>
    <row r="57" spans="1:2" x14ac:dyDescent="0.35">
      <c r="A57" s="67"/>
      <c r="B57" s="19" t="s">
        <v>124</v>
      </c>
    </row>
    <row r="58" spans="1:2" x14ac:dyDescent="0.35">
      <c r="A58" s="67"/>
      <c r="B58" s="18" t="s">
        <v>134</v>
      </c>
    </row>
    <row r="59" spans="1:2" x14ac:dyDescent="0.35">
      <c r="A59" s="67"/>
      <c r="B59" s="18" t="s">
        <v>146</v>
      </c>
    </row>
    <row r="60" spans="1:2" x14ac:dyDescent="0.35">
      <c r="A60" s="63" t="s">
        <v>104</v>
      </c>
      <c r="B60" s="22" t="s">
        <v>106</v>
      </c>
    </row>
    <row r="61" spans="1:2" x14ac:dyDescent="0.35">
      <c r="A61" s="64"/>
      <c r="B61" s="20" t="s">
        <v>107</v>
      </c>
    </row>
    <row r="62" spans="1:2" x14ac:dyDescent="0.35">
      <c r="A62" s="64"/>
      <c r="B62" s="18" t="s">
        <v>152</v>
      </c>
    </row>
    <row r="63" spans="1:2" x14ac:dyDescent="0.35">
      <c r="A63" s="64"/>
      <c r="B63" s="18" t="s">
        <v>153</v>
      </c>
    </row>
    <row r="64" spans="1:2" x14ac:dyDescent="0.35">
      <c r="A64" s="64"/>
      <c r="B64" s="18" t="s">
        <v>114</v>
      </c>
    </row>
    <row r="65" spans="1:2" x14ac:dyDescent="0.35">
      <c r="A65" s="64"/>
      <c r="B65" s="24" t="s">
        <v>118</v>
      </c>
    </row>
    <row r="66" spans="1:2" x14ac:dyDescent="0.35">
      <c r="A66" s="64"/>
      <c r="B66" s="24" t="s">
        <v>122</v>
      </c>
    </row>
    <row r="67" spans="1:2" x14ac:dyDescent="0.35">
      <c r="A67" s="64"/>
      <c r="B67" s="24" t="s">
        <v>154</v>
      </c>
    </row>
    <row r="68" spans="1:2" x14ac:dyDescent="0.35">
      <c r="A68" s="65"/>
      <c r="B68" s="28" t="s">
        <v>673</v>
      </c>
    </row>
  </sheetData>
  <mergeCells count="5">
    <mergeCell ref="A60:A68"/>
    <mergeCell ref="A2:A3"/>
    <mergeCell ref="A4:A26"/>
    <mergeCell ref="A27:A47"/>
    <mergeCell ref="A48:A59"/>
  </mergeCells>
  <phoneticPr fontId="6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C7A4-F19F-4514-A403-4EE82336572E}">
  <sheetPr>
    <tabColor rgb="FF00B050"/>
  </sheetPr>
  <dimension ref="A1:AR188"/>
  <sheetViews>
    <sheetView tabSelected="1" topLeftCell="AK1" zoomScale="70" zoomScaleNormal="70" workbookViewId="0">
      <selection activeCell="AR7" sqref="AR7"/>
    </sheetView>
  </sheetViews>
  <sheetFormatPr defaultColWidth="18.26953125" defaultRowHeight="14.5" x14ac:dyDescent="0.35"/>
  <cols>
    <col min="1" max="1" width="9.81640625" bestFit="1" customWidth="1"/>
    <col min="2" max="2" width="26.453125" bestFit="1" customWidth="1"/>
    <col min="3" max="3" width="30.36328125" bestFit="1" customWidth="1"/>
    <col min="4" max="4" width="19.7265625" bestFit="1" customWidth="1"/>
    <col min="5" max="5" width="24.90625" bestFit="1" customWidth="1"/>
    <col min="6" max="7" width="12.54296875" bestFit="1" customWidth="1"/>
    <col min="8" max="8" width="18.36328125" bestFit="1" customWidth="1"/>
    <col min="9" max="9" width="12.54296875" bestFit="1" customWidth="1"/>
    <col min="10" max="10" width="13.453125" bestFit="1" customWidth="1"/>
    <col min="11" max="11" width="24.90625" bestFit="1" customWidth="1"/>
    <col min="12" max="12" width="14.1796875" bestFit="1" customWidth="1"/>
    <col min="13" max="13" width="20" bestFit="1" customWidth="1"/>
    <col min="14" max="14" width="18.36328125" bestFit="1" customWidth="1"/>
    <col min="15" max="16" width="14.1796875" bestFit="1" customWidth="1"/>
    <col min="17" max="17" width="14.90625" bestFit="1" customWidth="1"/>
    <col min="18" max="18" width="16.6328125" bestFit="1" customWidth="1"/>
    <col min="19" max="21" width="14.90625" bestFit="1" customWidth="1"/>
    <col min="22" max="22" width="2.6328125" style="42" customWidth="1"/>
    <col min="23" max="23" width="42.26953125" bestFit="1" customWidth="1"/>
    <col min="24" max="24" width="21.453125" bestFit="1" customWidth="1"/>
    <col min="25" max="25" width="22.54296875" bestFit="1" customWidth="1"/>
    <col min="26" max="26" width="49.54296875" bestFit="1" customWidth="1"/>
    <col min="27" max="27" width="12.54296875" bestFit="1" customWidth="1"/>
    <col min="28" max="28" width="17.36328125" bestFit="1" customWidth="1"/>
    <col min="29" max="29" width="30" bestFit="1" customWidth="1"/>
    <col min="30" max="30" width="15.08984375" bestFit="1" customWidth="1"/>
    <col min="31" max="31" width="30.81640625" bestFit="1" customWidth="1"/>
    <col min="32" max="32" width="51.26953125" bestFit="1" customWidth="1"/>
    <col min="33" max="33" width="14.1796875" bestFit="1" customWidth="1"/>
    <col min="34" max="34" width="27.1796875" bestFit="1" customWidth="1"/>
    <col min="35" max="35" width="30" bestFit="1" customWidth="1"/>
    <col min="36" max="36" width="15.08984375" bestFit="1" customWidth="1"/>
    <col min="37" max="37" width="30.81640625" bestFit="1" customWidth="1"/>
    <col min="38" max="38" width="39.453125" bestFit="1" customWidth="1"/>
    <col min="39" max="39" width="32.26953125" bestFit="1" customWidth="1"/>
    <col min="40" max="40" width="24.90625" bestFit="1" customWidth="1"/>
    <col min="41" max="41" width="17.08984375" bestFit="1" customWidth="1"/>
    <col min="42" max="42" width="24.90625" bestFit="1" customWidth="1"/>
    <col min="43" max="43" width="2.6328125" style="42" customWidth="1"/>
    <col min="44" max="44" width="100.6328125" customWidth="1"/>
  </cols>
  <sheetData>
    <row r="1" spans="1:44" ht="15.5" x14ac:dyDescent="0.35">
      <c r="A1" s="56" t="s">
        <v>392</v>
      </c>
    </row>
    <row r="2" spans="1:44" x14ac:dyDescent="0.35">
      <c r="E2" t="s">
        <v>156</v>
      </c>
      <c r="F2" t="s">
        <v>156</v>
      </c>
      <c r="G2" t="s">
        <v>156</v>
      </c>
      <c r="H2" t="s">
        <v>156</v>
      </c>
      <c r="I2" t="s">
        <v>156</v>
      </c>
      <c r="J2" t="s">
        <v>156</v>
      </c>
      <c r="K2" t="s">
        <v>594</v>
      </c>
      <c r="L2" t="s">
        <v>594</v>
      </c>
      <c r="M2" t="s">
        <v>594</v>
      </c>
      <c r="N2" t="s">
        <v>594</v>
      </c>
      <c r="O2" t="s">
        <v>594</v>
      </c>
      <c r="P2" t="s">
        <v>594</v>
      </c>
      <c r="Q2" t="s">
        <v>158</v>
      </c>
      <c r="R2" t="s">
        <v>158</v>
      </c>
      <c r="S2" t="s">
        <v>158</v>
      </c>
      <c r="T2" t="s">
        <v>158</v>
      </c>
      <c r="U2" t="s">
        <v>158</v>
      </c>
      <c r="Z2" t="s">
        <v>156</v>
      </c>
      <c r="AA2" t="s">
        <v>156</v>
      </c>
      <c r="AB2" t="s">
        <v>156</v>
      </c>
      <c r="AC2" t="s">
        <v>156</v>
      </c>
      <c r="AD2" t="s">
        <v>156</v>
      </c>
      <c r="AE2" t="s">
        <v>156</v>
      </c>
      <c r="AF2" t="s">
        <v>594</v>
      </c>
      <c r="AG2" t="s">
        <v>594</v>
      </c>
      <c r="AH2" t="s">
        <v>594</v>
      </c>
      <c r="AI2" t="s">
        <v>594</v>
      </c>
      <c r="AJ2" t="s">
        <v>594</v>
      </c>
      <c r="AK2" t="s">
        <v>594</v>
      </c>
      <c r="AL2" t="s">
        <v>158</v>
      </c>
      <c r="AM2" t="s">
        <v>158</v>
      </c>
      <c r="AN2" t="s">
        <v>158</v>
      </c>
      <c r="AO2" t="s">
        <v>158</v>
      </c>
      <c r="AP2" t="s">
        <v>158</v>
      </c>
    </row>
    <row r="3" spans="1:44" x14ac:dyDescent="0.35">
      <c r="A3" t="s">
        <v>639</v>
      </c>
      <c r="B3" t="s">
        <v>673</v>
      </c>
      <c r="C3" t="s">
        <v>112</v>
      </c>
      <c r="D3" t="s">
        <v>110</v>
      </c>
      <c r="E3" t="s">
        <v>819</v>
      </c>
      <c r="F3" t="s">
        <v>820</v>
      </c>
      <c r="G3" t="s">
        <v>821</v>
      </c>
      <c r="H3" t="s">
        <v>822</v>
      </c>
      <c r="I3" t="s">
        <v>823</v>
      </c>
      <c r="J3" t="s">
        <v>824</v>
      </c>
      <c r="K3" t="s">
        <v>825</v>
      </c>
      <c r="L3" t="s">
        <v>826</v>
      </c>
      <c r="M3" t="s">
        <v>827</v>
      </c>
      <c r="N3" t="s">
        <v>828</v>
      </c>
      <c r="O3" t="s">
        <v>829</v>
      </c>
      <c r="P3" t="s">
        <v>830</v>
      </c>
      <c r="Q3" t="s">
        <v>139</v>
      </c>
      <c r="R3" t="s">
        <v>159</v>
      </c>
      <c r="S3" t="s">
        <v>160</v>
      </c>
      <c r="T3" t="s">
        <v>144</v>
      </c>
      <c r="U3" t="s">
        <v>161</v>
      </c>
      <c r="W3" t="s">
        <v>673</v>
      </c>
      <c r="X3" t="s">
        <v>112</v>
      </c>
      <c r="Y3" t="s">
        <v>110</v>
      </c>
      <c r="Z3" t="s">
        <v>819</v>
      </c>
      <c r="AA3" t="s">
        <v>820</v>
      </c>
      <c r="AB3" t="s">
        <v>821</v>
      </c>
      <c r="AC3" t="s">
        <v>822</v>
      </c>
      <c r="AD3" t="s">
        <v>823</v>
      </c>
      <c r="AE3" t="s">
        <v>824</v>
      </c>
      <c r="AF3" t="s">
        <v>825</v>
      </c>
      <c r="AG3" t="s">
        <v>826</v>
      </c>
      <c r="AH3" t="s">
        <v>827</v>
      </c>
      <c r="AI3" t="s">
        <v>828</v>
      </c>
      <c r="AJ3" t="s">
        <v>829</v>
      </c>
      <c r="AK3" t="s">
        <v>830</v>
      </c>
      <c r="AL3" t="s">
        <v>139</v>
      </c>
      <c r="AM3" t="s">
        <v>159</v>
      </c>
      <c r="AN3" t="s">
        <v>160</v>
      </c>
      <c r="AO3" t="s">
        <v>144</v>
      </c>
      <c r="AP3" t="s">
        <v>161</v>
      </c>
      <c r="AR3" s="44" t="s">
        <v>670</v>
      </c>
    </row>
    <row r="4" spans="1:44" x14ac:dyDescent="0.35">
      <c r="A4">
        <v>1</v>
      </c>
      <c r="B4" s="39" t="str">
        <f t="shared" ref="B4:B12" si="0">LOWER(C4)&amp;"_"&amp;LOWER(D4)&amp;"@gmail.com"</f>
        <v>rhett_fuller@gmail.com</v>
      </c>
      <c r="C4" t="s">
        <v>511</v>
      </c>
      <c r="D4" t="s">
        <v>541</v>
      </c>
      <c r="E4" t="s">
        <v>393</v>
      </c>
      <c r="F4" s="39"/>
      <c r="G4" t="s">
        <v>423</v>
      </c>
      <c r="H4" t="s">
        <v>451</v>
      </c>
      <c r="I4" t="s">
        <v>456</v>
      </c>
      <c r="J4" t="s">
        <v>481</v>
      </c>
      <c r="K4" t="s">
        <v>582</v>
      </c>
      <c r="L4" t="s">
        <v>601</v>
      </c>
      <c r="M4" t="s">
        <v>431</v>
      </c>
      <c r="N4" t="s">
        <v>26</v>
      </c>
      <c r="O4" t="s">
        <v>612</v>
      </c>
      <c r="P4" t="s">
        <v>623</v>
      </c>
      <c r="Q4" t="s">
        <v>635</v>
      </c>
      <c r="R4" s="39" t="str">
        <f t="shared" ref="R4:R34" si="1">C4&amp;" "&amp;D4</f>
        <v>Rhett Fuller</v>
      </c>
      <c r="S4" t="s">
        <v>637</v>
      </c>
      <c r="T4" s="39" t="str">
        <f t="shared" ref="T4:T34" si="2">RIGHT(P4,2)&amp;LEFT(P4,2)</f>
        <v>2064</v>
      </c>
      <c r="U4" s="39" t="s">
        <v>640</v>
      </c>
      <c r="W4" t="str">
        <f t="shared" ref="W4:W33" si="3">IF(B4="","","'"&amp;W$3&amp;"' : '"&amp;B4&amp;"', ")</f>
        <v xml:space="preserve">'emailAddress' : 'rhett_fuller@gmail.com', </v>
      </c>
      <c r="X4" t="str">
        <f t="shared" ref="X4:X33" si="4">IF(C4="","","'"&amp;X$3&amp;"' : '"&amp;C4&amp;"', ")</f>
        <v xml:space="preserve">'firstName' : 'Rhett', </v>
      </c>
      <c r="Y4" t="str">
        <f t="shared" ref="Y4:Y33" si="5">IF(D4="","","'"&amp;Y$3&amp;"' : '"&amp;D4&amp;"', ")</f>
        <v xml:space="preserve">'lastName' : 'Fuller', </v>
      </c>
      <c r="Z4" t="str">
        <f t="shared" ref="Z4:Z33" si="6">IF(E4="","","'"&amp;Z$2&amp;"' : { '"&amp;Z$3&amp;"' : '"&amp;E4&amp;"', ")</f>
        <v xml:space="preserve">'billingAddress' : { 'bStreet' : '2267 184th Street', </v>
      </c>
      <c r="AA4" t="str">
        <f t="shared" ref="AA4:AA33" si="7">IF(F4="","","'"&amp;AA$3&amp;"' : '"&amp;F4&amp;"', ")</f>
        <v/>
      </c>
      <c r="AB4" t="str">
        <f t="shared" ref="AB4:AB33" si="8">IF(G4="","","'"&amp;AB$3&amp;"' : '"&amp;G4&amp;"', ")</f>
        <v xml:space="preserve">'bCity' : 'Edmonton', </v>
      </c>
      <c r="AC4" t="str">
        <f t="shared" ref="AC4:AC33" si="9">IF(H4="","","'"&amp;AC$3&amp;"' : '"&amp;H4&amp;"', ")</f>
        <v xml:space="preserve">'bProvince' : 'Alberta', </v>
      </c>
      <c r="AD4" t="str">
        <f t="shared" ref="AD4:AD33" si="10">IF(I4="","","'"&amp;AD$3&amp;"' : '"&amp;I4&amp;"', ")</f>
        <v xml:space="preserve">'bZip' : 'T5J 2R4', </v>
      </c>
      <c r="AE4" t="str">
        <f t="shared" ref="AE4:AE33" si="11">IF(J4="","","'"&amp;AE$3&amp;"' : '"&amp;J4&amp;"' } , ")</f>
        <v xml:space="preserve">'bMobileNumber' : '780-485-2704' } , </v>
      </c>
      <c r="AF4" t="str">
        <f t="shared" ref="AF4:AF33" si="12">IF(K4="","","'"&amp;AF$2&amp;"' : { '"&amp;AF$3&amp;"' : '"&amp;K4&amp;"', ")</f>
        <v xml:space="preserve">'deliveryAddress' : { 'dStreet' : '1958 Weir Crescent', </v>
      </c>
      <c r="AG4" t="str">
        <f t="shared" ref="AG4:AG33" si="13">IF(L4="","","'"&amp;AG$3&amp;"' : '"&amp;L4&amp;"', ")</f>
        <v xml:space="preserve">'dUnit' : '71', </v>
      </c>
      <c r="AH4" t="str">
        <f t="shared" ref="AH4:AH33" si="14">IF(M4="","","'"&amp;AH$3&amp;"' : '"&amp;M4&amp;"', ")</f>
        <v xml:space="preserve">'dCity' : 'Toronto', </v>
      </c>
      <c r="AI4" t="str">
        <f t="shared" ref="AI4:AI33" si="15">IF(N4="","","'"&amp;AI$3&amp;"' : '"&amp;N4&amp;"', ")</f>
        <v xml:space="preserve">'dProvince' : 'Ontario', </v>
      </c>
      <c r="AJ4" t="str">
        <f t="shared" ref="AJ4:AJ33" si="16">IF(O4="","","'"&amp;AJ$3&amp;"' : '"&amp;O4&amp;"', ")</f>
        <v xml:space="preserve">'dZip' : 'M1E 3T8', </v>
      </c>
      <c r="AK4" t="str">
        <f t="shared" ref="AK4:AK33" si="17">IF(P4="","","'"&amp;AK$3&amp;"' : '"&amp;P4&amp;"' } , ")</f>
        <v xml:space="preserve">'dMobileNumber' : '647-828-4520' } , </v>
      </c>
      <c r="AL4" t="str">
        <f t="shared" ref="AL4:AL33" si="18">IF(Q4="","","'"&amp;AL$2&amp;"' : { '"&amp;AL$3&amp;"' : '"&amp;Q4&amp;"', ")</f>
        <v xml:space="preserve">'paymentMethod' : { 'paymentType' : 'Debit', </v>
      </c>
      <c r="AM4" t="str">
        <f t="shared" ref="AM4:AM33" si="19">IF(R4="","","'"&amp;AM$3&amp;"' : '"&amp;R4&amp;"', ")</f>
        <v xml:space="preserve">'nameOnCard' : 'Rhett Fuller', </v>
      </c>
      <c r="AN4" t="str">
        <f t="shared" ref="AN4:AN33" si="20">IF(S4="","","'"&amp;AN$3&amp;"' : '"&amp;S4&amp;"', ")</f>
        <v xml:space="preserve">'cardScheme' : 'Visa', </v>
      </c>
      <c r="AO4" t="str">
        <f t="shared" ref="AO4:AO33" si="21">IF(T4="","","'"&amp;AO$3&amp;"' : '"&amp;T4&amp;"', ")</f>
        <v xml:space="preserve">'cardLast4' : '2064', </v>
      </c>
      <c r="AP4" t="str">
        <f t="shared" ref="AP4:AP33" si="22">IF(U4="","","'"&amp;AP$3&amp;"' : '"&amp;U4&amp;"' }")</f>
        <v>'cardExpiryDate' : '12/2024' }</v>
      </c>
      <c r="AR4" t="str">
        <f t="shared" ref="AR4:AR33" si="23">_xlfn.CONCAT("{ ",W4:AP4," },")</f>
        <v>{ 'emailAddress' : 'rhett_fuller@gmail.com', 'firstName' : 'Rhett', 'lastName' : 'Fuller', 'billingAddress' : { 'bStreet' : '2267 184th Street', 'bCity' : 'Edmonton', 'bProvince' : 'Alberta', 'bZip' : 'T5J 2R4', 'bMobileNumber' : '780-485-2704' } , 'deliveryAddress' : { 'dStreet' : '1958 Weir Crescent', 'dUnit' : '71', 'dCity' : 'Toronto', 'dProvince' : 'Ontario', 'dZip' : 'M1E 3T8', 'dMobileNumber' : '647-828-4520' } , 'paymentMethod' : { 'paymentType' : 'Debit', 'nameOnCard' : 'Rhett Fuller', 'cardScheme' : 'Visa', 'cardLast4' : '2064', 'cardExpiryDate' : '12/2024' } },</v>
      </c>
    </row>
    <row r="5" spans="1:44" x14ac:dyDescent="0.35">
      <c r="A5">
        <v>2</v>
      </c>
      <c r="B5" s="39" t="str">
        <f t="shared" si="0"/>
        <v>norah_fessenden@gmail.com</v>
      </c>
      <c r="C5" t="s">
        <v>512</v>
      </c>
      <c r="D5" t="s">
        <v>542</v>
      </c>
      <c r="E5" t="s">
        <v>394</v>
      </c>
      <c r="F5" s="39"/>
      <c r="G5" t="s">
        <v>424</v>
      </c>
      <c r="H5" t="s">
        <v>26</v>
      </c>
      <c r="I5" t="s">
        <v>457</v>
      </c>
      <c r="J5" t="s">
        <v>482</v>
      </c>
      <c r="K5" t="s">
        <v>583</v>
      </c>
      <c r="L5" t="s">
        <v>602</v>
      </c>
      <c r="M5" t="s">
        <v>431</v>
      </c>
      <c r="N5" t="s">
        <v>26</v>
      </c>
      <c r="O5" t="s">
        <v>465</v>
      </c>
      <c r="P5" t="s">
        <v>624</v>
      </c>
      <c r="Q5" t="s">
        <v>635</v>
      </c>
      <c r="R5" s="39" t="str">
        <f t="shared" si="1"/>
        <v>Norah Fessenden</v>
      </c>
      <c r="S5" t="s">
        <v>637</v>
      </c>
      <c r="T5" s="39" t="str">
        <f t="shared" si="2"/>
        <v>2541</v>
      </c>
      <c r="U5" s="39" t="s">
        <v>641</v>
      </c>
      <c r="W5" t="str">
        <f t="shared" si="3"/>
        <v xml:space="preserve">'emailAddress' : 'norah_fessenden@gmail.com', </v>
      </c>
      <c r="X5" t="str">
        <f t="shared" si="4"/>
        <v xml:space="preserve">'firstName' : 'Norah', </v>
      </c>
      <c r="Y5" t="str">
        <f t="shared" si="5"/>
        <v xml:space="preserve">'lastName' : 'Fessenden', </v>
      </c>
      <c r="Z5" t="str">
        <f t="shared" si="6"/>
        <v xml:space="preserve">'billingAddress' : { 'bStreet' : '1751 Wallbridge Loyalist Rd', </v>
      </c>
      <c r="AA5" t="str">
        <f t="shared" si="7"/>
        <v/>
      </c>
      <c r="AB5" t="str">
        <f t="shared" si="8"/>
        <v xml:space="preserve">'bCity' : 'Belleville', </v>
      </c>
      <c r="AC5" t="str">
        <f t="shared" si="9"/>
        <v xml:space="preserve">'bProvince' : 'Ontario', </v>
      </c>
      <c r="AD5" t="str">
        <f t="shared" si="10"/>
        <v xml:space="preserve">'bZip' : 'K8N 1L9', </v>
      </c>
      <c r="AE5" t="str">
        <f t="shared" si="11"/>
        <v xml:space="preserve">'bMobileNumber' : '613-847-5941' } , </v>
      </c>
      <c r="AF5" t="str">
        <f t="shared" si="12"/>
        <v xml:space="preserve">'deliveryAddress' : { 'dStreet' : '694 Yonge Street', </v>
      </c>
      <c r="AG5" t="str">
        <f t="shared" si="13"/>
        <v xml:space="preserve">'dUnit' : '102', </v>
      </c>
      <c r="AH5" t="str">
        <f t="shared" si="14"/>
        <v xml:space="preserve">'dCity' : 'Toronto', </v>
      </c>
      <c r="AI5" t="str">
        <f t="shared" si="15"/>
        <v xml:space="preserve">'dProvince' : 'Ontario', </v>
      </c>
      <c r="AJ5" t="str">
        <f t="shared" si="16"/>
        <v xml:space="preserve">'dZip' : 'M4W 1J7', </v>
      </c>
      <c r="AK5" t="str">
        <f t="shared" si="17"/>
        <v xml:space="preserve">'dMobileNumber' : '416-963-8125' } , </v>
      </c>
      <c r="AL5" t="str">
        <f t="shared" si="18"/>
        <v xml:space="preserve">'paymentMethod' : { 'paymentType' : 'Debit', </v>
      </c>
      <c r="AM5" t="str">
        <f t="shared" si="19"/>
        <v xml:space="preserve">'nameOnCard' : 'Norah Fessenden', </v>
      </c>
      <c r="AN5" t="str">
        <f t="shared" si="20"/>
        <v xml:space="preserve">'cardScheme' : 'Visa', </v>
      </c>
      <c r="AO5" t="str">
        <f t="shared" si="21"/>
        <v xml:space="preserve">'cardLast4' : '2541', </v>
      </c>
      <c r="AP5" t="str">
        <f t="shared" si="22"/>
        <v>'cardExpiryDate' : '06/2023' }</v>
      </c>
      <c r="AR5" t="str">
        <f t="shared" si="23"/>
        <v>{ 'emailAddress' : 'norah_fessenden@gmail.com', 'firstName' : 'Norah', 'lastName' : 'Fessenden', 'billingAddress' : { 'bStreet' : '1751 Wallbridge Loyalist Rd', 'bCity' : 'Belleville', 'bProvince' : 'Ontario', 'bZip' : 'K8N 1L9', 'bMobileNumber' : '613-847-5941' } , 'deliveryAddress' : { 'dStreet' : '694 Yonge Street', 'dUnit' : '102', 'dCity' : 'Toronto', 'dProvince' : 'Ontario', 'dZip' : 'M4W 1J7', 'dMobileNumber' : '416-963-8125' } , 'paymentMethod' : { 'paymentType' : 'Debit', 'nameOnCard' : 'Norah Fessenden', 'cardScheme' : 'Visa', 'cardLast4' : '2541', 'cardExpiryDate' : '06/2023' } },</v>
      </c>
    </row>
    <row r="6" spans="1:44" x14ac:dyDescent="0.35">
      <c r="A6">
        <v>3</v>
      </c>
      <c r="B6" s="39" t="str">
        <f t="shared" si="0"/>
        <v>sawyer_oliver@gmail.com</v>
      </c>
      <c r="C6" t="s">
        <v>513</v>
      </c>
      <c r="D6" t="s">
        <v>543</v>
      </c>
      <c r="E6" t="s">
        <v>395</v>
      </c>
      <c r="F6" s="39"/>
      <c r="G6" t="s">
        <v>425</v>
      </c>
      <c r="H6" t="s">
        <v>451</v>
      </c>
      <c r="I6" t="s">
        <v>458</v>
      </c>
      <c r="J6" t="s">
        <v>483</v>
      </c>
      <c r="K6" t="s">
        <v>584</v>
      </c>
      <c r="L6" t="s">
        <v>603</v>
      </c>
      <c r="M6" t="s">
        <v>441</v>
      </c>
      <c r="N6" t="s">
        <v>26</v>
      </c>
      <c r="O6" t="s">
        <v>613</v>
      </c>
      <c r="P6" t="s">
        <v>625</v>
      </c>
      <c r="Q6" t="s">
        <v>635</v>
      </c>
      <c r="R6" s="39" t="str">
        <f t="shared" si="1"/>
        <v>Sawyer Oliver</v>
      </c>
      <c r="S6" t="s">
        <v>638</v>
      </c>
      <c r="T6" s="39" t="str">
        <f t="shared" si="2"/>
        <v>5161</v>
      </c>
      <c r="U6" s="39" t="s">
        <v>642</v>
      </c>
      <c r="W6" t="str">
        <f t="shared" si="3"/>
        <v xml:space="preserve">'emailAddress' : 'sawyer_oliver@gmail.com', </v>
      </c>
      <c r="X6" t="str">
        <f t="shared" si="4"/>
        <v xml:space="preserve">'firstName' : 'Sawyer', </v>
      </c>
      <c r="Y6" t="str">
        <f t="shared" si="5"/>
        <v xml:space="preserve">'lastName' : 'Oliver', </v>
      </c>
      <c r="Z6" t="str">
        <f t="shared" si="6"/>
        <v xml:space="preserve">'billingAddress' : { 'bStreet' : '2963 Pine Street', </v>
      </c>
      <c r="AA6" t="str">
        <f t="shared" si="7"/>
        <v/>
      </c>
      <c r="AB6" t="str">
        <f t="shared" si="8"/>
        <v xml:space="preserve">'bCity' : 'Nisku', </v>
      </c>
      <c r="AC6" t="str">
        <f t="shared" si="9"/>
        <v xml:space="preserve">'bProvince' : 'Alberta', </v>
      </c>
      <c r="AD6" t="str">
        <f t="shared" si="10"/>
        <v xml:space="preserve">'bZip' : 'T0C 2G0', </v>
      </c>
      <c r="AE6" t="str">
        <f t="shared" si="11"/>
        <v xml:space="preserve">'bMobileNumber' : '780-955-0637' } , </v>
      </c>
      <c r="AF6" t="str">
        <f t="shared" si="12"/>
        <v xml:space="preserve">'deliveryAddress' : { 'dStreet' : '674 Montreal Road', </v>
      </c>
      <c r="AG6" t="str">
        <f t="shared" si="13"/>
        <v xml:space="preserve">'dUnit' : '13', </v>
      </c>
      <c r="AH6" t="str">
        <f t="shared" si="14"/>
        <v xml:space="preserve">'dCity' : 'Ottawa', </v>
      </c>
      <c r="AI6" t="str">
        <f t="shared" si="15"/>
        <v xml:space="preserve">'dProvince' : 'Ontario', </v>
      </c>
      <c r="AJ6" t="str">
        <f t="shared" si="16"/>
        <v xml:space="preserve">'dZip' : 'K1L 6C7', </v>
      </c>
      <c r="AK6" t="str">
        <f t="shared" si="17"/>
        <v xml:space="preserve">'dMobileNumber' : '613-744-0751' } , </v>
      </c>
      <c r="AL6" t="str">
        <f t="shared" si="18"/>
        <v xml:space="preserve">'paymentMethod' : { 'paymentType' : 'Debit', </v>
      </c>
      <c r="AM6" t="str">
        <f t="shared" si="19"/>
        <v xml:space="preserve">'nameOnCard' : 'Sawyer Oliver', </v>
      </c>
      <c r="AN6" t="str">
        <f t="shared" si="20"/>
        <v xml:space="preserve">'cardScheme' : 'Mastercard', </v>
      </c>
      <c r="AO6" t="str">
        <f t="shared" si="21"/>
        <v xml:space="preserve">'cardLast4' : '5161', </v>
      </c>
      <c r="AP6" t="str">
        <f t="shared" si="22"/>
        <v>'cardExpiryDate' : '03/2025' }</v>
      </c>
      <c r="AR6" t="str">
        <f t="shared" si="23"/>
        <v>{ 'emailAddress' : 'sawyer_oliver@gmail.com', 'firstName' : 'Sawyer', 'lastName' : 'Oliver', 'billingAddress' : { 'bStreet' : '2963 Pine Street', 'bCity' : 'Nisku', 'bProvince' : 'Alberta', 'bZip' : 'T0C 2G0', 'bMobileNumber' : '780-955-0637' } , 'deliveryAddress' : { 'dStreet' : '674 Montreal Road', 'dUnit' : '13', 'dCity' : 'Ottawa', 'dProvince' : 'Ontario', 'dZip' : 'K1L 6C7', 'dMobileNumber' : '613-744-0751' } , 'paymentMethod' : { 'paymentType' : 'Debit', 'nameOnCard' : 'Sawyer Oliver', 'cardScheme' : 'Mastercard', 'cardLast4' : '5161', 'cardExpiryDate' : '03/2025' } },</v>
      </c>
    </row>
    <row r="7" spans="1:44" x14ac:dyDescent="0.35">
      <c r="A7">
        <v>4</v>
      </c>
      <c r="B7" s="39" t="str">
        <f t="shared" si="0"/>
        <v>leo_clarkson@gmail.com</v>
      </c>
      <c r="C7" t="s">
        <v>514</v>
      </c>
      <c r="D7" t="s">
        <v>544</v>
      </c>
      <c r="E7" t="s">
        <v>396</v>
      </c>
      <c r="F7" s="39"/>
      <c r="G7" t="s">
        <v>426</v>
      </c>
      <c r="H7" t="s">
        <v>452</v>
      </c>
      <c r="I7" t="s">
        <v>459</v>
      </c>
      <c r="J7" t="s">
        <v>484</v>
      </c>
      <c r="K7" t="s">
        <v>585</v>
      </c>
      <c r="L7" t="s">
        <v>604</v>
      </c>
      <c r="M7" t="s">
        <v>595</v>
      </c>
      <c r="N7" t="s">
        <v>26</v>
      </c>
      <c r="O7" t="s">
        <v>614</v>
      </c>
      <c r="P7" t="s">
        <v>626</v>
      </c>
      <c r="Q7" t="s">
        <v>635</v>
      </c>
      <c r="R7" s="39" t="str">
        <f t="shared" si="1"/>
        <v>Leo Clarkson</v>
      </c>
      <c r="S7" t="s">
        <v>638</v>
      </c>
      <c r="T7" s="39" t="str">
        <f t="shared" si="2"/>
        <v>2880</v>
      </c>
      <c r="U7" s="39" t="s">
        <v>643</v>
      </c>
      <c r="W7" t="str">
        <f t="shared" si="3"/>
        <v xml:space="preserve">'emailAddress' : 'leo_clarkson@gmail.com', </v>
      </c>
      <c r="X7" t="str">
        <f t="shared" si="4"/>
        <v xml:space="preserve">'firstName' : 'Leo', </v>
      </c>
      <c r="Y7" t="str">
        <f t="shared" si="5"/>
        <v xml:space="preserve">'lastName' : 'Clarkson', </v>
      </c>
      <c r="Z7" t="str">
        <f t="shared" si="6"/>
        <v xml:space="preserve">'billingAddress' : { 'bStreet' : '1808 Pope St', </v>
      </c>
      <c r="AA7" t="str">
        <f t="shared" si="7"/>
        <v/>
      </c>
      <c r="AB7" t="str">
        <f t="shared" si="8"/>
        <v xml:space="preserve">'bCity' : 'Alberton', </v>
      </c>
      <c r="AC7" t="str">
        <f t="shared" si="9"/>
        <v xml:space="preserve">'bProvince' : 'Prince Edward Island', </v>
      </c>
      <c r="AD7" t="str">
        <f t="shared" si="10"/>
        <v xml:space="preserve">'bZip' : 'C0B 1K0', </v>
      </c>
      <c r="AE7" t="str">
        <f t="shared" si="11"/>
        <v xml:space="preserve">'bMobileNumber' : '902-853-1818' } , </v>
      </c>
      <c r="AF7" t="str">
        <f t="shared" si="12"/>
        <v xml:space="preserve">'deliveryAddress' : { 'dStreet' : '832 Nelson Street', </v>
      </c>
      <c r="AG7" t="str">
        <f t="shared" si="13"/>
        <v xml:space="preserve">'dUnit' : '44', </v>
      </c>
      <c r="AH7" t="str">
        <f t="shared" si="14"/>
        <v xml:space="preserve">'dCity' : 'Cat Lake', </v>
      </c>
      <c r="AI7" t="str">
        <f t="shared" si="15"/>
        <v xml:space="preserve">'dProvince' : 'Ontario', </v>
      </c>
      <c r="AJ7" t="str">
        <f t="shared" si="16"/>
        <v xml:space="preserve">'dZip' : 'P0V 1J0', </v>
      </c>
      <c r="AK7" t="str">
        <f t="shared" si="17"/>
        <v xml:space="preserve">'dMobileNumber' : '807-347-1528' } , </v>
      </c>
      <c r="AL7" t="str">
        <f t="shared" si="18"/>
        <v xml:space="preserve">'paymentMethod' : { 'paymentType' : 'Debit', </v>
      </c>
      <c r="AM7" t="str">
        <f t="shared" si="19"/>
        <v xml:space="preserve">'nameOnCard' : 'Leo Clarkson', </v>
      </c>
      <c r="AN7" t="str">
        <f t="shared" si="20"/>
        <v xml:space="preserve">'cardScheme' : 'Mastercard', </v>
      </c>
      <c r="AO7" t="str">
        <f t="shared" si="21"/>
        <v xml:space="preserve">'cardLast4' : '2880', </v>
      </c>
      <c r="AP7" t="str">
        <f t="shared" si="22"/>
        <v>'cardExpiryDate' : '12/2026' }</v>
      </c>
      <c r="AR7" t="str">
        <f t="shared" si="23"/>
        <v>{ 'emailAddress' : 'leo_clarkson@gmail.com', 'firstName' : 'Leo', 'lastName' : 'Clarkson', 'billingAddress' : { 'bStreet' : '1808 Pope St', 'bCity' : 'Alberton', 'bProvince' : 'Prince Edward Island', 'bZip' : 'C0B 1K0', 'bMobileNumber' : '902-853-1818' } , 'deliveryAddress' : { 'dStreet' : '832 Nelson Street', 'dUnit' : '44', 'dCity' : 'Cat Lake', 'dProvince' : 'Ontario', 'dZip' : 'P0V 1J0', 'dMobileNumber' : '807-347-1528' } , 'paymentMethod' : { 'paymentType' : 'Debit', 'nameOnCard' : 'Leo Clarkson', 'cardScheme' : 'Mastercard', 'cardLast4' : '2880', 'cardExpiryDate' : '12/2026' } },</v>
      </c>
    </row>
    <row r="8" spans="1:44" x14ac:dyDescent="0.35">
      <c r="A8">
        <v>5</v>
      </c>
      <c r="B8" s="39" t="str">
        <f t="shared" si="0"/>
        <v>joshua_rose@gmail.com</v>
      </c>
      <c r="C8" t="s">
        <v>515</v>
      </c>
      <c r="D8" t="s">
        <v>545</v>
      </c>
      <c r="E8" t="s">
        <v>397</v>
      </c>
      <c r="F8" s="39"/>
      <c r="G8" t="s">
        <v>427</v>
      </c>
      <c r="H8" t="s">
        <v>453</v>
      </c>
      <c r="I8" t="s">
        <v>460</v>
      </c>
      <c r="J8" t="s">
        <v>485</v>
      </c>
      <c r="K8" t="s">
        <v>586</v>
      </c>
      <c r="L8" t="s">
        <v>605</v>
      </c>
      <c r="M8" t="s">
        <v>431</v>
      </c>
      <c r="N8" t="s">
        <v>26</v>
      </c>
      <c r="O8" t="s">
        <v>615</v>
      </c>
      <c r="P8" t="s">
        <v>627</v>
      </c>
      <c r="Q8" t="s">
        <v>635</v>
      </c>
      <c r="R8" s="39" t="str">
        <f t="shared" si="1"/>
        <v>Joshua Rose</v>
      </c>
      <c r="S8" t="s">
        <v>637</v>
      </c>
      <c r="T8" s="39" t="str">
        <f t="shared" si="2"/>
        <v>6741</v>
      </c>
      <c r="U8" s="39" t="s">
        <v>644</v>
      </c>
      <c r="W8" t="str">
        <f t="shared" si="3"/>
        <v xml:space="preserve">'emailAddress' : 'joshua_rose@gmail.com', </v>
      </c>
      <c r="X8" t="str">
        <f t="shared" si="4"/>
        <v xml:space="preserve">'firstName' : 'Joshua', </v>
      </c>
      <c r="Y8" t="str">
        <f t="shared" si="5"/>
        <v xml:space="preserve">'lastName' : 'Rose', </v>
      </c>
      <c r="Z8" t="str">
        <f t="shared" si="6"/>
        <v xml:space="preserve">'billingAddress' : { 'bStreet' : '4650 rue St-Paul', </v>
      </c>
      <c r="AA8" t="str">
        <f t="shared" si="7"/>
        <v/>
      </c>
      <c r="AB8" t="str">
        <f t="shared" si="8"/>
        <v xml:space="preserve">'bCity' : 'Sorel', </v>
      </c>
      <c r="AC8" t="str">
        <f t="shared" si="9"/>
        <v xml:space="preserve">'bProvince' : 'Quebec', </v>
      </c>
      <c r="AD8" t="str">
        <f t="shared" si="10"/>
        <v xml:space="preserve">'bZip' : 'J3P 4M9', </v>
      </c>
      <c r="AE8" t="str">
        <f t="shared" si="11"/>
        <v xml:space="preserve">'bMobileNumber' : '450-881-8290' } , </v>
      </c>
      <c r="AF8" t="str">
        <f t="shared" si="12"/>
        <v xml:space="preserve">'deliveryAddress' : { 'dStreet' : '3818 Merton Street', </v>
      </c>
      <c r="AG8" t="str">
        <f t="shared" si="13"/>
        <v xml:space="preserve">'dUnit' : '15', </v>
      </c>
      <c r="AH8" t="str">
        <f t="shared" si="14"/>
        <v xml:space="preserve">'dCity' : 'Toronto', </v>
      </c>
      <c r="AI8" t="str">
        <f t="shared" si="15"/>
        <v xml:space="preserve">'dProvince' : 'Ontario', </v>
      </c>
      <c r="AJ8" t="str">
        <f t="shared" si="16"/>
        <v xml:space="preserve">'dZip' : 'M1L 3K7', </v>
      </c>
      <c r="AK8" t="str">
        <f t="shared" si="17"/>
        <v xml:space="preserve">'dMobileNumber' : '416-527-3767' } , </v>
      </c>
      <c r="AL8" t="str">
        <f t="shared" si="18"/>
        <v xml:space="preserve">'paymentMethod' : { 'paymentType' : 'Debit', </v>
      </c>
      <c r="AM8" t="str">
        <f t="shared" si="19"/>
        <v xml:space="preserve">'nameOnCard' : 'Joshua Rose', </v>
      </c>
      <c r="AN8" t="str">
        <f t="shared" si="20"/>
        <v xml:space="preserve">'cardScheme' : 'Visa', </v>
      </c>
      <c r="AO8" t="str">
        <f t="shared" si="21"/>
        <v xml:space="preserve">'cardLast4' : '6741', </v>
      </c>
      <c r="AP8" t="str">
        <f t="shared" si="22"/>
        <v>'cardExpiryDate' : '06/2025' }</v>
      </c>
      <c r="AR8" t="str">
        <f t="shared" si="23"/>
        <v>{ 'emailAddress' : 'joshua_rose@gmail.com', 'firstName' : 'Joshua', 'lastName' : 'Rose', 'billingAddress' : { 'bStreet' : '4650 rue St-Paul', 'bCity' : 'Sorel', 'bProvince' : 'Quebec', 'bZip' : 'J3P 4M9', 'bMobileNumber' : '450-881-8290' } , 'deliveryAddress' : { 'dStreet' : '3818 Merton Street', 'dUnit' : '15', 'dCity' : 'Toronto', 'dProvince' : 'Ontario', 'dZip' : 'M1L 3K7', 'dMobileNumber' : '416-527-3767' } , 'paymentMethod' : { 'paymentType' : 'Debit', 'nameOnCard' : 'Joshua Rose', 'cardScheme' : 'Visa', 'cardLast4' : '6741', 'cardExpiryDate' : '06/2025' } },</v>
      </c>
    </row>
    <row r="9" spans="1:44" x14ac:dyDescent="0.35">
      <c r="A9">
        <v>6</v>
      </c>
      <c r="B9" s="39" t="str">
        <f t="shared" si="0"/>
        <v>penelope_piers@gmail.com</v>
      </c>
      <c r="C9" t="s">
        <v>516</v>
      </c>
      <c r="D9" t="s">
        <v>546</v>
      </c>
      <c r="E9" t="s">
        <v>398</v>
      </c>
      <c r="F9" s="39"/>
      <c r="G9" t="s">
        <v>423</v>
      </c>
      <c r="H9" t="s">
        <v>451</v>
      </c>
      <c r="I9" t="s">
        <v>461</v>
      </c>
      <c r="J9" t="s">
        <v>486</v>
      </c>
      <c r="K9" t="s">
        <v>587</v>
      </c>
      <c r="L9" t="s">
        <v>606</v>
      </c>
      <c r="M9" t="s">
        <v>432</v>
      </c>
      <c r="N9" t="s">
        <v>26</v>
      </c>
      <c r="O9" t="s">
        <v>616</v>
      </c>
      <c r="P9" t="s">
        <v>628</v>
      </c>
      <c r="Q9" t="s">
        <v>635</v>
      </c>
      <c r="R9" s="39" t="str">
        <f t="shared" si="1"/>
        <v>Penelope Piers</v>
      </c>
      <c r="S9" t="s">
        <v>637</v>
      </c>
      <c r="T9" s="39" t="str">
        <f t="shared" si="2"/>
        <v>2990</v>
      </c>
      <c r="U9" s="39" t="s">
        <v>645</v>
      </c>
      <c r="W9" t="str">
        <f t="shared" si="3"/>
        <v xml:space="preserve">'emailAddress' : 'penelope_piers@gmail.com', </v>
      </c>
      <c r="X9" t="str">
        <f t="shared" si="4"/>
        <v xml:space="preserve">'firstName' : 'Penelope', </v>
      </c>
      <c r="Y9" t="str">
        <f t="shared" si="5"/>
        <v xml:space="preserve">'lastName' : 'Piers', </v>
      </c>
      <c r="Z9" t="str">
        <f t="shared" si="6"/>
        <v xml:space="preserve">'billingAddress' : { 'bStreet' : '1228 A Avenue', </v>
      </c>
      <c r="AA9" t="str">
        <f t="shared" si="7"/>
        <v/>
      </c>
      <c r="AB9" t="str">
        <f t="shared" si="8"/>
        <v xml:space="preserve">'bCity' : 'Edmonton', </v>
      </c>
      <c r="AC9" t="str">
        <f t="shared" si="9"/>
        <v xml:space="preserve">'bProvince' : 'Alberta', </v>
      </c>
      <c r="AD9" t="str">
        <f t="shared" si="10"/>
        <v xml:space="preserve">'bZip' : 'T5J 0K7', </v>
      </c>
      <c r="AE9" t="str">
        <f t="shared" si="11"/>
        <v xml:space="preserve">'bMobileNumber' : '780-917-8428' } , </v>
      </c>
      <c r="AF9" t="str">
        <f t="shared" si="12"/>
        <v xml:space="preserve">'deliveryAddress' : { 'dStreet' : '3050 Speers Road', </v>
      </c>
      <c r="AG9" t="str">
        <f t="shared" si="13"/>
        <v xml:space="preserve">'dUnit' : '86', </v>
      </c>
      <c r="AH9" t="str">
        <f t="shared" si="14"/>
        <v xml:space="preserve">'dCity' : 'Oakville', </v>
      </c>
      <c r="AI9" t="str">
        <f t="shared" si="15"/>
        <v xml:space="preserve">'dProvince' : 'Ontario', </v>
      </c>
      <c r="AJ9" t="str">
        <f t="shared" si="16"/>
        <v xml:space="preserve">'dZip' : 'L6H 3H5', </v>
      </c>
      <c r="AK9" t="str">
        <f t="shared" si="17"/>
        <v xml:space="preserve">'dMobileNumber' : '905-467-2429' } , </v>
      </c>
      <c r="AL9" t="str">
        <f t="shared" si="18"/>
        <v xml:space="preserve">'paymentMethod' : { 'paymentType' : 'Debit', </v>
      </c>
      <c r="AM9" t="str">
        <f t="shared" si="19"/>
        <v xml:space="preserve">'nameOnCard' : 'Penelope Piers', </v>
      </c>
      <c r="AN9" t="str">
        <f t="shared" si="20"/>
        <v xml:space="preserve">'cardScheme' : 'Visa', </v>
      </c>
      <c r="AO9" t="str">
        <f t="shared" si="21"/>
        <v xml:space="preserve">'cardLast4' : '2990', </v>
      </c>
      <c r="AP9" t="str">
        <f t="shared" si="22"/>
        <v>'cardExpiryDate' : '12/2025' }</v>
      </c>
      <c r="AR9" t="str">
        <f t="shared" si="23"/>
        <v>{ 'emailAddress' : 'penelope_piers@gmail.com', 'firstName' : 'Penelope', 'lastName' : 'Piers', 'billingAddress' : { 'bStreet' : '1228 A Avenue', 'bCity' : 'Edmonton', 'bProvince' : 'Alberta', 'bZip' : 'T5J 0K7', 'bMobileNumber' : '780-917-8428' } , 'deliveryAddress' : { 'dStreet' : '3050 Speers Road', 'dUnit' : '86', 'dCity' : 'Oakville', 'dProvince' : 'Ontario', 'dZip' : 'L6H 3H5', 'dMobileNumber' : '905-467-2429' } , 'paymentMethod' : { 'paymentType' : 'Debit', 'nameOnCard' : 'Penelope Piers', 'cardScheme' : 'Visa', 'cardLast4' : '2990', 'cardExpiryDate' : '12/2025' } },</v>
      </c>
    </row>
    <row r="10" spans="1:44" x14ac:dyDescent="0.35">
      <c r="A10">
        <v>7</v>
      </c>
      <c r="B10" s="39" t="str">
        <f t="shared" si="0"/>
        <v>quinn_white@gmail.com</v>
      </c>
      <c r="C10" t="s">
        <v>517</v>
      </c>
      <c r="D10" t="s">
        <v>547</v>
      </c>
      <c r="E10" t="s">
        <v>399</v>
      </c>
      <c r="F10" s="39"/>
      <c r="G10" t="s">
        <v>428</v>
      </c>
      <c r="H10" t="s">
        <v>26</v>
      </c>
      <c r="I10" t="s">
        <v>462</v>
      </c>
      <c r="J10" t="s">
        <v>487</v>
      </c>
      <c r="K10" s="39" t="str">
        <f t="shared" ref="K10:K18" si="24">E10</f>
        <v>1827 Albert Street</v>
      </c>
      <c r="L10" s="39"/>
      <c r="M10" s="39" t="str">
        <f t="shared" ref="M10:M18" si="25">G10</f>
        <v>Kitchener</v>
      </c>
      <c r="N10" s="39" t="str">
        <f t="shared" ref="N10:N18" si="26">H10</f>
        <v>Ontario</v>
      </c>
      <c r="O10" s="39" t="str">
        <f t="shared" ref="O10:O18" si="27">I10</f>
        <v>N2L 3V2</v>
      </c>
      <c r="P10" s="39" t="str">
        <f t="shared" ref="P10:P18" si="28">J10</f>
        <v>519-880-5763</v>
      </c>
      <c r="Q10" t="s">
        <v>636</v>
      </c>
      <c r="R10" s="39" t="str">
        <f t="shared" si="1"/>
        <v>Quinn White</v>
      </c>
      <c r="S10" t="s">
        <v>638</v>
      </c>
      <c r="T10" s="39" t="str">
        <f t="shared" si="2"/>
        <v>6351</v>
      </c>
      <c r="U10" s="39" t="s">
        <v>646</v>
      </c>
      <c r="W10" t="str">
        <f t="shared" si="3"/>
        <v xml:space="preserve">'emailAddress' : 'quinn_white@gmail.com', </v>
      </c>
      <c r="X10" t="str">
        <f t="shared" si="4"/>
        <v xml:space="preserve">'firstName' : 'Quinn', </v>
      </c>
      <c r="Y10" t="str">
        <f t="shared" si="5"/>
        <v xml:space="preserve">'lastName' : 'White', </v>
      </c>
      <c r="Z10" t="str">
        <f t="shared" si="6"/>
        <v xml:space="preserve">'billingAddress' : { 'bStreet' : '1827 Albert Street', </v>
      </c>
      <c r="AA10" t="str">
        <f t="shared" si="7"/>
        <v/>
      </c>
      <c r="AB10" t="str">
        <f t="shared" si="8"/>
        <v xml:space="preserve">'bCity' : 'Kitchener', </v>
      </c>
      <c r="AC10" t="str">
        <f t="shared" si="9"/>
        <v xml:space="preserve">'bProvince' : 'Ontario', </v>
      </c>
      <c r="AD10" t="str">
        <f t="shared" si="10"/>
        <v xml:space="preserve">'bZip' : 'N2L 3V2', </v>
      </c>
      <c r="AE10" t="str">
        <f t="shared" si="11"/>
        <v xml:space="preserve">'bMobileNumber' : '519-880-5763' } , </v>
      </c>
      <c r="AF10" t="str">
        <f t="shared" si="12"/>
        <v xml:space="preserve">'deliveryAddress' : { 'dStreet' : '1827 Albert Street', </v>
      </c>
      <c r="AG10" t="str">
        <f t="shared" si="13"/>
        <v/>
      </c>
      <c r="AH10" t="str">
        <f t="shared" si="14"/>
        <v xml:space="preserve">'dCity' : 'Kitchener', </v>
      </c>
      <c r="AI10" t="str">
        <f t="shared" si="15"/>
        <v xml:space="preserve">'dProvince' : 'Ontario', </v>
      </c>
      <c r="AJ10" t="str">
        <f t="shared" si="16"/>
        <v xml:space="preserve">'dZip' : 'N2L 3V2', </v>
      </c>
      <c r="AK10" t="str">
        <f t="shared" si="17"/>
        <v xml:space="preserve">'dMobileNumber' : '519-880-5763' } , </v>
      </c>
      <c r="AL10" t="str">
        <f t="shared" si="18"/>
        <v xml:space="preserve">'paymentMethod' : { 'paymentType' : 'Credit', </v>
      </c>
      <c r="AM10" t="str">
        <f t="shared" si="19"/>
        <v xml:space="preserve">'nameOnCard' : 'Quinn White', </v>
      </c>
      <c r="AN10" t="str">
        <f t="shared" si="20"/>
        <v xml:space="preserve">'cardScheme' : 'Mastercard', </v>
      </c>
      <c r="AO10" t="str">
        <f t="shared" si="21"/>
        <v xml:space="preserve">'cardLast4' : '6351', </v>
      </c>
      <c r="AP10" t="str">
        <f t="shared" si="22"/>
        <v>'cardExpiryDate' : '01/2024' }</v>
      </c>
      <c r="AR10" t="str">
        <f t="shared" si="23"/>
        <v>{ 'emailAddress' : 'quinn_white@gmail.com', 'firstName' : 'Quinn', 'lastName' : 'White', 'billingAddress' : { 'bStreet' : '1827 Albert Street', 'bCity' : 'Kitchener', 'bProvince' : 'Ontario', 'bZip' : 'N2L 3V2', 'bMobileNumber' : '519-880-5763' } , 'deliveryAddress' : { 'dStreet' : '1827 Albert Street', 'dCity' : 'Kitchener', 'dProvince' : 'Ontario', 'dZip' : 'N2L 3V2', 'dMobileNumber' : '519-880-5763' } , 'paymentMethod' : { 'paymentType' : 'Credit', 'nameOnCard' : 'Quinn White', 'cardScheme' : 'Mastercard', 'cardLast4' : '6351', 'cardExpiryDate' : '01/2024' } },</v>
      </c>
    </row>
    <row r="11" spans="1:44" x14ac:dyDescent="0.35">
      <c r="A11">
        <v>8</v>
      </c>
      <c r="B11" s="39" t="str">
        <f t="shared" si="0"/>
        <v>trinity_gosling@gmail.com</v>
      </c>
      <c r="C11" t="s">
        <v>518</v>
      </c>
      <c r="D11" t="s">
        <v>548</v>
      </c>
      <c r="E11" t="s">
        <v>400</v>
      </c>
      <c r="F11" s="39"/>
      <c r="G11" t="s">
        <v>429</v>
      </c>
      <c r="H11" t="s">
        <v>454</v>
      </c>
      <c r="I11" t="s">
        <v>463</v>
      </c>
      <c r="J11" t="s">
        <v>488</v>
      </c>
      <c r="K11" s="39" t="str">
        <f t="shared" si="24"/>
        <v>3504 Rose Street</v>
      </c>
      <c r="L11" s="39"/>
      <c r="M11" s="39" t="str">
        <f t="shared" si="25"/>
        <v>Regina</v>
      </c>
      <c r="N11" s="39" t="str">
        <f t="shared" si="26"/>
        <v>Saskatchewan</v>
      </c>
      <c r="O11" s="39" t="str">
        <f t="shared" si="27"/>
        <v>S4P 3Y2</v>
      </c>
      <c r="P11" s="39" t="str">
        <f t="shared" si="28"/>
        <v>306-569-6952</v>
      </c>
      <c r="Q11" t="s">
        <v>636</v>
      </c>
      <c r="R11" s="39" t="str">
        <f t="shared" si="1"/>
        <v>Trinity Gosling</v>
      </c>
      <c r="S11" t="s">
        <v>638</v>
      </c>
      <c r="T11" s="39" t="str">
        <f t="shared" si="2"/>
        <v>5230</v>
      </c>
      <c r="U11" s="39" t="s">
        <v>647</v>
      </c>
      <c r="W11" t="str">
        <f t="shared" si="3"/>
        <v xml:space="preserve">'emailAddress' : 'trinity_gosling@gmail.com', </v>
      </c>
      <c r="X11" t="str">
        <f t="shared" si="4"/>
        <v xml:space="preserve">'firstName' : 'Trinity', </v>
      </c>
      <c r="Y11" t="str">
        <f t="shared" si="5"/>
        <v xml:space="preserve">'lastName' : 'Gosling', </v>
      </c>
      <c r="Z11" t="str">
        <f t="shared" si="6"/>
        <v xml:space="preserve">'billingAddress' : { 'bStreet' : '3504 Rose Street', </v>
      </c>
      <c r="AA11" t="str">
        <f t="shared" si="7"/>
        <v/>
      </c>
      <c r="AB11" t="str">
        <f t="shared" si="8"/>
        <v xml:space="preserve">'bCity' : 'Regina', </v>
      </c>
      <c r="AC11" t="str">
        <f t="shared" si="9"/>
        <v xml:space="preserve">'bProvince' : 'Saskatchewan', </v>
      </c>
      <c r="AD11" t="str">
        <f t="shared" si="10"/>
        <v xml:space="preserve">'bZip' : 'S4P 3Y2', </v>
      </c>
      <c r="AE11" t="str">
        <f t="shared" si="11"/>
        <v xml:space="preserve">'bMobileNumber' : '306-569-6952' } , </v>
      </c>
      <c r="AF11" t="str">
        <f t="shared" si="12"/>
        <v xml:space="preserve">'deliveryAddress' : { 'dStreet' : '3504 Rose Street', </v>
      </c>
      <c r="AG11" t="str">
        <f t="shared" si="13"/>
        <v/>
      </c>
      <c r="AH11" t="str">
        <f t="shared" si="14"/>
        <v xml:space="preserve">'dCity' : 'Regina', </v>
      </c>
      <c r="AI11" t="str">
        <f t="shared" si="15"/>
        <v xml:space="preserve">'dProvince' : 'Saskatchewan', </v>
      </c>
      <c r="AJ11" t="str">
        <f t="shared" si="16"/>
        <v xml:space="preserve">'dZip' : 'S4P 3Y2', </v>
      </c>
      <c r="AK11" t="str">
        <f t="shared" si="17"/>
        <v xml:space="preserve">'dMobileNumber' : '306-569-6952' } , </v>
      </c>
      <c r="AL11" t="str">
        <f t="shared" si="18"/>
        <v xml:space="preserve">'paymentMethod' : { 'paymentType' : 'Credit', </v>
      </c>
      <c r="AM11" t="str">
        <f t="shared" si="19"/>
        <v xml:space="preserve">'nameOnCard' : 'Trinity Gosling', </v>
      </c>
      <c r="AN11" t="str">
        <f t="shared" si="20"/>
        <v xml:space="preserve">'cardScheme' : 'Mastercard', </v>
      </c>
      <c r="AO11" t="str">
        <f t="shared" si="21"/>
        <v xml:space="preserve">'cardLast4' : '5230', </v>
      </c>
      <c r="AP11" t="str">
        <f t="shared" si="22"/>
        <v>'cardExpiryDate' : '08/2025' }</v>
      </c>
      <c r="AR11" t="str">
        <f t="shared" si="23"/>
        <v>{ 'emailAddress' : 'trinity_gosling@gmail.com', 'firstName' : 'Trinity', 'lastName' : 'Gosling', 'billingAddress' : { 'bStreet' : '3504 Rose Street', 'bCity' : 'Regina', 'bProvince' : 'Saskatchewan', 'bZip' : 'S4P 3Y2', 'bMobileNumber' : '306-569-6952' } , 'deliveryAddress' : { 'dStreet' : '3504 Rose Street', 'dCity' : 'Regina', 'dProvince' : 'Saskatchewan', 'dZip' : 'S4P 3Y2', 'dMobileNumber' : '306-569-6952' } , 'paymentMethod' : { 'paymentType' : 'Credit', 'nameOnCard' : 'Trinity Gosling', 'cardScheme' : 'Mastercard', 'cardLast4' : '5230', 'cardExpiryDate' : '08/2025' } },</v>
      </c>
    </row>
    <row r="12" spans="1:44" x14ac:dyDescent="0.35">
      <c r="A12">
        <v>9</v>
      </c>
      <c r="B12" s="39" t="str">
        <f t="shared" si="0"/>
        <v>hudson_davies@gmail.com</v>
      </c>
      <c r="C12" t="s">
        <v>519</v>
      </c>
      <c r="D12" t="s">
        <v>549</v>
      </c>
      <c r="E12" t="s">
        <v>401</v>
      </c>
      <c r="F12" s="39"/>
      <c r="G12" t="s">
        <v>430</v>
      </c>
      <c r="H12" t="s">
        <v>26</v>
      </c>
      <c r="I12" t="s">
        <v>464</v>
      </c>
      <c r="J12" t="s">
        <v>489</v>
      </c>
      <c r="K12" s="39" t="str">
        <f t="shared" si="24"/>
        <v>1364 Bridgeport Rd</v>
      </c>
      <c r="L12" s="39"/>
      <c r="M12" s="39" t="str">
        <f t="shared" si="25"/>
        <v>Orangeville</v>
      </c>
      <c r="N12" s="39" t="str">
        <f t="shared" si="26"/>
        <v>Ontario</v>
      </c>
      <c r="O12" s="39" t="str">
        <f t="shared" si="27"/>
        <v>L9W 2J9</v>
      </c>
      <c r="P12" s="39" t="str">
        <f t="shared" si="28"/>
        <v>519-215-3537</v>
      </c>
      <c r="Q12" t="s">
        <v>636</v>
      </c>
      <c r="R12" s="39" t="str">
        <f t="shared" si="1"/>
        <v>Hudson Davies</v>
      </c>
      <c r="S12" t="s">
        <v>637</v>
      </c>
      <c r="T12" s="39" t="str">
        <f t="shared" si="2"/>
        <v>3751</v>
      </c>
      <c r="U12" s="39" t="s">
        <v>646</v>
      </c>
      <c r="W12" t="str">
        <f t="shared" si="3"/>
        <v xml:space="preserve">'emailAddress' : 'hudson_davies@gmail.com', </v>
      </c>
      <c r="X12" t="str">
        <f t="shared" si="4"/>
        <v xml:space="preserve">'firstName' : 'Hudson', </v>
      </c>
      <c r="Y12" t="str">
        <f t="shared" si="5"/>
        <v xml:space="preserve">'lastName' : 'Davies', </v>
      </c>
      <c r="Z12" t="str">
        <f t="shared" si="6"/>
        <v xml:space="preserve">'billingAddress' : { 'bStreet' : '1364 Bridgeport Rd', </v>
      </c>
      <c r="AA12" t="str">
        <f t="shared" si="7"/>
        <v/>
      </c>
      <c r="AB12" t="str">
        <f t="shared" si="8"/>
        <v xml:space="preserve">'bCity' : 'Orangeville', </v>
      </c>
      <c r="AC12" t="str">
        <f t="shared" si="9"/>
        <v xml:space="preserve">'bProvince' : 'Ontario', </v>
      </c>
      <c r="AD12" t="str">
        <f t="shared" si="10"/>
        <v xml:space="preserve">'bZip' : 'L9W 2J9', </v>
      </c>
      <c r="AE12" t="str">
        <f t="shared" si="11"/>
        <v xml:space="preserve">'bMobileNumber' : '519-215-3537' } , </v>
      </c>
      <c r="AF12" t="str">
        <f t="shared" si="12"/>
        <v xml:space="preserve">'deliveryAddress' : { 'dStreet' : '1364 Bridgeport Rd', </v>
      </c>
      <c r="AG12" t="str">
        <f t="shared" si="13"/>
        <v/>
      </c>
      <c r="AH12" t="str">
        <f t="shared" si="14"/>
        <v xml:space="preserve">'dCity' : 'Orangeville', </v>
      </c>
      <c r="AI12" t="str">
        <f t="shared" si="15"/>
        <v xml:space="preserve">'dProvince' : 'Ontario', </v>
      </c>
      <c r="AJ12" t="str">
        <f t="shared" si="16"/>
        <v xml:space="preserve">'dZip' : 'L9W 2J9', </v>
      </c>
      <c r="AK12" t="str">
        <f t="shared" si="17"/>
        <v xml:space="preserve">'dMobileNumber' : '519-215-3537' } , </v>
      </c>
      <c r="AL12" t="str">
        <f t="shared" si="18"/>
        <v xml:space="preserve">'paymentMethod' : { 'paymentType' : 'Credit', </v>
      </c>
      <c r="AM12" t="str">
        <f t="shared" si="19"/>
        <v xml:space="preserve">'nameOnCard' : 'Hudson Davies', </v>
      </c>
      <c r="AN12" t="str">
        <f t="shared" si="20"/>
        <v xml:space="preserve">'cardScheme' : 'Visa', </v>
      </c>
      <c r="AO12" t="str">
        <f t="shared" si="21"/>
        <v xml:space="preserve">'cardLast4' : '3751', </v>
      </c>
      <c r="AP12" t="str">
        <f t="shared" si="22"/>
        <v>'cardExpiryDate' : '01/2024' }</v>
      </c>
      <c r="AR12" t="str">
        <f t="shared" si="23"/>
        <v>{ 'emailAddress' : 'hudson_davies@gmail.com', 'firstName' : 'Hudson', 'lastName' : 'Davies', 'billingAddress' : { 'bStreet' : '1364 Bridgeport Rd', 'bCity' : 'Orangeville', 'bProvince' : 'Ontario', 'bZip' : 'L9W 2J9', 'bMobileNumber' : '519-215-3537' } , 'deliveryAddress' : { 'dStreet' : '1364 Bridgeport Rd', 'dCity' : 'Orangeville', 'dProvince' : 'Ontario', 'dZip' : 'L9W 2J9', 'dMobileNumber' : '519-215-3537' } , 'paymentMethod' : { 'paymentType' : 'Credit', 'nameOnCard' : 'Hudson Davies', 'cardScheme' : 'Visa', 'cardLast4' : '3751', 'cardExpiryDate' : '01/2024' } },</v>
      </c>
    </row>
    <row r="13" spans="1:44" x14ac:dyDescent="0.35">
      <c r="A13">
        <v>10</v>
      </c>
      <c r="B13" s="39" t="str">
        <f t="shared" ref="B13:B23" si="29">LOWER(D13)&amp;LOWER(C13)&amp;"@gmail.com"</f>
        <v>parkamanda@gmail.com</v>
      </c>
      <c r="C13" t="s">
        <v>520</v>
      </c>
      <c r="D13" t="s">
        <v>550</v>
      </c>
      <c r="E13" t="s">
        <v>402</v>
      </c>
      <c r="F13" s="39"/>
      <c r="G13" t="s">
        <v>431</v>
      </c>
      <c r="H13" t="s">
        <v>26</v>
      </c>
      <c r="I13" t="s">
        <v>465</v>
      </c>
      <c r="J13" t="s">
        <v>490</v>
      </c>
      <c r="K13" s="39" t="str">
        <f t="shared" si="24"/>
        <v>3610 Yonge Street</v>
      </c>
      <c r="L13" s="39"/>
      <c r="M13" s="39" t="str">
        <f t="shared" si="25"/>
        <v>Toronto</v>
      </c>
      <c r="N13" s="39" t="str">
        <f t="shared" si="26"/>
        <v>Ontario</v>
      </c>
      <c r="O13" s="39" t="str">
        <f t="shared" si="27"/>
        <v>M4W 1J7</v>
      </c>
      <c r="P13" s="39" t="str">
        <f t="shared" si="28"/>
        <v>416-962-6864</v>
      </c>
      <c r="Q13" t="s">
        <v>636</v>
      </c>
      <c r="R13" s="39" t="str">
        <f t="shared" si="1"/>
        <v>Amanda Park</v>
      </c>
      <c r="S13" t="s">
        <v>637</v>
      </c>
      <c r="T13" s="39" t="str">
        <f t="shared" si="2"/>
        <v>6441</v>
      </c>
      <c r="U13" s="39" t="s">
        <v>648</v>
      </c>
      <c r="W13" t="str">
        <f t="shared" si="3"/>
        <v xml:space="preserve">'emailAddress' : 'parkamanda@gmail.com', </v>
      </c>
      <c r="X13" t="str">
        <f t="shared" si="4"/>
        <v xml:space="preserve">'firstName' : 'Amanda', </v>
      </c>
      <c r="Y13" t="str">
        <f t="shared" si="5"/>
        <v xml:space="preserve">'lastName' : 'Park', </v>
      </c>
      <c r="Z13" t="str">
        <f t="shared" si="6"/>
        <v xml:space="preserve">'billingAddress' : { 'bStreet' : '3610 Yonge Street', </v>
      </c>
      <c r="AA13" t="str">
        <f t="shared" si="7"/>
        <v/>
      </c>
      <c r="AB13" t="str">
        <f t="shared" si="8"/>
        <v xml:space="preserve">'bCity' : 'Toronto', </v>
      </c>
      <c r="AC13" t="str">
        <f t="shared" si="9"/>
        <v xml:space="preserve">'bProvince' : 'Ontario', </v>
      </c>
      <c r="AD13" t="str">
        <f t="shared" si="10"/>
        <v xml:space="preserve">'bZip' : 'M4W 1J7', </v>
      </c>
      <c r="AE13" t="str">
        <f t="shared" si="11"/>
        <v xml:space="preserve">'bMobileNumber' : '416-962-6864' } , </v>
      </c>
      <c r="AF13" t="str">
        <f t="shared" si="12"/>
        <v xml:space="preserve">'deliveryAddress' : { 'dStreet' : '3610 Yonge Street', </v>
      </c>
      <c r="AG13" t="str">
        <f t="shared" si="13"/>
        <v/>
      </c>
      <c r="AH13" t="str">
        <f t="shared" si="14"/>
        <v xml:space="preserve">'dCity' : 'Toronto', </v>
      </c>
      <c r="AI13" t="str">
        <f t="shared" si="15"/>
        <v xml:space="preserve">'dProvince' : 'Ontario', </v>
      </c>
      <c r="AJ13" t="str">
        <f t="shared" si="16"/>
        <v xml:space="preserve">'dZip' : 'M4W 1J7', </v>
      </c>
      <c r="AK13" t="str">
        <f t="shared" si="17"/>
        <v xml:space="preserve">'dMobileNumber' : '416-962-6864' } , </v>
      </c>
      <c r="AL13" t="str">
        <f t="shared" si="18"/>
        <v xml:space="preserve">'paymentMethod' : { 'paymentType' : 'Credit', </v>
      </c>
      <c r="AM13" t="str">
        <f t="shared" si="19"/>
        <v xml:space="preserve">'nameOnCard' : 'Amanda Park', </v>
      </c>
      <c r="AN13" t="str">
        <f t="shared" si="20"/>
        <v xml:space="preserve">'cardScheme' : 'Visa', </v>
      </c>
      <c r="AO13" t="str">
        <f t="shared" si="21"/>
        <v xml:space="preserve">'cardLast4' : '6441', </v>
      </c>
      <c r="AP13" t="str">
        <f t="shared" si="22"/>
        <v>'cardExpiryDate' : '07/2026' }</v>
      </c>
      <c r="AR13" t="str">
        <f t="shared" si="23"/>
        <v>{ 'emailAddress' : 'parkamanda@gmail.com', 'firstName' : 'Amanda', 'lastName' : 'Park', 'billingAddress' : { 'bStreet' : '3610 Yonge Street', 'bCity' : 'Toronto', 'bProvince' : 'Ontario', 'bZip' : 'M4W 1J7', 'bMobileNumber' : '416-962-6864' } , 'deliveryAddress' : { 'dStreet' : '3610 Yonge Street', 'dCity' : 'Toronto', 'dProvince' : 'Ontario', 'dZip' : 'M4W 1J7', 'dMobileNumber' : '416-962-6864' } , 'paymentMethod' : { 'paymentType' : 'Credit', 'nameOnCard' : 'Amanda Park', 'cardScheme' : 'Visa', 'cardLast4' : '6441', 'cardExpiryDate' : '07/2026' } },</v>
      </c>
    </row>
    <row r="14" spans="1:44" x14ac:dyDescent="0.35">
      <c r="A14">
        <v>11</v>
      </c>
      <c r="B14" s="39" t="str">
        <f t="shared" si="29"/>
        <v>johnsondeclan@gmail.com</v>
      </c>
      <c r="C14" t="s">
        <v>521</v>
      </c>
      <c r="D14" t="s">
        <v>551</v>
      </c>
      <c r="E14" t="s">
        <v>403</v>
      </c>
      <c r="F14" s="39"/>
      <c r="G14" t="s">
        <v>432</v>
      </c>
      <c r="H14" t="s">
        <v>26</v>
      </c>
      <c r="I14" t="s">
        <v>466</v>
      </c>
      <c r="J14" t="s">
        <v>491</v>
      </c>
      <c r="K14" s="39" t="str">
        <f t="shared" si="24"/>
        <v>1676 Speers Road</v>
      </c>
      <c r="L14" s="39"/>
      <c r="M14" s="39" t="str">
        <f t="shared" si="25"/>
        <v>Oakville</v>
      </c>
      <c r="N14" s="39" t="str">
        <f t="shared" si="26"/>
        <v>Ontario</v>
      </c>
      <c r="O14" s="39" t="str">
        <f t="shared" si="27"/>
        <v>L6J 3X4</v>
      </c>
      <c r="P14" s="39" t="str">
        <f t="shared" si="28"/>
        <v>905-815-1914</v>
      </c>
      <c r="Q14" t="s">
        <v>636</v>
      </c>
      <c r="R14" s="39" t="str">
        <f t="shared" si="1"/>
        <v>Declan Johnson</v>
      </c>
      <c r="S14" t="s">
        <v>638</v>
      </c>
      <c r="T14" s="39" t="str">
        <f t="shared" si="2"/>
        <v>1490</v>
      </c>
      <c r="U14" s="39" t="s">
        <v>649</v>
      </c>
      <c r="W14" t="str">
        <f t="shared" si="3"/>
        <v xml:space="preserve">'emailAddress' : 'johnsondeclan@gmail.com', </v>
      </c>
      <c r="X14" t="str">
        <f t="shared" si="4"/>
        <v xml:space="preserve">'firstName' : 'Declan', </v>
      </c>
      <c r="Y14" t="str">
        <f t="shared" si="5"/>
        <v xml:space="preserve">'lastName' : 'Johnson', </v>
      </c>
      <c r="Z14" t="str">
        <f t="shared" si="6"/>
        <v xml:space="preserve">'billingAddress' : { 'bStreet' : '1676 Speers Road', </v>
      </c>
      <c r="AA14" t="str">
        <f t="shared" si="7"/>
        <v/>
      </c>
      <c r="AB14" t="str">
        <f t="shared" si="8"/>
        <v xml:space="preserve">'bCity' : 'Oakville', </v>
      </c>
      <c r="AC14" t="str">
        <f t="shared" si="9"/>
        <v xml:space="preserve">'bProvince' : 'Ontario', </v>
      </c>
      <c r="AD14" t="str">
        <f t="shared" si="10"/>
        <v xml:space="preserve">'bZip' : 'L6J 3X4', </v>
      </c>
      <c r="AE14" t="str">
        <f t="shared" si="11"/>
        <v xml:space="preserve">'bMobileNumber' : '905-815-1914' } , </v>
      </c>
      <c r="AF14" t="str">
        <f t="shared" si="12"/>
        <v xml:space="preserve">'deliveryAddress' : { 'dStreet' : '1676 Speers Road', </v>
      </c>
      <c r="AG14" t="str">
        <f t="shared" si="13"/>
        <v/>
      </c>
      <c r="AH14" t="str">
        <f t="shared" si="14"/>
        <v xml:space="preserve">'dCity' : 'Oakville', </v>
      </c>
      <c r="AI14" t="str">
        <f t="shared" si="15"/>
        <v xml:space="preserve">'dProvince' : 'Ontario', </v>
      </c>
      <c r="AJ14" t="str">
        <f t="shared" si="16"/>
        <v xml:space="preserve">'dZip' : 'L6J 3X4', </v>
      </c>
      <c r="AK14" t="str">
        <f t="shared" si="17"/>
        <v xml:space="preserve">'dMobileNumber' : '905-815-1914' } , </v>
      </c>
      <c r="AL14" t="str">
        <f t="shared" si="18"/>
        <v xml:space="preserve">'paymentMethod' : { 'paymentType' : 'Credit', </v>
      </c>
      <c r="AM14" t="str">
        <f t="shared" si="19"/>
        <v xml:space="preserve">'nameOnCard' : 'Declan Johnson', </v>
      </c>
      <c r="AN14" t="str">
        <f t="shared" si="20"/>
        <v xml:space="preserve">'cardScheme' : 'Mastercard', </v>
      </c>
      <c r="AO14" t="str">
        <f t="shared" si="21"/>
        <v xml:space="preserve">'cardLast4' : '1490', </v>
      </c>
      <c r="AP14" t="str">
        <f t="shared" si="22"/>
        <v>'cardExpiryDate' : '03/2023' }</v>
      </c>
      <c r="AR14" t="str">
        <f t="shared" si="23"/>
        <v>{ 'emailAddress' : 'johnsondeclan@gmail.com', 'firstName' : 'Declan', 'lastName' : 'Johnson', 'billingAddress' : { 'bStreet' : '1676 Speers Road', 'bCity' : 'Oakville', 'bProvince' : 'Ontario', 'bZip' : 'L6J 3X4', 'bMobileNumber' : '905-815-1914' } , 'deliveryAddress' : { 'dStreet' : '1676 Speers Road', 'dCity' : 'Oakville', 'dProvince' : 'Ontario', 'dZip' : 'L6J 3X4', 'dMobileNumber' : '905-815-1914' } , 'paymentMethod' : { 'paymentType' : 'Credit', 'nameOnCard' : 'Declan Johnson', 'cardScheme' : 'Mastercard', 'cardLast4' : '1490', 'cardExpiryDate' : '03/2023' } },</v>
      </c>
    </row>
    <row r="15" spans="1:44" x14ac:dyDescent="0.35">
      <c r="A15">
        <v>12</v>
      </c>
      <c r="B15" s="39" t="str">
        <f t="shared" si="29"/>
        <v>hillkyle@gmail.com</v>
      </c>
      <c r="C15" t="s">
        <v>522</v>
      </c>
      <c r="D15" t="s">
        <v>552</v>
      </c>
      <c r="E15" t="s">
        <v>404</v>
      </c>
      <c r="F15" s="39"/>
      <c r="G15" t="s">
        <v>433</v>
      </c>
      <c r="H15" t="s">
        <v>454</v>
      </c>
      <c r="I15" t="s">
        <v>463</v>
      </c>
      <c r="J15" t="s">
        <v>492</v>
      </c>
      <c r="K15" s="39" t="str">
        <f t="shared" si="24"/>
        <v>1315 St. John Street</v>
      </c>
      <c r="L15" s="39"/>
      <c r="M15" s="39" t="str">
        <f t="shared" si="25"/>
        <v>Davidson</v>
      </c>
      <c r="N15" s="39" t="str">
        <f t="shared" si="26"/>
        <v>Saskatchewan</v>
      </c>
      <c r="O15" s="39" t="str">
        <f t="shared" si="27"/>
        <v>S4P 3Y2</v>
      </c>
      <c r="P15" s="39" t="str">
        <f t="shared" si="28"/>
        <v>306-567-8680</v>
      </c>
      <c r="Q15" t="s">
        <v>636</v>
      </c>
      <c r="R15" s="39" t="str">
        <f t="shared" si="1"/>
        <v>Kyle Hill</v>
      </c>
      <c r="S15" t="s">
        <v>638</v>
      </c>
      <c r="T15" s="39" t="str">
        <f t="shared" si="2"/>
        <v>8030</v>
      </c>
      <c r="U15" s="39" t="s">
        <v>650</v>
      </c>
      <c r="W15" t="str">
        <f t="shared" si="3"/>
        <v xml:space="preserve">'emailAddress' : 'hillkyle@gmail.com', </v>
      </c>
      <c r="X15" t="str">
        <f t="shared" si="4"/>
        <v xml:space="preserve">'firstName' : 'Kyle', </v>
      </c>
      <c r="Y15" t="str">
        <f t="shared" si="5"/>
        <v xml:space="preserve">'lastName' : 'Hill', </v>
      </c>
      <c r="Z15" t="str">
        <f t="shared" si="6"/>
        <v xml:space="preserve">'billingAddress' : { 'bStreet' : '1315 St. John Street', </v>
      </c>
      <c r="AA15" t="str">
        <f t="shared" si="7"/>
        <v/>
      </c>
      <c r="AB15" t="str">
        <f t="shared" si="8"/>
        <v xml:space="preserve">'bCity' : 'Davidson', </v>
      </c>
      <c r="AC15" t="str">
        <f t="shared" si="9"/>
        <v xml:space="preserve">'bProvince' : 'Saskatchewan', </v>
      </c>
      <c r="AD15" t="str">
        <f t="shared" si="10"/>
        <v xml:space="preserve">'bZip' : 'S4P 3Y2', </v>
      </c>
      <c r="AE15" t="str">
        <f t="shared" si="11"/>
        <v xml:space="preserve">'bMobileNumber' : '306-567-8680' } , </v>
      </c>
      <c r="AF15" t="str">
        <f t="shared" si="12"/>
        <v xml:space="preserve">'deliveryAddress' : { 'dStreet' : '1315 St. John Street', </v>
      </c>
      <c r="AG15" t="str">
        <f t="shared" si="13"/>
        <v/>
      </c>
      <c r="AH15" t="str">
        <f t="shared" si="14"/>
        <v xml:space="preserve">'dCity' : 'Davidson', </v>
      </c>
      <c r="AI15" t="str">
        <f t="shared" si="15"/>
        <v xml:space="preserve">'dProvince' : 'Saskatchewan', </v>
      </c>
      <c r="AJ15" t="str">
        <f t="shared" si="16"/>
        <v xml:space="preserve">'dZip' : 'S4P 3Y2', </v>
      </c>
      <c r="AK15" t="str">
        <f t="shared" si="17"/>
        <v xml:space="preserve">'dMobileNumber' : '306-567-8680' } , </v>
      </c>
      <c r="AL15" t="str">
        <f t="shared" si="18"/>
        <v xml:space="preserve">'paymentMethod' : { 'paymentType' : 'Credit', </v>
      </c>
      <c r="AM15" t="str">
        <f t="shared" si="19"/>
        <v xml:space="preserve">'nameOnCard' : 'Kyle Hill', </v>
      </c>
      <c r="AN15" t="str">
        <f t="shared" si="20"/>
        <v xml:space="preserve">'cardScheme' : 'Mastercard', </v>
      </c>
      <c r="AO15" t="str">
        <f t="shared" si="21"/>
        <v xml:space="preserve">'cardLast4' : '8030', </v>
      </c>
      <c r="AP15" t="str">
        <f t="shared" si="22"/>
        <v>'cardExpiryDate' : '03/2024' }</v>
      </c>
      <c r="AR15" t="str">
        <f t="shared" si="23"/>
        <v>{ 'emailAddress' : 'hillkyle@gmail.com', 'firstName' : 'Kyle', 'lastName' : 'Hill', 'billingAddress' : { 'bStreet' : '1315 St. John Street', 'bCity' : 'Davidson', 'bProvince' : 'Saskatchewan', 'bZip' : 'S4P 3Y2', 'bMobileNumber' : '306-567-8680' } , 'deliveryAddress' : { 'dStreet' : '1315 St. John Street', 'dCity' : 'Davidson', 'dProvince' : 'Saskatchewan', 'dZip' : 'S4P 3Y2', 'dMobileNumber' : '306-567-8680' } , 'paymentMethod' : { 'paymentType' : 'Credit', 'nameOnCard' : 'Kyle Hill', 'cardScheme' : 'Mastercard', 'cardLast4' : '8030', 'cardExpiryDate' : '03/2024' } },</v>
      </c>
    </row>
    <row r="16" spans="1:44" x14ac:dyDescent="0.35">
      <c r="A16">
        <v>13</v>
      </c>
      <c r="B16" s="39" t="str">
        <f t="shared" si="29"/>
        <v>evansariana@gmail.com</v>
      </c>
      <c r="C16" t="s">
        <v>523</v>
      </c>
      <c r="D16" t="s">
        <v>553</v>
      </c>
      <c r="E16" t="s">
        <v>405</v>
      </c>
      <c r="F16" s="39"/>
      <c r="G16" t="s">
        <v>434</v>
      </c>
      <c r="H16" t="s">
        <v>454</v>
      </c>
      <c r="I16" t="s">
        <v>463</v>
      </c>
      <c r="J16" t="s">
        <v>493</v>
      </c>
      <c r="K16" s="39" t="str">
        <f t="shared" si="24"/>
        <v>1188 St. John Street</v>
      </c>
      <c r="L16" s="39"/>
      <c r="M16" s="39" t="str">
        <f t="shared" si="25"/>
        <v>Big River</v>
      </c>
      <c r="N16" s="39" t="str">
        <f t="shared" si="26"/>
        <v>Saskatchewan</v>
      </c>
      <c r="O16" s="39" t="str">
        <f t="shared" si="27"/>
        <v>S4P 3Y2</v>
      </c>
      <c r="P16" s="39" t="str">
        <f t="shared" si="28"/>
        <v>306-469-8013</v>
      </c>
      <c r="Q16" t="s">
        <v>636</v>
      </c>
      <c r="R16" s="39" t="str">
        <f t="shared" si="1"/>
        <v>Ariana Evans</v>
      </c>
      <c r="S16" t="s">
        <v>637</v>
      </c>
      <c r="T16" s="39" t="str">
        <f t="shared" si="2"/>
        <v>1330</v>
      </c>
      <c r="U16" s="39" t="s">
        <v>651</v>
      </c>
      <c r="W16" t="str">
        <f t="shared" si="3"/>
        <v xml:space="preserve">'emailAddress' : 'evansariana@gmail.com', </v>
      </c>
      <c r="X16" t="str">
        <f t="shared" si="4"/>
        <v xml:space="preserve">'firstName' : 'Ariana', </v>
      </c>
      <c r="Y16" t="str">
        <f t="shared" si="5"/>
        <v xml:space="preserve">'lastName' : 'Evans', </v>
      </c>
      <c r="Z16" t="str">
        <f t="shared" si="6"/>
        <v xml:space="preserve">'billingAddress' : { 'bStreet' : '1188 St. John Street', </v>
      </c>
      <c r="AA16" t="str">
        <f t="shared" si="7"/>
        <v/>
      </c>
      <c r="AB16" t="str">
        <f t="shared" si="8"/>
        <v xml:space="preserve">'bCity' : 'Big River', </v>
      </c>
      <c r="AC16" t="str">
        <f t="shared" si="9"/>
        <v xml:space="preserve">'bProvince' : 'Saskatchewan', </v>
      </c>
      <c r="AD16" t="str">
        <f t="shared" si="10"/>
        <v xml:space="preserve">'bZip' : 'S4P 3Y2', </v>
      </c>
      <c r="AE16" t="str">
        <f t="shared" si="11"/>
        <v xml:space="preserve">'bMobileNumber' : '306-469-8013' } , </v>
      </c>
      <c r="AF16" t="str">
        <f t="shared" si="12"/>
        <v xml:space="preserve">'deliveryAddress' : { 'dStreet' : '1188 St. John Street', </v>
      </c>
      <c r="AG16" t="str">
        <f t="shared" si="13"/>
        <v/>
      </c>
      <c r="AH16" t="str">
        <f t="shared" si="14"/>
        <v xml:space="preserve">'dCity' : 'Big River', </v>
      </c>
      <c r="AI16" t="str">
        <f t="shared" si="15"/>
        <v xml:space="preserve">'dProvince' : 'Saskatchewan', </v>
      </c>
      <c r="AJ16" t="str">
        <f t="shared" si="16"/>
        <v xml:space="preserve">'dZip' : 'S4P 3Y2', </v>
      </c>
      <c r="AK16" t="str">
        <f t="shared" si="17"/>
        <v xml:space="preserve">'dMobileNumber' : '306-469-8013' } , </v>
      </c>
      <c r="AL16" t="str">
        <f t="shared" si="18"/>
        <v xml:space="preserve">'paymentMethod' : { 'paymentType' : 'Credit', </v>
      </c>
      <c r="AM16" t="str">
        <f t="shared" si="19"/>
        <v xml:space="preserve">'nameOnCard' : 'Ariana Evans', </v>
      </c>
      <c r="AN16" t="str">
        <f t="shared" si="20"/>
        <v xml:space="preserve">'cardScheme' : 'Visa', </v>
      </c>
      <c r="AO16" t="str">
        <f t="shared" si="21"/>
        <v xml:space="preserve">'cardLast4' : '1330', </v>
      </c>
      <c r="AP16" t="str">
        <f t="shared" si="22"/>
        <v>'cardExpiryDate' : '02/2024' }</v>
      </c>
      <c r="AR16" t="str">
        <f t="shared" si="23"/>
        <v>{ 'emailAddress' : 'evansariana@gmail.com', 'firstName' : 'Ariana', 'lastName' : 'Evans', 'billingAddress' : { 'bStreet' : '1188 St. John Street', 'bCity' : 'Big River', 'bProvince' : 'Saskatchewan', 'bZip' : 'S4P 3Y2', 'bMobileNumber' : '306-469-8013' } , 'deliveryAddress' : { 'dStreet' : '1188 St. John Street', 'dCity' : 'Big River', 'dProvince' : 'Saskatchewan', 'dZip' : 'S4P 3Y2', 'dMobileNumber' : '306-469-8013' } , 'paymentMethod' : { 'paymentType' : 'Credit', 'nameOnCard' : 'Ariana Evans', 'cardScheme' : 'Visa', 'cardLast4' : '1330', 'cardExpiryDate' : '02/2024' } },</v>
      </c>
    </row>
    <row r="17" spans="1:44" x14ac:dyDescent="0.35">
      <c r="A17">
        <v>14</v>
      </c>
      <c r="B17" s="39" t="str">
        <f t="shared" si="29"/>
        <v>davidscarlett@gmail.com</v>
      </c>
      <c r="C17" t="s">
        <v>524</v>
      </c>
      <c r="D17" t="s">
        <v>554</v>
      </c>
      <c r="E17" t="s">
        <v>406</v>
      </c>
      <c r="F17" s="39"/>
      <c r="G17" t="s">
        <v>431</v>
      </c>
      <c r="H17" t="s">
        <v>26</v>
      </c>
      <c r="I17" t="s">
        <v>467</v>
      </c>
      <c r="J17" t="s">
        <v>494</v>
      </c>
      <c r="K17" s="39" t="str">
        <f t="shared" si="24"/>
        <v>1220 Tycos Dr</v>
      </c>
      <c r="L17" s="39"/>
      <c r="M17" s="39" t="str">
        <f t="shared" si="25"/>
        <v>Toronto</v>
      </c>
      <c r="N17" s="39" t="str">
        <f t="shared" si="26"/>
        <v>Ontario</v>
      </c>
      <c r="O17" s="39" t="str">
        <f t="shared" si="27"/>
        <v>M5T 1T4</v>
      </c>
      <c r="P17" s="39" t="str">
        <f t="shared" si="28"/>
        <v>416-595-0997</v>
      </c>
      <c r="Q17" t="s">
        <v>635</v>
      </c>
      <c r="R17" s="39" t="str">
        <f t="shared" si="1"/>
        <v>Scarlett David</v>
      </c>
      <c r="S17" t="s">
        <v>637</v>
      </c>
      <c r="T17" s="39" t="str">
        <f t="shared" si="2"/>
        <v>9741</v>
      </c>
      <c r="U17" s="39" t="s">
        <v>652</v>
      </c>
      <c r="W17" t="str">
        <f t="shared" si="3"/>
        <v xml:space="preserve">'emailAddress' : 'davidscarlett@gmail.com', </v>
      </c>
      <c r="X17" t="str">
        <f t="shared" si="4"/>
        <v xml:space="preserve">'firstName' : 'Scarlett', </v>
      </c>
      <c r="Y17" t="str">
        <f t="shared" si="5"/>
        <v xml:space="preserve">'lastName' : 'David', </v>
      </c>
      <c r="Z17" t="str">
        <f t="shared" si="6"/>
        <v xml:space="preserve">'billingAddress' : { 'bStreet' : '1220 Tycos Dr', </v>
      </c>
      <c r="AA17" t="str">
        <f t="shared" si="7"/>
        <v/>
      </c>
      <c r="AB17" t="str">
        <f t="shared" si="8"/>
        <v xml:space="preserve">'bCity' : 'Toronto', </v>
      </c>
      <c r="AC17" t="str">
        <f t="shared" si="9"/>
        <v xml:space="preserve">'bProvince' : 'Ontario', </v>
      </c>
      <c r="AD17" t="str">
        <f t="shared" si="10"/>
        <v xml:space="preserve">'bZip' : 'M5T 1T4', </v>
      </c>
      <c r="AE17" t="str">
        <f t="shared" si="11"/>
        <v xml:space="preserve">'bMobileNumber' : '416-595-0997' } , </v>
      </c>
      <c r="AF17" t="str">
        <f t="shared" si="12"/>
        <v xml:space="preserve">'deliveryAddress' : { 'dStreet' : '1220 Tycos Dr', </v>
      </c>
      <c r="AG17" t="str">
        <f t="shared" si="13"/>
        <v/>
      </c>
      <c r="AH17" t="str">
        <f t="shared" si="14"/>
        <v xml:space="preserve">'dCity' : 'Toronto', </v>
      </c>
      <c r="AI17" t="str">
        <f t="shared" si="15"/>
        <v xml:space="preserve">'dProvince' : 'Ontario', </v>
      </c>
      <c r="AJ17" t="str">
        <f t="shared" si="16"/>
        <v xml:space="preserve">'dZip' : 'M5T 1T4', </v>
      </c>
      <c r="AK17" t="str">
        <f t="shared" si="17"/>
        <v xml:space="preserve">'dMobileNumber' : '416-595-0997' } , </v>
      </c>
      <c r="AL17" t="str">
        <f t="shared" si="18"/>
        <v xml:space="preserve">'paymentMethod' : { 'paymentType' : 'Debit', </v>
      </c>
      <c r="AM17" t="str">
        <f t="shared" si="19"/>
        <v xml:space="preserve">'nameOnCard' : 'Scarlett David', </v>
      </c>
      <c r="AN17" t="str">
        <f t="shared" si="20"/>
        <v xml:space="preserve">'cardScheme' : 'Visa', </v>
      </c>
      <c r="AO17" t="str">
        <f t="shared" si="21"/>
        <v xml:space="preserve">'cardLast4' : '9741', </v>
      </c>
      <c r="AP17" t="str">
        <f t="shared" si="22"/>
        <v>'cardExpiryDate' : '12/2023' }</v>
      </c>
      <c r="AR17" t="str">
        <f t="shared" si="23"/>
        <v>{ 'emailAddress' : 'davidscarlett@gmail.com', 'firstName' : 'Scarlett', 'lastName' : 'David', 'billingAddress' : { 'bStreet' : '1220 Tycos Dr', 'bCity' : 'Toronto', 'bProvince' : 'Ontario', 'bZip' : 'M5T 1T4', 'bMobileNumber' : '416-595-0997' } , 'deliveryAddress' : { 'dStreet' : '1220 Tycos Dr', 'dCity' : 'Toronto', 'dProvince' : 'Ontario', 'dZip' : 'M5T 1T4', 'dMobileNumber' : '416-595-0997' } , 'paymentMethod' : { 'paymentType' : 'Debit', 'nameOnCard' : 'Scarlett David', 'cardScheme' : 'Visa', 'cardLast4' : '9741', 'cardExpiryDate' : '12/2023' } },</v>
      </c>
    </row>
    <row r="18" spans="1:44" x14ac:dyDescent="0.35">
      <c r="A18">
        <v>15</v>
      </c>
      <c r="B18" s="39" t="str">
        <f t="shared" si="29"/>
        <v>boyleannika@gmail.com</v>
      </c>
      <c r="C18" t="s">
        <v>525</v>
      </c>
      <c r="D18" t="s">
        <v>555</v>
      </c>
      <c r="E18" t="s">
        <v>407</v>
      </c>
      <c r="F18" s="39"/>
      <c r="G18" t="s">
        <v>426</v>
      </c>
      <c r="H18" t="s">
        <v>452</v>
      </c>
      <c r="I18" t="s">
        <v>459</v>
      </c>
      <c r="J18" t="s">
        <v>495</v>
      </c>
      <c r="K18" s="39" t="str">
        <f t="shared" si="24"/>
        <v>1817 Pope St</v>
      </c>
      <c r="L18" s="39"/>
      <c r="M18" s="39" t="str">
        <f t="shared" si="25"/>
        <v>Alberton</v>
      </c>
      <c r="N18" s="39" t="str">
        <f t="shared" si="26"/>
        <v>Prince Edward Island</v>
      </c>
      <c r="O18" s="39" t="str">
        <f t="shared" si="27"/>
        <v>C0B 1K0</v>
      </c>
      <c r="P18" s="39" t="str">
        <f t="shared" si="28"/>
        <v>902-853-7192</v>
      </c>
      <c r="Q18" t="s">
        <v>635</v>
      </c>
      <c r="R18" s="39" t="str">
        <f t="shared" si="1"/>
        <v>Annika Boyle</v>
      </c>
      <c r="S18" t="s">
        <v>638</v>
      </c>
      <c r="T18" s="39" t="str">
        <f t="shared" si="2"/>
        <v>9290</v>
      </c>
      <c r="U18" s="39" t="s">
        <v>653</v>
      </c>
      <c r="W18" t="str">
        <f t="shared" si="3"/>
        <v xml:space="preserve">'emailAddress' : 'boyleannika@gmail.com', </v>
      </c>
      <c r="X18" t="str">
        <f t="shared" si="4"/>
        <v xml:space="preserve">'firstName' : 'Annika', </v>
      </c>
      <c r="Y18" t="str">
        <f t="shared" si="5"/>
        <v xml:space="preserve">'lastName' : 'Boyle', </v>
      </c>
      <c r="Z18" t="str">
        <f t="shared" si="6"/>
        <v xml:space="preserve">'billingAddress' : { 'bStreet' : '1817 Pope St', </v>
      </c>
      <c r="AA18" t="str">
        <f t="shared" si="7"/>
        <v/>
      </c>
      <c r="AB18" t="str">
        <f t="shared" si="8"/>
        <v xml:space="preserve">'bCity' : 'Alberton', </v>
      </c>
      <c r="AC18" t="str">
        <f t="shared" si="9"/>
        <v xml:space="preserve">'bProvince' : 'Prince Edward Island', </v>
      </c>
      <c r="AD18" t="str">
        <f t="shared" si="10"/>
        <v xml:space="preserve">'bZip' : 'C0B 1K0', </v>
      </c>
      <c r="AE18" t="str">
        <f t="shared" si="11"/>
        <v xml:space="preserve">'bMobileNumber' : '902-853-7192' } , </v>
      </c>
      <c r="AF18" t="str">
        <f t="shared" si="12"/>
        <v xml:space="preserve">'deliveryAddress' : { 'dStreet' : '1817 Pope St', </v>
      </c>
      <c r="AG18" t="str">
        <f t="shared" si="13"/>
        <v/>
      </c>
      <c r="AH18" t="str">
        <f t="shared" si="14"/>
        <v xml:space="preserve">'dCity' : 'Alberton', </v>
      </c>
      <c r="AI18" t="str">
        <f t="shared" si="15"/>
        <v xml:space="preserve">'dProvince' : 'Prince Edward Island', </v>
      </c>
      <c r="AJ18" t="str">
        <f t="shared" si="16"/>
        <v xml:space="preserve">'dZip' : 'C0B 1K0', </v>
      </c>
      <c r="AK18" t="str">
        <f t="shared" si="17"/>
        <v xml:space="preserve">'dMobileNumber' : '902-853-7192' } , </v>
      </c>
      <c r="AL18" t="str">
        <f t="shared" si="18"/>
        <v xml:space="preserve">'paymentMethod' : { 'paymentType' : 'Debit', </v>
      </c>
      <c r="AM18" t="str">
        <f t="shared" si="19"/>
        <v xml:space="preserve">'nameOnCard' : 'Annika Boyle', </v>
      </c>
      <c r="AN18" t="str">
        <f t="shared" si="20"/>
        <v xml:space="preserve">'cardScheme' : 'Mastercard', </v>
      </c>
      <c r="AO18" t="str">
        <f t="shared" si="21"/>
        <v xml:space="preserve">'cardLast4' : '9290', </v>
      </c>
      <c r="AP18" t="str">
        <f t="shared" si="22"/>
        <v>'cardExpiryDate' : '04/2025' }</v>
      </c>
      <c r="AR18" t="str">
        <f t="shared" si="23"/>
        <v>{ 'emailAddress' : 'boyleannika@gmail.com', 'firstName' : 'Annika', 'lastName' : 'Boyle', 'billingAddress' : { 'bStreet' : '1817 Pope St', 'bCity' : 'Alberton', 'bProvince' : 'Prince Edward Island', 'bZip' : 'C0B 1K0', 'bMobileNumber' : '902-853-7192' } , 'deliveryAddress' : { 'dStreet' : '1817 Pope St', 'dCity' : 'Alberton', 'dProvince' : 'Prince Edward Island', 'dZip' : 'C0B 1K0', 'dMobileNumber' : '902-853-7192' } , 'paymentMethod' : { 'paymentType' : 'Debit', 'nameOnCard' : 'Annika Boyle', 'cardScheme' : 'Mastercard', 'cardLast4' : '9290', 'cardExpiryDate' : '04/2025' } },</v>
      </c>
    </row>
    <row r="19" spans="1:44" x14ac:dyDescent="0.35">
      <c r="A19">
        <v>16</v>
      </c>
      <c r="B19" s="39" t="str">
        <f t="shared" si="29"/>
        <v>currienatalie@gmail.com</v>
      </c>
      <c r="C19" t="s">
        <v>526</v>
      </c>
      <c r="D19" t="s">
        <v>556</v>
      </c>
      <c r="E19" t="s">
        <v>408</v>
      </c>
      <c r="F19" s="39" t="s">
        <v>580</v>
      </c>
      <c r="G19" t="s">
        <v>435</v>
      </c>
      <c r="H19" t="s">
        <v>453</v>
      </c>
      <c r="I19" t="s">
        <v>468</v>
      </c>
      <c r="J19" t="s">
        <v>496</v>
      </c>
      <c r="K19" t="s">
        <v>588</v>
      </c>
      <c r="L19" t="s">
        <v>607</v>
      </c>
      <c r="M19" t="s">
        <v>596</v>
      </c>
      <c r="N19" t="s">
        <v>454</v>
      </c>
      <c r="O19" t="s">
        <v>617</v>
      </c>
      <c r="P19" t="s">
        <v>629</v>
      </c>
      <c r="Q19" t="s">
        <v>635</v>
      </c>
      <c r="R19" s="39" t="str">
        <f t="shared" si="1"/>
        <v>Natalie Currie</v>
      </c>
      <c r="S19" t="s">
        <v>638</v>
      </c>
      <c r="T19" s="39" t="str">
        <f t="shared" si="2"/>
        <v>9830</v>
      </c>
      <c r="U19" s="39" t="s">
        <v>654</v>
      </c>
      <c r="W19" t="str">
        <f t="shared" si="3"/>
        <v xml:space="preserve">'emailAddress' : 'currienatalie@gmail.com', </v>
      </c>
      <c r="X19" t="str">
        <f t="shared" si="4"/>
        <v xml:space="preserve">'firstName' : 'Natalie', </v>
      </c>
      <c r="Y19" t="str">
        <f t="shared" si="5"/>
        <v xml:space="preserve">'lastName' : 'Currie', </v>
      </c>
      <c r="Z19" t="str">
        <f t="shared" si="6"/>
        <v xml:space="preserve">'billingAddress' : { 'bStreet' : '3082 De L'Acadie Boul', </v>
      </c>
      <c r="AA19" t="str">
        <f t="shared" si="7"/>
        <v xml:space="preserve">'bUnit' : '516', </v>
      </c>
      <c r="AB19" t="str">
        <f t="shared" si="8"/>
        <v xml:space="preserve">'bCity' : 'Montreal', </v>
      </c>
      <c r="AC19" t="str">
        <f t="shared" si="9"/>
        <v xml:space="preserve">'bProvince' : 'Quebec', </v>
      </c>
      <c r="AD19" t="str">
        <f t="shared" si="10"/>
        <v xml:space="preserve">'bZip' : 'H4N 3C5', </v>
      </c>
      <c r="AE19" t="str">
        <f t="shared" si="11"/>
        <v xml:space="preserve">'bMobileNumber' : '514-233-5038' } , </v>
      </c>
      <c r="AF19" t="str">
        <f t="shared" si="12"/>
        <v xml:space="preserve">'deliveryAddress' : { 'dStreet' : '3567 Brand Road', </v>
      </c>
      <c r="AG19" t="str">
        <f t="shared" si="13"/>
        <v xml:space="preserve">'dUnit' : '27', </v>
      </c>
      <c r="AH19" t="str">
        <f t="shared" si="14"/>
        <v xml:space="preserve">'dCity' : 'Saskatoon', </v>
      </c>
      <c r="AI19" t="str">
        <f t="shared" si="15"/>
        <v xml:space="preserve">'dProvince' : 'Saskatchewan', </v>
      </c>
      <c r="AJ19" t="str">
        <f t="shared" si="16"/>
        <v xml:space="preserve">'dZip' : 'S7K 1W8', </v>
      </c>
      <c r="AK19" t="str">
        <f t="shared" si="17"/>
        <v xml:space="preserve">'dMobileNumber' : '306-717-8298' } , </v>
      </c>
      <c r="AL19" t="str">
        <f t="shared" si="18"/>
        <v xml:space="preserve">'paymentMethod' : { 'paymentType' : 'Debit', </v>
      </c>
      <c r="AM19" t="str">
        <f t="shared" si="19"/>
        <v xml:space="preserve">'nameOnCard' : 'Natalie Currie', </v>
      </c>
      <c r="AN19" t="str">
        <f t="shared" si="20"/>
        <v xml:space="preserve">'cardScheme' : 'Mastercard', </v>
      </c>
      <c r="AO19" t="str">
        <f t="shared" si="21"/>
        <v xml:space="preserve">'cardLast4' : '9830', </v>
      </c>
      <c r="AP19" t="str">
        <f t="shared" si="22"/>
        <v>'cardExpiryDate' : '01/2023' }</v>
      </c>
      <c r="AR19" t="str">
        <f t="shared" si="23"/>
        <v>{ 'emailAddress' : 'currienatalie@gmail.com', 'firstName' : 'Natalie', 'lastName' : 'Currie', 'billingAddress' : { 'bStreet' : '3082 De L'Acadie Boul', 'bUnit' : '516', 'bCity' : 'Montreal', 'bProvince' : 'Quebec', 'bZip' : 'H4N 3C5', 'bMobileNumber' : '514-233-5038' } , 'deliveryAddress' : { 'dStreet' : '3567 Brand Road', 'dUnit' : '27', 'dCity' : 'Saskatoon', 'dProvince' : 'Saskatchewan', 'dZip' : 'S7K 1W8', 'dMobileNumber' : '306-717-8298' } , 'paymentMethod' : { 'paymentType' : 'Debit', 'nameOnCard' : 'Natalie Currie', 'cardScheme' : 'Mastercard', 'cardLast4' : '9830', 'cardExpiryDate' : '01/2023' } },</v>
      </c>
    </row>
    <row r="20" spans="1:44" x14ac:dyDescent="0.35">
      <c r="A20">
        <v>17</v>
      </c>
      <c r="B20" s="39" t="str">
        <f t="shared" si="29"/>
        <v>altmancharlotte@gmail.com</v>
      </c>
      <c r="C20" t="s">
        <v>527</v>
      </c>
      <c r="D20" t="s">
        <v>557</v>
      </c>
      <c r="E20" t="s">
        <v>409</v>
      </c>
      <c r="F20" s="39" t="s">
        <v>576</v>
      </c>
      <c r="G20" t="s">
        <v>431</v>
      </c>
      <c r="H20" t="s">
        <v>26</v>
      </c>
      <c r="I20" t="s">
        <v>467</v>
      </c>
      <c r="J20" t="s">
        <v>497</v>
      </c>
      <c r="K20" t="s">
        <v>589</v>
      </c>
      <c r="L20" t="s">
        <v>608</v>
      </c>
      <c r="M20" t="s">
        <v>597</v>
      </c>
      <c r="N20" t="s">
        <v>453</v>
      </c>
      <c r="O20" t="s">
        <v>618</v>
      </c>
      <c r="P20" t="s">
        <v>630</v>
      </c>
      <c r="Q20" t="s">
        <v>635</v>
      </c>
      <c r="R20" s="39" t="str">
        <f t="shared" si="1"/>
        <v>Charlotte Altman</v>
      </c>
      <c r="S20" t="s">
        <v>637</v>
      </c>
      <c r="T20" s="39" t="str">
        <f t="shared" si="2"/>
        <v>6745</v>
      </c>
      <c r="U20" s="39" t="s">
        <v>649</v>
      </c>
      <c r="W20" t="str">
        <f t="shared" si="3"/>
        <v xml:space="preserve">'emailAddress' : 'altmancharlotte@gmail.com', </v>
      </c>
      <c r="X20" t="str">
        <f t="shared" si="4"/>
        <v xml:space="preserve">'firstName' : 'Charlotte', </v>
      </c>
      <c r="Y20" t="str">
        <f t="shared" si="5"/>
        <v xml:space="preserve">'lastName' : 'Altman', </v>
      </c>
      <c r="Z20" t="str">
        <f t="shared" si="6"/>
        <v xml:space="preserve">'billingAddress' : { 'bStreet' : '4854 Tycos Dr', </v>
      </c>
      <c r="AA20" t="str">
        <f t="shared" si="7"/>
        <v xml:space="preserve">'bUnit' : '117', </v>
      </c>
      <c r="AB20" t="str">
        <f t="shared" si="8"/>
        <v xml:space="preserve">'bCity' : 'Toronto', </v>
      </c>
      <c r="AC20" t="str">
        <f t="shared" si="9"/>
        <v xml:space="preserve">'bProvince' : 'Ontario', </v>
      </c>
      <c r="AD20" t="str">
        <f t="shared" si="10"/>
        <v xml:space="preserve">'bZip' : 'M5T 1T4', </v>
      </c>
      <c r="AE20" t="str">
        <f t="shared" si="11"/>
        <v xml:space="preserve">'bMobileNumber' : '416-343-8934' } , </v>
      </c>
      <c r="AF20" t="str">
        <f t="shared" si="12"/>
        <v xml:space="preserve">'deliveryAddress' : { 'dStreet' : '4554 chemin Georges', </v>
      </c>
      <c r="AG20" t="str">
        <f t="shared" si="13"/>
        <v xml:space="preserve">'dUnit' : '108', </v>
      </c>
      <c r="AH20" t="str">
        <f t="shared" si="14"/>
        <v xml:space="preserve">'dCity' : 'St Felix De Valois', </v>
      </c>
      <c r="AI20" t="str">
        <f t="shared" si="15"/>
        <v xml:space="preserve">'dProvince' : 'Quebec', </v>
      </c>
      <c r="AJ20" t="str">
        <f t="shared" si="16"/>
        <v xml:space="preserve">'dZip' : 'J0K 2M0', </v>
      </c>
      <c r="AK20" t="str">
        <f t="shared" si="17"/>
        <v xml:space="preserve">'dMobileNumber' : '450-889-2867' } , </v>
      </c>
      <c r="AL20" t="str">
        <f t="shared" si="18"/>
        <v xml:space="preserve">'paymentMethod' : { 'paymentType' : 'Debit', </v>
      </c>
      <c r="AM20" t="str">
        <f t="shared" si="19"/>
        <v xml:space="preserve">'nameOnCard' : 'Charlotte Altman', </v>
      </c>
      <c r="AN20" t="str">
        <f t="shared" si="20"/>
        <v xml:space="preserve">'cardScheme' : 'Visa', </v>
      </c>
      <c r="AO20" t="str">
        <f t="shared" si="21"/>
        <v xml:space="preserve">'cardLast4' : '6745', </v>
      </c>
      <c r="AP20" t="str">
        <f t="shared" si="22"/>
        <v>'cardExpiryDate' : '03/2023' }</v>
      </c>
      <c r="AR20" t="str">
        <f t="shared" si="23"/>
        <v>{ 'emailAddress' : 'altmancharlotte@gmail.com', 'firstName' : 'Charlotte', 'lastName' : 'Altman', 'billingAddress' : { 'bStreet' : '4854 Tycos Dr', 'bUnit' : '117', 'bCity' : 'Toronto', 'bProvince' : 'Ontario', 'bZip' : 'M5T 1T4', 'bMobileNumber' : '416-343-8934' } , 'deliveryAddress' : { 'dStreet' : '4554 chemin Georges', 'dUnit' : '108', 'dCity' : 'St Felix De Valois', 'dProvince' : 'Quebec', 'dZip' : 'J0K 2M0', 'dMobileNumber' : '450-889-2867' } , 'paymentMethod' : { 'paymentType' : 'Debit', 'nameOnCard' : 'Charlotte Altman', 'cardScheme' : 'Visa', 'cardLast4' : '6745', 'cardExpiryDate' : '03/2023' } },</v>
      </c>
    </row>
    <row r="21" spans="1:44" x14ac:dyDescent="0.35">
      <c r="A21">
        <v>18</v>
      </c>
      <c r="B21" s="39" t="str">
        <f t="shared" si="29"/>
        <v>olsonbrielle@gmail.com</v>
      </c>
      <c r="C21" t="s">
        <v>528</v>
      </c>
      <c r="D21" t="s">
        <v>558</v>
      </c>
      <c r="E21" t="s">
        <v>410</v>
      </c>
      <c r="F21" s="39" t="s">
        <v>577</v>
      </c>
      <c r="G21" t="s">
        <v>436</v>
      </c>
      <c r="H21" t="s">
        <v>451</v>
      </c>
      <c r="I21" t="s">
        <v>469</v>
      </c>
      <c r="J21" t="s">
        <v>498</v>
      </c>
      <c r="K21" t="s">
        <v>590</v>
      </c>
      <c r="L21" t="s">
        <v>609</v>
      </c>
      <c r="M21" t="s">
        <v>598</v>
      </c>
      <c r="N21" t="s">
        <v>453</v>
      </c>
      <c r="O21" t="s">
        <v>619</v>
      </c>
      <c r="P21" t="s">
        <v>631</v>
      </c>
      <c r="Q21" t="s">
        <v>635</v>
      </c>
      <c r="R21" s="39" t="str">
        <f t="shared" si="1"/>
        <v>Brielle Olson</v>
      </c>
      <c r="S21" t="s">
        <v>637</v>
      </c>
      <c r="T21" s="39" t="str">
        <f t="shared" si="2"/>
        <v>7481</v>
      </c>
      <c r="U21" s="39" t="s">
        <v>655</v>
      </c>
      <c r="W21" t="str">
        <f t="shared" si="3"/>
        <v xml:space="preserve">'emailAddress' : 'olsonbrielle@gmail.com', </v>
      </c>
      <c r="X21" t="str">
        <f t="shared" si="4"/>
        <v xml:space="preserve">'firstName' : 'Brielle', </v>
      </c>
      <c r="Y21" t="str">
        <f t="shared" si="5"/>
        <v xml:space="preserve">'lastName' : 'Olson', </v>
      </c>
      <c r="Z21" t="str">
        <f t="shared" si="6"/>
        <v xml:space="preserve">'billingAddress' : { 'bStreet' : '625 40th Street', </v>
      </c>
      <c r="AA21" t="str">
        <f t="shared" si="7"/>
        <v xml:space="preserve">'bUnit' : '218', </v>
      </c>
      <c r="AB21" t="str">
        <f t="shared" si="8"/>
        <v xml:space="preserve">'bCity' : 'Calgary', </v>
      </c>
      <c r="AC21" t="str">
        <f t="shared" si="9"/>
        <v xml:space="preserve">'bProvince' : 'Alberta', </v>
      </c>
      <c r="AD21" t="str">
        <f t="shared" si="10"/>
        <v xml:space="preserve">'bZip' : 'T2N 2A7', </v>
      </c>
      <c r="AE21" t="str">
        <f t="shared" si="11"/>
        <v xml:space="preserve">'bMobileNumber' : '403-283-1490' } , </v>
      </c>
      <c r="AF21" t="str">
        <f t="shared" si="12"/>
        <v xml:space="preserve">'deliveryAddress' : { 'dStreet' : '2665 rue Parc', </v>
      </c>
      <c r="AG21" t="str">
        <f t="shared" si="13"/>
        <v xml:space="preserve">'dUnit' : '19', </v>
      </c>
      <c r="AH21" t="str">
        <f t="shared" si="14"/>
        <v xml:space="preserve">'dCity' : 'St Cyrille De Wendover', </v>
      </c>
      <c r="AI21" t="str">
        <f t="shared" si="15"/>
        <v xml:space="preserve">'dProvince' : 'Quebec', </v>
      </c>
      <c r="AJ21" t="str">
        <f t="shared" si="16"/>
        <v xml:space="preserve">'dZip' : 'J1Z 1E1', </v>
      </c>
      <c r="AK21" t="str">
        <f t="shared" si="17"/>
        <v xml:space="preserve">'dMobileNumber' : '819-397-4174' } , </v>
      </c>
      <c r="AL21" t="str">
        <f t="shared" si="18"/>
        <v xml:space="preserve">'paymentMethod' : { 'paymentType' : 'Debit', </v>
      </c>
      <c r="AM21" t="str">
        <f t="shared" si="19"/>
        <v xml:space="preserve">'nameOnCard' : 'Brielle Olson', </v>
      </c>
      <c r="AN21" t="str">
        <f t="shared" si="20"/>
        <v xml:space="preserve">'cardScheme' : 'Visa', </v>
      </c>
      <c r="AO21" t="str">
        <f t="shared" si="21"/>
        <v xml:space="preserve">'cardLast4' : '7481', </v>
      </c>
      <c r="AP21" t="str">
        <f t="shared" si="22"/>
        <v>'cardExpiryDate' : '11/2023' }</v>
      </c>
      <c r="AR21" t="str">
        <f t="shared" si="23"/>
        <v>{ 'emailAddress' : 'olsonbrielle@gmail.com', 'firstName' : 'Brielle', 'lastName' : 'Olson', 'billingAddress' : { 'bStreet' : '625 40th Street', 'bUnit' : '218', 'bCity' : 'Calgary', 'bProvince' : 'Alberta', 'bZip' : 'T2N 2A7', 'bMobileNumber' : '403-283-1490' } , 'deliveryAddress' : { 'dStreet' : '2665 rue Parc', 'dUnit' : '19', 'dCity' : 'St Cyrille De Wendover', 'dProvince' : 'Quebec', 'dZip' : 'J1Z 1E1', 'dMobileNumber' : '819-397-4174' } , 'paymentMethod' : { 'paymentType' : 'Debit', 'nameOnCard' : 'Brielle Olson', 'cardScheme' : 'Visa', 'cardLast4' : '7481', 'cardExpiryDate' : '11/2023' } },</v>
      </c>
    </row>
    <row r="22" spans="1:44" x14ac:dyDescent="0.35">
      <c r="A22">
        <v>19</v>
      </c>
      <c r="B22" s="39" t="str">
        <f t="shared" si="29"/>
        <v>mccoycharlie@gmail.com</v>
      </c>
      <c r="C22" t="s">
        <v>529</v>
      </c>
      <c r="D22" t="s">
        <v>559</v>
      </c>
      <c r="E22" t="s">
        <v>411</v>
      </c>
      <c r="F22" s="39" t="s">
        <v>581</v>
      </c>
      <c r="G22" t="s">
        <v>435</v>
      </c>
      <c r="H22" t="s">
        <v>453</v>
      </c>
      <c r="I22" t="s">
        <v>470</v>
      </c>
      <c r="J22" t="s">
        <v>499</v>
      </c>
      <c r="K22" t="s">
        <v>591</v>
      </c>
      <c r="L22" t="s">
        <v>610</v>
      </c>
      <c r="M22" t="s">
        <v>435</v>
      </c>
      <c r="N22" t="s">
        <v>453</v>
      </c>
      <c r="O22" t="s">
        <v>620</v>
      </c>
      <c r="P22" t="s">
        <v>632</v>
      </c>
      <c r="Q22" t="s">
        <v>635</v>
      </c>
      <c r="R22" s="39" t="str">
        <f t="shared" si="1"/>
        <v>Charlie McCoy</v>
      </c>
      <c r="S22" t="s">
        <v>638</v>
      </c>
      <c r="T22" s="39" t="str">
        <f t="shared" si="2"/>
        <v>1351</v>
      </c>
      <c r="U22" s="39" t="s">
        <v>656</v>
      </c>
      <c r="W22" t="str">
        <f t="shared" si="3"/>
        <v xml:space="preserve">'emailAddress' : 'mccoycharlie@gmail.com', </v>
      </c>
      <c r="X22" t="str">
        <f t="shared" si="4"/>
        <v xml:space="preserve">'firstName' : 'Charlie', </v>
      </c>
      <c r="Y22" t="str">
        <f t="shared" si="5"/>
        <v xml:space="preserve">'lastName' : 'McCoy', </v>
      </c>
      <c r="Z22" t="str">
        <f t="shared" si="6"/>
        <v xml:space="preserve">'billingAddress' : { 'bStreet' : '1266 rue Ontario Ouest', </v>
      </c>
      <c r="AA22" t="str">
        <f t="shared" si="7"/>
        <v xml:space="preserve">'bUnit' : '319', </v>
      </c>
      <c r="AB22" t="str">
        <f t="shared" si="8"/>
        <v xml:space="preserve">'bCity' : 'Montreal', </v>
      </c>
      <c r="AC22" t="str">
        <f t="shared" si="9"/>
        <v xml:space="preserve">'bProvince' : 'Quebec', </v>
      </c>
      <c r="AD22" t="str">
        <f t="shared" si="10"/>
        <v xml:space="preserve">'bZip' : 'H2X 1Y8', </v>
      </c>
      <c r="AE22" t="str">
        <f t="shared" si="11"/>
        <v xml:space="preserve">'bMobileNumber' : '514-982-1624' } , </v>
      </c>
      <c r="AF22" t="str">
        <f t="shared" si="12"/>
        <v xml:space="preserve">'deliveryAddress' : { 'dStreet' : '1165 Duke Street', </v>
      </c>
      <c r="AG22" t="str">
        <f t="shared" si="13"/>
        <v xml:space="preserve">'dUnit' : '110', </v>
      </c>
      <c r="AH22" t="str">
        <f t="shared" si="14"/>
        <v xml:space="preserve">'dCity' : 'Montreal', </v>
      </c>
      <c r="AI22" t="str">
        <f t="shared" si="15"/>
        <v xml:space="preserve">'dProvince' : 'Quebec', </v>
      </c>
      <c r="AJ22" t="str">
        <f t="shared" si="16"/>
        <v xml:space="preserve">'dZip' : 'H3C 5K4', </v>
      </c>
      <c r="AK22" t="str">
        <f t="shared" si="17"/>
        <v xml:space="preserve">'dMobileNumber' : '514-229-9713' } , </v>
      </c>
      <c r="AL22" t="str">
        <f t="shared" si="18"/>
        <v xml:space="preserve">'paymentMethod' : { 'paymentType' : 'Debit', </v>
      </c>
      <c r="AM22" t="str">
        <f t="shared" si="19"/>
        <v xml:space="preserve">'nameOnCard' : 'Charlie McCoy', </v>
      </c>
      <c r="AN22" t="str">
        <f t="shared" si="20"/>
        <v xml:space="preserve">'cardScheme' : 'Mastercard', </v>
      </c>
      <c r="AO22" t="str">
        <f t="shared" si="21"/>
        <v xml:space="preserve">'cardLast4' : '1351', </v>
      </c>
      <c r="AP22" t="str">
        <f t="shared" si="22"/>
        <v>'cardExpiryDate' : '10/2026' }</v>
      </c>
      <c r="AR22" t="str">
        <f t="shared" si="23"/>
        <v>{ 'emailAddress' : 'mccoycharlie@gmail.com', 'firstName' : 'Charlie', 'lastName' : 'McCoy', 'billingAddress' : { 'bStreet' : '1266 rue Ontario Ouest', 'bUnit' : '319', 'bCity' : 'Montreal', 'bProvince' : 'Quebec', 'bZip' : 'H2X 1Y8', 'bMobileNumber' : '514-982-1624' } , 'deliveryAddress' : { 'dStreet' : '1165 Duke Street', 'dUnit' : '110', 'dCity' : 'Montreal', 'dProvince' : 'Quebec', 'dZip' : 'H3C 5K4', 'dMobileNumber' : '514-229-9713' } , 'paymentMethod' : { 'paymentType' : 'Debit', 'nameOnCard' : 'Charlie McCoy', 'cardScheme' : 'Mastercard', 'cardLast4' : '1351', 'cardExpiryDate' : '10/2026' } },</v>
      </c>
    </row>
    <row r="23" spans="1:44" x14ac:dyDescent="0.35">
      <c r="A23">
        <v>20</v>
      </c>
      <c r="B23" s="39" t="str">
        <f t="shared" si="29"/>
        <v>hennessyadelaide@gmail.com</v>
      </c>
      <c r="C23" t="s">
        <v>530</v>
      </c>
      <c r="D23" t="s">
        <v>560</v>
      </c>
      <c r="E23" t="s">
        <v>412</v>
      </c>
      <c r="F23" s="39" t="s">
        <v>569</v>
      </c>
      <c r="G23" t="s">
        <v>437</v>
      </c>
      <c r="H23" t="s">
        <v>454</v>
      </c>
      <c r="I23" t="s">
        <v>463</v>
      </c>
      <c r="J23" t="s">
        <v>500</v>
      </c>
      <c r="K23" t="s">
        <v>592</v>
      </c>
      <c r="L23" t="s">
        <v>611</v>
      </c>
      <c r="M23" t="s">
        <v>599</v>
      </c>
      <c r="N23" t="s">
        <v>455</v>
      </c>
      <c r="O23" t="s">
        <v>621</v>
      </c>
      <c r="P23" t="s">
        <v>633</v>
      </c>
      <c r="Q23" t="s">
        <v>636</v>
      </c>
      <c r="R23" s="39" t="str">
        <f t="shared" si="1"/>
        <v>Adelaide Hennessy</v>
      </c>
      <c r="S23" t="s">
        <v>638</v>
      </c>
      <c r="T23" s="39" t="str">
        <f t="shared" si="2"/>
        <v>8225</v>
      </c>
      <c r="U23" s="39" t="s">
        <v>657</v>
      </c>
      <c r="W23" t="str">
        <f t="shared" si="3"/>
        <v xml:space="preserve">'emailAddress' : 'hennessyadelaide@gmail.com', </v>
      </c>
      <c r="X23" t="str">
        <f t="shared" si="4"/>
        <v xml:space="preserve">'firstName' : 'Adelaide', </v>
      </c>
      <c r="Y23" t="str">
        <f t="shared" si="5"/>
        <v xml:space="preserve">'lastName' : 'Hennessy', </v>
      </c>
      <c r="Z23" t="str">
        <f t="shared" si="6"/>
        <v xml:space="preserve">'billingAddress' : { 'bStreet' : '2172 Stoney Creek', </v>
      </c>
      <c r="AA23" t="str">
        <f t="shared" si="7"/>
        <v xml:space="preserve">'bUnit' : '310', </v>
      </c>
      <c r="AB23" t="str">
        <f t="shared" si="8"/>
        <v xml:space="preserve">'bCity' : 'Green Lake', </v>
      </c>
      <c r="AC23" t="str">
        <f t="shared" si="9"/>
        <v xml:space="preserve">'bProvince' : 'Saskatchewan', </v>
      </c>
      <c r="AD23" t="str">
        <f t="shared" si="10"/>
        <v xml:space="preserve">'bZip' : 'S4P 3Y2', </v>
      </c>
      <c r="AE23" t="str">
        <f t="shared" si="11"/>
        <v xml:space="preserve">'bMobileNumber' : '306-832-9394' } , </v>
      </c>
      <c r="AF23" t="str">
        <f t="shared" si="12"/>
        <v xml:space="preserve">'deliveryAddress' : { 'dStreet' : '3238 102nd Avenue', </v>
      </c>
      <c r="AG23" t="str">
        <f t="shared" si="13"/>
        <v xml:space="preserve">'dUnit' : '411', </v>
      </c>
      <c r="AH23" t="str">
        <f t="shared" si="14"/>
        <v xml:space="preserve">'dCity' : 'Fort St John', </v>
      </c>
      <c r="AI23" t="str">
        <f t="shared" si="15"/>
        <v xml:space="preserve">'dProvince' : 'British Columbia', </v>
      </c>
      <c r="AJ23" t="str">
        <f t="shared" si="16"/>
        <v xml:space="preserve">'dZip' : 'V1J 3Y7', </v>
      </c>
      <c r="AK23" t="str">
        <f t="shared" si="17"/>
        <v xml:space="preserve">'dMobileNumber' : '250-263-5582' } , </v>
      </c>
      <c r="AL23" t="str">
        <f t="shared" si="18"/>
        <v xml:space="preserve">'paymentMethod' : { 'paymentType' : 'Credit', </v>
      </c>
      <c r="AM23" t="str">
        <f t="shared" si="19"/>
        <v xml:space="preserve">'nameOnCard' : 'Adelaide Hennessy', </v>
      </c>
      <c r="AN23" t="str">
        <f t="shared" si="20"/>
        <v xml:space="preserve">'cardScheme' : 'Mastercard', </v>
      </c>
      <c r="AO23" t="str">
        <f t="shared" si="21"/>
        <v xml:space="preserve">'cardLast4' : '8225', </v>
      </c>
      <c r="AP23" t="str">
        <f t="shared" si="22"/>
        <v>'cardExpiryDate' : '05/2026' }</v>
      </c>
      <c r="AR23" t="str">
        <f t="shared" si="23"/>
        <v>{ 'emailAddress' : 'hennessyadelaide@gmail.com', 'firstName' : 'Adelaide', 'lastName' : 'Hennessy', 'billingAddress' : { 'bStreet' : '2172 Stoney Creek', 'bUnit' : '310', 'bCity' : 'Green Lake', 'bProvince' : 'Saskatchewan', 'bZip' : 'S4P 3Y2', 'bMobileNumber' : '306-832-9394' } , 'deliveryAddress' : { 'dStreet' : '3238 102nd Avenue', 'dUnit' : '411', 'dCity' : 'Fort St John', 'dProvince' : 'British Columbia', 'dZip' : 'V1J 3Y7', 'dMobileNumber' : '250-263-5582' } , 'paymentMethod' : { 'paymentType' : 'Credit', 'nameOnCard' : 'Adelaide Hennessy', 'cardScheme' : 'Mastercard', 'cardLast4' : '8225', 'cardExpiryDate' : '05/2026' } },</v>
      </c>
    </row>
    <row r="24" spans="1:44" x14ac:dyDescent="0.35">
      <c r="A24">
        <v>21</v>
      </c>
      <c r="B24" s="39" t="str">
        <f t="shared" ref="B24:B34" si="30">LOWER(C24)&amp;LOWER(D24)&amp;"@gmail.com"</f>
        <v>jessewilliams@gmail.com</v>
      </c>
      <c r="C24" t="s">
        <v>531</v>
      </c>
      <c r="D24" t="s">
        <v>561</v>
      </c>
      <c r="E24" t="s">
        <v>413</v>
      </c>
      <c r="F24" s="39" t="s">
        <v>570</v>
      </c>
      <c r="G24" t="s">
        <v>436</v>
      </c>
      <c r="H24" t="s">
        <v>451</v>
      </c>
      <c r="I24" t="s">
        <v>471</v>
      </c>
      <c r="J24" t="s">
        <v>501</v>
      </c>
      <c r="K24" t="s">
        <v>593</v>
      </c>
      <c r="L24" t="s">
        <v>571</v>
      </c>
      <c r="M24" t="s">
        <v>600</v>
      </c>
      <c r="N24" t="s">
        <v>26</v>
      </c>
      <c r="O24" t="s">
        <v>622</v>
      </c>
      <c r="P24" t="s">
        <v>634</v>
      </c>
      <c r="Q24" t="s">
        <v>636</v>
      </c>
      <c r="R24" s="39" t="str">
        <f t="shared" si="1"/>
        <v>Jesse Williams</v>
      </c>
      <c r="S24" t="s">
        <v>637</v>
      </c>
      <c r="T24" s="39" t="str">
        <f t="shared" si="2"/>
        <v>3551</v>
      </c>
      <c r="U24" s="39" t="s">
        <v>658</v>
      </c>
      <c r="W24" t="str">
        <f t="shared" si="3"/>
        <v xml:space="preserve">'emailAddress' : 'jessewilliams@gmail.com', </v>
      </c>
      <c r="X24" t="str">
        <f t="shared" si="4"/>
        <v xml:space="preserve">'firstName' : 'Jesse', </v>
      </c>
      <c r="Y24" t="str">
        <f t="shared" si="5"/>
        <v xml:space="preserve">'lastName' : 'Williams', </v>
      </c>
      <c r="Z24" t="str">
        <f t="shared" si="6"/>
        <v xml:space="preserve">'billingAddress' : { 'bStreet' : '564 Heritage Drive', </v>
      </c>
      <c r="AA24" t="str">
        <f t="shared" si="7"/>
        <v xml:space="preserve">'bUnit' : '311', </v>
      </c>
      <c r="AB24" t="str">
        <f t="shared" si="8"/>
        <v xml:space="preserve">'bCity' : 'Calgary', </v>
      </c>
      <c r="AC24" t="str">
        <f t="shared" si="9"/>
        <v xml:space="preserve">'bProvince' : 'Alberta', </v>
      </c>
      <c r="AD24" t="str">
        <f t="shared" si="10"/>
        <v xml:space="preserve">'bZip' : 'T2V 2W2', </v>
      </c>
      <c r="AE24" t="str">
        <f t="shared" si="11"/>
        <v xml:space="preserve">'bMobileNumber' : '403-875-0334' } , </v>
      </c>
      <c r="AF24" t="str">
        <f t="shared" si="12"/>
        <v xml:space="preserve">'deliveryAddress' : { 'dStreet' : '4681 Baker Street', </v>
      </c>
      <c r="AG24" t="str">
        <f t="shared" si="13"/>
        <v xml:space="preserve">'dUnit' : '312', </v>
      </c>
      <c r="AH24" t="str">
        <f t="shared" si="14"/>
        <v xml:space="preserve">'dCity' : 'London', </v>
      </c>
      <c r="AI24" t="str">
        <f t="shared" si="15"/>
        <v xml:space="preserve">'dProvince' : 'Ontario', </v>
      </c>
      <c r="AJ24" t="str">
        <f t="shared" si="16"/>
        <v xml:space="preserve">'dZip' : 'N0N 0N0', </v>
      </c>
      <c r="AK24" t="str">
        <f t="shared" si="17"/>
        <v xml:space="preserve">'dMobileNumber' : '519-858-8035' } , </v>
      </c>
      <c r="AL24" t="str">
        <f t="shared" si="18"/>
        <v xml:space="preserve">'paymentMethod' : { 'paymentType' : 'Credit', </v>
      </c>
      <c r="AM24" t="str">
        <f t="shared" si="19"/>
        <v xml:space="preserve">'nameOnCard' : 'Jesse Williams', </v>
      </c>
      <c r="AN24" t="str">
        <f t="shared" si="20"/>
        <v xml:space="preserve">'cardScheme' : 'Visa', </v>
      </c>
      <c r="AO24" t="str">
        <f t="shared" si="21"/>
        <v xml:space="preserve">'cardLast4' : '3551', </v>
      </c>
      <c r="AP24" t="str">
        <f t="shared" si="22"/>
        <v>'cardExpiryDate' : '04/2026' }</v>
      </c>
      <c r="AR24" t="str">
        <f t="shared" si="23"/>
        <v>{ 'emailAddress' : 'jessewilliams@gmail.com', 'firstName' : 'Jesse', 'lastName' : 'Williams', 'billingAddress' : { 'bStreet' : '564 Heritage Drive', 'bUnit' : '311', 'bCity' : 'Calgary', 'bProvince' : 'Alberta', 'bZip' : 'T2V 2W2', 'bMobileNumber' : '403-875-0334' } , 'deliveryAddress' : { 'dStreet' : '4681 Baker Street', 'dUnit' : '312', 'dCity' : 'London', 'dProvince' : 'Ontario', 'dZip' : 'N0N 0N0', 'dMobileNumber' : '519-858-8035' } , 'paymentMethod' : { 'paymentType' : 'Credit', 'nameOnCard' : 'Jesse Williams', 'cardScheme' : 'Visa', 'cardLast4' : '3551', 'cardExpiryDate' : '04/2026' } },</v>
      </c>
    </row>
    <row r="25" spans="1:44" x14ac:dyDescent="0.35">
      <c r="A25">
        <v>22</v>
      </c>
      <c r="B25" s="39" t="str">
        <f t="shared" si="30"/>
        <v>ivyclarkson@gmail.com</v>
      </c>
      <c r="C25" t="s">
        <v>532</v>
      </c>
      <c r="D25" t="s">
        <v>544</v>
      </c>
      <c r="E25" t="s">
        <v>414</v>
      </c>
      <c r="F25" s="39" t="s">
        <v>571</v>
      </c>
      <c r="G25" t="s">
        <v>438</v>
      </c>
      <c r="H25" t="s">
        <v>26</v>
      </c>
      <c r="I25" t="s">
        <v>472</v>
      </c>
      <c r="J25" t="s">
        <v>502</v>
      </c>
      <c r="K25" s="39" t="str">
        <f t="shared" ref="K25:K33" si="31">E25</f>
        <v>1028 Garafraxa St</v>
      </c>
      <c r="L25" s="39" t="str">
        <f t="shared" ref="L25:L33" si="32">F25</f>
        <v>312</v>
      </c>
      <c r="M25" s="39" t="str">
        <f t="shared" ref="M25:M33" si="33">G25</f>
        <v>Tara</v>
      </c>
      <c r="N25" s="39" t="str">
        <f t="shared" ref="N25:N33" si="34">H25</f>
        <v>Ontario</v>
      </c>
      <c r="O25" s="39" t="str">
        <f t="shared" ref="O25:O33" si="35">I25</f>
        <v>N0H 2N0</v>
      </c>
      <c r="P25" s="39" t="str">
        <f t="shared" ref="P25:P33" si="36">J25</f>
        <v>519-934-6315</v>
      </c>
      <c r="Q25" t="s">
        <v>636</v>
      </c>
      <c r="R25" s="39" t="str">
        <f t="shared" si="1"/>
        <v>Ivy Clarkson</v>
      </c>
      <c r="S25" t="s">
        <v>637</v>
      </c>
      <c r="T25" s="39" t="str">
        <f t="shared" si="2"/>
        <v>1551</v>
      </c>
      <c r="U25" s="39" t="s">
        <v>659</v>
      </c>
      <c r="W25" t="str">
        <f t="shared" si="3"/>
        <v xml:space="preserve">'emailAddress' : 'ivyclarkson@gmail.com', </v>
      </c>
      <c r="X25" t="str">
        <f t="shared" si="4"/>
        <v xml:space="preserve">'firstName' : 'Ivy', </v>
      </c>
      <c r="Y25" t="str">
        <f t="shared" si="5"/>
        <v xml:space="preserve">'lastName' : 'Clarkson', </v>
      </c>
      <c r="Z25" t="str">
        <f t="shared" si="6"/>
        <v xml:space="preserve">'billingAddress' : { 'bStreet' : '1028 Garafraxa St', </v>
      </c>
      <c r="AA25" t="str">
        <f t="shared" si="7"/>
        <v xml:space="preserve">'bUnit' : '312', </v>
      </c>
      <c r="AB25" t="str">
        <f t="shared" si="8"/>
        <v xml:space="preserve">'bCity' : 'Tara', </v>
      </c>
      <c r="AC25" t="str">
        <f t="shared" si="9"/>
        <v xml:space="preserve">'bProvince' : 'Ontario', </v>
      </c>
      <c r="AD25" t="str">
        <f t="shared" si="10"/>
        <v xml:space="preserve">'bZip' : 'N0H 2N0', </v>
      </c>
      <c r="AE25" t="str">
        <f t="shared" si="11"/>
        <v xml:space="preserve">'bMobileNumber' : '519-934-6315' } , </v>
      </c>
      <c r="AF25" t="str">
        <f t="shared" si="12"/>
        <v xml:space="preserve">'deliveryAddress' : { 'dStreet' : '1028 Garafraxa St', </v>
      </c>
      <c r="AG25" t="str">
        <f t="shared" si="13"/>
        <v xml:space="preserve">'dUnit' : '312', </v>
      </c>
      <c r="AH25" t="str">
        <f t="shared" si="14"/>
        <v xml:space="preserve">'dCity' : 'Tara', </v>
      </c>
      <c r="AI25" t="str">
        <f t="shared" si="15"/>
        <v xml:space="preserve">'dProvince' : 'Ontario', </v>
      </c>
      <c r="AJ25" t="str">
        <f t="shared" si="16"/>
        <v xml:space="preserve">'dZip' : 'N0H 2N0', </v>
      </c>
      <c r="AK25" t="str">
        <f t="shared" si="17"/>
        <v xml:space="preserve">'dMobileNumber' : '519-934-6315' } , </v>
      </c>
      <c r="AL25" t="str">
        <f t="shared" si="18"/>
        <v xml:space="preserve">'paymentMethod' : { 'paymentType' : 'Credit', </v>
      </c>
      <c r="AM25" t="str">
        <f t="shared" si="19"/>
        <v xml:space="preserve">'nameOnCard' : 'Ivy Clarkson', </v>
      </c>
      <c r="AN25" t="str">
        <f t="shared" si="20"/>
        <v xml:space="preserve">'cardScheme' : 'Visa', </v>
      </c>
      <c r="AO25" t="str">
        <f t="shared" si="21"/>
        <v xml:space="preserve">'cardLast4' : '1551', </v>
      </c>
      <c r="AP25" t="str">
        <f t="shared" si="22"/>
        <v>'cardExpiryDate' : '09/2023' }</v>
      </c>
      <c r="AR25" t="str">
        <f t="shared" si="23"/>
        <v>{ 'emailAddress' : 'ivyclarkson@gmail.com', 'firstName' : 'Ivy', 'lastName' : 'Clarkson', 'billingAddress' : { 'bStreet' : '1028 Garafraxa St', 'bUnit' : '312', 'bCity' : 'Tara', 'bProvince' : 'Ontario', 'bZip' : 'N0H 2N0', 'bMobileNumber' : '519-934-6315' } , 'deliveryAddress' : { 'dStreet' : '1028 Garafraxa St', 'dUnit' : '312', 'dCity' : 'Tara', 'dProvince' : 'Ontario', 'dZip' : 'N0H 2N0', 'dMobileNumber' : '519-934-6315' } , 'paymentMethod' : { 'paymentType' : 'Credit', 'nameOnCard' : 'Ivy Clarkson', 'cardScheme' : 'Visa', 'cardLast4' : '1551', 'cardExpiryDate' : '09/2023' } },</v>
      </c>
    </row>
    <row r="26" spans="1:44" x14ac:dyDescent="0.35">
      <c r="A26">
        <v>23</v>
      </c>
      <c r="B26" s="39" t="str">
        <f t="shared" si="30"/>
        <v>bethanynevin@gmail.com</v>
      </c>
      <c r="C26" t="s">
        <v>533</v>
      </c>
      <c r="D26" t="s">
        <v>562</v>
      </c>
      <c r="E26" t="s">
        <v>415</v>
      </c>
      <c r="F26" s="39" t="s">
        <v>572</v>
      </c>
      <c r="G26" t="s">
        <v>439</v>
      </c>
      <c r="H26" t="s">
        <v>455</v>
      </c>
      <c r="I26" t="s">
        <v>473</v>
      </c>
      <c r="J26" t="s">
        <v>503</v>
      </c>
      <c r="K26" s="39" t="str">
        <f t="shared" si="31"/>
        <v>3816 Hardy Street</v>
      </c>
      <c r="L26" s="39" t="str">
        <f t="shared" si="32"/>
        <v>313</v>
      </c>
      <c r="M26" s="39" t="str">
        <f t="shared" si="33"/>
        <v>Kelowna</v>
      </c>
      <c r="N26" s="39" t="str">
        <f t="shared" si="34"/>
        <v>British Columbia</v>
      </c>
      <c r="O26" s="39" t="str">
        <f t="shared" si="35"/>
        <v>V1Y 8H2</v>
      </c>
      <c r="P26" s="39" t="str">
        <f t="shared" si="36"/>
        <v>250-712-4772</v>
      </c>
      <c r="Q26" t="s">
        <v>636</v>
      </c>
      <c r="R26" s="39" t="str">
        <f t="shared" si="1"/>
        <v>Bethany Nevin</v>
      </c>
      <c r="S26" t="s">
        <v>638</v>
      </c>
      <c r="T26" s="39" t="str">
        <f t="shared" si="2"/>
        <v>7225</v>
      </c>
      <c r="U26" s="39" t="s">
        <v>659</v>
      </c>
      <c r="W26" t="str">
        <f t="shared" si="3"/>
        <v xml:space="preserve">'emailAddress' : 'bethanynevin@gmail.com', </v>
      </c>
      <c r="X26" t="str">
        <f t="shared" si="4"/>
        <v xml:space="preserve">'firstName' : 'Bethany', </v>
      </c>
      <c r="Y26" t="str">
        <f t="shared" si="5"/>
        <v xml:space="preserve">'lastName' : 'Nevin', </v>
      </c>
      <c r="Z26" t="str">
        <f t="shared" si="6"/>
        <v xml:space="preserve">'billingAddress' : { 'bStreet' : '3816 Hardy Street', </v>
      </c>
      <c r="AA26" t="str">
        <f t="shared" si="7"/>
        <v xml:space="preserve">'bUnit' : '313', </v>
      </c>
      <c r="AB26" t="str">
        <f t="shared" si="8"/>
        <v xml:space="preserve">'bCity' : 'Kelowna', </v>
      </c>
      <c r="AC26" t="str">
        <f t="shared" si="9"/>
        <v xml:space="preserve">'bProvince' : 'British Columbia', </v>
      </c>
      <c r="AD26" t="str">
        <f t="shared" si="10"/>
        <v xml:space="preserve">'bZip' : 'V1Y 8H2', </v>
      </c>
      <c r="AE26" t="str">
        <f t="shared" si="11"/>
        <v xml:space="preserve">'bMobileNumber' : '250-712-4772' } , </v>
      </c>
      <c r="AF26" t="str">
        <f t="shared" si="12"/>
        <v xml:space="preserve">'deliveryAddress' : { 'dStreet' : '3816 Hardy Street', </v>
      </c>
      <c r="AG26" t="str">
        <f t="shared" si="13"/>
        <v xml:space="preserve">'dUnit' : '313', </v>
      </c>
      <c r="AH26" t="str">
        <f t="shared" si="14"/>
        <v xml:space="preserve">'dCity' : 'Kelowna', </v>
      </c>
      <c r="AI26" t="str">
        <f t="shared" si="15"/>
        <v xml:space="preserve">'dProvince' : 'British Columbia', </v>
      </c>
      <c r="AJ26" t="str">
        <f t="shared" si="16"/>
        <v xml:space="preserve">'dZip' : 'V1Y 8H2', </v>
      </c>
      <c r="AK26" t="str">
        <f t="shared" si="17"/>
        <v xml:space="preserve">'dMobileNumber' : '250-712-4772' } , </v>
      </c>
      <c r="AL26" t="str">
        <f t="shared" si="18"/>
        <v xml:space="preserve">'paymentMethod' : { 'paymentType' : 'Credit', </v>
      </c>
      <c r="AM26" t="str">
        <f t="shared" si="19"/>
        <v xml:space="preserve">'nameOnCard' : 'Bethany Nevin', </v>
      </c>
      <c r="AN26" t="str">
        <f t="shared" si="20"/>
        <v xml:space="preserve">'cardScheme' : 'Mastercard', </v>
      </c>
      <c r="AO26" t="str">
        <f t="shared" si="21"/>
        <v xml:space="preserve">'cardLast4' : '7225', </v>
      </c>
      <c r="AP26" t="str">
        <f t="shared" si="22"/>
        <v>'cardExpiryDate' : '09/2023' }</v>
      </c>
      <c r="AR26" t="str">
        <f t="shared" si="23"/>
        <v>{ 'emailAddress' : 'bethanynevin@gmail.com', 'firstName' : 'Bethany', 'lastName' : 'Nevin', 'billingAddress' : { 'bStreet' : '3816 Hardy Street', 'bUnit' : '313', 'bCity' : 'Kelowna', 'bProvince' : 'British Columbia', 'bZip' : 'V1Y 8H2', 'bMobileNumber' : '250-712-4772' } , 'deliveryAddress' : { 'dStreet' : '3816 Hardy Street', 'dUnit' : '313', 'dCity' : 'Kelowna', 'dProvince' : 'British Columbia', 'dZip' : 'V1Y 8H2', 'dMobileNumber' : '250-712-4772' } , 'paymentMethod' : { 'paymentType' : 'Credit', 'nameOnCard' : 'Bethany Nevin', 'cardScheme' : 'Mastercard', 'cardLast4' : '7225', 'cardExpiryDate' : '09/2023' } },</v>
      </c>
    </row>
    <row r="27" spans="1:44" x14ac:dyDescent="0.35">
      <c r="A27">
        <v>24</v>
      </c>
      <c r="B27" s="39" t="str">
        <f t="shared" si="30"/>
        <v>octaviaboyd@gmail.com</v>
      </c>
      <c r="C27" t="s">
        <v>534</v>
      </c>
      <c r="D27" t="s">
        <v>563</v>
      </c>
      <c r="E27" t="s">
        <v>416</v>
      </c>
      <c r="F27" s="39" t="s">
        <v>573</v>
      </c>
      <c r="G27" t="s">
        <v>440</v>
      </c>
      <c r="H27" t="s">
        <v>453</v>
      </c>
      <c r="I27" t="s">
        <v>474</v>
      </c>
      <c r="J27" t="s">
        <v>504</v>
      </c>
      <c r="K27" s="39" t="str">
        <f t="shared" si="31"/>
        <v>2179 Côte Joyeuse</v>
      </c>
      <c r="L27" s="39" t="str">
        <f t="shared" si="32"/>
        <v>314</v>
      </c>
      <c r="M27" s="39" t="str">
        <f t="shared" si="33"/>
        <v>L'etape</v>
      </c>
      <c r="N27" s="39" t="str">
        <f t="shared" si="34"/>
        <v>Quebec</v>
      </c>
      <c r="O27" s="39" t="str">
        <f t="shared" si="35"/>
        <v>H0H 0H0</v>
      </c>
      <c r="P27" s="39" t="str">
        <f t="shared" si="36"/>
        <v>418-859-5959</v>
      </c>
      <c r="Q27" t="s">
        <v>636</v>
      </c>
      <c r="R27" s="39" t="str">
        <f t="shared" si="1"/>
        <v>Octavia Boyd</v>
      </c>
      <c r="S27" t="s">
        <v>638</v>
      </c>
      <c r="T27" s="39" t="str">
        <f t="shared" si="2"/>
        <v>5941</v>
      </c>
      <c r="U27" s="39" t="s">
        <v>657</v>
      </c>
      <c r="W27" t="str">
        <f t="shared" si="3"/>
        <v xml:space="preserve">'emailAddress' : 'octaviaboyd@gmail.com', </v>
      </c>
      <c r="X27" t="str">
        <f t="shared" si="4"/>
        <v xml:space="preserve">'firstName' : 'Octavia', </v>
      </c>
      <c r="Y27" t="str">
        <f t="shared" si="5"/>
        <v xml:space="preserve">'lastName' : 'Boyd', </v>
      </c>
      <c r="Z27" t="str">
        <f t="shared" si="6"/>
        <v xml:space="preserve">'billingAddress' : { 'bStreet' : '2179 Côte Joyeuse', </v>
      </c>
      <c r="AA27" t="str">
        <f t="shared" si="7"/>
        <v xml:space="preserve">'bUnit' : '314', </v>
      </c>
      <c r="AB27" t="str">
        <f t="shared" si="8"/>
        <v xml:space="preserve">'bCity' : 'L'etape', </v>
      </c>
      <c r="AC27" t="str">
        <f t="shared" si="9"/>
        <v xml:space="preserve">'bProvince' : 'Quebec', </v>
      </c>
      <c r="AD27" t="str">
        <f t="shared" si="10"/>
        <v xml:space="preserve">'bZip' : 'H0H 0H0', </v>
      </c>
      <c r="AE27" t="str">
        <f t="shared" si="11"/>
        <v xml:space="preserve">'bMobileNumber' : '418-859-5959' } , </v>
      </c>
      <c r="AF27" t="str">
        <f t="shared" si="12"/>
        <v xml:space="preserve">'deliveryAddress' : { 'dStreet' : '2179 Côte Joyeuse', </v>
      </c>
      <c r="AG27" t="str">
        <f t="shared" si="13"/>
        <v xml:space="preserve">'dUnit' : '314', </v>
      </c>
      <c r="AH27" t="str">
        <f t="shared" si="14"/>
        <v xml:space="preserve">'dCity' : 'L'etape', </v>
      </c>
      <c r="AI27" t="str">
        <f t="shared" si="15"/>
        <v xml:space="preserve">'dProvince' : 'Quebec', </v>
      </c>
      <c r="AJ27" t="str">
        <f t="shared" si="16"/>
        <v xml:space="preserve">'dZip' : 'H0H 0H0', </v>
      </c>
      <c r="AK27" t="str">
        <f t="shared" si="17"/>
        <v xml:space="preserve">'dMobileNumber' : '418-859-5959' } , </v>
      </c>
      <c r="AL27" t="str">
        <f t="shared" si="18"/>
        <v xml:space="preserve">'paymentMethod' : { 'paymentType' : 'Credit', </v>
      </c>
      <c r="AM27" t="str">
        <f t="shared" si="19"/>
        <v xml:space="preserve">'nameOnCard' : 'Octavia Boyd', </v>
      </c>
      <c r="AN27" t="str">
        <f t="shared" si="20"/>
        <v xml:space="preserve">'cardScheme' : 'Mastercard', </v>
      </c>
      <c r="AO27" t="str">
        <f t="shared" si="21"/>
        <v xml:space="preserve">'cardLast4' : '5941', </v>
      </c>
      <c r="AP27" t="str">
        <f t="shared" si="22"/>
        <v>'cardExpiryDate' : '05/2026' }</v>
      </c>
      <c r="AR27" t="str">
        <f t="shared" si="23"/>
        <v>{ 'emailAddress' : 'octaviaboyd@gmail.com', 'firstName' : 'Octavia', 'lastName' : 'Boyd', 'billingAddress' : { 'bStreet' : '2179 Côte Joyeuse', 'bUnit' : '314', 'bCity' : 'L'etape', 'bProvince' : 'Quebec', 'bZip' : 'H0H 0H0', 'bMobileNumber' : '418-859-5959' } , 'deliveryAddress' : { 'dStreet' : '2179 Côte Joyeuse', 'dUnit' : '314', 'dCity' : 'L'etape', 'dProvince' : 'Quebec', 'dZip' : 'H0H 0H0', 'dMobileNumber' : '418-859-5959' } , 'paymentMethod' : { 'paymentType' : 'Credit', 'nameOnCard' : 'Octavia Boyd', 'cardScheme' : 'Mastercard', 'cardLast4' : '5941', 'cardExpiryDate' : '05/2026' } },</v>
      </c>
    </row>
    <row r="28" spans="1:44" x14ac:dyDescent="0.35">
      <c r="A28">
        <v>25</v>
      </c>
      <c r="B28" s="39" t="str">
        <f t="shared" si="30"/>
        <v>anastasiatimbrell@gmail.com</v>
      </c>
      <c r="C28" t="s">
        <v>535</v>
      </c>
      <c r="D28" t="s">
        <v>564</v>
      </c>
      <c r="E28" t="s">
        <v>417</v>
      </c>
      <c r="F28" s="39" t="s">
        <v>574</v>
      </c>
      <c r="G28" t="s">
        <v>441</v>
      </c>
      <c r="H28" t="s">
        <v>26</v>
      </c>
      <c r="I28" t="s">
        <v>475</v>
      </c>
      <c r="J28" t="s">
        <v>505</v>
      </c>
      <c r="K28" s="39" t="str">
        <f t="shared" si="31"/>
        <v>454 Merivale Road</v>
      </c>
      <c r="L28" s="39" t="str">
        <f t="shared" si="32"/>
        <v>215</v>
      </c>
      <c r="M28" s="39" t="str">
        <f t="shared" si="33"/>
        <v>Ottawa</v>
      </c>
      <c r="N28" s="39" t="str">
        <f t="shared" si="34"/>
        <v>Ontario</v>
      </c>
      <c r="O28" s="39" t="str">
        <f t="shared" si="35"/>
        <v>K2H 5B6</v>
      </c>
      <c r="P28" s="39" t="str">
        <f t="shared" si="36"/>
        <v>613-721-0698</v>
      </c>
      <c r="Q28" t="s">
        <v>636</v>
      </c>
      <c r="R28" s="39" t="str">
        <f t="shared" si="1"/>
        <v>Anastasia Timbrell</v>
      </c>
      <c r="S28" t="s">
        <v>637</v>
      </c>
      <c r="T28" s="39" t="str">
        <f t="shared" si="2"/>
        <v>9861</v>
      </c>
      <c r="U28" s="39" t="s">
        <v>650</v>
      </c>
      <c r="W28" t="str">
        <f t="shared" si="3"/>
        <v xml:space="preserve">'emailAddress' : 'anastasiatimbrell@gmail.com', </v>
      </c>
      <c r="X28" t="str">
        <f t="shared" si="4"/>
        <v xml:space="preserve">'firstName' : 'Anastasia', </v>
      </c>
      <c r="Y28" t="str">
        <f t="shared" si="5"/>
        <v xml:space="preserve">'lastName' : 'Timbrell', </v>
      </c>
      <c r="Z28" t="str">
        <f t="shared" si="6"/>
        <v xml:space="preserve">'billingAddress' : { 'bStreet' : '454 Merivale Road', </v>
      </c>
      <c r="AA28" t="str">
        <f t="shared" si="7"/>
        <v xml:space="preserve">'bUnit' : '215', </v>
      </c>
      <c r="AB28" t="str">
        <f t="shared" si="8"/>
        <v xml:space="preserve">'bCity' : 'Ottawa', </v>
      </c>
      <c r="AC28" t="str">
        <f t="shared" si="9"/>
        <v xml:space="preserve">'bProvince' : 'Ontario', </v>
      </c>
      <c r="AD28" t="str">
        <f t="shared" si="10"/>
        <v xml:space="preserve">'bZip' : 'K2H 5B6', </v>
      </c>
      <c r="AE28" t="str">
        <f t="shared" si="11"/>
        <v xml:space="preserve">'bMobileNumber' : '613-721-0698' } , </v>
      </c>
      <c r="AF28" t="str">
        <f t="shared" si="12"/>
        <v xml:space="preserve">'deliveryAddress' : { 'dStreet' : '454 Merivale Road', </v>
      </c>
      <c r="AG28" t="str">
        <f t="shared" si="13"/>
        <v xml:space="preserve">'dUnit' : '215', </v>
      </c>
      <c r="AH28" t="str">
        <f t="shared" si="14"/>
        <v xml:space="preserve">'dCity' : 'Ottawa', </v>
      </c>
      <c r="AI28" t="str">
        <f t="shared" si="15"/>
        <v xml:space="preserve">'dProvince' : 'Ontario', </v>
      </c>
      <c r="AJ28" t="str">
        <f t="shared" si="16"/>
        <v xml:space="preserve">'dZip' : 'K2H 5B6', </v>
      </c>
      <c r="AK28" t="str">
        <f t="shared" si="17"/>
        <v xml:space="preserve">'dMobileNumber' : '613-721-0698' } , </v>
      </c>
      <c r="AL28" t="str">
        <f t="shared" si="18"/>
        <v xml:space="preserve">'paymentMethod' : { 'paymentType' : 'Credit', </v>
      </c>
      <c r="AM28" t="str">
        <f t="shared" si="19"/>
        <v xml:space="preserve">'nameOnCard' : 'Anastasia Timbrell', </v>
      </c>
      <c r="AN28" t="str">
        <f t="shared" si="20"/>
        <v xml:space="preserve">'cardScheme' : 'Visa', </v>
      </c>
      <c r="AO28" t="str">
        <f t="shared" si="21"/>
        <v xml:space="preserve">'cardLast4' : '9861', </v>
      </c>
      <c r="AP28" t="str">
        <f t="shared" si="22"/>
        <v>'cardExpiryDate' : '03/2024' }</v>
      </c>
      <c r="AR28" t="str">
        <f t="shared" si="23"/>
        <v>{ 'emailAddress' : 'anastasiatimbrell@gmail.com', 'firstName' : 'Anastasia', 'lastName' : 'Timbrell', 'billingAddress' : { 'bStreet' : '454 Merivale Road', 'bUnit' : '215', 'bCity' : 'Ottawa', 'bProvince' : 'Ontario', 'bZip' : 'K2H 5B6', 'bMobileNumber' : '613-721-0698' } , 'deliveryAddress' : { 'dStreet' : '454 Merivale Road', 'dUnit' : '215', 'dCity' : 'Ottawa', 'dProvince' : 'Ontario', 'dZip' : 'K2H 5B6', 'dMobileNumber' : '613-721-0698' } , 'paymentMethod' : { 'paymentType' : 'Credit', 'nameOnCard' : 'Anastasia Timbrell', 'cardScheme' : 'Visa', 'cardLast4' : '9861', 'cardExpiryDate' : '03/2024' } },</v>
      </c>
    </row>
    <row r="29" spans="1:44" x14ac:dyDescent="0.35">
      <c r="A29">
        <v>26</v>
      </c>
      <c r="B29" s="39" t="str">
        <f t="shared" si="30"/>
        <v>donovanmarkle@gmail.com</v>
      </c>
      <c r="C29" t="s">
        <v>536</v>
      </c>
      <c r="D29" t="s">
        <v>565</v>
      </c>
      <c r="E29" t="s">
        <v>418</v>
      </c>
      <c r="F29" s="39" t="s">
        <v>575</v>
      </c>
      <c r="G29" t="s">
        <v>442</v>
      </c>
      <c r="H29" t="s">
        <v>26</v>
      </c>
      <c r="I29" t="s">
        <v>476</v>
      </c>
      <c r="J29" t="s">
        <v>506</v>
      </c>
      <c r="K29" s="39" t="str">
        <f t="shared" si="31"/>
        <v>4337 Algonquin Blvd</v>
      </c>
      <c r="L29" s="39" t="str">
        <f t="shared" si="32"/>
        <v>216</v>
      </c>
      <c r="M29" s="39" t="str">
        <f t="shared" si="33"/>
        <v>Timmins</v>
      </c>
      <c r="N29" s="39" t="str">
        <f t="shared" si="34"/>
        <v>Ontario</v>
      </c>
      <c r="O29" s="39" t="str">
        <f t="shared" si="35"/>
        <v>P4N 7C4</v>
      </c>
      <c r="P29" s="39" t="str">
        <f t="shared" si="36"/>
        <v>705-668-1540</v>
      </c>
      <c r="Q29" t="s">
        <v>636</v>
      </c>
      <c r="R29" s="39" t="str">
        <f t="shared" si="1"/>
        <v>Donovan Markle</v>
      </c>
      <c r="S29" t="s">
        <v>637</v>
      </c>
      <c r="T29" s="39" t="str">
        <f t="shared" si="2"/>
        <v>4070</v>
      </c>
      <c r="U29" s="39" t="s">
        <v>652</v>
      </c>
      <c r="W29" t="str">
        <f t="shared" si="3"/>
        <v xml:space="preserve">'emailAddress' : 'donovanmarkle@gmail.com', </v>
      </c>
      <c r="X29" t="str">
        <f t="shared" si="4"/>
        <v xml:space="preserve">'firstName' : 'Donovan', </v>
      </c>
      <c r="Y29" t="str">
        <f t="shared" si="5"/>
        <v xml:space="preserve">'lastName' : 'Markle', </v>
      </c>
      <c r="Z29" t="str">
        <f t="shared" si="6"/>
        <v xml:space="preserve">'billingAddress' : { 'bStreet' : '4337 Algonquin Blvd', </v>
      </c>
      <c r="AA29" t="str">
        <f t="shared" si="7"/>
        <v xml:space="preserve">'bUnit' : '216', </v>
      </c>
      <c r="AB29" t="str">
        <f t="shared" si="8"/>
        <v xml:space="preserve">'bCity' : 'Timmins', </v>
      </c>
      <c r="AC29" t="str">
        <f t="shared" si="9"/>
        <v xml:space="preserve">'bProvince' : 'Ontario', </v>
      </c>
      <c r="AD29" t="str">
        <f t="shared" si="10"/>
        <v xml:space="preserve">'bZip' : 'P4N 7C4', </v>
      </c>
      <c r="AE29" t="str">
        <f t="shared" si="11"/>
        <v xml:space="preserve">'bMobileNumber' : '705-668-1540' } , </v>
      </c>
      <c r="AF29" t="str">
        <f t="shared" si="12"/>
        <v xml:space="preserve">'deliveryAddress' : { 'dStreet' : '4337 Algonquin Blvd', </v>
      </c>
      <c r="AG29" t="str">
        <f t="shared" si="13"/>
        <v xml:space="preserve">'dUnit' : '216', </v>
      </c>
      <c r="AH29" t="str">
        <f t="shared" si="14"/>
        <v xml:space="preserve">'dCity' : 'Timmins', </v>
      </c>
      <c r="AI29" t="str">
        <f t="shared" si="15"/>
        <v xml:space="preserve">'dProvince' : 'Ontario', </v>
      </c>
      <c r="AJ29" t="str">
        <f t="shared" si="16"/>
        <v xml:space="preserve">'dZip' : 'P4N 7C4', </v>
      </c>
      <c r="AK29" t="str">
        <f t="shared" si="17"/>
        <v xml:space="preserve">'dMobileNumber' : '705-668-1540' } , </v>
      </c>
      <c r="AL29" t="str">
        <f t="shared" si="18"/>
        <v xml:space="preserve">'paymentMethod' : { 'paymentType' : 'Credit', </v>
      </c>
      <c r="AM29" t="str">
        <f t="shared" si="19"/>
        <v xml:space="preserve">'nameOnCard' : 'Donovan Markle', </v>
      </c>
      <c r="AN29" t="str">
        <f t="shared" si="20"/>
        <v xml:space="preserve">'cardScheme' : 'Visa', </v>
      </c>
      <c r="AO29" t="str">
        <f t="shared" si="21"/>
        <v xml:space="preserve">'cardLast4' : '4070', </v>
      </c>
      <c r="AP29" t="str">
        <f t="shared" si="22"/>
        <v>'cardExpiryDate' : '12/2023' }</v>
      </c>
      <c r="AR29" t="str">
        <f t="shared" si="23"/>
        <v>{ 'emailAddress' : 'donovanmarkle@gmail.com', 'firstName' : 'Donovan', 'lastName' : 'Markle', 'billingAddress' : { 'bStreet' : '4337 Algonquin Blvd', 'bUnit' : '216', 'bCity' : 'Timmins', 'bProvince' : 'Ontario', 'bZip' : 'P4N 7C4', 'bMobileNumber' : '705-668-1540' } , 'deliveryAddress' : { 'dStreet' : '4337 Algonquin Blvd', 'dUnit' : '216', 'dCity' : 'Timmins', 'dProvince' : 'Ontario', 'dZip' : 'P4N 7C4', 'dMobileNumber' : '705-668-1540' } , 'paymentMethod' : { 'paymentType' : 'Credit', 'nameOnCard' : 'Donovan Markle', 'cardScheme' : 'Visa', 'cardLast4' : '4070', 'cardExpiryDate' : '12/2023' } },</v>
      </c>
    </row>
    <row r="30" spans="1:44" x14ac:dyDescent="0.35">
      <c r="A30">
        <v>27</v>
      </c>
      <c r="B30" s="39" t="str">
        <f t="shared" si="30"/>
        <v>sloanmclaughlin@gmail.com</v>
      </c>
      <c r="C30" t="s">
        <v>537</v>
      </c>
      <c r="D30" t="s">
        <v>566</v>
      </c>
      <c r="E30" t="s">
        <v>419</v>
      </c>
      <c r="F30" s="39" t="s">
        <v>576</v>
      </c>
      <c r="G30" t="s">
        <v>443</v>
      </c>
      <c r="H30" t="s">
        <v>26</v>
      </c>
      <c r="I30" t="s">
        <v>477</v>
      </c>
      <c r="J30" t="s">
        <v>507</v>
      </c>
      <c r="K30" s="39" t="str">
        <f t="shared" si="31"/>
        <v>3729 Northumberland Street</v>
      </c>
      <c r="L30" s="39" t="str">
        <f t="shared" si="32"/>
        <v>117</v>
      </c>
      <c r="M30" s="39" t="str">
        <f t="shared" si="33"/>
        <v>Hillsburgh</v>
      </c>
      <c r="N30" s="39" t="str">
        <f t="shared" si="34"/>
        <v>Ontario</v>
      </c>
      <c r="O30" s="39" t="str">
        <f t="shared" si="35"/>
        <v>N0B 1Z0</v>
      </c>
      <c r="P30" s="39" t="str">
        <f t="shared" si="36"/>
        <v>519-855-4411</v>
      </c>
      <c r="Q30" t="s">
        <v>635</v>
      </c>
      <c r="R30" s="39" t="str">
        <f t="shared" si="1"/>
        <v>Sloan McLaughlin</v>
      </c>
      <c r="S30" t="s">
        <v>638</v>
      </c>
      <c r="T30" s="39" t="str">
        <f t="shared" si="2"/>
        <v>1151</v>
      </c>
      <c r="U30" s="39" t="s">
        <v>660</v>
      </c>
      <c r="W30" t="str">
        <f t="shared" si="3"/>
        <v xml:space="preserve">'emailAddress' : 'sloanmclaughlin@gmail.com', </v>
      </c>
      <c r="X30" t="str">
        <f t="shared" si="4"/>
        <v xml:space="preserve">'firstName' : 'Sloan', </v>
      </c>
      <c r="Y30" t="str">
        <f t="shared" si="5"/>
        <v xml:space="preserve">'lastName' : 'McLaughlin', </v>
      </c>
      <c r="Z30" t="str">
        <f t="shared" si="6"/>
        <v xml:space="preserve">'billingAddress' : { 'bStreet' : '3729 Northumberland Street', </v>
      </c>
      <c r="AA30" t="str">
        <f t="shared" si="7"/>
        <v xml:space="preserve">'bUnit' : '117', </v>
      </c>
      <c r="AB30" t="str">
        <f t="shared" si="8"/>
        <v xml:space="preserve">'bCity' : 'Hillsburgh', </v>
      </c>
      <c r="AC30" t="str">
        <f t="shared" si="9"/>
        <v xml:space="preserve">'bProvince' : 'Ontario', </v>
      </c>
      <c r="AD30" t="str">
        <f t="shared" si="10"/>
        <v xml:space="preserve">'bZip' : 'N0B 1Z0', </v>
      </c>
      <c r="AE30" t="str">
        <f t="shared" si="11"/>
        <v xml:space="preserve">'bMobileNumber' : '519-855-4411' } , </v>
      </c>
      <c r="AF30" t="str">
        <f t="shared" si="12"/>
        <v xml:space="preserve">'deliveryAddress' : { 'dStreet' : '3729 Northumberland Street', </v>
      </c>
      <c r="AG30" t="str">
        <f t="shared" si="13"/>
        <v xml:space="preserve">'dUnit' : '117', </v>
      </c>
      <c r="AH30" t="str">
        <f t="shared" si="14"/>
        <v xml:space="preserve">'dCity' : 'Hillsburgh', </v>
      </c>
      <c r="AI30" t="str">
        <f t="shared" si="15"/>
        <v xml:space="preserve">'dProvince' : 'Ontario', </v>
      </c>
      <c r="AJ30" t="str">
        <f t="shared" si="16"/>
        <v xml:space="preserve">'dZip' : 'N0B 1Z0', </v>
      </c>
      <c r="AK30" t="str">
        <f t="shared" si="17"/>
        <v xml:space="preserve">'dMobileNumber' : '519-855-4411' } , </v>
      </c>
      <c r="AL30" t="str">
        <f t="shared" si="18"/>
        <v xml:space="preserve">'paymentMethod' : { 'paymentType' : 'Debit', </v>
      </c>
      <c r="AM30" t="str">
        <f t="shared" si="19"/>
        <v xml:space="preserve">'nameOnCard' : 'Sloan McLaughlin', </v>
      </c>
      <c r="AN30" t="str">
        <f t="shared" si="20"/>
        <v xml:space="preserve">'cardScheme' : 'Mastercard', </v>
      </c>
      <c r="AO30" t="str">
        <f t="shared" si="21"/>
        <v xml:space="preserve">'cardLast4' : '1151', </v>
      </c>
      <c r="AP30" t="str">
        <f t="shared" si="22"/>
        <v>'cardExpiryDate' : '08/2024' }</v>
      </c>
      <c r="AR30" t="str">
        <f t="shared" si="23"/>
        <v>{ 'emailAddress' : 'sloanmclaughlin@gmail.com', 'firstName' : 'Sloan', 'lastName' : 'McLaughlin', 'billingAddress' : { 'bStreet' : '3729 Northumberland Street', 'bUnit' : '117', 'bCity' : 'Hillsburgh', 'bProvince' : 'Ontario', 'bZip' : 'N0B 1Z0', 'bMobileNumber' : '519-855-4411' } , 'deliveryAddress' : { 'dStreet' : '3729 Northumberland Street', 'dUnit' : '117', 'dCity' : 'Hillsburgh', 'dProvince' : 'Ontario', 'dZip' : 'N0B 1Z0', 'dMobileNumber' : '519-855-4411' } , 'paymentMethod' : { 'paymentType' : 'Debit', 'nameOnCard' : 'Sloan McLaughlin', 'cardScheme' : 'Mastercard', 'cardLast4' : '1151', 'cardExpiryDate' : '08/2024' } },</v>
      </c>
    </row>
    <row r="31" spans="1:44" x14ac:dyDescent="0.35">
      <c r="A31">
        <v>28</v>
      </c>
      <c r="B31" s="39" t="str">
        <f t="shared" si="30"/>
        <v>saraholiver@gmail.com</v>
      </c>
      <c r="C31" t="s">
        <v>538</v>
      </c>
      <c r="D31" t="s">
        <v>543</v>
      </c>
      <c r="E31" t="s">
        <v>420</v>
      </c>
      <c r="F31" s="39" t="s">
        <v>577</v>
      </c>
      <c r="G31" t="s">
        <v>435</v>
      </c>
      <c r="H31" t="s">
        <v>453</v>
      </c>
      <c r="I31" t="s">
        <v>478</v>
      </c>
      <c r="J31" t="s">
        <v>508</v>
      </c>
      <c r="K31" s="39" t="str">
        <f t="shared" si="31"/>
        <v>3908 René-Lévesque Blvd</v>
      </c>
      <c r="L31" s="39" t="str">
        <f t="shared" si="32"/>
        <v>218</v>
      </c>
      <c r="M31" s="39" t="str">
        <f t="shared" si="33"/>
        <v>Montreal</v>
      </c>
      <c r="N31" s="39" t="str">
        <f t="shared" si="34"/>
        <v>Quebec</v>
      </c>
      <c r="O31" s="39" t="str">
        <f t="shared" si="35"/>
        <v>H3B 4W8</v>
      </c>
      <c r="P31" s="39" t="str">
        <f t="shared" si="36"/>
        <v>514-573-0262</v>
      </c>
      <c r="Q31" t="s">
        <v>635</v>
      </c>
      <c r="R31" s="39" t="str">
        <f t="shared" si="1"/>
        <v>Sarah Oliver</v>
      </c>
      <c r="S31" t="s">
        <v>638</v>
      </c>
      <c r="T31" s="39" t="str">
        <f t="shared" si="2"/>
        <v>6251</v>
      </c>
      <c r="U31" s="39" t="s">
        <v>661</v>
      </c>
      <c r="W31" t="str">
        <f t="shared" si="3"/>
        <v xml:space="preserve">'emailAddress' : 'saraholiver@gmail.com', </v>
      </c>
      <c r="X31" t="str">
        <f t="shared" si="4"/>
        <v xml:space="preserve">'firstName' : 'Sarah', </v>
      </c>
      <c r="Y31" t="str">
        <f t="shared" si="5"/>
        <v xml:space="preserve">'lastName' : 'Oliver', </v>
      </c>
      <c r="Z31" t="str">
        <f t="shared" si="6"/>
        <v xml:space="preserve">'billingAddress' : { 'bStreet' : '3908 René-Lévesque Blvd', </v>
      </c>
      <c r="AA31" t="str">
        <f t="shared" si="7"/>
        <v xml:space="preserve">'bUnit' : '218', </v>
      </c>
      <c r="AB31" t="str">
        <f t="shared" si="8"/>
        <v xml:space="preserve">'bCity' : 'Montreal', </v>
      </c>
      <c r="AC31" t="str">
        <f t="shared" si="9"/>
        <v xml:space="preserve">'bProvince' : 'Quebec', </v>
      </c>
      <c r="AD31" t="str">
        <f t="shared" si="10"/>
        <v xml:space="preserve">'bZip' : 'H3B 4W8', </v>
      </c>
      <c r="AE31" t="str">
        <f t="shared" si="11"/>
        <v xml:space="preserve">'bMobileNumber' : '514-573-0262' } , </v>
      </c>
      <c r="AF31" t="str">
        <f t="shared" si="12"/>
        <v xml:space="preserve">'deliveryAddress' : { 'dStreet' : '3908 René-Lévesque Blvd', </v>
      </c>
      <c r="AG31" t="str">
        <f t="shared" si="13"/>
        <v xml:space="preserve">'dUnit' : '218', </v>
      </c>
      <c r="AH31" t="str">
        <f t="shared" si="14"/>
        <v xml:space="preserve">'dCity' : 'Montreal', </v>
      </c>
      <c r="AI31" t="str">
        <f t="shared" si="15"/>
        <v xml:space="preserve">'dProvince' : 'Quebec', </v>
      </c>
      <c r="AJ31" t="str">
        <f t="shared" si="16"/>
        <v xml:space="preserve">'dZip' : 'H3B 4W8', </v>
      </c>
      <c r="AK31" t="str">
        <f t="shared" si="17"/>
        <v xml:space="preserve">'dMobileNumber' : '514-573-0262' } , </v>
      </c>
      <c r="AL31" t="str">
        <f t="shared" si="18"/>
        <v xml:space="preserve">'paymentMethod' : { 'paymentType' : 'Debit', </v>
      </c>
      <c r="AM31" t="str">
        <f t="shared" si="19"/>
        <v xml:space="preserve">'nameOnCard' : 'Sarah Oliver', </v>
      </c>
      <c r="AN31" t="str">
        <f t="shared" si="20"/>
        <v xml:space="preserve">'cardScheme' : 'Mastercard', </v>
      </c>
      <c r="AO31" t="str">
        <f t="shared" si="21"/>
        <v xml:space="preserve">'cardLast4' : '6251', </v>
      </c>
      <c r="AP31" t="str">
        <f t="shared" si="22"/>
        <v>'cardExpiryDate' : '10/2024' }</v>
      </c>
      <c r="AR31" t="str">
        <f t="shared" si="23"/>
        <v>{ 'emailAddress' : 'saraholiver@gmail.com', 'firstName' : 'Sarah', 'lastName' : 'Oliver', 'billingAddress' : { 'bStreet' : '3908 René-Lévesque Blvd', 'bUnit' : '218', 'bCity' : 'Montreal', 'bProvince' : 'Quebec', 'bZip' : 'H3B 4W8', 'bMobileNumber' : '514-573-0262' } , 'deliveryAddress' : { 'dStreet' : '3908 René-Lévesque Blvd', 'dUnit' : '218', 'dCity' : 'Montreal', 'dProvince' : 'Quebec', 'dZip' : 'H3B 4W8', 'dMobileNumber' : '514-573-0262' } , 'paymentMethod' : { 'paymentType' : 'Debit', 'nameOnCard' : 'Sarah Oliver', 'cardScheme' : 'Mastercard', 'cardLast4' : '6251', 'cardExpiryDate' : '10/2024' } },</v>
      </c>
    </row>
    <row r="32" spans="1:44" x14ac:dyDescent="0.35">
      <c r="A32">
        <v>29</v>
      </c>
      <c r="B32" s="39" t="str">
        <f t="shared" si="30"/>
        <v>serenareeves@gmail.com</v>
      </c>
      <c r="C32" t="s">
        <v>539</v>
      </c>
      <c r="D32" t="s">
        <v>567</v>
      </c>
      <c r="E32" t="s">
        <v>421</v>
      </c>
      <c r="F32" s="39" t="s">
        <v>578</v>
      </c>
      <c r="G32" t="s">
        <v>444</v>
      </c>
      <c r="H32" t="s">
        <v>451</v>
      </c>
      <c r="I32" t="s">
        <v>479</v>
      </c>
      <c r="J32" t="s">
        <v>509</v>
      </c>
      <c r="K32" s="39" t="str">
        <f t="shared" si="31"/>
        <v>3610 Bloor Street</v>
      </c>
      <c r="L32" s="39" t="str">
        <f t="shared" si="32"/>
        <v>219</v>
      </c>
      <c r="M32" s="39" t="str">
        <f t="shared" si="33"/>
        <v>Vegreville</v>
      </c>
      <c r="N32" s="39" t="str">
        <f t="shared" si="34"/>
        <v>Alberta</v>
      </c>
      <c r="O32" s="39" t="str">
        <f t="shared" si="35"/>
        <v>T0B 4L0</v>
      </c>
      <c r="P32" s="39" t="str">
        <f t="shared" si="36"/>
        <v>780-632-2540</v>
      </c>
      <c r="Q32" t="s">
        <v>635</v>
      </c>
      <c r="R32" s="39" t="str">
        <f t="shared" si="1"/>
        <v>Serena Reeves</v>
      </c>
      <c r="S32" t="s">
        <v>637</v>
      </c>
      <c r="T32" s="39" t="str">
        <f t="shared" si="2"/>
        <v>4078</v>
      </c>
      <c r="U32" s="39" t="s">
        <v>662</v>
      </c>
      <c r="W32" t="str">
        <f t="shared" si="3"/>
        <v xml:space="preserve">'emailAddress' : 'serenareeves@gmail.com', </v>
      </c>
      <c r="X32" t="str">
        <f t="shared" si="4"/>
        <v xml:space="preserve">'firstName' : 'Serena', </v>
      </c>
      <c r="Y32" t="str">
        <f t="shared" si="5"/>
        <v xml:space="preserve">'lastName' : 'Reeves', </v>
      </c>
      <c r="Z32" t="str">
        <f t="shared" si="6"/>
        <v xml:space="preserve">'billingAddress' : { 'bStreet' : '3610 Bloor Street', </v>
      </c>
      <c r="AA32" t="str">
        <f t="shared" si="7"/>
        <v xml:space="preserve">'bUnit' : '219', </v>
      </c>
      <c r="AB32" t="str">
        <f t="shared" si="8"/>
        <v xml:space="preserve">'bCity' : 'Vegreville', </v>
      </c>
      <c r="AC32" t="str">
        <f t="shared" si="9"/>
        <v xml:space="preserve">'bProvince' : 'Alberta', </v>
      </c>
      <c r="AD32" t="str">
        <f t="shared" si="10"/>
        <v xml:space="preserve">'bZip' : 'T0B 4L0', </v>
      </c>
      <c r="AE32" t="str">
        <f t="shared" si="11"/>
        <v xml:space="preserve">'bMobileNumber' : '780-632-2540' } , </v>
      </c>
      <c r="AF32" t="str">
        <f t="shared" si="12"/>
        <v xml:space="preserve">'deliveryAddress' : { 'dStreet' : '3610 Bloor Street', </v>
      </c>
      <c r="AG32" t="str">
        <f t="shared" si="13"/>
        <v xml:space="preserve">'dUnit' : '219', </v>
      </c>
      <c r="AH32" t="str">
        <f t="shared" si="14"/>
        <v xml:space="preserve">'dCity' : 'Vegreville', </v>
      </c>
      <c r="AI32" t="str">
        <f t="shared" si="15"/>
        <v xml:space="preserve">'dProvince' : 'Alberta', </v>
      </c>
      <c r="AJ32" t="str">
        <f t="shared" si="16"/>
        <v xml:space="preserve">'dZip' : 'T0B 4L0', </v>
      </c>
      <c r="AK32" t="str">
        <f t="shared" si="17"/>
        <v xml:space="preserve">'dMobileNumber' : '780-632-2540' } , </v>
      </c>
      <c r="AL32" t="str">
        <f t="shared" si="18"/>
        <v xml:space="preserve">'paymentMethod' : { 'paymentType' : 'Debit', </v>
      </c>
      <c r="AM32" t="str">
        <f t="shared" si="19"/>
        <v xml:space="preserve">'nameOnCard' : 'Serena Reeves', </v>
      </c>
      <c r="AN32" t="str">
        <f t="shared" si="20"/>
        <v xml:space="preserve">'cardScheme' : 'Visa', </v>
      </c>
      <c r="AO32" t="str">
        <f t="shared" si="21"/>
        <v xml:space="preserve">'cardLast4' : '4078', </v>
      </c>
      <c r="AP32" t="str">
        <f t="shared" si="22"/>
        <v>'cardExpiryDate' : '08/2023' }</v>
      </c>
      <c r="AR32" t="str">
        <f t="shared" si="23"/>
        <v>{ 'emailAddress' : 'serenareeves@gmail.com', 'firstName' : 'Serena', 'lastName' : 'Reeves', 'billingAddress' : { 'bStreet' : '3610 Bloor Street', 'bUnit' : '219', 'bCity' : 'Vegreville', 'bProvince' : 'Alberta', 'bZip' : 'T0B 4L0', 'bMobileNumber' : '780-632-2540' } , 'deliveryAddress' : { 'dStreet' : '3610 Bloor Street', 'dUnit' : '219', 'dCity' : 'Vegreville', 'dProvince' : 'Alberta', 'dZip' : 'T0B 4L0', 'dMobileNumber' : '780-632-2540' } , 'paymentMethod' : { 'paymentType' : 'Debit', 'nameOnCard' : 'Serena Reeves', 'cardScheme' : 'Visa', 'cardLast4' : '4078', 'cardExpiryDate' : '08/2023' } },</v>
      </c>
    </row>
    <row r="33" spans="1:44" x14ac:dyDescent="0.35">
      <c r="A33">
        <v>30</v>
      </c>
      <c r="B33" s="39" t="str">
        <f t="shared" si="30"/>
        <v>kalebbanks@gmail.com</v>
      </c>
      <c r="C33" t="s">
        <v>540</v>
      </c>
      <c r="D33" t="s">
        <v>568</v>
      </c>
      <c r="E33" t="s">
        <v>422</v>
      </c>
      <c r="F33" s="39" t="s">
        <v>579</v>
      </c>
      <c r="G33" t="s">
        <v>431</v>
      </c>
      <c r="H33" t="s">
        <v>26</v>
      </c>
      <c r="I33" t="s">
        <v>480</v>
      </c>
      <c r="J33" t="s">
        <v>510</v>
      </c>
      <c r="K33" s="39" t="str">
        <f t="shared" si="31"/>
        <v>3371 Woolwick Drive</v>
      </c>
      <c r="L33" s="39" t="str">
        <f t="shared" si="32"/>
        <v>320</v>
      </c>
      <c r="M33" s="39" t="str">
        <f t="shared" si="33"/>
        <v>Toronto</v>
      </c>
      <c r="N33" s="39" t="str">
        <f t="shared" si="34"/>
        <v>Ontario</v>
      </c>
      <c r="O33" s="39" t="str">
        <f t="shared" si="35"/>
        <v>M1H 1A8</v>
      </c>
      <c r="P33" s="39" t="str">
        <f t="shared" si="36"/>
        <v>416-438-7286</v>
      </c>
      <c r="Q33" t="s">
        <v>635</v>
      </c>
      <c r="R33" s="39" t="str">
        <f t="shared" si="1"/>
        <v>Kaleb Banks</v>
      </c>
      <c r="S33" t="s">
        <v>637</v>
      </c>
      <c r="T33" s="39" t="str">
        <f t="shared" si="2"/>
        <v>8641</v>
      </c>
      <c r="U33" s="39" t="s">
        <v>655</v>
      </c>
      <c r="W33" t="str">
        <f t="shared" si="3"/>
        <v xml:space="preserve">'emailAddress' : 'kalebbanks@gmail.com', </v>
      </c>
      <c r="X33" t="str">
        <f t="shared" si="4"/>
        <v xml:space="preserve">'firstName' : 'Kaleb', </v>
      </c>
      <c r="Y33" t="str">
        <f t="shared" si="5"/>
        <v xml:space="preserve">'lastName' : 'Banks', </v>
      </c>
      <c r="Z33" t="str">
        <f t="shared" si="6"/>
        <v xml:space="preserve">'billingAddress' : { 'bStreet' : '3371 Woolwick Drive', </v>
      </c>
      <c r="AA33" t="str">
        <f t="shared" si="7"/>
        <v xml:space="preserve">'bUnit' : '320', </v>
      </c>
      <c r="AB33" t="str">
        <f t="shared" si="8"/>
        <v xml:space="preserve">'bCity' : 'Toronto', </v>
      </c>
      <c r="AC33" t="str">
        <f t="shared" si="9"/>
        <v xml:space="preserve">'bProvince' : 'Ontario', </v>
      </c>
      <c r="AD33" t="str">
        <f t="shared" si="10"/>
        <v xml:space="preserve">'bZip' : 'M1H 1A8', </v>
      </c>
      <c r="AE33" t="str">
        <f t="shared" si="11"/>
        <v xml:space="preserve">'bMobileNumber' : '416-438-7286' } , </v>
      </c>
      <c r="AF33" t="str">
        <f t="shared" si="12"/>
        <v xml:space="preserve">'deliveryAddress' : { 'dStreet' : '3371 Woolwick Drive', </v>
      </c>
      <c r="AG33" t="str">
        <f t="shared" si="13"/>
        <v xml:space="preserve">'dUnit' : '320', </v>
      </c>
      <c r="AH33" t="str">
        <f t="shared" si="14"/>
        <v xml:space="preserve">'dCity' : 'Toronto', </v>
      </c>
      <c r="AI33" t="str">
        <f t="shared" si="15"/>
        <v xml:space="preserve">'dProvince' : 'Ontario', </v>
      </c>
      <c r="AJ33" t="str">
        <f t="shared" si="16"/>
        <v xml:space="preserve">'dZip' : 'M1H 1A8', </v>
      </c>
      <c r="AK33" t="str">
        <f t="shared" si="17"/>
        <v xml:space="preserve">'dMobileNumber' : '416-438-7286' } , </v>
      </c>
      <c r="AL33" t="str">
        <f t="shared" si="18"/>
        <v xml:space="preserve">'paymentMethod' : { 'paymentType' : 'Debit', </v>
      </c>
      <c r="AM33" t="str">
        <f t="shared" si="19"/>
        <v xml:space="preserve">'nameOnCard' : 'Kaleb Banks', </v>
      </c>
      <c r="AN33" t="str">
        <f t="shared" si="20"/>
        <v xml:space="preserve">'cardScheme' : 'Visa', </v>
      </c>
      <c r="AO33" t="str">
        <f t="shared" si="21"/>
        <v xml:space="preserve">'cardLast4' : '8641', </v>
      </c>
      <c r="AP33" t="str">
        <f t="shared" si="22"/>
        <v>'cardExpiryDate' : '11/2023' }</v>
      </c>
      <c r="AR33" t="str">
        <f t="shared" si="23"/>
        <v>{ 'emailAddress' : 'kalebbanks@gmail.com', 'firstName' : 'Kaleb', 'lastName' : 'Banks', 'billingAddress' : { 'bStreet' : '3371 Woolwick Drive', 'bUnit' : '320', 'bCity' : 'Toronto', 'bProvince' : 'Ontario', 'bZip' : 'M1H 1A8', 'bMobileNumber' : '416-438-7286' } , 'deliveryAddress' : { 'dStreet' : '3371 Woolwick Drive', 'dUnit' : '320', 'dCity' : 'Toronto', 'dProvince' : 'Ontario', 'dZip' : 'M1H 1A8', 'dMobileNumber' : '416-438-7286' } , 'paymentMethod' : { 'paymentType' : 'Debit', 'nameOnCard' : 'Kaleb Banks', 'cardScheme' : 'Visa', 'cardLast4' : '8641', 'cardExpiryDate' : '11/2023' } },</v>
      </c>
    </row>
    <row r="34" spans="1:44" x14ac:dyDescent="0.35">
      <c r="B34" s="41" t="str">
        <f t="shared" si="30"/>
        <v>ab@gmail.com</v>
      </c>
      <c r="C34" s="40" t="s">
        <v>663</v>
      </c>
      <c r="D34" s="40" t="s">
        <v>664</v>
      </c>
      <c r="E34" s="40" t="s">
        <v>665</v>
      </c>
      <c r="F34" s="41"/>
      <c r="G34" s="40" t="s">
        <v>667</v>
      </c>
      <c r="H34" s="40" t="s">
        <v>666</v>
      </c>
      <c r="I34" s="40" t="s">
        <v>668</v>
      </c>
      <c r="J34" s="40" t="s">
        <v>669</v>
      </c>
      <c r="K34" s="41" t="str">
        <f>E34</f>
        <v>c</v>
      </c>
      <c r="L34" s="41"/>
      <c r="M34" s="41" t="str">
        <f>G34</f>
        <v>d</v>
      </c>
      <c r="N34" s="41" t="str">
        <f>H34</f>
        <v>e</v>
      </c>
      <c r="O34" s="41" t="str">
        <f>I34</f>
        <v>f</v>
      </c>
      <c r="P34" s="41" t="str">
        <f>J34</f>
        <v>g</v>
      </c>
      <c r="Q34" s="40"/>
      <c r="R34" s="41" t="str">
        <f t="shared" si="1"/>
        <v>a b</v>
      </c>
      <c r="S34" s="40"/>
      <c r="T34" s="41" t="str">
        <f t="shared" si="2"/>
        <v>gg</v>
      </c>
      <c r="U34" s="41" t="str">
        <f ca="1">RIGHT("0"&amp;RANDBETWEEN(1,12),2)&amp;"/"&amp;RANDBETWEEN(2023,2026)</f>
        <v>05/2024</v>
      </c>
    </row>
    <row r="35" spans="1:44" x14ac:dyDescent="0.35">
      <c r="V35"/>
    </row>
    <row r="36" spans="1:44" x14ac:dyDescent="0.35">
      <c r="V36"/>
    </row>
    <row r="63" spans="22:22" x14ac:dyDescent="0.35">
      <c r="V63"/>
    </row>
    <row r="64" spans="22:22" x14ac:dyDescent="0.35">
      <c r="V64"/>
    </row>
    <row r="65" spans="22:22" x14ac:dyDescent="0.35">
      <c r="V65"/>
    </row>
    <row r="66" spans="22:22" x14ac:dyDescent="0.35">
      <c r="V66"/>
    </row>
    <row r="67" spans="22:22" x14ac:dyDescent="0.35">
      <c r="V67"/>
    </row>
    <row r="68" spans="22:22" x14ac:dyDescent="0.35">
      <c r="V68"/>
    </row>
    <row r="69" spans="22:22" x14ac:dyDescent="0.35">
      <c r="V69"/>
    </row>
    <row r="70" spans="22:22" x14ac:dyDescent="0.35">
      <c r="V70"/>
    </row>
    <row r="71" spans="22:22" x14ac:dyDescent="0.35">
      <c r="V71"/>
    </row>
    <row r="72" spans="22:22" x14ac:dyDescent="0.35">
      <c r="V72"/>
    </row>
    <row r="73" spans="22:22" x14ac:dyDescent="0.35">
      <c r="V73"/>
    </row>
    <row r="74" spans="22:22" x14ac:dyDescent="0.35">
      <c r="V74"/>
    </row>
    <row r="75" spans="22:22" x14ac:dyDescent="0.35">
      <c r="V75"/>
    </row>
    <row r="76" spans="22:22" x14ac:dyDescent="0.35">
      <c r="V76"/>
    </row>
    <row r="77" spans="22:22" x14ac:dyDescent="0.35">
      <c r="V77"/>
    </row>
    <row r="78" spans="22:22" x14ac:dyDescent="0.35">
      <c r="V78"/>
    </row>
    <row r="79" spans="22:22" x14ac:dyDescent="0.35">
      <c r="V79"/>
    </row>
    <row r="80" spans="22:22" x14ac:dyDescent="0.35">
      <c r="V80"/>
    </row>
    <row r="81" spans="22:22" x14ac:dyDescent="0.35">
      <c r="V81"/>
    </row>
    <row r="82" spans="22:22" x14ac:dyDescent="0.35">
      <c r="V82"/>
    </row>
    <row r="83" spans="22:22" x14ac:dyDescent="0.35">
      <c r="V83"/>
    </row>
    <row r="84" spans="22:22" x14ac:dyDescent="0.35">
      <c r="V84"/>
    </row>
    <row r="85" spans="22:22" x14ac:dyDescent="0.35">
      <c r="V85"/>
    </row>
    <row r="86" spans="22:22" x14ac:dyDescent="0.35">
      <c r="V86"/>
    </row>
    <row r="87" spans="22:22" x14ac:dyDescent="0.35">
      <c r="V87"/>
    </row>
    <row r="88" spans="22:22" x14ac:dyDescent="0.35">
      <c r="V88"/>
    </row>
    <row r="89" spans="22:22" x14ac:dyDescent="0.35">
      <c r="V89"/>
    </row>
    <row r="90" spans="22:22" x14ac:dyDescent="0.35">
      <c r="V90"/>
    </row>
    <row r="91" spans="22:22" x14ac:dyDescent="0.35">
      <c r="V91"/>
    </row>
    <row r="92" spans="22:22" x14ac:dyDescent="0.35">
      <c r="V92"/>
    </row>
    <row r="93" spans="22:22" x14ac:dyDescent="0.35">
      <c r="V93"/>
    </row>
    <row r="94" spans="22:22" x14ac:dyDescent="0.35">
      <c r="V94"/>
    </row>
    <row r="95" spans="22:22" x14ac:dyDescent="0.35">
      <c r="V95"/>
    </row>
    <row r="96" spans="22:22" x14ac:dyDescent="0.35">
      <c r="V96"/>
    </row>
    <row r="97" spans="22:22" x14ac:dyDescent="0.35">
      <c r="V97"/>
    </row>
    <row r="98" spans="22:22" x14ac:dyDescent="0.35">
      <c r="V98"/>
    </row>
    <row r="99" spans="22:22" x14ac:dyDescent="0.35">
      <c r="V99"/>
    </row>
    <row r="100" spans="22:22" x14ac:dyDescent="0.35">
      <c r="V100"/>
    </row>
    <row r="101" spans="22:22" x14ac:dyDescent="0.35">
      <c r="V101"/>
    </row>
    <row r="102" spans="22:22" x14ac:dyDescent="0.35">
      <c r="V102"/>
    </row>
    <row r="103" spans="22:22" x14ac:dyDescent="0.35">
      <c r="V103"/>
    </row>
    <row r="104" spans="22:22" x14ac:dyDescent="0.35">
      <c r="V104"/>
    </row>
    <row r="105" spans="22:22" x14ac:dyDescent="0.35">
      <c r="V105"/>
    </row>
    <row r="106" spans="22:22" x14ac:dyDescent="0.35">
      <c r="V106"/>
    </row>
    <row r="107" spans="22:22" x14ac:dyDescent="0.35">
      <c r="V107"/>
    </row>
    <row r="108" spans="22:22" x14ac:dyDescent="0.35">
      <c r="V108"/>
    </row>
    <row r="109" spans="22:22" x14ac:dyDescent="0.35">
      <c r="V109"/>
    </row>
    <row r="110" spans="22:22" x14ac:dyDescent="0.35">
      <c r="V110"/>
    </row>
    <row r="111" spans="22:22" x14ac:dyDescent="0.35">
      <c r="V111"/>
    </row>
    <row r="112" spans="22:22" x14ac:dyDescent="0.35">
      <c r="V112"/>
    </row>
    <row r="113" spans="22:22" x14ac:dyDescent="0.35">
      <c r="V113"/>
    </row>
    <row r="114" spans="22:22" x14ac:dyDescent="0.35">
      <c r="V114"/>
    </row>
    <row r="115" spans="22:22" x14ac:dyDescent="0.35">
      <c r="V115"/>
    </row>
    <row r="116" spans="22:22" x14ac:dyDescent="0.35">
      <c r="V116"/>
    </row>
    <row r="117" spans="22:22" x14ac:dyDescent="0.35">
      <c r="V117"/>
    </row>
    <row r="118" spans="22:22" x14ac:dyDescent="0.35">
      <c r="V118"/>
    </row>
    <row r="119" spans="22:22" x14ac:dyDescent="0.35">
      <c r="V119"/>
    </row>
    <row r="120" spans="22:22" x14ac:dyDescent="0.35">
      <c r="V120"/>
    </row>
    <row r="121" spans="22:22" x14ac:dyDescent="0.35">
      <c r="V121"/>
    </row>
    <row r="122" spans="22:22" x14ac:dyDescent="0.35">
      <c r="V122"/>
    </row>
    <row r="123" spans="22:22" x14ac:dyDescent="0.35">
      <c r="V123"/>
    </row>
    <row r="124" spans="22:22" x14ac:dyDescent="0.35">
      <c r="V124"/>
    </row>
    <row r="125" spans="22:22" x14ac:dyDescent="0.35">
      <c r="V125"/>
    </row>
    <row r="126" spans="22:22" x14ac:dyDescent="0.35">
      <c r="V126"/>
    </row>
    <row r="127" spans="22:22" x14ac:dyDescent="0.35">
      <c r="V127"/>
    </row>
    <row r="128" spans="22:22" x14ac:dyDescent="0.35">
      <c r="V128"/>
    </row>
    <row r="129" spans="22:22" x14ac:dyDescent="0.35">
      <c r="V129"/>
    </row>
    <row r="130" spans="22:22" x14ac:dyDescent="0.35">
      <c r="V130"/>
    </row>
    <row r="131" spans="22:22" x14ac:dyDescent="0.35">
      <c r="V131"/>
    </row>
    <row r="132" spans="22:22" x14ac:dyDescent="0.35">
      <c r="V132"/>
    </row>
    <row r="133" spans="22:22" x14ac:dyDescent="0.35">
      <c r="V133"/>
    </row>
    <row r="134" spans="22:22" x14ac:dyDescent="0.35">
      <c r="V134"/>
    </row>
    <row r="135" spans="22:22" x14ac:dyDescent="0.35">
      <c r="V135"/>
    </row>
    <row r="136" spans="22:22" x14ac:dyDescent="0.35">
      <c r="V136"/>
    </row>
    <row r="137" spans="22:22" x14ac:dyDescent="0.35">
      <c r="V137"/>
    </row>
    <row r="138" spans="22:22" x14ac:dyDescent="0.35">
      <c r="V138"/>
    </row>
    <row r="139" spans="22:22" x14ac:dyDescent="0.35">
      <c r="V139"/>
    </row>
    <row r="140" spans="22:22" x14ac:dyDescent="0.35">
      <c r="V140"/>
    </row>
    <row r="141" spans="22:22" x14ac:dyDescent="0.35">
      <c r="V141"/>
    </row>
    <row r="142" spans="22:22" x14ac:dyDescent="0.35">
      <c r="V142"/>
    </row>
    <row r="143" spans="22:22" x14ac:dyDescent="0.35">
      <c r="V143"/>
    </row>
    <row r="144" spans="22:22" x14ac:dyDescent="0.35">
      <c r="V144"/>
    </row>
    <row r="145" spans="22:22" x14ac:dyDescent="0.35">
      <c r="V145"/>
    </row>
    <row r="146" spans="22:22" x14ac:dyDescent="0.35">
      <c r="V146"/>
    </row>
    <row r="147" spans="22:22" x14ac:dyDescent="0.35">
      <c r="V147"/>
    </row>
    <row r="148" spans="22:22" x14ac:dyDescent="0.35">
      <c r="V148"/>
    </row>
    <row r="149" spans="22:22" x14ac:dyDescent="0.35">
      <c r="V149"/>
    </row>
    <row r="150" spans="22:22" x14ac:dyDescent="0.35">
      <c r="V150"/>
    </row>
    <row r="151" spans="22:22" x14ac:dyDescent="0.35">
      <c r="V151"/>
    </row>
    <row r="152" spans="22:22" x14ac:dyDescent="0.35">
      <c r="V152"/>
    </row>
    <row r="153" spans="22:22" x14ac:dyDescent="0.35">
      <c r="V153"/>
    </row>
    <row r="154" spans="22:22" x14ac:dyDescent="0.35">
      <c r="V154"/>
    </row>
    <row r="155" spans="22:22" x14ac:dyDescent="0.35">
      <c r="V155"/>
    </row>
    <row r="156" spans="22:22" x14ac:dyDescent="0.35">
      <c r="V156"/>
    </row>
    <row r="157" spans="22:22" x14ac:dyDescent="0.35">
      <c r="V157"/>
    </row>
    <row r="158" spans="22:22" x14ac:dyDescent="0.35">
      <c r="V158"/>
    </row>
    <row r="159" spans="22:22" x14ac:dyDescent="0.35">
      <c r="V159"/>
    </row>
    <row r="160" spans="22:22" x14ac:dyDescent="0.35">
      <c r="V160"/>
    </row>
    <row r="161" spans="7:22" x14ac:dyDescent="0.35">
      <c r="N161" s="40" t="e">
        <f ca="1">VLOOKUP(RANDBETWEEN(1,23),#REF!,2,0)</f>
        <v>#REF!</v>
      </c>
      <c r="O161" s="40" t="e">
        <f ca="1">VLOOKUP(N161,#REF!,2,0)</f>
        <v>#REF!</v>
      </c>
      <c r="P161" s="40">
        <f ca="1">RANDBETWEEN(1,24)</f>
        <v>2</v>
      </c>
      <c r="Q161" s="40" t="e">
        <f ca="1">VLOOKUP(N161,#REF!,5,0)</f>
        <v>#REF!</v>
      </c>
      <c r="R161" s="48"/>
      <c r="V161"/>
    </row>
    <row r="163" spans="7:22" x14ac:dyDescent="0.35">
      <c r="G163" s="48"/>
    </row>
    <row r="164" spans="7:22" x14ac:dyDescent="0.35">
      <c r="G164" s="48"/>
    </row>
    <row r="165" spans="7:22" x14ac:dyDescent="0.35">
      <c r="G165" s="48"/>
    </row>
    <row r="166" spans="7:22" x14ac:dyDescent="0.35">
      <c r="G166" s="48"/>
    </row>
    <row r="167" spans="7:22" x14ac:dyDescent="0.35">
      <c r="G167" s="48"/>
    </row>
    <row r="168" spans="7:22" x14ac:dyDescent="0.35">
      <c r="G168" s="48"/>
    </row>
    <row r="169" spans="7:22" x14ac:dyDescent="0.35">
      <c r="G169" s="48"/>
    </row>
    <row r="170" spans="7:22" x14ac:dyDescent="0.35">
      <c r="G170" s="48"/>
    </row>
    <row r="171" spans="7:22" x14ac:dyDescent="0.35">
      <c r="G171" s="48"/>
    </row>
    <row r="172" spans="7:22" x14ac:dyDescent="0.35">
      <c r="G172" s="48"/>
    </row>
    <row r="173" spans="7:22" x14ac:dyDescent="0.35">
      <c r="G173" s="48"/>
    </row>
    <row r="174" spans="7:22" x14ac:dyDescent="0.35">
      <c r="G174" s="48"/>
    </row>
    <row r="175" spans="7:22" x14ac:dyDescent="0.35">
      <c r="G175" s="48"/>
    </row>
    <row r="176" spans="7:22" x14ac:dyDescent="0.35">
      <c r="G176" s="48"/>
    </row>
    <row r="177" spans="7:7" x14ac:dyDescent="0.35">
      <c r="G177" s="48"/>
    </row>
    <row r="178" spans="7:7" x14ac:dyDescent="0.35">
      <c r="G178" s="48"/>
    </row>
    <row r="179" spans="7:7" x14ac:dyDescent="0.35">
      <c r="G179" s="48"/>
    </row>
    <row r="180" spans="7:7" x14ac:dyDescent="0.35">
      <c r="G180" s="48"/>
    </row>
    <row r="181" spans="7:7" x14ac:dyDescent="0.35">
      <c r="G181" s="48"/>
    </row>
    <row r="182" spans="7:7" x14ac:dyDescent="0.35">
      <c r="G182" s="48"/>
    </row>
    <row r="183" spans="7:7" x14ac:dyDescent="0.35">
      <c r="G183" s="48"/>
    </row>
    <row r="184" spans="7:7" x14ac:dyDescent="0.35">
      <c r="G184" s="48"/>
    </row>
    <row r="185" spans="7:7" x14ac:dyDescent="0.35">
      <c r="G185" s="48"/>
    </row>
    <row r="186" spans="7:7" x14ac:dyDescent="0.35">
      <c r="G186" s="48"/>
    </row>
    <row r="187" spans="7:7" x14ac:dyDescent="0.35">
      <c r="G187" s="48"/>
    </row>
    <row r="188" spans="7:7" x14ac:dyDescent="0.35">
      <c r="G188" s="48"/>
    </row>
  </sheetData>
  <conditionalFormatting sqref="B4:B34">
    <cfRule type="duplicateValues" dxfId="1" priority="2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05CCB-D86F-40F2-8B52-F545128B3158}">
  <sheetPr>
    <tabColor rgb="FF00B050"/>
  </sheetPr>
  <dimension ref="A1:H5"/>
  <sheetViews>
    <sheetView zoomScale="70" zoomScaleNormal="70"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90625" bestFit="1" customWidth="1"/>
    <col min="3" max="3" width="14" bestFit="1" customWidth="1"/>
    <col min="4" max="4" width="2.6328125" style="42" customWidth="1"/>
    <col min="5" max="5" width="30.453125" bestFit="1" customWidth="1"/>
    <col min="6" max="6" width="28.36328125" bestFit="1" customWidth="1"/>
    <col min="7" max="7" width="2.6328125" style="42" customWidth="1"/>
    <col min="8" max="8" width="62.26953125" bestFit="1" customWidth="1"/>
  </cols>
  <sheetData>
    <row r="1" spans="1:8" ht="15.5" x14ac:dyDescent="0.35">
      <c r="A1" s="56" t="s">
        <v>391</v>
      </c>
    </row>
    <row r="2" spans="1:8" x14ac:dyDescent="0.35">
      <c r="A2" t="s">
        <v>639</v>
      </c>
      <c r="B2" t="s">
        <v>145</v>
      </c>
      <c r="C2" t="s">
        <v>109</v>
      </c>
      <c r="E2" t="s">
        <v>145</v>
      </c>
      <c r="F2" t="s">
        <v>109</v>
      </c>
      <c r="H2" s="44" t="s">
        <v>670</v>
      </c>
    </row>
    <row r="3" spans="1:8" x14ac:dyDescent="0.35">
      <c r="A3">
        <v>1</v>
      </c>
      <c r="B3" t="s">
        <v>680</v>
      </c>
      <c r="C3" t="s">
        <v>20</v>
      </c>
      <c r="E3" t="str">
        <f>IF(B3="","","'"&amp;B$2&amp;"' : '"&amp;B3&amp;"', ")</f>
        <v xml:space="preserve">'employeeUserName' : 'lzapanta', </v>
      </c>
      <c r="F3" t="str">
        <f>IF(C3="","","'"&amp;C$2&amp;"' : '"&amp;C3&amp;"' ")</f>
        <v xml:space="preserve">'employeeName' : 'Luz Zapanta' </v>
      </c>
      <c r="H3" t="str">
        <f>_xlfn.CONCAT("{ ",E3:F3," },")</f>
        <v>{ 'employeeUserName' : 'lzapanta', 'employeeName' : 'Luz Zapanta'  },</v>
      </c>
    </row>
    <row r="4" spans="1:8" x14ac:dyDescent="0.35">
      <c r="A4">
        <v>2</v>
      </c>
      <c r="B4" t="s">
        <v>681</v>
      </c>
      <c r="C4" t="s">
        <v>31</v>
      </c>
      <c r="E4" t="str">
        <f t="shared" ref="E4:E5" si="0">IF(B4="","","'"&amp;B$2&amp;"' : '"&amp;B4&amp;"', ")</f>
        <v xml:space="preserve">'employeeUserName' : 'jbartolata', </v>
      </c>
      <c r="F4" t="str">
        <f t="shared" ref="F4:F5" si="1">IF(C4="","","'"&amp;C$2&amp;"' : '"&amp;C4&amp;"',")</f>
        <v>'employeeName' : 'Jovi Bartolata',</v>
      </c>
      <c r="H4" t="str">
        <f t="shared" ref="H4:H5" si="2">_xlfn.CONCAT("{ ",E4:F4," },")</f>
        <v>{ 'employeeUserName' : 'jbartolata', 'employeeName' : 'Jovi Bartolata', },</v>
      </c>
    </row>
    <row r="5" spans="1:8" x14ac:dyDescent="0.35">
      <c r="A5">
        <v>3</v>
      </c>
      <c r="B5" t="s">
        <v>682</v>
      </c>
      <c r="C5" t="s">
        <v>42</v>
      </c>
      <c r="E5" t="str">
        <f t="shared" si="0"/>
        <v xml:space="preserve">'employeeUserName' : 'mjones', </v>
      </c>
      <c r="F5" t="str">
        <f t="shared" si="1"/>
        <v>'employeeName' : 'Matty Jones',</v>
      </c>
      <c r="H5" t="str">
        <f t="shared" si="2"/>
        <v>{ 'employeeUserName' : 'mjones', 'employeeName' : 'Matty Jones', },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A2F-5336-4B24-AA80-A5C3CBC080E8}">
  <sheetPr filterMode="1">
    <tabColor rgb="FF00B050"/>
  </sheetPr>
  <dimension ref="A1:AM153"/>
  <sheetViews>
    <sheetView topLeftCell="Q1" zoomScale="70" zoomScaleNormal="70" workbookViewId="0">
      <selection activeCell="AE11" sqref="AE11"/>
    </sheetView>
  </sheetViews>
  <sheetFormatPr defaultRowHeight="14.5" x14ac:dyDescent="0.35"/>
  <cols>
    <col min="1" max="1" width="11.453125" bestFit="1" customWidth="1"/>
    <col min="2" max="2" width="29.36328125" customWidth="1"/>
    <col min="3" max="3" width="16.7265625" customWidth="1"/>
    <col min="4" max="4" width="18.36328125" customWidth="1"/>
    <col min="5" max="5" width="20.08984375" customWidth="1"/>
    <col min="6" max="6" width="19.453125" customWidth="1"/>
    <col min="7" max="7" width="15.1796875" customWidth="1"/>
    <col min="8" max="8" width="17.453125" customWidth="1"/>
    <col min="9" max="9" width="20.26953125" customWidth="1"/>
    <col min="10" max="10" width="17.1796875" customWidth="1"/>
    <col min="11" max="22" width="18.6328125" customWidth="1"/>
    <col min="23" max="23" width="11.90625" customWidth="1"/>
    <col min="24" max="24" width="10.6328125" customWidth="1"/>
    <col min="25" max="25" width="8.6328125" customWidth="1"/>
    <col min="26" max="26" width="12" customWidth="1"/>
    <col min="27" max="27" width="11.90625" bestFit="1" customWidth="1"/>
    <col min="28" max="28" width="30.36328125" customWidth="1"/>
    <col min="29" max="31" width="11.08984375" bestFit="1" customWidth="1"/>
    <col min="32" max="32" width="100.6328125" customWidth="1"/>
    <col min="33" max="33" width="16.1796875" customWidth="1"/>
    <col min="34" max="34" width="12.1796875" bestFit="1" customWidth="1"/>
    <col min="35" max="35" width="13.36328125" bestFit="1" customWidth="1"/>
    <col min="36" max="36" width="17.81640625" customWidth="1"/>
    <col min="37" max="37" width="26.453125" bestFit="1" customWidth="1"/>
    <col min="38" max="38" width="2.6328125" style="42" customWidth="1"/>
    <col min="39" max="39" width="100.6328125" customWidth="1"/>
  </cols>
  <sheetData>
    <row r="1" spans="1:39" x14ac:dyDescent="0.35">
      <c r="A1" s="55" t="s">
        <v>675</v>
      </c>
    </row>
    <row r="2" spans="1:39" x14ac:dyDescent="0.35">
      <c r="A2">
        <v>1</v>
      </c>
      <c r="B2" t="s">
        <v>754</v>
      </c>
    </row>
    <row r="3" spans="1:39" x14ac:dyDescent="0.35">
      <c r="A3">
        <v>2</v>
      </c>
      <c r="B3" t="s">
        <v>677</v>
      </c>
    </row>
    <row r="4" spans="1:39" x14ac:dyDescent="0.35">
      <c r="A4">
        <v>3</v>
      </c>
      <c r="B4" t="s">
        <v>676</v>
      </c>
    </row>
    <row r="5" spans="1:39" x14ac:dyDescent="0.35">
      <c r="A5">
        <v>4</v>
      </c>
      <c r="B5" t="s">
        <v>755</v>
      </c>
    </row>
    <row r="6" spans="1:39" x14ac:dyDescent="0.35">
      <c r="A6">
        <v>5</v>
      </c>
      <c r="B6" t="s">
        <v>678</v>
      </c>
    </row>
    <row r="9" spans="1:39" ht="15.5" x14ac:dyDescent="0.35">
      <c r="A9" s="56" t="s">
        <v>671</v>
      </c>
    </row>
    <row r="10" spans="1:39" x14ac:dyDescent="0.35">
      <c r="E10" t="s">
        <v>594</v>
      </c>
      <c r="F10" t="s">
        <v>594</v>
      </c>
      <c r="G10" t="s">
        <v>594</v>
      </c>
      <c r="H10" t="s">
        <v>594</v>
      </c>
      <c r="I10" t="s">
        <v>594</v>
      </c>
      <c r="J10" t="s">
        <v>594</v>
      </c>
      <c r="K10" t="s">
        <v>594</v>
      </c>
      <c r="L10" t="s">
        <v>764</v>
      </c>
      <c r="M10" t="s">
        <v>764</v>
      </c>
      <c r="N10" t="s">
        <v>764</v>
      </c>
      <c r="O10" t="s">
        <v>764</v>
      </c>
      <c r="P10" t="s">
        <v>764</v>
      </c>
      <c r="Q10" t="s">
        <v>764</v>
      </c>
      <c r="R10" t="s">
        <v>764</v>
      </c>
      <c r="S10" t="s">
        <v>158</v>
      </c>
      <c r="T10" t="s">
        <v>158</v>
      </c>
      <c r="U10" t="s">
        <v>158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s="26"/>
      <c r="AH10" s="26"/>
    </row>
    <row r="11" spans="1:39" x14ac:dyDescent="0.35">
      <c r="A11" t="s">
        <v>639</v>
      </c>
      <c r="B11" t="s">
        <v>673</v>
      </c>
      <c r="C11" t="s">
        <v>107</v>
      </c>
      <c r="D11" t="s">
        <v>145</v>
      </c>
      <c r="E11" t="s">
        <v>831</v>
      </c>
      <c r="F11" t="s">
        <v>825</v>
      </c>
      <c r="G11" t="s">
        <v>826</v>
      </c>
      <c r="H11" t="s">
        <v>827</v>
      </c>
      <c r="I11" t="s">
        <v>828</v>
      </c>
      <c r="J11" t="s">
        <v>829</v>
      </c>
      <c r="K11" t="s">
        <v>830</v>
      </c>
      <c r="L11" t="s">
        <v>832</v>
      </c>
      <c r="M11" t="s">
        <v>819</v>
      </c>
      <c r="N11" t="s">
        <v>820</v>
      </c>
      <c r="O11" t="s">
        <v>821</v>
      </c>
      <c r="P11" t="s">
        <v>822</v>
      </c>
      <c r="Q11" t="s">
        <v>823</v>
      </c>
      <c r="R11" t="s">
        <v>824</v>
      </c>
      <c r="S11" t="s">
        <v>139</v>
      </c>
      <c r="T11" t="s">
        <v>160</v>
      </c>
      <c r="U11" t="s">
        <v>144</v>
      </c>
      <c r="V11" t="s">
        <v>765</v>
      </c>
      <c r="W11" t="s">
        <v>116</v>
      </c>
      <c r="X11" t="s">
        <v>758</v>
      </c>
      <c r="Y11" t="s">
        <v>756</v>
      </c>
      <c r="Z11" t="s">
        <v>757</v>
      </c>
      <c r="AA11" t="s">
        <v>106</v>
      </c>
      <c r="AB11" t="s">
        <v>111</v>
      </c>
      <c r="AC11" t="s">
        <v>124</v>
      </c>
      <c r="AD11" t="s">
        <v>121</v>
      </c>
      <c r="AE11" t="s">
        <v>761</v>
      </c>
      <c r="AF11" t="s">
        <v>639</v>
      </c>
      <c r="AG11" t="s">
        <v>138</v>
      </c>
      <c r="AH11" s="51" t="s">
        <v>679</v>
      </c>
      <c r="AI11" t="s">
        <v>133</v>
      </c>
      <c r="AJ11" t="s">
        <v>136</v>
      </c>
      <c r="AK11" t="s">
        <v>673</v>
      </c>
      <c r="AM11" s="44" t="s">
        <v>670</v>
      </c>
    </row>
    <row r="12" spans="1:39" hidden="1" x14ac:dyDescent="0.35">
      <c r="B12" t="s">
        <v>683</v>
      </c>
      <c r="C12" s="49" t="s">
        <v>684</v>
      </c>
      <c r="D12" t="s">
        <v>682</v>
      </c>
      <c r="E12" t="s">
        <v>320</v>
      </c>
      <c r="F12" t="s">
        <v>593</v>
      </c>
      <c r="G12" t="s">
        <v>571</v>
      </c>
      <c r="H12" t="s">
        <v>600</v>
      </c>
      <c r="I12" t="s">
        <v>26</v>
      </c>
      <c r="J12" t="s">
        <v>622</v>
      </c>
      <c r="K12" t="s">
        <v>634</v>
      </c>
      <c r="L12" t="str">
        <f>E12</f>
        <v>Jesse Williams</v>
      </c>
      <c r="M12" t="str">
        <f>VLOOKUP($B12,Customers!$B:$J,4,0)</f>
        <v>564 Heritage Drive</v>
      </c>
      <c r="N12" t="str">
        <f>VLOOKUP($B12,Customers!$B:$J,5,0)</f>
        <v>311</v>
      </c>
      <c r="O12" t="str">
        <f>VLOOKUP($B12,Customers!$B:$J,6,0)</f>
        <v>Calgary</v>
      </c>
      <c r="P12" t="str">
        <f>VLOOKUP($B12,Customers!$B:$J,7,0)</f>
        <v>Alberta</v>
      </c>
      <c r="Q12" t="str">
        <f>VLOOKUP($B12,Customers!$B:$J,8,0)</f>
        <v>T2V 2W2</v>
      </c>
      <c r="R12" t="str">
        <f>VLOOKUP($B12,Customers!$B:$J,9,0)</f>
        <v>403-875-0334</v>
      </c>
      <c r="S12" t="str">
        <f>VLOOKUP($B12,Customers!$B:$T,16,0)</f>
        <v>Credit</v>
      </c>
      <c r="T12" t="str">
        <f>VLOOKUP($B12,Customers!$B:$T,18,0)</f>
        <v>Visa</v>
      </c>
      <c r="U12" t="str">
        <f>VLOOKUP($B12,Customers!$B:$T,19,0)</f>
        <v>3551</v>
      </c>
      <c r="V12">
        <f ca="1">COUNTIF(C:C,C12)-1</f>
        <v>3</v>
      </c>
      <c r="X12">
        <f>AC12*AD12</f>
        <v>52.72</v>
      </c>
      <c r="Y12">
        <f t="shared" ref="Y12:Y14" si="0">ROUND(X12*13%,2)</f>
        <v>6.85</v>
      </c>
      <c r="AA12">
        <v>4015</v>
      </c>
      <c r="AB12" t="s">
        <v>82</v>
      </c>
      <c r="AC12">
        <v>8</v>
      </c>
      <c r="AD12">
        <v>6.59</v>
      </c>
      <c r="AE12">
        <f>AC12*AD12</f>
        <v>52.72</v>
      </c>
      <c r="AF12" s="54" t="str">
        <f>"{ '"&amp;AA$11&amp;"' : '"&amp;AA12&amp;"', '"&amp;AB$11&amp;"' : '"&amp;AB12&amp;"', '"&amp;AC$11&amp;"' : "&amp;AC12&amp;", '"&amp;AD$11&amp;"' : "&amp;AD12&amp;", '"&amp;AE$11&amp;"' : "&amp;AE12&amp;" },"</f>
        <v>{ 'productId' : '4015', 'productName' : 'Sprouted Grain Flat Bagel', 'quantity' : 8, 'price' : 6.59, 'subTotal' : 52.72 },</v>
      </c>
      <c r="AG12" s="48">
        <v>44866</v>
      </c>
      <c r="AH12" s="50" t="s">
        <v>685</v>
      </c>
      <c r="AI12" t="s">
        <v>755</v>
      </c>
      <c r="AJ12" s="48">
        <f>AG12</f>
        <v>44866</v>
      </c>
      <c r="AK12" t="s">
        <v>683</v>
      </c>
    </row>
    <row r="13" spans="1:39" hidden="1" x14ac:dyDescent="0.35">
      <c r="B13" t="s">
        <v>683</v>
      </c>
      <c r="C13" s="49" t="s">
        <v>684</v>
      </c>
      <c r="D13" t="s">
        <v>682</v>
      </c>
      <c r="E13" t="s">
        <v>320</v>
      </c>
      <c r="F13" t="s">
        <v>593</v>
      </c>
      <c r="G13" t="s">
        <v>571</v>
      </c>
      <c r="H13" t="s">
        <v>600</v>
      </c>
      <c r="I13" t="s">
        <v>26</v>
      </c>
      <c r="J13" t="s">
        <v>622</v>
      </c>
      <c r="K13" t="s">
        <v>634</v>
      </c>
      <c r="L13" t="str">
        <f t="shared" ref="L13:L15" si="1">E13</f>
        <v>Jesse Williams</v>
      </c>
      <c r="M13" t="str">
        <f>VLOOKUP($B13,Customers!$B:$J,4,0)</f>
        <v>564 Heritage Drive</v>
      </c>
      <c r="N13" t="str">
        <f>VLOOKUP($B13,Customers!$B:$J,5,0)</f>
        <v>311</v>
      </c>
      <c r="O13" t="str">
        <f>VLOOKUP($B13,Customers!$B:$J,6,0)</f>
        <v>Calgary</v>
      </c>
      <c r="P13" t="str">
        <f>VLOOKUP($B13,Customers!$B:$J,7,0)</f>
        <v>Alberta</v>
      </c>
      <c r="Q13" t="str">
        <f>VLOOKUP($B13,Customers!$B:$J,8,0)</f>
        <v>T2V 2W2</v>
      </c>
      <c r="R13" t="str">
        <f>VLOOKUP($B13,Customers!$B:$J,9,0)</f>
        <v>403-875-0334</v>
      </c>
      <c r="S13" t="str">
        <f>VLOOKUP($B13,Customers!$B:$T,16,0)</f>
        <v>Credit</v>
      </c>
      <c r="T13" t="str">
        <f>VLOOKUP($B13,Customers!$B:$T,18,0)</f>
        <v>Visa</v>
      </c>
      <c r="U13" t="str">
        <f>VLOOKUP($B13,Customers!$B:$T,19,0)</f>
        <v>3551</v>
      </c>
      <c r="V13">
        <f ca="1">COUNTIF(C:C,C13)-1</f>
        <v>3</v>
      </c>
      <c r="X13">
        <f t="shared" ref="X13" si="2">AC13*AD13</f>
        <v>65.88</v>
      </c>
      <c r="Y13">
        <f t="shared" si="0"/>
        <v>8.56</v>
      </c>
      <c r="AA13">
        <v>4007</v>
      </c>
      <c r="AB13" t="s">
        <v>71</v>
      </c>
      <c r="AC13">
        <v>12</v>
      </c>
      <c r="AD13">
        <v>5.49</v>
      </c>
      <c r="AE13">
        <f>AC13*AD13</f>
        <v>65.88</v>
      </c>
      <c r="AF13" s="54" t="str">
        <f>"{ '"&amp;AA$11&amp;"' : '"&amp;AA13&amp;"', '"&amp;AB$11&amp;"' : '"&amp;AB13&amp;"', '"&amp;AC$11&amp;"' : "&amp;AC13&amp;", '"&amp;AD$11&amp;"' : "&amp;AD13&amp;", '"&amp;AE$11&amp;"' : "&amp;AE13&amp;" },"</f>
        <v>{ 'productId' : '4007', 'productName' : 'Orange Scone', 'quantity' : 12, 'price' : 5.49, 'subTotal' : 65.88 },</v>
      </c>
      <c r="AG13" s="48">
        <v>44866</v>
      </c>
      <c r="AH13" s="50" t="str">
        <f t="shared" ref="AH13:AH15" si="3">AH12</f>
        <v>101912</v>
      </c>
      <c r="AI13" t="str">
        <f t="shared" ref="AI13:AJ15" si="4">AI12</f>
        <v>Delivered</v>
      </c>
      <c r="AJ13" s="48">
        <f t="shared" si="4"/>
        <v>44866</v>
      </c>
    </row>
    <row r="14" spans="1:39" hidden="1" x14ac:dyDescent="0.35">
      <c r="B14" t="s">
        <v>683</v>
      </c>
      <c r="C14" s="49" t="s">
        <v>684</v>
      </c>
      <c r="D14" t="s">
        <v>682</v>
      </c>
      <c r="E14" t="s">
        <v>320</v>
      </c>
      <c r="F14" t="s">
        <v>593</v>
      </c>
      <c r="G14" t="s">
        <v>571</v>
      </c>
      <c r="H14" t="s">
        <v>600</v>
      </c>
      <c r="I14" t="s">
        <v>26</v>
      </c>
      <c r="J14" t="s">
        <v>622</v>
      </c>
      <c r="K14" t="s">
        <v>634</v>
      </c>
      <c r="L14" t="str">
        <f t="shared" si="1"/>
        <v>Jesse Williams</v>
      </c>
      <c r="M14" t="str">
        <f>VLOOKUP($B14,Customers!$B:$J,4,0)</f>
        <v>564 Heritage Drive</v>
      </c>
      <c r="N14" t="str">
        <f>VLOOKUP($B14,Customers!$B:$J,5,0)</f>
        <v>311</v>
      </c>
      <c r="O14" t="str">
        <f>VLOOKUP($B14,Customers!$B:$J,6,0)</f>
        <v>Calgary</v>
      </c>
      <c r="P14" t="str">
        <f>VLOOKUP($B14,Customers!$B:$J,7,0)</f>
        <v>Alberta</v>
      </c>
      <c r="Q14" t="str">
        <f>VLOOKUP($B14,Customers!$B:$J,8,0)</f>
        <v>T2V 2W2</v>
      </c>
      <c r="R14" t="str">
        <f>VLOOKUP($B14,Customers!$B:$J,9,0)</f>
        <v>403-875-0334</v>
      </c>
      <c r="S14" t="str">
        <f>VLOOKUP($B14,Customers!$B:$T,16,0)</f>
        <v>Credit</v>
      </c>
      <c r="T14" t="str">
        <f>VLOOKUP($B14,Customers!$B:$T,18,0)</f>
        <v>Visa</v>
      </c>
      <c r="U14" t="str">
        <f>VLOOKUP($B14,Customers!$B:$T,19,0)</f>
        <v>3551</v>
      </c>
      <c r="V14">
        <f ca="1">COUNTIF(C:C,C14)-1</f>
        <v>3</v>
      </c>
      <c r="X14">
        <f>AC14*AD14</f>
        <v>68.850000000000009</v>
      </c>
      <c r="Y14">
        <f t="shared" si="0"/>
        <v>8.9499999999999993</v>
      </c>
      <c r="AA14">
        <v>4006</v>
      </c>
      <c r="AB14" t="s">
        <v>70</v>
      </c>
      <c r="AC14">
        <v>9</v>
      </c>
      <c r="AD14">
        <v>7.65</v>
      </c>
      <c r="AE14">
        <f>AC14*AD14</f>
        <v>68.850000000000009</v>
      </c>
      <c r="AF14" s="54" t="str">
        <f>"{ '"&amp;AA$11&amp;"' : '"&amp;AA14&amp;"', '"&amp;AB$11&amp;"' : '"&amp;AB14&amp;"', '"&amp;AC$11&amp;"' : "&amp;AC14&amp;", '"&amp;AD$11&amp;"' : "&amp;AD14&amp;", '"&amp;AE$11&amp;"' : "&amp;AE14&amp;" }"</f>
        <v>{ 'productId' : '4006', 'productName' : 'Chocolate Croissant', 'quantity' : 9, 'price' : 7.65, 'subTotal' : 68.85 }</v>
      </c>
      <c r="AG14" s="48">
        <v>44866</v>
      </c>
      <c r="AH14" s="50" t="str">
        <f t="shared" si="3"/>
        <v>101912</v>
      </c>
      <c r="AI14" t="str">
        <f t="shared" si="4"/>
        <v>Delivered</v>
      </c>
      <c r="AJ14" s="48">
        <f t="shared" si="4"/>
        <v>44866</v>
      </c>
    </row>
    <row r="15" spans="1:39" hidden="1" x14ac:dyDescent="0.35">
      <c r="A15" t="s">
        <v>759</v>
      </c>
      <c r="B15" t="s">
        <v>683</v>
      </c>
      <c r="C15" t="s">
        <v>684</v>
      </c>
      <c r="D15" t="s">
        <v>682</v>
      </c>
      <c r="E15" t="s">
        <v>320</v>
      </c>
      <c r="F15" t="s">
        <v>593</v>
      </c>
      <c r="G15" t="s">
        <v>571</v>
      </c>
      <c r="H15" t="s">
        <v>600</v>
      </c>
      <c r="I15" t="s">
        <v>26</v>
      </c>
      <c r="J15" t="s">
        <v>622</v>
      </c>
      <c r="K15" t="s">
        <v>634</v>
      </c>
      <c r="L15" t="str">
        <f t="shared" si="1"/>
        <v>Jesse Williams</v>
      </c>
      <c r="M15" t="str">
        <f>VLOOKUP($B15,Customers!$B:$J,4,0)</f>
        <v>564 Heritage Drive</v>
      </c>
      <c r="N15" t="str">
        <f>VLOOKUP($B15,Customers!$B:$J,5,0)</f>
        <v>311</v>
      </c>
      <c r="O15" t="str">
        <f>VLOOKUP($B15,Customers!$B:$J,6,0)</f>
        <v>Calgary</v>
      </c>
      <c r="P15" t="str">
        <f>VLOOKUP($B15,Customers!$B:$J,7,0)</f>
        <v>Alberta</v>
      </c>
      <c r="Q15" t="str">
        <f>VLOOKUP($B15,Customers!$B:$J,8,0)</f>
        <v>T2V 2W2</v>
      </c>
      <c r="R15" t="str">
        <f>VLOOKUP($B15,Customers!$B:$J,9,0)</f>
        <v>403-875-0334</v>
      </c>
      <c r="S15" t="str">
        <f>VLOOKUP($B15,Customers!$B:$T,16,0)</f>
        <v>Credit</v>
      </c>
      <c r="T15" t="str">
        <f>VLOOKUP($B15,Customers!$B:$T,18,0)</f>
        <v>Visa</v>
      </c>
      <c r="U15" t="str">
        <f>VLOOKUP($B15,Customers!$B:$T,19,0)</f>
        <v>3551</v>
      </c>
      <c r="V15">
        <f ca="1">COUNTIF(C:C,C15)-1</f>
        <v>3</v>
      </c>
      <c r="W15">
        <f>SUM(X15:Z15)</f>
        <v>216.8</v>
      </c>
      <c r="X15">
        <f>SUM(X12:X14)</f>
        <v>187.45</v>
      </c>
      <c r="Y15">
        <f>SUM(Y12:Y14)</f>
        <v>24.36</v>
      </c>
      <c r="Z15">
        <v>4.99</v>
      </c>
      <c r="AF15" s="54"/>
      <c r="AG15" s="48">
        <f>AG14</f>
        <v>44866</v>
      </c>
      <c r="AH15" s="50" t="str">
        <f t="shared" si="3"/>
        <v>101912</v>
      </c>
      <c r="AI15" t="str">
        <f t="shared" si="4"/>
        <v>Delivered</v>
      </c>
      <c r="AJ15" s="48">
        <f t="shared" si="4"/>
        <v>44866</v>
      </c>
    </row>
    <row r="16" spans="1:39" s="58" customFormat="1" ht="43.5" hidden="1" x14ac:dyDescent="0.35">
      <c r="A16" s="60" t="s">
        <v>760</v>
      </c>
      <c r="B16" s="60" t="str">
        <f>IF(B15="","","'"&amp;B$11&amp;"' : '"&amp;B15&amp;"', ")</f>
        <v xml:space="preserve">'emailAddress' : 'jessewilliams@gmail.com', </v>
      </c>
      <c r="C16" s="60" t="str">
        <f>IF(C15="","","'"&amp;C$11&amp;"' : '"&amp;C15&amp;"', ")</f>
        <v xml:space="preserve">'orderId' : '20221101101912', </v>
      </c>
      <c r="D16" s="60" t="str">
        <f>IF(D15="","","'"&amp;D$11&amp;"' : '"&amp;D15&amp;"', ")</f>
        <v xml:space="preserve">'employeeUserName' : 'mjones', </v>
      </c>
      <c r="E16" s="60" t="str">
        <f>IF(E15="","","'"&amp;$F$10&amp;"' : { '"&amp;E$11&amp;"' : '"&amp;E15&amp;"' , ")</f>
        <v xml:space="preserve">'deliveryAddress' : { 'dName' : 'Jesse Williams' , </v>
      </c>
      <c r="F16" s="60" t="str">
        <f>IF(F15="","","'"&amp;F$11&amp;"' : '"&amp;F15&amp;"' , ")</f>
        <v xml:space="preserve">'dStreet' : '4681 Baker Street' , </v>
      </c>
      <c r="G16" s="60" t="str">
        <f>IF(G15="","","'"&amp;G$11&amp;"' : '"&amp;G15&amp;"' , ")</f>
        <v xml:space="preserve">'dUnit' : '312' , </v>
      </c>
      <c r="H16" s="60" t="str">
        <f>IF(H15="","","'"&amp;H$11&amp;"' : '"&amp;H15&amp;"' , ")</f>
        <v xml:space="preserve">'dCity' : 'London' , </v>
      </c>
      <c r="I16" s="60" t="str">
        <f>IF(I15="","","'"&amp;I$11&amp;"' : '"&amp;I15&amp;"' , ")</f>
        <v xml:space="preserve">'dProvince' : 'Ontario' , </v>
      </c>
      <c r="J16" s="60" t="str">
        <f>IF(J15="","","'"&amp;J$11&amp;"' : '"&amp;J15&amp;"' , ")</f>
        <v xml:space="preserve">'dZip' : 'N0N 0N0' , </v>
      </c>
      <c r="K16" s="60" t="str">
        <f>IF(K15="","","'"&amp;K$11&amp;"' : '"&amp;K15&amp;"' } , ")</f>
        <v xml:space="preserve">'dMobileNumber' : '519-858-8035' } , </v>
      </c>
      <c r="L16" s="60" t="str">
        <f>IF(L15="","","'"&amp;$L$10&amp;"' : { '"&amp;L$11&amp;"' : '"&amp;L15&amp;"' , ")</f>
        <v xml:space="preserve">'billingsAddress' : { 'bName' : 'Jesse Williams' , </v>
      </c>
      <c r="M16" s="60" t="str">
        <f>IF(M15="","","'"&amp;M$11&amp;"' : '"&amp;M15&amp;"' , ")</f>
        <v xml:space="preserve">'bStreet' : '564 Heritage Drive' , </v>
      </c>
      <c r="N16" s="60" t="str">
        <f>IF(N15="","","'"&amp;N$11&amp;"' : '"&amp;N15&amp;"' , ")</f>
        <v xml:space="preserve">'bUnit' : '311' , </v>
      </c>
      <c r="O16" s="60" t="str">
        <f>IF(O15="","","'"&amp;O$11&amp;"' : '"&amp;O15&amp;"' , ")</f>
        <v xml:space="preserve">'bCity' : 'Calgary' , </v>
      </c>
      <c r="P16" s="60" t="str">
        <f>IF(P15="","","'"&amp;P$11&amp;"' : '"&amp;P15&amp;"' , ")</f>
        <v xml:space="preserve">'bProvince' : 'Alberta' , </v>
      </c>
      <c r="Q16" s="60" t="str">
        <f>IF(Q15="","","'"&amp;Q$11&amp;"' : '"&amp;Q15&amp;"' , ")</f>
        <v xml:space="preserve">'bZip' : 'T2V 2W2' , </v>
      </c>
      <c r="R16" s="60" t="str">
        <f>IF(R15="","","'"&amp;R$11&amp;"' : '"&amp;R15&amp;"' } , ")</f>
        <v xml:space="preserve">'bMobileNumber' : '403-875-0334' } , </v>
      </c>
      <c r="S16" s="60" t="str">
        <f>IF(S15="","","'"&amp;$S$10&amp;"' : { '"&amp;S$11&amp;"' : '"&amp;S15&amp;"' , ")</f>
        <v xml:space="preserve">'paymentMethod' : { 'paymentType' : 'Credit' , </v>
      </c>
      <c r="T16" s="60" t="str">
        <f>IF(T15="","","'"&amp;T$11&amp;"' : '"&amp;T15&amp;"' , ")</f>
        <v xml:space="preserve">'cardScheme' : 'Visa' , </v>
      </c>
      <c r="U16" s="60" t="str">
        <f>IF(U15="","","'"&amp;U$11&amp;"' : '"&amp;U15&amp;"' } , ")</f>
        <v xml:space="preserve">'cardLast4' : '3551' } , </v>
      </c>
      <c r="V16" s="60" t="str">
        <f ca="1">IF(V15="","","'"&amp;V$11&amp;"' : "&amp;V15&amp;", ")</f>
        <v xml:space="preserve">'totalQty' : 3, </v>
      </c>
      <c r="W16" s="60" t="str">
        <f>IF(W15="","","'"&amp;W$11&amp;"' : "&amp;W15&amp;", ")</f>
        <v xml:space="preserve">'orderTotal' : 216.8, </v>
      </c>
      <c r="X16" s="60" t="str">
        <f>IF(X15="","","'"&amp;X$11&amp;"' : "&amp;X15&amp;", ")</f>
        <v xml:space="preserve">'grossTotal' : 187.45, </v>
      </c>
      <c r="Y16" s="60" t="str">
        <f>IF(Y15="","","'"&amp;Y$11&amp;"' : "&amp;Y15&amp;", ")</f>
        <v xml:space="preserve">'tax' : 24.36, </v>
      </c>
      <c r="Z16" s="60" t="str">
        <f>IF(Z15="","","'"&amp;Z$11&amp;"' : "&amp;Z15&amp;", ")</f>
        <v xml:space="preserve">'deliveryFee' : 4.99, </v>
      </c>
      <c r="AA16" s="60"/>
      <c r="AB16" s="60"/>
      <c r="AC16" s="60"/>
      <c r="AD16" s="60"/>
      <c r="AE16" s="60"/>
      <c r="AF16" s="60" t="str">
        <f>$AA$10&amp;" : "&amp;_xlfn.CONCAT("[ ",AF12:AF14,"], ")</f>
        <v xml:space="preserve">orderDetails : [ { 'productId' : '4015', 'productName' : 'Sprouted Grain Flat Bagel', 'quantity' : 8, 'price' : 6.59, 'subTotal' : 52.72 },{ 'productId' : '4007', 'productName' : 'Orange Scone', 'quantity' : 12, 'price' : 5.49, 'subTotal' : 65.88 },{ 'productId' : '4006', 'productName' : 'Chocolate Croissant', 'quantity' : 9, 'price' : 7.65, 'subTotal' : 68.85 }], </v>
      </c>
      <c r="AG16" s="60" t="str">
        <f>IF(AG15="","","'"&amp;AG$11&amp;"' : new Date('"&amp;TEXT(AG15,"yyyy-mm-dd")&amp;"'), ")</f>
        <v xml:space="preserve">'orderDate' : new Date('2022-11-01'), </v>
      </c>
      <c r="AH16" s="60"/>
      <c r="AI16" s="60" t="str">
        <f>IF(AI15="","","'"&amp;AI$11&amp;"' : '"&amp;AI15&amp;"', ")</f>
        <v xml:space="preserve">'orderStatus' : 'Delivered', </v>
      </c>
      <c r="AJ16" s="60" t="str">
        <f>IF(AJ15="","","'"&amp;AJ$11&amp;"' : new Date('"&amp;TEXT(AJ15,"yyyy-mm-dd")&amp;"') ")</f>
        <v xml:space="preserve">'statusDate' : new Date('2022-11-01') </v>
      </c>
      <c r="AK16" s="60"/>
      <c r="AL16" s="59"/>
      <c r="AM16" s="58" t="str">
        <f ca="1">_xlfn.CONCAT("{ ",B16:AJ16,"} ,")</f>
        <v>{ 'emailAddress' : 'jessewilliams@gmail.com', 'orderId' : '20221101101912', 'employeeUserName' : 'mjones', 'deliveryAddress' : { 'dName' : 'Jesse Williams' , 'dStreet' : '4681 Baker Street' , 'dUnit' : '312' , 'dCity' : 'London' , 'dProvince' : 'Ontario' , 'dZip' : 'N0N 0N0' , 'dMobileNumber' : '519-858-8035' } , 'billingsAddress' : { 'bName' : 'Jesse Williams' , 'bStreet' : '564 Heritage Drive' , 'bUnit' : '311' , 'bCity' : 'Calgary' , 'bProvince' : 'Alberta' , 'bZip' : 'T2V 2W2' , 'bMobileNumber' : '403-875-0334' } , 'paymentMethod' : { 'paymentType' : 'Credit' , 'cardScheme' : 'Visa' , 'cardLast4' : '3551' } , 'totalQty' : 3, 'orderTotal' : 216.8, 'grossTotal' : 187.45, 'tax' : 24.36, 'deliveryFee' : 4.99, orderDetails : [ { 'productId' : '4015', 'productName' : 'Sprouted Grain Flat Bagel', 'quantity' : 8, 'price' : 6.59, 'subTotal' : 52.72 },{ 'productId' : '4007', 'productName' : 'Orange Scone', 'quantity' : 12, 'price' : 5.49, 'subTotal' : 65.88 },{ 'productId' : '4006', 'productName' : 'Chocolate Croissant', 'quantity' : 9, 'price' : 7.65, 'subTotal' : 68.85 }], 'orderDate' : new Date('2022-11-01'), 'orderStatus' : 'Delivered', 'statusDate' : new Date('2022-11-01') } ,</v>
      </c>
    </row>
    <row r="17" spans="1:39" hidden="1" x14ac:dyDescent="0.35">
      <c r="B17" t="s">
        <v>686</v>
      </c>
      <c r="C17" s="49" t="s">
        <v>687</v>
      </c>
      <c r="D17" t="s">
        <v>681</v>
      </c>
      <c r="E17" t="s">
        <v>336</v>
      </c>
      <c r="F17" t="s">
        <v>400</v>
      </c>
      <c r="H17" t="s">
        <v>429</v>
      </c>
      <c r="I17" t="s">
        <v>454</v>
      </c>
      <c r="J17" t="s">
        <v>463</v>
      </c>
      <c r="K17" t="s">
        <v>488</v>
      </c>
      <c r="L17" t="str">
        <f t="shared" ref="L17:L19" si="5">E17</f>
        <v>Trinity Gosling</v>
      </c>
      <c r="M17" t="str">
        <f>VLOOKUP($B17,Customers!$B:$J,4,0)</f>
        <v>3504 Rose Street</v>
      </c>
      <c r="O17" t="str">
        <f>VLOOKUP($B17,Customers!$B:$J,6,0)</f>
        <v>Regina</v>
      </c>
      <c r="P17" t="str">
        <f>VLOOKUP($B17,Customers!$B:$J,7,0)</f>
        <v>Saskatchewan</v>
      </c>
      <c r="Q17" t="str">
        <f>VLOOKUP($B17,Customers!$B:$J,8,0)</f>
        <v>S4P 3Y2</v>
      </c>
      <c r="R17" t="str">
        <f>VLOOKUP($B17,Customers!$B:$J,9,0)</f>
        <v>306-569-6952</v>
      </c>
      <c r="S17" t="str">
        <f>VLOOKUP($B17,Customers!$B:$T,16,0)</f>
        <v>Credit</v>
      </c>
      <c r="T17" t="str">
        <f>VLOOKUP($B17,Customers!$B:$T,18,0)</f>
        <v>Mastercard</v>
      </c>
      <c r="U17" t="str">
        <f>VLOOKUP($B17,Customers!$B:$T,19,0)</f>
        <v>5230</v>
      </c>
      <c r="V17">
        <f ca="1">COUNTIF(C:C,C17)-1</f>
        <v>2</v>
      </c>
      <c r="X17">
        <f t="shared" ref="X17:X18" si="6">AC17*AD17</f>
        <v>84.83</v>
      </c>
      <c r="Y17">
        <f t="shared" ref="Y17:Y18" si="7">ROUND(X17*13%,2)</f>
        <v>11.03</v>
      </c>
      <c r="AA17">
        <v>4001</v>
      </c>
      <c r="AB17" t="s">
        <v>63</v>
      </c>
      <c r="AC17">
        <v>17</v>
      </c>
      <c r="AD17">
        <v>4.99</v>
      </c>
      <c r="AE17">
        <f>AC17*AD17</f>
        <v>84.83</v>
      </c>
      <c r="AF17" s="54" t="str">
        <f>"{ '"&amp;AA$11&amp;"' : '"&amp;AA17&amp;"', '"&amp;AB$11&amp;"' : '"&amp;AB17&amp;"', '"&amp;AC$11&amp;"' : "&amp;AC17&amp;", '"&amp;AD$11&amp;"' : "&amp;AD17&amp;", '"&amp;AE$11&amp;"' : "&amp;AE17&amp;" },"</f>
        <v>{ 'productId' : '4001', 'productName' : 'Plain Bagel', 'quantity' : 17, 'price' : 4.99, 'subTotal' : 84.83 },</v>
      </c>
      <c r="AG17" s="48">
        <v>44866</v>
      </c>
      <c r="AH17" s="50" t="s">
        <v>688</v>
      </c>
      <c r="AI17" t="s">
        <v>755</v>
      </c>
      <c r="AJ17" s="48">
        <f>AG17</f>
        <v>44866</v>
      </c>
      <c r="AK17" t="s">
        <v>689</v>
      </c>
    </row>
    <row r="18" spans="1:39" hidden="1" x14ac:dyDescent="0.35">
      <c r="B18" t="s">
        <v>686</v>
      </c>
      <c r="C18" t="s">
        <v>687</v>
      </c>
      <c r="D18" t="s">
        <v>681</v>
      </c>
      <c r="E18" t="s">
        <v>336</v>
      </c>
      <c r="F18" t="s">
        <v>400</v>
      </c>
      <c r="H18" t="s">
        <v>429</v>
      </c>
      <c r="I18" t="s">
        <v>454</v>
      </c>
      <c r="J18" t="s">
        <v>463</v>
      </c>
      <c r="K18" t="s">
        <v>488</v>
      </c>
      <c r="L18" t="str">
        <f t="shared" si="5"/>
        <v>Trinity Gosling</v>
      </c>
      <c r="M18" t="str">
        <f>VLOOKUP($B18,Customers!$B:$J,4,0)</f>
        <v>3504 Rose Street</v>
      </c>
      <c r="O18" t="str">
        <f>VLOOKUP($B18,Customers!$B:$J,6,0)</f>
        <v>Regina</v>
      </c>
      <c r="P18" t="str">
        <f>VLOOKUP($B18,Customers!$B:$J,7,0)</f>
        <v>Saskatchewan</v>
      </c>
      <c r="Q18" t="str">
        <f>VLOOKUP($B18,Customers!$B:$J,8,0)</f>
        <v>S4P 3Y2</v>
      </c>
      <c r="R18" t="str">
        <f>VLOOKUP($B18,Customers!$B:$J,9,0)</f>
        <v>306-569-6952</v>
      </c>
      <c r="S18" t="str">
        <f>VLOOKUP($B18,Customers!$B:$T,16,0)</f>
        <v>Credit</v>
      </c>
      <c r="T18" t="str">
        <f>VLOOKUP($B18,Customers!$B:$T,18,0)</f>
        <v>Mastercard</v>
      </c>
      <c r="U18" t="str">
        <f>VLOOKUP($B18,Customers!$B:$T,19,0)</f>
        <v>5230</v>
      </c>
      <c r="V18">
        <f ca="1">COUNTIF(C:C,C18)-1</f>
        <v>2</v>
      </c>
      <c r="X18">
        <f t="shared" si="6"/>
        <v>39.900000000000006</v>
      </c>
      <c r="Y18">
        <f t="shared" si="7"/>
        <v>5.19</v>
      </c>
      <c r="AA18">
        <v>5003</v>
      </c>
      <c r="AB18" t="s">
        <v>94</v>
      </c>
      <c r="AC18">
        <v>10</v>
      </c>
      <c r="AD18">
        <v>3.99</v>
      </c>
      <c r="AE18">
        <f>AC18*AD18</f>
        <v>39.900000000000006</v>
      </c>
      <c r="AF18" s="54" t="str">
        <f>"{ '"&amp;AA$11&amp;"' : '"&amp;AA18&amp;"', '"&amp;AB$11&amp;"' : '"&amp;AB18&amp;"', '"&amp;AC$11&amp;"' : "&amp;AC18&amp;", '"&amp;AD$11&amp;"' : "&amp;AD18&amp;", '"&amp;AE$11&amp;"' : "&amp;AE18&amp;" }"</f>
        <v>{ 'productId' : '5003', 'productName' : 'Continental Drinks', 'quantity' : 10, 'price' : 3.99, 'subTotal' : 39.9 }</v>
      </c>
      <c r="AG18" s="48">
        <v>44866</v>
      </c>
      <c r="AH18" s="48" t="str">
        <f>AH17</f>
        <v>104800</v>
      </c>
      <c r="AI18" t="str">
        <f t="shared" ref="AI18:AJ18" si="8">AI17</f>
        <v>Delivered</v>
      </c>
      <c r="AJ18" s="48">
        <f t="shared" si="8"/>
        <v>44866</v>
      </c>
    </row>
    <row r="19" spans="1:39" hidden="1" x14ac:dyDescent="0.35">
      <c r="A19" t="s">
        <v>759</v>
      </c>
      <c r="B19" t="s">
        <v>686</v>
      </c>
      <c r="C19" t="s">
        <v>687</v>
      </c>
      <c r="D19" t="s">
        <v>681</v>
      </c>
      <c r="E19" t="s">
        <v>336</v>
      </c>
      <c r="F19" t="s">
        <v>400</v>
      </c>
      <c r="H19" t="s">
        <v>429</v>
      </c>
      <c r="I19" t="s">
        <v>454</v>
      </c>
      <c r="J19" t="s">
        <v>463</v>
      </c>
      <c r="K19" t="s">
        <v>488</v>
      </c>
      <c r="L19" t="str">
        <f t="shared" si="5"/>
        <v>Trinity Gosling</v>
      </c>
      <c r="M19" t="str">
        <f>VLOOKUP($B19,Customers!$B:$J,4,0)</f>
        <v>3504 Rose Street</v>
      </c>
      <c r="O19" t="str">
        <f>VLOOKUP($B19,Customers!$B:$J,6,0)</f>
        <v>Regina</v>
      </c>
      <c r="P19" t="str">
        <f>VLOOKUP($B19,Customers!$B:$J,7,0)</f>
        <v>Saskatchewan</v>
      </c>
      <c r="Q19" t="str">
        <f>VLOOKUP($B19,Customers!$B:$J,8,0)</f>
        <v>S4P 3Y2</v>
      </c>
      <c r="R19" t="str">
        <f>VLOOKUP($B19,Customers!$B:$J,9,0)</f>
        <v>306-569-6952</v>
      </c>
      <c r="S19" t="str">
        <f>VLOOKUP($B19,Customers!$B:$T,16,0)</f>
        <v>Credit</v>
      </c>
      <c r="T19" t="str">
        <f>VLOOKUP($B19,Customers!$B:$T,18,0)</f>
        <v>Mastercard</v>
      </c>
      <c r="U19" t="str">
        <f>VLOOKUP($B19,Customers!$B:$T,19,0)</f>
        <v>5230</v>
      </c>
      <c r="V19">
        <f ca="1">COUNTIF(C:C,C19)-1</f>
        <v>2</v>
      </c>
      <c r="W19">
        <f>SUM(X19:Z19)</f>
        <v>145.94</v>
      </c>
      <c r="X19">
        <f>SUM(X17:X18)</f>
        <v>124.73</v>
      </c>
      <c r="Y19">
        <f>SUM(Y17:Y18)</f>
        <v>16.22</v>
      </c>
      <c r="Z19">
        <v>4.99</v>
      </c>
      <c r="AF19" s="54"/>
      <c r="AG19" s="48">
        <f>AG18</f>
        <v>44866</v>
      </c>
      <c r="AH19" s="48"/>
      <c r="AI19" t="str">
        <f t="shared" ref="AI19:AJ19" si="9">AI18</f>
        <v>Delivered</v>
      </c>
      <c r="AJ19" s="48">
        <f t="shared" si="9"/>
        <v>44866</v>
      </c>
    </row>
    <row r="20" spans="1:39" s="58" customFormat="1" ht="43.5" hidden="1" x14ac:dyDescent="0.35">
      <c r="A20" s="60" t="s">
        <v>760</v>
      </c>
      <c r="B20" s="60" t="str">
        <f>IF(B19="","","'"&amp;B$11&amp;"' : '"&amp;B19&amp;"', ")</f>
        <v xml:space="preserve">'emailAddress' : 'trinity_gosling@gmail.com', </v>
      </c>
      <c r="C20" s="60" t="str">
        <f>IF(C19="","","'"&amp;C$11&amp;"' : '"&amp;C19&amp;"', ")</f>
        <v xml:space="preserve">'orderId' : '20221101104800', </v>
      </c>
      <c r="D20" s="60" t="str">
        <f>IF(D19="","","'"&amp;D$11&amp;"' : '"&amp;D19&amp;"', ")</f>
        <v xml:space="preserve">'employeeUserName' : 'jbartolata', </v>
      </c>
      <c r="E20" s="60" t="str">
        <f>IF(E19="","","'"&amp;$F$10&amp;"' : { '"&amp;E$11&amp;"' : '"&amp;E19&amp;"' , ")</f>
        <v xml:space="preserve">'deliveryAddress' : { 'dName' : 'Trinity Gosling' , </v>
      </c>
      <c r="F20" s="60" t="str">
        <f>IF(F19="","","'"&amp;F$11&amp;"' : '"&amp;F19&amp;"' , ")</f>
        <v xml:space="preserve">'dStreet' : '3504 Rose Street' , </v>
      </c>
      <c r="G20" s="60" t="str">
        <f>IF(G19="","","'"&amp;G$11&amp;"' : '"&amp;G19&amp;"' , ")</f>
        <v/>
      </c>
      <c r="H20" s="60" t="str">
        <f>IF(H19="","","'"&amp;H$11&amp;"' : '"&amp;H19&amp;"' , ")</f>
        <v xml:space="preserve">'dCity' : 'Regina' , </v>
      </c>
      <c r="I20" s="60" t="str">
        <f>IF(I19="","","'"&amp;I$11&amp;"' : '"&amp;I19&amp;"' , ")</f>
        <v xml:space="preserve">'dProvince' : 'Saskatchewan' , </v>
      </c>
      <c r="J20" s="60" t="str">
        <f>IF(J19="","","'"&amp;J$11&amp;"' : '"&amp;J19&amp;"' , ")</f>
        <v xml:space="preserve">'dZip' : 'S4P 3Y2' , </v>
      </c>
      <c r="K20" s="60" t="str">
        <f>IF(K19="","","'"&amp;K$11&amp;"' : '"&amp;K19&amp;"' } , ")</f>
        <v xml:space="preserve">'dMobileNumber' : '306-569-6952' } , </v>
      </c>
      <c r="L20" s="60" t="str">
        <f>IF(L19="","","'"&amp;$L$10&amp;"' : { '"&amp;L$11&amp;"' : '"&amp;L19&amp;"' , ")</f>
        <v xml:space="preserve">'billingsAddress' : { 'bName' : 'Trinity Gosling' , </v>
      </c>
      <c r="M20" s="60" t="str">
        <f>IF(M19="","","'"&amp;M$11&amp;"' : '"&amp;M19&amp;"' , ")</f>
        <v xml:space="preserve">'bStreet' : '3504 Rose Street' , </v>
      </c>
      <c r="N20" s="60" t="str">
        <f>IF(N19="","","'"&amp;N$11&amp;"' : '"&amp;N19&amp;"' , ")</f>
        <v/>
      </c>
      <c r="O20" s="60" t="str">
        <f>IF(O19="","","'"&amp;O$11&amp;"' : '"&amp;O19&amp;"' , ")</f>
        <v xml:space="preserve">'bCity' : 'Regina' , </v>
      </c>
      <c r="P20" s="60" t="str">
        <f>IF(P19="","","'"&amp;P$11&amp;"' : '"&amp;P19&amp;"' , ")</f>
        <v xml:space="preserve">'bProvince' : 'Saskatchewan' , </v>
      </c>
      <c r="Q20" s="60" t="str">
        <f>IF(Q19="","","'"&amp;Q$11&amp;"' : '"&amp;Q19&amp;"' , ")</f>
        <v xml:space="preserve">'bZip' : 'S4P 3Y2' , </v>
      </c>
      <c r="R20" s="60" t="str">
        <f>IF(R19="","","'"&amp;R$11&amp;"' : '"&amp;R19&amp;"' } , ")</f>
        <v xml:space="preserve">'bMobileNumber' : '306-569-6952' } , </v>
      </c>
      <c r="S20" s="60" t="str">
        <f>IF(S19="","","'"&amp;$S$10&amp;"' : { '"&amp;S$11&amp;"' : '"&amp;S19&amp;"' , ")</f>
        <v xml:space="preserve">'paymentMethod' : { 'paymentType' : 'Credit' , </v>
      </c>
      <c r="T20" s="60" t="str">
        <f>IF(T19="","","'"&amp;T$11&amp;"' : '"&amp;T19&amp;"' , ")</f>
        <v xml:space="preserve">'cardScheme' : 'Mastercard' , </v>
      </c>
      <c r="U20" s="60" t="str">
        <f>IF(U19="","","'"&amp;U$11&amp;"' : '"&amp;U19&amp;"' } , ")</f>
        <v xml:space="preserve">'cardLast4' : '5230' } , </v>
      </c>
      <c r="V20" s="60" t="str">
        <f ca="1">IF(V19="","","'"&amp;V$11&amp;"' : "&amp;V19&amp;", ")</f>
        <v xml:space="preserve">'totalQty' : 2, </v>
      </c>
      <c r="W20" s="60" t="str">
        <f>IF(W19="","","'"&amp;W$11&amp;"' : "&amp;W19&amp;", ")</f>
        <v xml:space="preserve">'orderTotal' : 145.94, </v>
      </c>
      <c r="X20" s="60" t="str">
        <f>IF(X19="","","'"&amp;X$11&amp;"' : "&amp;X19&amp;", ")</f>
        <v xml:space="preserve">'grossTotal' : 124.73, </v>
      </c>
      <c r="Y20" s="60" t="str">
        <f>IF(Y19="","","'"&amp;Y$11&amp;"' : "&amp;Y19&amp;", ")</f>
        <v xml:space="preserve">'tax' : 16.22, </v>
      </c>
      <c r="Z20" s="60" t="str">
        <f>IF(Z19="","","'"&amp;Z$11&amp;"' : "&amp;Z19&amp;", ")</f>
        <v xml:space="preserve">'deliveryFee' : 4.99, </v>
      </c>
      <c r="AA20" s="60"/>
      <c r="AB20" s="60"/>
      <c r="AC20" s="60"/>
      <c r="AD20" s="60"/>
      <c r="AE20" s="60"/>
      <c r="AF20" s="60" t="str">
        <f>$AA$10&amp;" : "&amp;_xlfn.CONCAT("[ ",AF17:AF18,"], ")</f>
        <v xml:space="preserve">orderDetails : [ { 'productId' : '4001', 'productName' : 'Plain Bagel', 'quantity' : 17, 'price' : 4.99, 'subTotal' : 84.83 },{ 'productId' : '5003', 'productName' : 'Continental Drinks', 'quantity' : 10, 'price' : 3.99, 'subTotal' : 39.9 }], </v>
      </c>
      <c r="AG20" s="60" t="str">
        <f>IF(AG19="","","'"&amp;AG$11&amp;"' : new Date('"&amp;TEXT(AG19,"yyyy-mm-dd")&amp;"'), ")</f>
        <v xml:space="preserve">'orderDate' : new Date('2022-11-01'), </v>
      </c>
      <c r="AH20" s="60"/>
      <c r="AI20" s="60" t="str">
        <f>IF(AI19="","","'"&amp;AI$11&amp;"' : '"&amp;AI19&amp;"', ")</f>
        <v xml:space="preserve">'orderStatus' : 'Delivered', </v>
      </c>
      <c r="AJ20" s="60" t="str">
        <f>IF(AJ19="","","'"&amp;AJ$11&amp;"' : new Date('"&amp;TEXT(AJ19,"yyyy-mm-dd")&amp;"') ")</f>
        <v xml:space="preserve">'statusDate' : new Date('2022-11-01') </v>
      </c>
      <c r="AK20" s="60"/>
      <c r="AL20" s="59"/>
      <c r="AM20" s="58" t="str">
        <f ca="1">_xlfn.CONCAT("{ ",B20:AJ20,"} ,")</f>
        <v>{ 'emailAddress' : 'trinity_gosling@gmail.com', 'orderId' : '20221101104800', 'employeeUserName' : 'jbartolata', 'deliveryAddress' : { 'dName' : 'Trinity Gosling' , 'dStreet' : '3504 Rose Street' , 'dCity' : 'Regina' , 'dProvince' : 'Saskatchewan' , 'dZip' : 'S4P 3Y2' , 'dMobileNumber' : '306-569-6952' } , 'billingsAddress' : { 'bName' : 'Trinity Gosling' , 'bStreet' : '3504 Rose Street' , 'bCity' : 'Regina' , 'bProvince' : 'Saskatchewan' , 'bZip' : 'S4P 3Y2' , 'bMobileNumber' : '306-569-6952' } , 'paymentMethod' : { 'paymentType' : 'Credit' , 'cardScheme' : 'Mastercard' , 'cardLast4' : '5230' } , 'totalQty' : 2, 'orderTotal' : 145.94, 'grossTotal' : 124.73, 'tax' : 16.22, 'deliveryFee' : 4.99, orderDetails : [ { 'productId' : '4001', 'productName' : 'Plain Bagel', 'quantity' : 17, 'price' : 4.99, 'subTotal' : 84.83 },{ 'productId' : '5003', 'productName' : 'Continental Drinks', 'quantity' : 10, 'price' : 3.99, 'subTotal' : 39.9 }], 'orderDate' : new Date('2022-11-01'), 'orderStatus' : 'Delivered', 'statusDate' : new Date('2022-11-01') } ,</v>
      </c>
    </row>
    <row r="21" spans="1:39" hidden="1" x14ac:dyDescent="0.35">
      <c r="B21" t="s">
        <v>690</v>
      </c>
      <c r="C21" s="49" t="s">
        <v>691</v>
      </c>
      <c r="D21" t="s">
        <v>680</v>
      </c>
      <c r="E21" t="s">
        <v>342</v>
      </c>
      <c r="F21" t="s">
        <v>407</v>
      </c>
      <c r="H21" t="s">
        <v>426</v>
      </c>
      <c r="I21" t="s">
        <v>452</v>
      </c>
      <c r="J21" t="s">
        <v>459</v>
      </c>
      <c r="K21" t="s">
        <v>495</v>
      </c>
      <c r="L21" t="str">
        <f t="shared" ref="L21:L23" si="10">E21</f>
        <v>Annika Boyle</v>
      </c>
      <c r="M21" t="str">
        <f>VLOOKUP($B21,Customers!$B:$J,4,0)</f>
        <v>1817 Pope St</v>
      </c>
      <c r="O21" t="str">
        <f>VLOOKUP($B21,Customers!$B:$J,6,0)</f>
        <v>Alberton</v>
      </c>
      <c r="P21" t="str">
        <f>VLOOKUP($B21,Customers!$B:$J,7,0)</f>
        <v>Prince Edward Island</v>
      </c>
      <c r="Q21" t="str">
        <f>VLOOKUP($B21,Customers!$B:$J,8,0)</f>
        <v>C0B 1K0</v>
      </c>
      <c r="R21" t="str">
        <f>VLOOKUP($B21,Customers!$B:$J,9,0)</f>
        <v>902-853-7192</v>
      </c>
      <c r="S21" t="str">
        <f>VLOOKUP($B21,Customers!$B:$T,16,0)</f>
        <v>Debit</v>
      </c>
      <c r="T21" t="str">
        <f>VLOOKUP($B21,Customers!$B:$T,18,0)</f>
        <v>Mastercard</v>
      </c>
      <c r="U21" t="str">
        <f>VLOOKUP($B21,Customers!$B:$T,19,0)</f>
        <v>9290</v>
      </c>
      <c r="V21">
        <f ca="1">COUNTIF(C:C,C21)-1</f>
        <v>2</v>
      </c>
      <c r="X21">
        <f t="shared" ref="X21:X22" si="11">AC21*AD21</f>
        <v>71.820000000000007</v>
      </c>
      <c r="Y21">
        <f t="shared" ref="Y21:Y22" si="12">ROUND(X21*13%,2)</f>
        <v>9.34</v>
      </c>
      <c r="AA21">
        <v>5001</v>
      </c>
      <c r="AB21" t="s">
        <v>89</v>
      </c>
      <c r="AC21">
        <v>18</v>
      </c>
      <c r="AD21">
        <v>3.99</v>
      </c>
      <c r="AE21">
        <f>AC21*AD21</f>
        <v>71.820000000000007</v>
      </c>
      <c r="AF21" s="54" t="str">
        <f>"{ '"&amp;AA$11&amp;"' : '"&amp;AA21&amp;"', '"&amp;AB$11&amp;"' : '"&amp;AB21&amp;"', '"&amp;AC$11&amp;"' : "&amp;AC21&amp;", '"&amp;AD$11&amp;"' : "&amp;AD21&amp;", '"&amp;AE$11&amp;"' : "&amp;AE21&amp;" },"</f>
        <v>{ 'productId' : '5001', 'productName' : 'Hot Chocolait', 'quantity' : 18, 'price' : 3.99, 'subTotal' : 71.82 },</v>
      </c>
      <c r="AG21" s="48">
        <v>44866</v>
      </c>
      <c r="AH21" s="50" t="s">
        <v>692</v>
      </c>
      <c r="AI21" t="s">
        <v>755</v>
      </c>
      <c r="AJ21" s="48">
        <f>AG21</f>
        <v>44866</v>
      </c>
      <c r="AK21" t="s">
        <v>693</v>
      </c>
    </row>
    <row r="22" spans="1:39" hidden="1" x14ac:dyDescent="0.35">
      <c r="B22" t="s">
        <v>690</v>
      </c>
      <c r="C22" t="s">
        <v>691</v>
      </c>
      <c r="D22" t="s">
        <v>680</v>
      </c>
      <c r="E22" t="s">
        <v>342</v>
      </c>
      <c r="F22" t="s">
        <v>407</v>
      </c>
      <c r="H22" t="s">
        <v>426</v>
      </c>
      <c r="I22" t="s">
        <v>452</v>
      </c>
      <c r="J22" t="s">
        <v>459</v>
      </c>
      <c r="K22" t="s">
        <v>495</v>
      </c>
      <c r="L22" t="str">
        <f t="shared" si="10"/>
        <v>Annika Boyle</v>
      </c>
      <c r="M22" t="str">
        <f>VLOOKUP($B22,Customers!$B:$J,4,0)</f>
        <v>1817 Pope St</v>
      </c>
      <c r="O22" t="str">
        <f>VLOOKUP($B22,Customers!$B:$J,6,0)</f>
        <v>Alberton</v>
      </c>
      <c r="P22" t="str">
        <f>VLOOKUP($B22,Customers!$B:$J,7,0)</f>
        <v>Prince Edward Island</v>
      </c>
      <c r="Q22" t="str">
        <f>VLOOKUP($B22,Customers!$B:$J,8,0)</f>
        <v>C0B 1K0</v>
      </c>
      <c r="R22" t="str">
        <f>VLOOKUP($B22,Customers!$B:$J,9,0)</f>
        <v>902-853-7192</v>
      </c>
      <c r="S22" t="str">
        <f>VLOOKUP($B22,Customers!$B:$T,16,0)</f>
        <v>Debit</v>
      </c>
      <c r="T22" t="str">
        <f>VLOOKUP($B22,Customers!$B:$T,18,0)</f>
        <v>Mastercard</v>
      </c>
      <c r="U22" t="str">
        <f>VLOOKUP($B22,Customers!$B:$T,19,0)</f>
        <v>9290</v>
      </c>
      <c r="V22">
        <f ca="1">COUNTIF(C:C,C22)-1</f>
        <v>2</v>
      </c>
      <c r="X22">
        <f t="shared" si="11"/>
        <v>99.45</v>
      </c>
      <c r="Y22">
        <f t="shared" si="12"/>
        <v>12.93</v>
      </c>
      <c r="AA22">
        <v>4006</v>
      </c>
      <c r="AB22" t="s">
        <v>70</v>
      </c>
      <c r="AC22">
        <v>13</v>
      </c>
      <c r="AD22">
        <v>7.65</v>
      </c>
      <c r="AE22">
        <f>AC22*AD22</f>
        <v>99.45</v>
      </c>
      <c r="AF22" s="54" t="str">
        <f>"{ '"&amp;AA$11&amp;"' : '"&amp;AA22&amp;"', '"&amp;AB$11&amp;"' : '"&amp;AB22&amp;"', '"&amp;AC$11&amp;"' : "&amp;AC22&amp;", '"&amp;AD$11&amp;"' : "&amp;AD22&amp;", '"&amp;AE$11&amp;"' : "&amp;AE22&amp;" }"</f>
        <v>{ 'productId' : '4006', 'productName' : 'Chocolate Croissant', 'quantity' : 13, 'price' : 7.65, 'subTotal' : 99.45 }</v>
      </c>
      <c r="AG22" s="48">
        <v>44866</v>
      </c>
      <c r="AH22" s="48" t="str">
        <f>AH21</f>
        <v>103336</v>
      </c>
      <c r="AI22" t="str">
        <f t="shared" ref="AI22:AJ22" si="13">AI21</f>
        <v>Delivered</v>
      </c>
      <c r="AJ22" s="48">
        <f t="shared" si="13"/>
        <v>44866</v>
      </c>
    </row>
    <row r="23" spans="1:39" hidden="1" x14ac:dyDescent="0.35">
      <c r="A23" t="s">
        <v>759</v>
      </c>
      <c r="B23" t="s">
        <v>690</v>
      </c>
      <c r="C23" t="s">
        <v>691</v>
      </c>
      <c r="D23" t="s">
        <v>680</v>
      </c>
      <c r="E23" t="s">
        <v>342</v>
      </c>
      <c r="F23" t="s">
        <v>407</v>
      </c>
      <c r="H23" t="s">
        <v>426</v>
      </c>
      <c r="I23" t="s">
        <v>452</v>
      </c>
      <c r="J23" t="s">
        <v>459</v>
      </c>
      <c r="K23" t="s">
        <v>495</v>
      </c>
      <c r="L23" t="str">
        <f t="shared" si="10"/>
        <v>Annika Boyle</v>
      </c>
      <c r="M23" t="str">
        <f>VLOOKUP($B23,Customers!$B:$J,4,0)</f>
        <v>1817 Pope St</v>
      </c>
      <c r="O23" t="str">
        <f>VLOOKUP($B23,Customers!$B:$J,6,0)</f>
        <v>Alberton</v>
      </c>
      <c r="P23" t="str">
        <f>VLOOKUP($B23,Customers!$B:$J,7,0)</f>
        <v>Prince Edward Island</v>
      </c>
      <c r="Q23" t="str">
        <f>VLOOKUP($B23,Customers!$B:$J,8,0)</f>
        <v>C0B 1K0</v>
      </c>
      <c r="R23" t="str">
        <f>VLOOKUP($B23,Customers!$B:$J,9,0)</f>
        <v>902-853-7192</v>
      </c>
      <c r="S23" t="str">
        <f>VLOOKUP($B23,Customers!$B:$T,16,0)</f>
        <v>Debit</v>
      </c>
      <c r="T23" t="str">
        <f>VLOOKUP($B23,Customers!$B:$T,18,0)</f>
        <v>Mastercard</v>
      </c>
      <c r="U23" t="str">
        <f>VLOOKUP($B23,Customers!$B:$T,19,0)</f>
        <v>9290</v>
      </c>
      <c r="V23">
        <f ca="1">COUNTIF(C:C,C23)-1</f>
        <v>2</v>
      </c>
      <c r="W23">
        <f>SUM(X23:Z23)</f>
        <v>198.53000000000003</v>
      </c>
      <c r="X23">
        <f>SUM(X21:X22)</f>
        <v>171.27</v>
      </c>
      <c r="Y23">
        <f>SUM(Y21:Y22)</f>
        <v>22.27</v>
      </c>
      <c r="Z23">
        <v>4.99</v>
      </c>
      <c r="AF23" s="54"/>
      <c r="AG23" s="48">
        <f>AG22</f>
        <v>44866</v>
      </c>
      <c r="AH23" s="48"/>
      <c r="AI23" t="str">
        <f t="shared" ref="AI23:AJ23" si="14">AI22</f>
        <v>Delivered</v>
      </c>
      <c r="AJ23" s="48">
        <f t="shared" si="14"/>
        <v>44866</v>
      </c>
    </row>
    <row r="24" spans="1:39" s="58" customFormat="1" ht="43.5" hidden="1" x14ac:dyDescent="0.35">
      <c r="A24" s="60" t="s">
        <v>760</v>
      </c>
      <c r="B24" s="60" t="str">
        <f>IF(B23="","","'"&amp;B$11&amp;"' : '"&amp;B23&amp;"', ")</f>
        <v xml:space="preserve">'emailAddress' : 'boyleannika@gmail.com', </v>
      </c>
      <c r="C24" s="60" t="str">
        <f>IF(C23="","","'"&amp;C$11&amp;"' : '"&amp;C23&amp;"', ")</f>
        <v xml:space="preserve">'orderId' : '20221101103336', </v>
      </c>
      <c r="D24" s="60" t="str">
        <f>IF(D23="","","'"&amp;D$11&amp;"' : '"&amp;D23&amp;"', ")</f>
        <v xml:space="preserve">'employeeUserName' : 'lzapanta', </v>
      </c>
      <c r="E24" s="60" t="str">
        <f>IF(E23="","","'"&amp;$F$10&amp;"' : { '"&amp;E$11&amp;"' : '"&amp;E23&amp;"' , ")</f>
        <v xml:space="preserve">'deliveryAddress' : { 'dName' : 'Annika Boyle' , </v>
      </c>
      <c r="F24" s="60" t="str">
        <f>IF(F23="","","'"&amp;F$11&amp;"' : '"&amp;F23&amp;"' , ")</f>
        <v xml:space="preserve">'dStreet' : '1817 Pope St' , </v>
      </c>
      <c r="G24" s="60" t="str">
        <f>IF(G23="","","'"&amp;G$11&amp;"' : '"&amp;G23&amp;"' , ")</f>
        <v/>
      </c>
      <c r="H24" s="60" t="str">
        <f>IF(H23="","","'"&amp;H$11&amp;"' : '"&amp;H23&amp;"' , ")</f>
        <v xml:space="preserve">'dCity' : 'Alberton' , </v>
      </c>
      <c r="I24" s="60" t="str">
        <f>IF(I23="","","'"&amp;I$11&amp;"' : '"&amp;I23&amp;"' , ")</f>
        <v xml:space="preserve">'dProvince' : 'Prince Edward Island' , </v>
      </c>
      <c r="J24" s="60" t="str">
        <f>IF(J23="","","'"&amp;J$11&amp;"' : '"&amp;J23&amp;"' , ")</f>
        <v xml:space="preserve">'dZip' : 'C0B 1K0' , </v>
      </c>
      <c r="K24" s="60" t="str">
        <f>IF(K23="","","'"&amp;K$11&amp;"' : '"&amp;K23&amp;"' } , ")</f>
        <v xml:space="preserve">'dMobileNumber' : '902-853-7192' } , </v>
      </c>
      <c r="L24" s="60" t="str">
        <f>IF(L23="","","'"&amp;$L$10&amp;"' : { '"&amp;L$11&amp;"' : '"&amp;L23&amp;"' , ")</f>
        <v xml:space="preserve">'billingsAddress' : { 'bName' : 'Annika Boyle' , </v>
      </c>
      <c r="M24" s="60" t="str">
        <f>IF(M23="","","'"&amp;M$11&amp;"' : '"&amp;M23&amp;"' , ")</f>
        <v xml:space="preserve">'bStreet' : '1817 Pope St' , </v>
      </c>
      <c r="N24" s="60" t="str">
        <f>IF(N23="","","'"&amp;N$11&amp;"' : '"&amp;N23&amp;"' , ")</f>
        <v/>
      </c>
      <c r="O24" s="60" t="str">
        <f>IF(O23="","","'"&amp;O$11&amp;"' : '"&amp;O23&amp;"' , ")</f>
        <v xml:space="preserve">'bCity' : 'Alberton' , </v>
      </c>
      <c r="P24" s="60" t="str">
        <f>IF(P23="","","'"&amp;P$11&amp;"' : '"&amp;P23&amp;"' , ")</f>
        <v xml:space="preserve">'bProvince' : 'Prince Edward Island' , </v>
      </c>
      <c r="Q24" s="60" t="str">
        <f>IF(Q23="","","'"&amp;Q$11&amp;"' : '"&amp;Q23&amp;"' , ")</f>
        <v xml:space="preserve">'bZip' : 'C0B 1K0' , </v>
      </c>
      <c r="R24" s="60" t="str">
        <f>IF(R23="","","'"&amp;R$11&amp;"' : '"&amp;R23&amp;"' } , ")</f>
        <v xml:space="preserve">'bMobileNumber' : '902-853-7192' } , </v>
      </c>
      <c r="S24" s="60" t="str">
        <f>IF(S23="","","'"&amp;$S$10&amp;"' : { '"&amp;S$11&amp;"' : '"&amp;S23&amp;"' , ")</f>
        <v xml:space="preserve">'paymentMethod' : { 'paymentType' : 'Debit' , </v>
      </c>
      <c r="T24" s="60" t="str">
        <f>IF(T23="","","'"&amp;T$11&amp;"' : '"&amp;T23&amp;"' , ")</f>
        <v xml:space="preserve">'cardScheme' : 'Mastercard' , </v>
      </c>
      <c r="U24" s="60" t="str">
        <f>IF(U23="","","'"&amp;U$11&amp;"' : '"&amp;U23&amp;"' } , ")</f>
        <v xml:space="preserve">'cardLast4' : '9290' } , </v>
      </c>
      <c r="V24" s="60" t="str">
        <f ca="1">IF(V23="","","'"&amp;V$11&amp;"' : "&amp;V23&amp;", ")</f>
        <v xml:space="preserve">'totalQty' : 2, </v>
      </c>
      <c r="W24" s="60" t="str">
        <f>IF(W23="","","'"&amp;W$11&amp;"' : "&amp;W23&amp;", ")</f>
        <v xml:space="preserve">'orderTotal' : 198.53, </v>
      </c>
      <c r="X24" s="60" t="str">
        <f>IF(X23="","","'"&amp;X$11&amp;"' : "&amp;X23&amp;", ")</f>
        <v xml:space="preserve">'grossTotal' : 171.27, </v>
      </c>
      <c r="Y24" s="60" t="str">
        <f>IF(Y23="","","'"&amp;Y$11&amp;"' : "&amp;Y23&amp;", ")</f>
        <v xml:space="preserve">'tax' : 22.27, </v>
      </c>
      <c r="Z24" s="60" t="str">
        <f>IF(Z23="","","'"&amp;Z$11&amp;"' : "&amp;Z23&amp;", ")</f>
        <v xml:space="preserve">'deliveryFee' : 4.99, </v>
      </c>
      <c r="AA24" s="60"/>
      <c r="AB24" s="60"/>
      <c r="AC24" s="60"/>
      <c r="AD24" s="60"/>
      <c r="AE24" s="60"/>
      <c r="AF24" s="60" t="str">
        <f>$AA$10&amp;" : "&amp;_xlfn.CONCAT("[ ",AF21:AF22,"], ")</f>
        <v xml:space="preserve">orderDetails : [ { 'productId' : '5001', 'productName' : 'Hot Chocolait', 'quantity' : 18, 'price' : 3.99, 'subTotal' : 71.82 },{ 'productId' : '4006', 'productName' : 'Chocolate Croissant', 'quantity' : 13, 'price' : 7.65, 'subTotal' : 99.45 }], </v>
      </c>
      <c r="AG24" s="60" t="str">
        <f>IF(AG23="","","'"&amp;AG$11&amp;"' : new Date('"&amp;TEXT(AG23,"yyyy-mm-dd")&amp;"'), ")</f>
        <v xml:space="preserve">'orderDate' : new Date('2022-11-01'), </v>
      </c>
      <c r="AH24" s="60"/>
      <c r="AI24" s="60" t="str">
        <f>IF(AI23="","","'"&amp;AI$11&amp;"' : '"&amp;AI23&amp;"', ")</f>
        <v xml:space="preserve">'orderStatus' : 'Delivered', </v>
      </c>
      <c r="AJ24" s="60" t="str">
        <f>IF(AJ23="","","'"&amp;AJ$11&amp;"' : new Date('"&amp;TEXT(AJ23,"yyyy-mm-dd")&amp;"') ")</f>
        <v xml:space="preserve">'statusDate' : new Date('2022-11-01') </v>
      </c>
      <c r="AK24" s="60"/>
      <c r="AL24" s="59"/>
      <c r="AM24" s="58" t="str">
        <f ca="1">_xlfn.CONCAT("{ ",B24:AJ24,"} ,")</f>
        <v>{ 'emailAddress' : 'boyleannika@gmail.com', 'orderId' : '20221101103336', 'employeeUserName' : 'lzapanta', 'deliveryAddress' : { 'dName' : 'Annika Boyle' , 'dStreet' : '1817 Pope St' , 'dCity' : 'Alberton' , 'dProvince' : 'Prince Edward Island' , 'dZip' : 'C0B 1K0' , 'dMobileNumber' : '902-853-7192' } , 'billingsAddress' : { 'bName' : 'Annika Boyle' , 'bStreet' : '1817 Pope St' , 'bCity' : 'Alberton' , 'bProvince' : 'Prince Edward Island' , 'bZip' : 'C0B 1K0' , 'bMobileNumber' : '902-853-7192' } , 'paymentMethod' : { 'paymentType' : 'Debit' , 'cardScheme' : 'Mastercard' , 'cardLast4' : '9290' } , 'totalQty' : 2, 'orderTotal' : 198.53, 'grossTotal' : 171.27, 'tax' : 22.27, 'deliveryFee' : 4.99, orderDetails : [ { 'productId' : '5001', 'productName' : 'Hot Chocolait', 'quantity' : 18, 'price' : 3.99, 'subTotal' : 71.82 },{ 'productId' : '4006', 'productName' : 'Chocolate Croissant', 'quantity' : 13, 'price' : 7.65, 'subTotal' : 99.45 }], 'orderDate' : new Date('2022-11-01'), 'orderStatus' : 'Delivered', 'statusDate' : new Date('2022-11-01') } ,</v>
      </c>
    </row>
    <row r="25" spans="1:39" hidden="1" x14ac:dyDescent="0.35">
      <c r="B25" t="s">
        <v>694</v>
      </c>
      <c r="C25" s="49" t="s">
        <v>695</v>
      </c>
      <c r="D25" t="s">
        <v>680</v>
      </c>
      <c r="E25" t="s">
        <v>329</v>
      </c>
      <c r="F25" t="s">
        <v>583</v>
      </c>
      <c r="G25" t="s">
        <v>602</v>
      </c>
      <c r="H25" t="s">
        <v>431</v>
      </c>
      <c r="I25" t="s">
        <v>26</v>
      </c>
      <c r="J25" t="s">
        <v>465</v>
      </c>
      <c r="K25" t="s">
        <v>624</v>
      </c>
      <c r="L25" t="str">
        <f t="shared" ref="L25:L29" si="15">E25</f>
        <v>Norah Fessenden</v>
      </c>
      <c r="M25" t="str">
        <f>VLOOKUP($B25,Customers!$B:$J,4,0)</f>
        <v>1751 Wallbridge Loyalist Rd</v>
      </c>
      <c r="O25" t="str">
        <f>VLOOKUP($B25,Customers!$B:$J,6,0)</f>
        <v>Belleville</v>
      </c>
      <c r="P25" t="str">
        <f>VLOOKUP($B25,Customers!$B:$J,7,0)</f>
        <v>Ontario</v>
      </c>
      <c r="Q25" t="str">
        <f>VLOOKUP($B25,Customers!$B:$J,8,0)</f>
        <v>K8N 1L9</v>
      </c>
      <c r="R25" t="str">
        <f>VLOOKUP($B25,Customers!$B:$J,9,0)</f>
        <v>613-847-5941</v>
      </c>
      <c r="S25" t="str">
        <f>VLOOKUP($B25,Customers!$B:$T,16,0)</f>
        <v>Debit</v>
      </c>
      <c r="T25" t="str">
        <f>VLOOKUP($B25,Customers!$B:$T,18,0)</f>
        <v>Visa</v>
      </c>
      <c r="U25" t="str">
        <f>VLOOKUP($B25,Customers!$B:$T,19,0)</f>
        <v>2541</v>
      </c>
      <c r="V25">
        <f ca="1">COUNTIF(C:C,C25)-1</f>
        <v>4</v>
      </c>
      <c r="X25">
        <f t="shared" ref="X25:X28" si="16">AC25*AD25</f>
        <v>47.92</v>
      </c>
      <c r="Y25">
        <f t="shared" ref="Y25:Y28" si="17">ROUND(X25*13%,2)</f>
        <v>6.23</v>
      </c>
      <c r="AA25">
        <v>4005</v>
      </c>
      <c r="AB25" t="s">
        <v>69</v>
      </c>
      <c r="AC25">
        <v>8</v>
      </c>
      <c r="AD25">
        <v>5.99</v>
      </c>
      <c r="AE25">
        <f>AC25*AD25</f>
        <v>47.92</v>
      </c>
      <c r="AF25" s="54" t="str">
        <f>"{ '"&amp;AA$11&amp;"' : '"&amp;AA25&amp;"', '"&amp;AB$11&amp;"' : '"&amp;AB25&amp;"', '"&amp;AC$11&amp;"' : "&amp;AC25&amp;", '"&amp;AD$11&amp;"' : "&amp;AD25&amp;", '"&amp;AE$11&amp;"' : "&amp;AE25&amp;" },"</f>
        <v>{ 'productId' : '4005', 'productName' : 'Bear Claw', 'quantity' : 8, 'price' : 5.99, 'subTotal' : 47.92 },</v>
      </c>
      <c r="AG25" s="48">
        <v>44866</v>
      </c>
      <c r="AH25" s="50" t="s">
        <v>696</v>
      </c>
      <c r="AI25" t="s">
        <v>755</v>
      </c>
      <c r="AJ25" s="48">
        <f>AG25</f>
        <v>44866</v>
      </c>
      <c r="AK25" t="s">
        <v>697</v>
      </c>
    </row>
    <row r="26" spans="1:39" hidden="1" x14ac:dyDescent="0.35">
      <c r="B26" t="s">
        <v>694</v>
      </c>
      <c r="C26" t="s">
        <v>695</v>
      </c>
      <c r="D26" t="s">
        <v>680</v>
      </c>
      <c r="E26" t="s">
        <v>329</v>
      </c>
      <c r="F26" t="s">
        <v>583</v>
      </c>
      <c r="G26" t="s">
        <v>602</v>
      </c>
      <c r="H26" t="s">
        <v>431</v>
      </c>
      <c r="I26" t="s">
        <v>26</v>
      </c>
      <c r="J26" t="s">
        <v>465</v>
      </c>
      <c r="K26" t="s">
        <v>624</v>
      </c>
      <c r="L26" t="str">
        <f t="shared" si="15"/>
        <v>Norah Fessenden</v>
      </c>
      <c r="M26" t="str">
        <f>VLOOKUP($B26,Customers!$B:$J,4,0)</f>
        <v>1751 Wallbridge Loyalist Rd</v>
      </c>
      <c r="O26" t="str">
        <f>VLOOKUP($B26,Customers!$B:$J,6,0)</f>
        <v>Belleville</v>
      </c>
      <c r="P26" t="str">
        <f>VLOOKUP($B26,Customers!$B:$J,7,0)</f>
        <v>Ontario</v>
      </c>
      <c r="Q26" t="str">
        <f>VLOOKUP($B26,Customers!$B:$J,8,0)</f>
        <v>K8N 1L9</v>
      </c>
      <c r="R26" t="str">
        <f>VLOOKUP($B26,Customers!$B:$J,9,0)</f>
        <v>613-847-5941</v>
      </c>
      <c r="S26" t="str">
        <f>VLOOKUP($B26,Customers!$B:$T,16,0)</f>
        <v>Debit</v>
      </c>
      <c r="T26" t="str">
        <f>VLOOKUP($B26,Customers!$B:$T,18,0)</f>
        <v>Visa</v>
      </c>
      <c r="U26" t="str">
        <f>VLOOKUP($B26,Customers!$B:$T,19,0)</f>
        <v>2541</v>
      </c>
      <c r="V26">
        <f ca="1">COUNTIF(C:C,C26)-1</f>
        <v>4</v>
      </c>
      <c r="X26">
        <f t="shared" si="16"/>
        <v>9.98</v>
      </c>
      <c r="Y26">
        <f t="shared" si="17"/>
        <v>1.3</v>
      </c>
      <c r="AA26">
        <v>5002</v>
      </c>
      <c r="AB26" t="s">
        <v>92</v>
      </c>
      <c r="AC26">
        <v>2</v>
      </c>
      <c r="AD26">
        <v>4.99</v>
      </c>
      <c r="AE26">
        <f>AC26*AD26</f>
        <v>9.98</v>
      </c>
      <c r="AF26" s="54" t="str">
        <f>"{ '"&amp;AA$11&amp;"' : '"&amp;AA26&amp;"', '"&amp;AB$11&amp;"' : '"&amp;AB26&amp;"', '"&amp;AC$11&amp;"' : "&amp;AC26&amp;", '"&amp;AD$11&amp;"' : "&amp;AD26&amp;", '"&amp;AE$11&amp;"' : "&amp;AE26&amp;" },"</f>
        <v>{ 'productId' : '5002', 'productName' : 'Greek Yougurt with mixed Berries', 'quantity' : 2, 'price' : 4.99, 'subTotal' : 9.98 },</v>
      </c>
      <c r="AG26" s="48">
        <v>44867</v>
      </c>
      <c r="AH26" s="48" t="str">
        <f t="shared" ref="AH26:AH28" si="18">AH25</f>
        <v>100448</v>
      </c>
      <c r="AI26" t="str">
        <f t="shared" ref="AI26:AJ28" si="19">AI25</f>
        <v>Delivered</v>
      </c>
      <c r="AJ26" s="48">
        <f t="shared" si="19"/>
        <v>44866</v>
      </c>
    </row>
    <row r="27" spans="1:39" hidden="1" x14ac:dyDescent="0.35">
      <c r="B27" t="s">
        <v>694</v>
      </c>
      <c r="C27" t="s">
        <v>695</v>
      </c>
      <c r="D27" t="s">
        <v>680</v>
      </c>
      <c r="E27" t="s">
        <v>329</v>
      </c>
      <c r="F27" t="s">
        <v>583</v>
      </c>
      <c r="G27" t="s">
        <v>602</v>
      </c>
      <c r="H27" t="s">
        <v>431</v>
      </c>
      <c r="I27" t="s">
        <v>26</v>
      </c>
      <c r="J27" t="s">
        <v>465</v>
      </c>
      <c r="K27" t="s">
        <v>624</v>
      </c>
      <c r="L27" t="str">
        <f t="shared" si="15"/>
        <v>Norah Fessenden</v>
      </c>
      <c r="M27" t="str">
        <f>VLOOKUP($B27,Customers!$B:$J,4,0)</f>
        <v>1751 Wallbridge Loyalist Rd</v>
      </c>
      <c r="O27" t="str">
        <f>VLOOKUP($B27,Customers!$B:$J,6,0)</f>
        <v>Belleville</v>
      </c>
      <c r="P27" t="str">
        <f>VLOOKUP($B27,Customers!$B:$J,7,0)</f>
        <v>Ontario</v>
      </c>
      <c r="Q27" t="str">
        <f>VLOOKUP($B27,Customers!$B:$J,8,0)</f>
        <v>K8N 1L9</v>
      </c>
      <c r="R27" t="str">
        <f>VLOOKUP($B27,Customers!$B:$J,9,0)</f>
        <v>613-847-5941</v>
      </c>
      <c r="S27" t="str">
        <f>VLOOKUP($B27,Customers!$B:$T,16,0)</f>
        <v>Debit</v>
      </c>
      <c r="T27" t="str">
        <f>VLOOKUP($B27,Customers!$B:$T,18,0)</f>
        <v>Visa</v>
      </c>
      <c r="U27" t="str">
        <f>VLOOKUP($B27,Customers!$B:$T,19,0)</f>
        <v>2541</v>
      </c>
      <c r="V27">
        <f ca="1">COUNTIF(C:C,C27)-1</f>
        <v>4</v>
      </c>
      <c r="X27">
        <f t="shared" si="16"/>
        <v>9.98</v>
      </c>
      <c r="Y27">
        <f t="shared" si="17"/>
        <v>1.3</v>
      </c>
      <c r="AA27">
        <v>4013</v>
      </c>
      <c r="AB27" t="s">
        <v>79</v>
      </c>
      <c r="AC27">
        <v>2</v>
      </c>
      <c r="AD27">
        <v>4.99</v>
      </c>
      <c r="AE27">
        <f>AC27*AD27</f>
        <v>9.98</v>
      </c>
      <c r="AF27" s="54" t="str">
        <f>"{ '"&amp;AA$11&amp;"' : '"&amp;AA27&amp;"', '"&amp;AB$11&amp;"' : '"&amp;AB27&amp;"', '"&amp;AC$11&amp;"' : "&amp;AC27&amp;", '"&amp;AD$11&amp;"' : "&amp;AD27&amp;", '"&amp;AE$11&amp;"' : "&amp;AE27&amp;" },"</f>
        <v>{ 'productId' : '4013', 'productName' : 'Pandesal', 'quantity' : 2, 'price' : 4.99, 'subTotal' : 9.98 },</v>
      </c>
      <c r="AG27" s="48">
        <v>44867</v>
      </c>
      <c r="AH27" s="48" t="str">
        <f t="shared" si="18"/>
        <v>100448</v>
      </c>
      <c r="AI27" t="str">
        <f t="shared" si="19"/>
        <v>Delivered</v>
      </c>
      <c r="AJ27" s="48">
        <f t="shared" si="19"/>
        <v>44866</v>
      </c>
    </row>
    <row r="28" spans="1:39" hidden="1" x14ac:dyDescent="0.35">
      <c r="B28" t="s">
        <v>694</v>
      </c>
      <c r="C28" t="s">
        <v>695</v>
      </c>
      <c r="D28" t="s">
        <v>680</v>
      </c>
      <c r="E28" t="s">
        <v>329</v>
      </c>
      <c r="F28" t="s">
        <v>583</v>
      </c>
      <c r="G28" t="s">
        <v>602</v>
      </c>
      <c r="H28" t="s">
        <v>431</v>
      </c>
      <c r="I28" t="s">
        <v>26</v>
      </c>
      <c r="J28" t="s">
        <v>465</v>
      </c>
      <c r="K28" t="s">
        <v>624</v>
      </c>
      <c r="L28" t="str">
        <f t="shared" si="15"/>
        <v>Norah Fessenden</v>
      </c>
      <c r="M28" t="str">
        <f>VLOOKUP($B28,Customers!$B:$J,4,0)</f>
        <v>1751 Wallbridge Loyalist Rd</v>
      </c>
      <c r="O28" t="str">
        <f>VLOOKUP($B28,Customers!$B:$J,6,0)</f>
        <v>Belleville</v>
      </c>
      <c r="P28" t="str">
        <f>VLOOKUP($B28,Customers!$B:$J,7,0)</f>
        <v>Ontario</v>
      </c>
      <c r="Q28" t="str">
        <f>VLOOKUP($B28,Customers!$B:$J,8,0)</f>
        <v>K8N 1L9</v>
      </c>
      <c r="R28" t="str">
        <f>VLOOKUP($B28,Customers!$B:$J,9,0)</f>
        <v>613-847-5941</v>
      </c>
      <c r="S28" t="str">
        <f>VLOOKUP($B28,Customers!$B:$T,16,0)</f>
        <v>Debit</v>
      </c>
      <c r="T28" t="str">
        <f>VLOOKUP($B28,Customers!$B:$T,18,0)</f>
        <v>Visa</v>
      </c>
      <c r="U28" t="str">
        <f>VLOOKUP($B28,Customers!$B:$T,19,0)</f>
        <v>2541</v>
      </c>
      <c r="V28">
        <f ca="1">COUNTIF(C:C,C28)-1</f>
        <v>4</v>
      </c>
      <c r="X28">
        <f t="shared" si="16"/>
        <v>60.72</v>
      </c>
      <c r="Y28">
        <f t="shared" si="17"/>
        <v>7.89</v>
      </c>
      <c r="AA28">
        <v>4009</v>
      </c>
      <c r="AB28" t="s">
        <v>73</v>
      </c>
      <c r="AC28">
        <v>8</v>
      </c>
      <c r="AD28">
        <v>7.59</v>
      </c>
      <c r="AE28">
        <f>AC28*AD28</f>
        <v>60.72</v>
      </c>
      <c r="AF28" s="54" t="str">
        <f>"{ '"&amp;AA$11&amp;"' : '"&amp;AA28&amp;"', '"&amp;AB$11&amp;"' : '"&amp;AB28&amp;"', '"&amp;AC$11&amp;"' : "&amp;AC28&amp;", '"&amp;AD$11&amp;"' : "&amp;AD28&amp;", '"&amp;AE$11&amp;"' : "&amp;AE28&amp;" }"</f>
        <v>{ 'productId' : '4009', 'productName' : 'Pecan Braid', 'quantity' : 8, 'price' : 7.59, 'subTotal' : 60.72 }</v>
      </c>
      <c r="AG28" s="48">
        <v>44867</v>
      </c>
      <c r="AH28" s="48" t="str">
        <f t="shared" si="18"/>
        <v>100448</v>
      </c>
      <c r="AI28" t="str">
        <f t="shared" si="19"/>
        <v>Delivered</v>
      </c>
      <c r="AJ28" s="48">
        <f t="shared" si="19"/>
        <v>44866</v>
      </c>
    </row>
    <row r="29" spans="1:39" hidden="1" x14ac:dyDescent="0.35">
      <c r="A29" t="s">
        <v>759</v>
      </c>
      <c r="B29" t="s">
        <v>694</v>
      </c>
      <c r="C29" t="s">
        <v>695</v>
      </c>
      <c r="D29" t="s">
        <v>680</v>
      </c>
      <c r="E29" t="s">
        <v>329</v>
      </c>
      <c r="F29" t="s">
        <v>583</v>
      </c>
      <c r="G29" t="s">
        <v>602</v>
      </c>
      <c r="H29" t="s">
        <v>431</v>
      </c>
      <c r="I29" t="s">
        <v>26</v>
      </c>
      <c r="J29" t="s">
        <v>465</v>
      </c>
      <c r="K29" t="s">
        <v>624</v>
      </c>
      <c r="L29" t="str">
        <f t="shared" si="15"/>
        <v>Norah Fessenden</v>
      </c>
      <c r="M29" t="str">
        <f>VLOOKUP($B29,Customers!$B:$J,4,0)</f>
        <v>1751 Wallbridge Loyalist Rd</v>
      </c>
      <c r="O29" t="str">
        <f>VLOOKUP($B29,Customers!$B:$J,6,0)</f>
        <v>Belleville</v>
      </c>
      <c r="P29" t="str">
        <f>VLOOKUP($B29,Customers!$B:$J,7,0)</f>
        <v>Ontario</v>
      </c>
      <c r="Q29" t="str">
        <f>VLOOKUP($B29,Customers!$B:$J,8,0)</f>
        <v>K8N 1L9</v>
      </c>
      <c r="R29" t="str">
        <f>VLOOKUP($B29,Customers!$B:$J,9,0)</f>
        <v>613-847-5941</v>
      </c>
      <c r="S29" t="str">
        <f>VLOOKUP($B29,Customers!$B:$T,16,0)</f>
        <v>Debit</v>
      </c>
      <c r="T29" t="str">
        <f>VLOOKUP($B29,Customers!$B:$T,18,0)</f>
        <v>Visa</v>
      </c>
      <c r="U29" t="str">
        <f>VLOOKUP($B29,Customers!$B:$T,19,0)</f>
        <v>2541</v>
      </c>
      <c r="V29">
        <f ca="1">COUNTIF(C:C,C29)-1</f>
        <v>4</v>
      </c>
      <c r="W29">
        <f>SUM(X29:Z29)</f>
        <v>150.31000000000003</v>
      </c>
      <c r="X29">
        <f>SUM(X25:X28)</f>
        <v>128.60000000000002</v>
      </c>
      <c r="Y29">
        <f>SUM(Y25:Y28)</f>
        <v>16.72</v>
      </c>
      <c r="Z29">
        <v>4.99</v>
      </c>
      <c r="AF29" s="54"/>
      <c r="AG29" s="48">
        <f>AG28</f>
        <v>44867</v>
      </c>
      <c r="AH29" s="48"/>
      <c r="AI29" t="str">
        <f t="shared" ref="AI29:AJ29" si="20">AI28</f>
        <v>Delivered</v>
      </c>
      <c r="AJ29" s="48">
        <f t="shared" si="20"/>
        <v>44866</v>
      </c>
    </row>
    <row r="30" spans="1:39" s="58" customFormat="1" ht="58" hidden="1" x14ac:dyDescent="0.35">
      <c r="A30" s="60" t="s">
        <v>760</v>
      </c>
      <c r="B30" s="60" t="str">
        <f>IF(B29="","","'"&amp;B$11&amp;"' : '"&amp;B29&amp;"', ")</f>
        <v xml:space="preserve">'emailAddress' : 'norah_fessenden@gmail.com', </v>
      </c>
      <c r="C30" s="60" t="str">
        <f>IF(C29="","","'"&amp;C$11&amp;"' : '"&amp;C29&amp;"', ")</f>
        <v xml:space="preserve">'orderId' : '20221101100448', </v>
      </c>
      <c r="D30" s="60" t="str">
        <f>IF(D29="","","'"&amp;D$11&amp;"' : '"&amp;D29&amp;"', ")</f>
        <v xml:space="preserve">'employeeUserName' : 'lzapanta', </v>
      </c>
      <c r="E30" s="60" t="str">
        <f>IF(E29="","","'"&amp;$F$10&amp;"' : { '"&amp;E$11&amp;"' : '"&amp;E29&amp;"' , ")</f>
        <v xml:space="preserve">'deliveryAddress' : { 'dName' : 'Norah Fessenden' , </v>
      </c>
      <c r="F30" s="60" t="str">
        <f>IF(F29="","","'"&amp;F$11&amp;"' : '"&amp;F29&amp;"' , ")</f>
        <v xml:space="preserve">'dStreet' : '694 Yonge Street' , </v>
      </c>
      <c r="G30" s="60" t="str">
        <f>IF(G29="","","'"&amp;G$11&amp;"' : '"&amp;G29&amp;"' , ")</f>
        <v xml:space="preserve">'dUnit' : '102' , </v>
      </c>
      <c r="H30" s="60" t="str">
        <f>IF(H29="","","'"&amp;H$11&amp;"' : '"&amp;H29&amp;"' , ")</f>
        <v xml:space="preserve">'dCity' : 'Toronto' , </v>
      </c>
      <c r="I30" s="60" t="str">
        <f>IF(I29="","","'"&amp;I$11&amp;"' : '"&amp;I29&amp;"' , ")</f>
        <v xml:space="preserve">'dProvince' : 'Ontario' , </v>
      </c>
      <c r="J30" s="60" t="str">
        <f>IF(J29="","","'"&amp;J$11&amp;"' : '"&amp;J29&amp;"' , ")</f>
        <v xml:space="preserve">'dZip' : 'M4W 1J7' , </v>
      </c>
      <c r="K30" s="60" t="str">
        <f>IF(K29="","","'"&amp;K$11&amp;"' : '"&amp;K29&amp;"' } , ")</f>
        <v xml:space="preserve">'dMobileNumber' : '416-963-8125' } , </v>
      </c>
      <c r="L30" s="60" t="str">
        <f>IF(L29="","","'"&amp;$L$10&amp;"' : { '"&amp;L$11&amp;"' : '"&amp;L29&amp;"' , ")</f>
        <v xml:space="preserve">'billingsAddress' : { 'bName' : 'Norah Fessenden' , </v>
      </c>
      <c r="M30" s="60" t="str">
        <f>IF(M29="","","'"&amp;M$11&amp;"' : '"&amp;M29&amp;"' , ")</f>
        <v xml:space="preserve">'bStreet' : '1751 Wallbridge Loyalist Rd' , </v>
      </c>
      <c r="N30" s="60" t="str">
        <f>IF(N29="","","'"&amp;N$11&amp;"' : '"&amp;N29&amp;"' , ")</f>
        <v/>
      </c>
      <c r="O30" s="60" t="str">
        <f>IF(O29="","","'"&amp;O$11&amp;"' : '"&amp;O29&amp;"' , ")</f>
        <v xml:space="preserve">'bCity' : 'Belleville' , </v>
      </c>
      <c r="P30" s="60" t="str">
        <f>IF(P29="","","'"&amp;P$11&amp;"' : '"&amp;P29&amp;"' , ")</f>
        <v xml:space="preserve">'bProvince' : 'Ontario' , </v>
      </c>
      <c r="Q30" s="60" t="str">
        <f>IF(Q29="","","'"&amp;Q$11&amp;"' : '"&amp;Q29&amp;"' , ")</f>
        <v xml:space="preserve">'bZip' : 'K8N 1L9' , </v>
      </c>
      <c r="R30" s="60" t="str">
        <f>IF(R29="","","'"&amp;R$11&amp;"' : '"&amp;R29&amp;"' } , ")</f>
        <v xml:space="preserve">'bMobileNumber' : '613-847-5941' } , </v>
      </c>
      <c r="S30" s="60" t="str">
        <f>IF(S29="","","'"&amp;$S$10&amp;"' : { '"&amp;S$11&amp;"' : '"&amp;S29&amp;"' , ")</f>
        <v xml:space="preserve">'paymentMethod' : { 'paymentType' : 'Debit' , </v>
      </c>
      <c r="T30" s="60" t="str">
        <f>IF(T29="","","'"&amp;T$11&amp;"' : '"&amp;T29&amp;"' , ")</f>
        <v xml:space="preserve">'cardScheme' : 'Visa' , </v>
      </c>
      <c r="U30" s="60" t="str">
        <f>IF(U29="","","'"&amp;U$11&amp;"' : '"&amp;U29&amp;"' } , ")</f>
        <v xml:space="preserve">'cardLast4' : '2541' } , </v>
      </c>
      <c r="V30" s="60" t="str">
        <f ca="1">IF(V29="","","'"&amp;V$11&amp;"' : "&amp;V29&amp;", ")</f>
        <v xml:space="preserve">'totalQty' : 4, </v>
      </c>
      <c r="W30" s="60" t="str">
        <f>IF(W29="","","'"&amp;W$11&amp;"' : "&amp;W29&amp;", ")</f>
        <v xml:space="preserve">'orderTotal' : 150.31, </v>
      </c>
      <c r="X30" s="60" t="str">
        <f>IF(X29="","","'"&amp;X$11&amp;"' : "&amp;X29&amp;", ")</f>
        <v xml:space="preserve">'grossTotal' : 128.6, </v>
      </c>
      <c r="Y30" s="60" t="str">
        <f>IF(Y29="","","'"&amp;Y$11&amp;"' : "&amp;Y29&amp;", ")</f>
        <v xml:space="preserve">'tax' : 16.72, </v>
      </c>
      <c r="Z30" s="60" t="str">
        <f>IF(Z29="","","'"&amp;Z$11&amp;"' : "&amp;Z29&amp;", ")</f>
        <v xml:space="preserve">'deliveryFee' : 4.99, </v>
      </c>
      <c r="AA30" s="60"/>
      <c r="AB30" s="60"/>
      <c r="AC30" s="60"/>
      <c r="AD30" s="60"/>
      <c r="AE30" s="60"/>
      <c r="AF30" s="60" t="str">
        <f>$AA$10&amp;" : "&amp;_xlfn.CONCAT("[ ",AF25:AF28,"], ")</f>
        <v xml:space="preserve">orderDetails : [ { 'productId' : '4005', 'productName' : 'Bear Claw', 'quantity' : 8, 'price' : 5.99, 'subTotal' : 47.92 },{ 'productId' : '5002', 'productName' : 'Greek Yougurt with mixed Berries', 'quantity' : 2, 'price' : 4.99, 'subTotal' : 9.98 },{ 'productId' : '4013', 'productName' : 'Pandesal', 'quantity' : 2, 'price' : 4.99, 'subTotal' : 9.98 },{ 'productId' : '4009', 'productName' : 'Pecan Braid', 'quantity' : 8, 'price' : 7.59, 'subTotal' : 60.72 }], </v>
      </c>
      <c r="AG30" s="60" t="str">
        <f>IF(AG29="","","'"&amp;AG$11&amp;"' : new Date('"&amp;TEXT(AG29,"yyyy-mm-dd")&amp;"'), ")</f>
        <v xml:space="preserve">'orderDate' : new Date('2022-11-02'), </v>
      </c>
      <c r="AH30" s="60"/>
      <c r="AI30" s="60" t="str">
        <f>IF(AI29="","","'"&amp;AI$11&amp;"' : '"&amp;AI29&amp;"', ")</f>
        <v xml:space="preserve">'orderStatus' : 'Delivered', </v>
      </c>
      <c r="AJ30" s="60" t="str">
        <f>IF(AJ29="","","'"&amp;AJ$11&amp;"' : new Date('"&amp;TEXT(AJ29,"yyyy-mm-dd")&amp;"') ")</f>
        <v xml:space="preserve">'statusDate' : new Date('2022-11-01') </v>
      </c>
      <c r="AK30" s="60"/>
      <c r="AL30" s="59"/>
      <c r="AM30" s="58" t="str">
        <f ca="1">_xlfn.CONCAT("{ ",B30:AJ30,"} ,")</f>
        <v>{ 'emailAddress' : 'norah_fessenden@gmail.com', 'orderId' : '20221101100448', 'employeeUserName' : 'lzapanta', 'deliveryAddress' : { 'dName' : 'Norah Fessenden' , 'dStreet' : '694 Yonge Street' , 'dUnit' : '102' , 'dCity' : 'Toronto' , 'dProvince' : 'Ontario' , 'dZip' : 'M4W 1J7' , 'dMobileNumber' : '416-963-8125' } , 'billingsAddress' : { 'bName' : 'Norah Fessenden' , 'bStreet' : '1751 Wallbridge Loyalist Rd' , 'bCity' : 'Belleville' , 'bProvince' : 'Ontario' , 'bZip' : 'K8N 1L9' , 'bMobileNumber' : '613-847-5941' } , 'paymentMethod' : { 'paymentType' : 'Debit' , 'cardScheme' : 'Visa' , 'cardLast4' : '2541' } , 'totalQty' : 4, 'orderTotal' : 150.31, 'grossTotal' : 128.6, 'tax' : 16.72, 'deliveryFee' : 4.99, orderDetails : [ { 'productId' : '4005', 'productName' : 'Bear Claw', 'quantity' : 8, 'price' : 5.99, 'subTotal' : 47.92 },{ 'productId' : '5002', 'productName' : 'Greek Yougurt with mixed Berries', 'quantity' : 2, 'price' : 4.99, 'subTotal' : 9.98 },{ 'productId' : '4013', 'productName' : 'Pandesal', 'quantity' : 2, 'price' : 4.99, 'subTotal' : 9.98 },{ 'productId' : '4009', 'productName' : 'Pecan Braid', 'quantity' : 8, 'price' : 7.59, 'subTotal' : 60.72 }], 'orderDate' : new Date('2022-11-02'), 'orderStatus' : 'Delivered', 'statusDate' : new Date('2022-11-01') } ,</v>
      </c>
    </row>
    <row r="31" spans="1:39" hidden="1" x14ac:dyDescent="0.35">
      <c r="B31" t="s">
        <v>698</v>
      </c>
      <c r="C31" s="49" t="s">
        <v>699</v>
      </c>
      <c r="D31" t="s">
        <v>682</v>
      </c>
      <c r="E31" t="s">
        <v>315</v>
      </c>
      <c r="F31" t="s">
        <v>403</v>
      </c>
      <c r="G31" t="s">
        <v>602</v>
      </c>
      <c r="H31" t="s">
        <v>432</v>
      </c>
      <c r="I31" t="s">
        <v>26</v>
      </c>
      <c r="J31" t="s">
        <v>466</v>
      </c>
      <c r="K31" t="s">
        <v>491</v>
      </c>
      <c r="L31" t="str">
        <f t="shared" ref="L31:L34" si="21">E31</f>
        <v>Declan Johnson</v>
      </c>
      <c r="M31" t="str">
        <f>VLOOKUP($B31,Customers!$B:$J,4,0)</f>
        <v>1676 Speers Road</v>
      </c>
      <c r="O31" t="str">
        <f>VLOOKUP($B31,Customers!$B:$J,6,0)</f>
        <v>Oakville</v>
      </c>
      <c r="P31" t="str">
        <f>VLOOKUP($B31,Customers!$B:$J,7,0)</f>
        <v>Ontario</v>
      </c>
      <c r="Q31" t="str">
        <f>VLOOKUP($B31,Customers!$B:$J,8,0)</f>
        <v>L6J 3X4</v>
      </c>
      <c r="R31" t="str">
        <f>VLOOKUP($B31,Customers!$B:$J,9,0)</f>
        <v>905-815-1914</v>
      </c>
      <c r="S31" t="str">
        <f>VLOOKUP($B31,Customers!$B:$T,16,0)</f>
        <v>Credit</v>
      </c>
      <c r="T31" t="str">
        <f>VLOOKUP($B31,Customers!$B:$T,18,0)</f>
        <v>Mastercard</v>
      </c>
      <c r="U31" t="str">
        <f>VLOOKUP($B31,Customers!$B:$T,19,0)</f>
        <v>1490</v>
      </c>
      <c r="V31">
        <f ca="1">COUNTIF(C:C,C31)-1</f>
        <v>3</v>
      </c>
      <c r="X31">
        <f t="shared" ref="X31:X33" si="22">AC31*AD31</f>
        <v>17.97</v>
      </c>
      <c r="Y31">
        <f t="shared" ref="Y31:Y33" si="23">ROUND(X31*13%,2)</f>
        <v>2.34</v>
      </c>
      <c r="AA31">
        <v>4002</v>
      </c>
      <c r="AB31" t="s">
        <v>66</v>
      </c>
      <c r="AC31">
        <v>3</v>
      </c>
      <c r="AD31">
        <v>5.99</v>
      </c>
      <c r="AE31">
        <f>AC31*AD31</f>
        <v>17.97</v>
      </c>
      <c r="AF31" s="54" t="str">
        <f>"{ '"&amp;AA$11&amp;"' : '"&amp;AA31&amp;"', '"&amp;AB$11&amp;"' : '"&amp;AB31&amp;"', '"&amp;AC$11&amp;"' : "&amp;AC31&amp;", '"&amp;AD$11&amp;"' : "&amp;AD31&amp;", '"&amp;AE$11&amp;"' : "&amp;AE31&amp;" },"</f>
        <v>{ 'productId' : '4002', 'productName' : 'Asiago Cheese Bagel', 'quantity' : 3, 'price' : 5.99, 'subTotal' : 17.97 },</v>
      </c>
      <c r="AG31" s="48">
        <v>44867</v>
      </c>
      <c r="AH31" s="50" t="s">
        <v>700</v>
      </c>
      <c r="AI31" t="s">
        <v>755</v>
      </c>
      <c r="AJ31" s="48">
        <f>AG31</f>
        <v>44867</v>
      </c>
      <c r="AK31" t="s">
        <v>701</v>
      </c>
    </row>
    <row r="32" spans="1:39" hidden="1" x14ac:dyDescent="0.35">
      <c r="B32" t="s">
        <v>698</v>
      </c>
      <c r="C32" t="s">
        <v>699</v>
      </c>
      <c r="D32" t="s">
        <v>682</v>
      </c>
      <c r="E32" t="s">
        <v>315</v>
      </c>
      <c r="F32" t="s">
        <v>403</v>
      </c>
      <c r="G32" t="s">
        <v>602</v>
      </c>
      <c r="H32" t="s">
        <v>432</v>
      </c>
      <c r="I32" t="s">
        <v>26</v>
      </c>
      <c r="J32" t="s">
        <v>466</v>
      </c>
      <c r="K32" t="s">
        <v>491</v>
      </c>
      <c r="L32" t="str">
        <f t="shared" si="21"/>
        <v>Declan Johnson</v>
      </c>
      <c r="M32" t="str">
        <f>VLOOKUP($B32,Customers!$B:$J,4,0)</f>
        <v>1676 Speers Road</v>
      </c>
      <c r="O32" t="str">
        <f>VLOOKUP($B32,Customers!$B:$J,6,0)</f>
        <v>Oakville</v>
      </c>
      <c r="P32" t="str">
        <f>VLOOKUP($B32,Customers!$B:$J,7,0)</f>
        <v>Ontario</v>
      </c>
      <c r="Q32" t="str">
        <f>VLOOKUP($B32,Customers!$B:$J,8,0)</f>
        <v>L6J 3X4</v>
      </c>
      <c r="R32" t="str">
        <f>VLOOKUP($B32,Customers!$B:$J,9,0)</f>
        <v>905-815-1914</v>
      </c>
      <c r="S32" t="str">
        <f>VLOOKUP($B32,Customers!$B:$T,16,0)</f>
        <v>Credit</v>
      </c>
      <c r="T32" t="str">
        <f>VLOOKUP($B32,Customers!$B:$T,18,0)</f>
        <v>Mastercard</v>
      </c>
      <c r="U32" t="str">
        <f>VLOOKUP($B32,Customers!$B:$T,19,0)</f>
        <v>1490</v>
      </c>
      <c r="V32">
        <f ca="1">COUNTIF(C:C,C32)-1</f>
        <v>3</v>
      </c>
      <c r="X32">
        <f t="shared" si="22"/>
        <v>94.81</v>
      </c>
      <c r="Y32">
        <f t="shared" si="23"/>
        <v>12.33</v>
      </c>
      <c r="AA32">
        <v>5002</v>
      </c>
      <c r="AB32" t="s">
        <v>92</v>
      </c>
      <c r="AC32">
        <v>19</v>
      </c>
      <c r="AD32">
        <v>4.99</v>
      </c>
      <c r="AE32">
        <f>AC32*AD32</f>
        <v>94.81</v>
      </c>
      <c r="AF32" s="54" t="str">
        <f>"{ '"&amp;AA$11&amp;"' : '"&amp;AA32&amp;"', '"&amp;AB$11&amp;"' : '"&amp;AB32&amp;"', '"&amp;AC$11&amp;"' : "&amp;AC32&amp;", '"&amp;AD$11&amp;"' : "&amp;AD32&amp;", '"&amp;AE$11&amp;"' : "&amp;AE32&amp;" },"</f>
        <v>{ 'productId' : '5002', 'productName' : 'Greek Yougurt with mixed Berries', 'quantity' : 19, 'price' : 4.99, 'subTotal' : 94.81 },</v>
      </c>
      <c r="AG32" s="48">
        <v>44867</v>
      </c>
      <c r="AH32" s="48" t="str">
        <f t="shared" ref="AH32:AH33" si="24">AH31</f>
        <v>092136</v>
      </c>
      <c r="AI32" t="str">
        <f t="shared" ref="AI32:AJ33" si="25">AI31</f>
        <v>Delivered</v>
      </c>
      <c r="AJ32" s="48">
        <f t="shared" si="25"/>
        <v>44867</v>
      </c>
    </row>
    <row r="33" spans="1:39" hidden="1" x14ac:dyDescent="0.35">
      <c r="B33" t="s">
        <v>698</v>
      </c>
      <c r="C33" t="s">
        <v>699</v>
      </c>
      <c r="D33" t="s">
        <v>682</v>
      </c>
      <c r="E33" t="s">
        <v>315</v>
      </c>
      <c r="F33" t="s">
        <v>403</v>
      </c>
      <c r="G33" t="s">
        <v>602</v>
      </c>
      <c r="H33" t="s">
        <v>432</v>
      </c>
      <c r="I33" t="s">
        <v>26</v>
      </c>
      <c r="J33" t="s">
        <v>466</v>
      </c>
      <c r="K33" t="s">
        <v>491</v>
      </c>
      <c r="L33" t="str">
        <f t="shared" si="21"/>
        <v>Declan Johnson</v>
      </c>
      <c r="M33" t="str">
        <f>VLOOKUP($B33,Customers!$B:$J,4,0)</f>
        <v>1676 Speers Road</v>
      </c>
      <c r="O33" t="str">
        <f>VLOOKUP($B33,Customers!$B:$J,6,0)</f>
        <v>Oakville</v>
      </c>
      <c r="P33" t="str">
        <f>VLOOKUP($B33,Customers!$B:$J,7,0)</f>
        <v>Ontario</v>
      </c>
      <c r="Q33" t="str">
        <f>VLOOKUP($B33,Customers!$B:$J,8,0)</f>
        <v>L6J 3X4</v>
      </c>
      <c r="R33" t="str">
        <f>VLOOKUP($B33,Customers!$B:$J,9,0)</f>
        <v>905-815-1914</v>
      </c>
      <c r="S33" t="str">
        <f>VLOOKUP($B33,Customers!$B:$T,16,0)</f>
        <v>Credit</v>
      </c>
      <c r="T33" t="str">
        <f>VLOOKUP($B33,Customers!$B:$T,18,0)</f>
        <v>Mastercard</v>
      </c>
      <c r="U33" t="str">
        <f>VLOOKUP($B33,Customers!$B:$T,19,0)</f>
        <v>1490</v>
      </c>
      <c r="V33">
        <f ca="1">COUNTIF(C:C,C33)-1</f>
        <v>3</v>
      </c>
      <c r="X33">
        <f t="shared" si="22"/>
        <v>117.35999999999999</v>
      </c>
      <c r="Y33">
        <f t="shared" si="23"/>
        <v>15.26</v>
      </c>
      <c r="AA33">
        <v>4014</v>
      </c>
      <c r="AB33" t="s">
        <v>81</v>
      </c>
      <c r="AC33">
        <v>24</v>
      </c>
      <c r="AD33">
        <v>4.8899999999999997</v>
      </c>
      <c r="AE33">
        <f>AC33*AD33</f>
        <v>117.35999999999999</v>
      </c>
      <c r="AF33" s="54" t="str">
        <f>"{ '"&amp;AA$11&amp;"' : '"&amp;AA33&amp;"', '"&amp;AB$11&amp;"' : '"&amp;AB33&amp;"', '"&amp;AC$11&amp;"' : "&amp;AC33&amp;", '"&amp;AD$11&amp;"' : "&amp;AD33&amp;", '"&amp;AE$11&amp;"' : "&amp;AE33&amp;" }"</f>
        <v>{ 'productId' : '4014', 'productName' : 'Pan de Coco', 'quantity' : 24, 'price' : 4.89, 'subTotal' : 117.36 }</v>
      </c>
      <c r="AG33" s="48">
        <v>44867</v>
      </c>
      <c r="AH33" s="48" t="str">
        <f t="shared" si="24"/>
        <v>092136</v>
      </c>
      <c r="AI33" t="str">
        <f t="shared" si="25"/>
        <v>Delivered</v>
      </c>
      <c r="AJ33" s="48">
        <f t="shared" si="25"/>
        <v>44867</v>
      </c>
    </row>
    <row r="34" spans="1:39" hidden="1" x14ac:dyDescent="0.35">
      <c r="A34" t="s">
        <v>759</v>
      </c>
      <c r="B34" t="s">
        <v>698</v>
      </c>
      <c r="C34" t="s">
        <v>699</v>
      </c>
      <c r="D34" t="s">
        <v>682</v>
      </c>
      <c r="E34" t="s">
        <v>315</v>
      </c>
      <c r="F34" t="s">
        <v>403</v>
      </c>
      <c r="G34" t="s">
        <v>602</v>
      </c>
      <c r="H34" t="s">
        <v>432</v>
      </c>
      <c r="I34" t="s">
        <v>26</v>
      </c>
      <c r="J34" t="s">
        <v>466</v>
      </c>
      <c r="K34" t="s">
        <v>491</v>
      </c>
      <c r="L34" t="str">
        <f t="shared" si="21"/>
        <v>Declan Johnson</v>
      </c>
      <c r="M34" t="str">
        <f>VLOOKUP($B34,Customers!$B:$J,4,0)</f>
        <v>1676 Speers Road</v>
      </c>
      <c r="O34" t="str">
        <f>VLOOKUP($B34,Customers!$B:$J,6,0)</f>
        <v>Oakville</v>
      </c>
      <c r="P34" t="str">
        <f>VLOOKUP($B34,Customers!$B:$J,7,0)</f>
        <v>Ontario</v>
      </c>
      <c r="Q34" t="str">
        <f>VLOOKUP($B34,Customers!$B:$J,8,0)</f>
        <v>L6J 3X4</v>
      </c>
      <c r="R34" t="str">
        <f>VLOOKUP($B34,Customers!$B:$J,9,0)</f>
        <v>905-815-1914</v>
      </c>
      <c r="S34" t="str">
        <f>VLOOKUP($B34,Customers!$B:$T,16,0)</f>
        <v>Credit</v>
      </c>
      <c r="T34" t="str">
        <f>VLOOKUP($B34,Customers!$B:$T,18,0)</f>
        <v>Mastercard</v>
      </c>
      <c r="U34" t="str">
        <f>VLOOKUP($B34,Customers!$B:$T,19,0)</f>
        <v>1490</v>
      </c>
      <c r="V34">
        <f ca="1">COUNTIF(C:C,C34)-1</f>
        <v>3</v>
      </c>
      <c r="W34">
        <f>SUM(X34:Z34)</f>
        <v>265.06</v>
      </c>
      <c r="X34">
        <f>SUM(X31:X33)</f>
        <v>230.14</v>
      </c>
      <c r="Y34">
        <f>SUM(Y31:Y33)</f>
        <v>29.93</v>
      </c>
      <c r="Z34">
        <v>4.99</v>
      </c>
      <c r="AF34" s="54"/>
      <c r="AG34" s="48">
        <f>AG33</f>
        <v>44867</v>
      </c>
      <c r="AH34" s="48"/>
      <c r="AI34" t="str">
        <f t="shared" ref="AI34:AJ34" si="26">AI33</f>
        <v>Delivered</v>
      </c>
      <c r="AJ34" s="48">
        <f t="shared" si="26"/>
        <v>44867</v>
      </c>
    </row>
    <row r="35" spans="1:39" s="58" customFormat="1" ht="58" hidden="1" x14ac:dyDescent="0.35">
      <c r="A35" s="60" t="s">
        <v>760</v>
      </c>
      <c r="B35" s="60" t="str">
        <f>IF(B34="","","'"&amp;B$11&amp;"' : '"&amp;B34&amp;"', ")</f>
        <v xml:space="preserve">'emailAddress' : 'johnsondeclan@gmail.com', </v>
      </c>
      <c r="C35" s="60" t="str">
        <f>IF(C34="","","'"&amp;C$11&amp;"' : '"&amp;C34&amp;"', ")</f>
        <v xml:space="preserve">'orderId' : '20221102092136', </v>
      </c>
      <c r="D35" s="60" t="str">
        <f>IF(D34="","","'"&amp;D$11&amp;"' : '"&amp;D34&amp;"', ")</f>
        <v xml:space="preserve">'employeeUserName' : 'mjones', </v>
      </c>
      <c r="E35" s="60" t="str">
        <f>IF(E34="","","'"&amp;$F$10&amp;"' : { '"&amp;E$11&amp;"' : '"&amp;E34&amp;"' , ")</f>
        <v xml:space="preserve">'deliveryAddress' : { 'dName' : 'Declan Johnson' , </v>
      </c>
      <c r="F35" s="60" t="str">
        <f>IF(F34="","","'"&amp;F$11&amp;"' : '"&amp;F34&amp;"' , ")</f>
        <v xml:space="preserve">'dStreet' : '1676 Speers Road' , </v>
      </c>
      <c r="G35" s="60" t="str">
        <f>IF(G34="","","'"&amp;G$11&amp;"' : '"&amp;G34&amp;"' , ")</f>
        <v xml:space="preserve">'dUnit' : '102' , </v>
      </c>
      <c r="H35" s="60" t="str">
        <f>IF(H34="","","'"&amp;H$11&amp;"' : '"&amp;H34&amp;"' , ")</f>
        <v xml:space="preserve">'dCity' : 'Oakville' , </v>
      </c>
      <c r="I35" s="60" t="str">
        <f>IF(I34="","","'"&amp;I$11&amp;"' : '"&amp;I34&amp;"' , ")</f>
        <v xml:space="preserve">'dProvince' : 'Ontario' , </v>
      </c>
      <c r="J35" s="60" t="str">
        <f>IF(J34="","","'"&amp;J$11&amp;"' : '"&amp;J34&amp;"' , ")</f>
        <v xml:space="preserve">'dZip' : 'L6J 3X4' , </v>
      </c>
      <c r="K35" s="60" t="str">
        <f>IF(K34="","","'"&amp;K$11&amp;"' : '"&amp;K34&amp;"' } , ")</f>
        <v xml:space="preserve">'dMobileNumber' : '905-815-1914' } , </v>
      </c>
      <c r="L35" s="60" t="str">
        <f>IF(L34="","","'"&amp;$L$10&amp;"' : { '"&amp;L$11&amp;"' : '"&amp;L34&amp;"' , ")</f>
        <v xml:space="preserve">'billingsAddress' : { 'bName' : 'Declan Johnson' , </v>
      </c>
      <c r="M35" s="60" t="str">
        <f>IF(M34="","","'"&amp;M$11&amp;"' : '"&amp;M34&amp;"' , ")</f>
        <v xml:space="preserve">'bStreet' : '1676 Speers Road' , </v>
      </c>
      <c r="N35" s="60" t="str">
        <f>IF(N34="","","'"&amp;N$11&amp;"' : '"&amp;N34&amp;"' , ")</f>
        <v/>
      </c>
      <c r="O35" s="60" t="str">
        <f>IF(O34="","","'"&amp;O$11&amp;"' : '"&amp;O34&amp;"' , ")</f>
        <v xml:space="preserve">'bCity' : 'Oakville' , </v>
      </c>
      <c r="P35" s="60" t="str">
        <f>IF(P34="","","'"&amp;P$11&amp;"' : '"&amp;P34&amp;"' , ")</f>
        <v xml:space="preserve">'bProvince' : 'Ontario' , </v>
      </c>
      <c r="Q35" s="60" t="str">
        <f>IF(Q34="","","'"&amp;Q$11&amp;"' : '"&amp;Q34&amp;"' , ")</f>
        <v xml:space="preserve">'bZip' : 'L6J 3X4' , </v>
      </c>
      <c r="R35" s="60" t="str">
        <f>IF(R34="","","'"&amp;R$11&amp;"' : '"&amp;R34&amp;"' } , ")</f>
        <v xml:space="preserve">'bMobileNumber' : '905-815-1914' } , </v>
      </c>
      <c r="S35" s="60" t="str">
        <f>IF(S34="","","'"&amp;$S$10&amp;"' : { '"&amp;S$11&amp;"' : '"&amp;S34&amp;"' , ")</f>
        <v xml:space="preserve">'paymentMethod' : { 'paymentType' : 'Credit' , </v>
      </c>
      <c r="T35" s="60" t="str">
        <f>IF(T34="","","'"&amp;T$11&amp;"' : '"&amp;T34&amp;"' , ")</f>
        <v xml:space="preserve">'cardScheme' : 'Mastercard' , </v>
      </c>
      <c r="U35" s="60" t="str">
        <f>IF(U34="","","'"&amp;U$11&amp;"' : '"&amp;U34&amp;"' } , ")</f>
        <v xml:space="preserve">'cardLast4' : '1490' } , </v>
      </c>
      <c r="V35" s="60" t="str">
        <f ca="1">IF(V34="","","'"&amp;V$11&amp;"' : "&amp;V34&amp;", ")</f>
        <v xml:space="preserve">'totalQty' : 3, </v>
      </c>
      <c r="W35" s="60" t="str">
        <f>IF(W34="","","'"&amp;W$11&amp;"' : "&amp;W34&amp;", ")</f>
        <v xml:space="preserve">'orderTotal' : 265.06, </v>
      </c>
      <c r="X35" s="60" t="str">
        <f>IF(X34="","","'"&amp;X$11&amp;"' : "&amp;X34&amp;", ")</f>
        <v xml:space="preserve">'grossTotal' : 230.14, </v>
      </c>
      <c r="Y35" s="60" t="str">
        <f>IF(Y34="","","'"&amp;Y$11&amp;"' : "&amp;Y34&amp;", ")</f>
        <v xml:space="preserve">'tax' : 29.93, </v>
      </c>
      <c r="Z35" s="60" t="str">
        <f>IF(Z34="","","'"&amp;Z$11&amp;"' : "&amp;Z34&amp;", ")</f>
        <v xml:space="preserve">'deliveryFee' : 4.99, </v>
      </c>
      <c r="AA35" s="60"/>
      <c r="AB35" s="60"/>
      <c r="AC35" s="60"/>
      <c r="AD35" s="60"/>
      <c r="AE35" s="60"/>
      <c r="AF35" s="60" t="str">
        <f>$AA$10&amp;" : "&amp;_xlfn.CONCAT("[ ",AF31:AF33,"], ")</f>
        <v xml:space="preserve">orderDetails : [ { 'productId' : '4002', 'productName' : 'Asiago Cheese Bagel', 'quantity' : 3, 'price' : 5.99, 'subTotal' : 17.97 },{ 'productId' : '5002', 'productName' : 'Greek Yougurt with mixed Berries', 'quantity' : 19, 'price' : 4.99, 'subTotal' : 94.81 },{ 'productId' : '4014', 'productName' : 'Pan de Coco', 'quantity' : 24, 'price' : 4.89, 'subTotal' : 117.36 }], </v>
      </c>
      <c r="AG35" s="60" t="str">
        <f>IF(AG34="","","'"&amp;AG$11&amp;"' : new Date('"&amp;TEXT(AG34,"yyyy-mm-dd")&amp;"'), ")</f>
        <v xml:space="preserve">'orderDate' : new Date('2022-11-02'), </v>
      </c>
      <c r="AH35" s="60"/>
      <c r="AI35" s="60" t="str">
        <f>IF(AI34="","","'"&amp;AI$11&amp;"' : '"&amp;AI34&amp;"', ")</f>
        <v xml:space="preserve">'orderStatus' : 'Delivered', </v>
      </c>
      <c r="AJ35" s="60" t="str">
        <f>IF(AJ34="","","'"&amp;AJ$11&amp;"' : new Date('"&amp;TEXT(AJ34,"yyyy-mm-dd")&amp;"') ")</f>
        <v xml:space="preserve">'statusDate' : new Date('2022-11-02') </v>
      </c>
      <c r="AK35" s="60"/>
      <c r="AL35" s="59"/>
      <c r="AM35" s="58" t="str">
        <f ca="1">_xlfn.CONCAT("{ ",B35:AJ35,"} ,")</f>
        <v>{ 'emailAddress' : 'johnsondeclan@gmail.com', 'orderId' : '20221102092136', 'employeeUserName' : 'mjones', 'deliveryAddress' : { 'dName' : 'Declan Johnson' , 'dStreet' : '1676 Speers Road' , 'dUnit' : '102' , 'dCity' : 'Oakville' , 'dProvince' : 'Ontario' , 'dZip' : 'L6J 3X4' , 'dMobileNumber' : '905-815-1914' } , 'billingsAddress' : { 'bName' : 'Declan Johnson' , 'bStreet' : '1676 Speers Road' , 'bCity' : 'Oakville' , 'bProvince' : 'Ontario' , 'bZip' : 'L6J 3X4' , 'bMobileNumber' : '905-815-1914' } , 'paymentMethod' : { 'paymentType' : 'Credit' , 'cardScheme' : 'Mastercard' , 'cardLast4' : '1490' } , 'totalQty' : 3, 'orderTotal' : 265.06, 'grossTotal' : 230.14, 'tax' : 29.93, 'deliveryFee' : 4.99, orderDetails : [ { 'productId' : '4002', 'productName' : 'Asiago Cheese Bagel', 'quantity' : 3, 'price' : 5.99, 'subTotal' : 17.97 },{ 'productId' : '5002', 'productName' : 'Greek Yougurt with mixed Berries', 'quantity' : 19, 'price' : 4.99, 'subTotal' : 94.81 },{ 'productId' : '4014', 'productName' : 'Pan de Coco', 'quantity' : 24, 'price' : 4.89, 'subTotal' : 117.36 }], 'orderDate' : new Date('2022-11-02'), 'orderStatus' : 'Delivered', 'statusDate' : new Date('2022-11-02') } ,</v>
      </c>
    </row>
    <row r="36" spans="1:39" hidden="1" x14ac:dyDescent="0.35">
      <c r="B36" t="s">
        <v>694</v>
      </c>
      <c r="C36" s="49" t="s">
        <v>702</v>
      </c>
      <c r="D36" t="s">
        <v>680</v>
      </c>
      <c r="E36" t="s">
        <v>329</v>
      </c>
      <c r="F36" t="s">
        <v>583</v>
      </c>
      <c r="G36" t="s">
        <v>602</v>
      </c>
      <c r="H36" t="s">
        <v>431</v>
      </c>
      <c r="I36" t="s">
        <v>26</v>
      </c>
      <c r="J36" t="s">
        <v>465</v>
      </c>
      <c r="K36" t="s">
        <v>624</v>
      </c>
      <c r="L36" t="str">
        <f t="shared" ref="L36:L38" si="27">E36</f>
        <v>Norah Fessenden</v>
      </c>
      <c r="M36" t="str">
        <f>VLOOKUP($B36,Customers!$B:$J,4,0)</f>
        <v>1751 Wallbridge Loyalist Rd</v>
      </c>
      <c r="O36" t="str">
        <f>VLOOKUP($B36,Customers!$B:$J,6,0)</f>
        <v>Belleville</v>
      </c>
      <c r="P36" t="str">
        <f>VLOOKUP($B36,Customers!$B:$J,7,0)</f>
        <v>Ontario</v>
      </c>
      <c r="Q36" t="str">
        <f>VLOOKUP($B36,Customers!$B:$J,8,0)</f>
        <v>K8N 1L9</v>
      </c>
      <c r="R36" t="str">
        <f>VLOOKUP($B36,Customers!$B:$J,9,0)</f>
        <v>613-847-5941</v>
      </c>
      <c r="S36" t="str">
        <f>VLOOKUP($B36,Customers!$B:$T,16,0)</f>
        <v>Debit</v>
      </c>
      <c r="T36" t="str">
        <f>VLOOKUP($B36,Customers!$B:$T,18,0)</f>
        <v>Visa</v>
      </c>
      <c r="U36" t="str">
        <f>VLOOKUP($B36,Customers!$B:$T,19,0)</f>
        <v>2541</v>
      </c>
      <c r="V36">
        <f ca="1">COUNTIF(C:C,C36)-1</f>
        <v>2</v>
      </c>
      <c r="X36">
        <f t="shared" ref="X36:X37" si="28">AC36*AD36</f>
        <v>129</v>
      </c>
      <c r="Y36">
        <f t="shared" ref="Y36:Y37" si="29">ROUND(X36*13%,2)</f>
        <v>16.77</v>
      </c>
      <c r="AA36">
        <v>4008</v>
      </c>
      <c r="AB36" t="s">
        <v>72</v>
      </c>
      <c r="AC36">
        <v>20</v>
      </c>
      <c r="AD36">
        <v>6.45</v>
      </c>
      <c r="AE36">
        <f>AC36*AD36</f>
        <v>129</v>
      </c>
      <c r="AF36" s="54" t="str">
        <f>"{ '"&amp;AA$11&amp;"' : '"&amp;AA36&amp;"', '"&amp;AB$11&amp;"' : '"&amp;AB36&amp;"', '"&amp;AC$11&amp;"' : "&amp;AC36&amp;", '"&amp;AD$11&amp;"' : "&amp;AD36&amp;", '"&amp;AE$11&amp;"' : "&amp;AE36&amp;" },"</f>
        <v>{ 'productId' : '4008', 'productName' : 'Vanilla Cinnamon Roll', 'quantity' : 20, 'price' : 6.45, 'subTotal' : 129 },</v>
      </c>
      <c r="AG36" s="48">
        <v>44868</v>
      </c>
      <c r="AH36" s="50" t="s">
        <v>703</v>
      </c>
      <c r="AI36" t="s">
        <v>755</v>
      </c>
      <c r="AJ36" s="48">
        <f>AG36</f>
        <v>44868</v>
      </c>
      <c r="AK36" t="s">
        <v>704</v>
      </c>
    </row>
    <row r="37" spans="1:39" hidden="1" x14ac:dyDescent="0.35">
      <c r="B37" t="s">
        <v>694</v>
      </c>
      <c r="C37" t="s">
        <v>702</v>
      </c>
      <c r="D37" t="s">
        <v>680</v>
      </c>
      <c r="E37" t="s">
        <v>329</v>
      </c>
      <c r="F37" t="s">
        <v>583</v>
      </c>
      <c r="G37" t="s">
        <v>602</v>
      </c>
      <c r="H37" t="s">
        <v>431</v>
      </c>
      <c r="I37" t="s">
        <v>26</v>
      </c>
      <c r="J37" t="s">
        <v>465</v>
      </c>
      <c r="K37" t="s">
        <v>624</v>
      </c>
      <c r="L37" t="str">
        <f t="shared" si="27"/>
        <v>Norah Fessenden</v>
      </c>
      <c r="M37" t="str">
        <f>VLOOKUP($B37,Customers!$B:$J,4,0)</f>
        <v>1751 Wallbridge Loyalist Rd</v>
      </c>
      <c r="O37" t="str">
        <f>VLOOKUP($B37,Customers!$B:$J,6,0)</f>
        <v>Belleville</v>
      </c>
      <c r="P37" t="str">
        <f>VLOOKUP($B37,Customers!$B:$J,7,0)</f>
        <v>Ontario</v>
      </c>
      <c r="Q37" t="str">
        <f>VLOOKUP($B37,Customers!$B:$J,8,0)</f>
        <v>K8N 1L9</v>
      </c>
      <c r="R37" t="str">
        <f>VLOOKUP($B37,Customers!$B:$J,9,0)</f>
        <v>613-847-5941</v>
      </c>
      <c r="S37" t="str">
        <f>VLOOKUP($B37,Customers!$B:$T,16,0)</f>
        <v>Debit</v>
      </c>
      <c r="T37" t="str">
        <f>VLOOKUP($B37,Customers!$B:$T,18,0)</f>
        <v>Visa</v>
      </c>
      <c r="U37" t="str">
        <f>VLOOKUP($B37,Customers!$B:$T,19,0)</f>
        <v>2541</v>
      </c>
      <c r="V37">
        <f ca="1">COUNTIF(C:C,C37)-1</f>
        <v>2</v>
      </c>
      <c r="X37">
        <f t="shared" si="28"/>
        <v>24.45</v>
      </c>
      <c r="Y37">
        <f t="shared" si="29"/>
        <v>3.18</v>
      </c>
      <c r="AA37">
        <v>4014</v>
      </c>
      <c r="AB37" t="s">
        <v>81</v>
      </c>
      <c r="AC37">
        <v>5</v>
      </c>
      <c r="AD37">
        <v>4.8899999999999997</v>
      </c>
      <c r="AE37">
        <f>AC37*AD37</f>
        <v>24.45</v>
      </c>
      <c r="AF37" s="54" t="str">
        <f>"{ '"&amp;AA$11&amp;"' : '"&amp;AA37&amp;"', '"&amp;AB$11&amp;"' : '"&amp;AB37&amp;"', '"&amp;AC$11&amp;"' : "&amp;AC37&amp;", '"&amp;AD$11&amp;"' : "&amp;AD37&amp;", '"&amp;AE$11&amp;"' : "&amp;AE37&amp;" }"</f>
        <v>{ 'productId' : '4014', 'productName' : 'Pan de Coco', 'quantity' : 5, 'price' : 4.89, 'subTotal' : 24.45 }</v>
      </c>
      <c r="AG37" s="48">
        <v>44868</v>
      </c>
      <c r="AH37" s="48" t="str">
        <f>AH36</f>
        <v>080936</v>
      </c>
      <c r="AI37" t="str">
        <f t="shared" ref="AI37:AJ37" si="30">AI36</f>
        <v>Delivered</v>
      </c>
      <c r="AJ37" s="48">
        <f t="shared" si="30"/>
        <v>44868</v>
      </c>
    </row>
    <row r="38" spans="1:39" hidden="1" x14ac:dyDescent="0.35">
      <c r="A38" t="s">
        <v>759</v>
      </c>
      <c r="B38" t="s">
        <v>694</v>
      </c>
      <c r="C38" t="s">
        <v>702</v>
      </c>
      <c r="D38" t="s">
        <v>680</v>
      </c>
      <c r="E38" t="s">
        <v>329</v>
      </c>
      <c r="F38" t="s">
        <v>583</v>
      </c>
      <c r="G38" t="s">
        <v>602</v>
      </c>
      <c r="H38" t="s">
        <v>431</v>
      </c>
      <c r="I38" t="s">
        <v>26</v>
      </c>
      <c r="J38" t="s">
        <v>465</v>
      </c>
      <c r="K38" t="s">
        <v>624</v>
      </c>
      <c r="L38" t="str">
        <f t="shared" si="27"/>
        <v>Norah Fessenden</v>
      </c>
      <c r="M38" t="str">
        <f>VLOOKUP($B38,Customers!$B:$J,4,0)</f>
        <v>1751 Wallbridge Loyalist Rd</v>
      </c>
      <c r="O38" t="str">
        <f>VLOOKUP($B38,Customers!$B:$J,6,0)</f>
        <v>Belleville</v>
      </c>
      <c r="P38" t="str">
        <f>VLOOKUP($B38,Customers!$B:$J,7,0)</f>
        <v>Ontario</v>
      </c>
      <c r="Q38" t="str">
        <f>VLOOKUP($B38,Customers!$B:$J,8,0)</f>
        <v>K8N 1L9</v>
      </c>
      <c r="R38" t="str">
        <f>VLOOKUP($B38,Customers!$B:$J,9,0)</f>
        <v>613-847-5941</v>
      </c>
      <c r="S38" t="str">
        <f>VLOOKUP($B38,Customers!$B:$T,16,0)</f>
        <v>Debit</v>
      </c>
      <c r="T38" t="str">
        <f>VLOOKUP($B38,Customers!$B:$T,18,0)</f>
        <v>Visa</v>
      </c>
      <c r="U38" t="str">
        <f>VLOOKUP($B38,Customers!$B:$T,19,0)</f>
        <v>2541</v>
      </c>
      <c r="V38">
        <f ca="1">COUNTIF(C:C,C38)-1</f>
        <v>2</v>
      </c>
      <c r="W38">
        <f>SUM(X38:Z38)</f>
        <v>178.39</v>
      </c>
      <c r="X38">
        <f>SUM(X36:X37)</f>
        <v>153.44999999999999</v>
      </c>
      <c r="Y38">
        <f>SUM(Y36:Y37)</f>
        <v>19.95</v>
      </c>
      <c r="Z38">
        <v>4.99</v>
      </c>
      <c r="AF38" s="54"/>
      <c r="AG38" s="48">
        <f>AG37</f>
        <v>44868</v>
      </c>
      <c r="AH38" s="48"/>
      <c r="AI38" t="str">
        <f t="shared" ref="AI38:AJ38" si="31">AI37</f>
        <v>Delivered</v>
      </c>
      <c r="AJ38" s="48">
        <f t="shared" si="31"/>
        <v>44868</v>
      </c>
    </row>
    <row r="39" spans="1:39" s="58" customFormat="1" ht="43.5" hidden="1" x14ac:dyDescent="0.35">
      <c r="A39" s="60" t="s">
        <v>760</v>
      </c>
      <c r="B39" s="60" t="str">
        <f>IF(B38="","","'"&amp;B$11&amp;"' : '"&amp;B38&amp;"', ")</f>
        <v xml:space="preserve">'emailAddress' : 'norah_fessenden@gmail.com', </v>
      </c>
      <c r="C39" s="60" t="str">
        <f>IF(C38="","","'"&amp;C$11&amp;"' : '"&amp;C38&amp;"', ")</f>
        <v xml:space="preserve">'orderId' : '20221103080936', </v>
      </c>
      <c r="D39" s="60" t="str">
        <f>IF(D38="","","'"&amp;D$11&amp;"' : '"&amp;D38&amp;"', ")</f>
        <v xml:space="preserve">'employeeUserName' : 'lzapanta', </v>
      </c>
      <c r="E39" s="60" t="str">
        <f>IF(E38="","","'"&amp;$F$10&amp;"' : { '"&amp;E$11&amp;"' : '"&amp;E38&amp;"' , ")</f>
        <v xml:space="preserve">'deliveryAddress' : { 'dName' : 'Norah Fessenden' , </v>
      </c>
      <c r="F39" s="60" t="str">
        <f>IF(F38="","","'"&amp;F$11&amp;"' : '"&amp;F38&amp;"' , ")</f>
        <v xml:space="preserve">'dStreet' : '694 Yonge Street' , </v>
      </c>
      <c r="G39" s="60" t="str">
        <f>IF(G38="","","'"&amp;G$11&amp;"' : '"&amp;G38&amp;"' , ")</f>
        <v xml:space="preserve">'dUnit' : '102' , </v>
      </c>
      <c r="H39" s="60" t="str">
        <f>IF(H38="","","'"&amp;H$11&amp;"' : '"&amp;H38&amp;"' , ")</f>
        <v xml:space="preserve">'dCity' : 'Toronto' , </v>
      </c>
      <c r="I39" s="60" t="str">
        <f>IF(I38="","","'"&amp;I$11&amp;"' : '"&amp;I38&amp;"' , ")</f>
        <v xml:space="preserve">'dProvince' : 'Ontario' , </v>
      </c>
      <c r="J39" s="60" t="str">
        <f>IF(J38="","","'"&amp;J$11&amp;"' : '"&amp;J38&amp;"' , ")</f>
        <v xml:space="preserve">'dZip' : 'M4W 1J7' , </v>
      </c>
      <c r="K39" s="60" t="str">
        <f>IF(K38="","","'"&amp;K$11&amp;"' : '"&amp;K38&amp;"' } , ")</f>
        <v xml:space="preserve">'dMobileNumber' : '416-963-8125' } , </v>
      </c>
      <c r="L39" s="60" t="str">
        <f>IF(L38="","","'"&amp;$L$10&amp;"' : { '"&amp;L$11&amp;"' : '"&amp;L38&amp;"' , ")</f>
        <v xml:space="preserve">'billingsAddress' : { 'bName' : 'Norah Fessenden' , </v>
      </c>
      <c r="M39" s="60" t="str">
        <f>IF(M38="","","'"&amp;M$11&amp;"' : '"&amp;M38&amp;"' , ")</f>
        <v xml:space="preserve">'bStreet' : '1751 Wallbridge Loyalist Rd' , </v>
      </c>
      <c r="N39" s="60" t="str">
        <f>IF(N38="","","'"&amp;N$11&amp;"' : '"&amp;N38&amp;"' , ")</f>
        <v/>
      </c>
      <c r="O39" s="60" t="str">
        <f>IF(O38="","","'"&amp;O$11&amp;"' : '"&amp;O38&amp;"' , ")</f>
        <v xml:space="preserve">'bCity' : 'Belleville' , </v>
      </c>
      <c r="P39" s="60" t="str">
        <f>IF(P38="","","'"&amp;P$11&amp;"' : '"&amp;P38&amp;"' , ")</f>
        <v xml:space="preserve">'bProvince' : 'Ontario' , </v>
      </c>
      <c r="Q39" s="60" t="str">
        <f>IF(Q38="","","'"&amp;Q$11&amp;"' : '"&amp;Q38&amp;"' , ")</f>
        <v xml:space="preserve">'bZip' : 'K8N 1L9' , </v>
      </c>
      <c r="R39" s="60" t="str">
        <f>IF(R38="","","'"&amp;R$11&amp;"' : '"&amp;R38&amp;"' } , ")</f>
        <v xml:space="preserve">'bMobileNumber' : '613-847-5941' } , </v>
      </c>
      <c r="S39" s="60" t="str">
        <f>IF(S38="","","'"&amp;$S$10&amp;"' : { '"&amp;S$11&amp;"' : '"&amp;S38&amp;"' , ")</f>
        <v xml:space="preserve">'paymentMethod' : { 'paymentType' : 'Debit' , </v>
      </c>
      <c r="T39" s="60" t="str">
        <f>IF(T38="","","'"&amp;T$11&amp;"' : '"&amp;T38&amp;"' , ")</f>
        <v xml:space="preserve">'cardScheme' : 'Visa' , </v>
      </c>
      <c r="U39" s="60" t="str">
        <f>IF(U38="","","'"&amp;U$11&amp;"' : '"&amp;U38&amp;"' } , ")</f>
        <v xml:space="preserve">'cardLast4' : '2541' } , </v>
      </c>
      <c r="V39" s="60" t="str">
        <f ca="1">IF(V38="","","'"&amp;V$11&amp;"' : "&amp;V38&amp;", ")</f>
        <v xml:space="preserve">'totalQty' : 2, </v>
      </c>
      <c r="W39" s="60" t="str">
        <f>IF(W38="","","'"&amp;W$11&amp;"' : "&amp;W38&amp;", ")</f>
        <v xml:space="preserve">'orderTotal' : 178.39, </v>
      </c>
      <c r="X39" s="60" t="str">
        <f>IF(X38="","","'"&amp;X$11&amp;"' : "&amp;X38&amp;", ")</f>
        <v xml:space="preserve">'grossTotal' : 153.45, </v>
      </c>
      <c r="Y39" s="60" t="str">
        <f>IF(Y38="","","'"&amp;Y$11&amp;"' : "&amp;Y38&amp;", ")</f>
        <v xml:space="preserve">'tax' : 19.95, </v>
      </c>
      <c r="Z39" s="60" t="str">
        <f>IF(Z38="","","'"&amp;Z$11&amp;"' : "&amp;Z38&amp;", ")</f>
        <v xml:space="preserve">'deliveryFee' : 4.99, </v>
      </c>
      <c r="AA39" s="60"/>
      <c r="AB39" s="60"/>
      <c r="AC39" s="60"/>
      <c r="AD39" s="60"/>
      <c r="AE39" s="60"/>
      <c r="AF39" s="60" t="str">
        <f>$AA$10&amp;" : "&amp;_xlfn.CONCAT("[ ",AF36:AF37,"], ")</f>
        <v xml:space="preserve">orderDetails : [ { 'productId' : '4008', 'productName' : 'Vanilla Cinnamon Roll', 'quantity' : 20, 'price' : 6.45, 'subTotal' : 129 },{ 'productId' : '4014', 'productName' : 'Pan de Coco', 'quantity' : 5, 'price' : 4.89, 'subTotal' : 24.45 }], </v>
      </c>
      <c r="AG39" s="60" t="str">
        <f>IF(AG38="","","'"&amp;AG$11&amp;"' : new Date('"&amp;TEXT(AG38,"yyyy-mm-dd")&amp;"'), ")</f>
        <v xml:space="preserve">'orderDate' : new Date('2022-11-03'), </v>
      </c>
      <c r="AH39" s="60"/>
      <c r="AI39" s="60" t="str">
        <f>IF(AI38="","","'"&amp;AI$11&amp;"' : '"&amp;AI38&amp;"', ")</f>
        <v xml:space="preserve">'orderStatus' : 'Delivered', </v>
      </c>
      <c r="AJ39" s="60" t="str">
        <f>IF(AJ38="","","'"&amp;AJ$11&amp;"' : new Date('"&amp;TEXT(AJ38,"yyyy-mm-dd")&amp;"') ")</f>
        <v xml:space="preserve">'statusDate' : new Date('2022-11-03') </v>
      </c>
      <c r="AK39" s="60"/>
      <c r="AL39" s="59"/>
      <c r="AM39" s="58" t="str">
        <f ca="1">_xlfn.CONCAT("{ ",B39:AJ39,"} ,")</f>
        <v>{ 'emailAddress' : 'norah_fessenden@gmail.com', 'orderId' : '20221103080936', 'employeeUserName' : 'lzapanta', 'deliveryAddress' : { 'dName' : 'Norah Fessenden' , 'dStreet' : '694 Yonge Street' , 'dUnit' : '102' , 'dCity' : 'Toronto' , 'dProvince' : 'Ontario' , 'dZip' : 'M4W 1J7' , 'dMobileNumber' : '416-963-8125' } , 'billingsAddress' : { 'bName' : 'Norah Fessenden' , 'bStreet' : '1751 Wallbridge Loyalist Rd' , 'bCity' : 'Belleville' , 'bProvince' : 'Ontario' , 'bZip' : 'K8N 1L9' , 'bMobileNumber' : '613-847-5941' } , 'paymentMethod' : { 'paymentType' : 'Debit' , 'cardScheme' : 'Visa' , 'cardLast4' : '2541' } , 'totalQty' : 2, 'orderTotal' : 178.39, 'grossTotal' : 153.45, 'tax' : 19.95, 'deliveryFee' : 4.99, orderDetails : [ { 'productId' : '4008', 'productName' : 'Vanilla Cinnamon Roll', 'quantity' : 20, 'price' : 6.45, 'subTotal' : 129 },{ 'productId' : '4014', 'productName' : 'Pan de Coco', 'quantity' : 5, 'price' : 4.89, 'subTotal' : 24.45 }], 'orderDate' : new Date('2022-11-03'), 'orderStatus' : 'Delivered', 'statusDate' : new Date('2022-11-03') } ,</v>
      </c>
    </row>
    <row r="40" spans="1:39" hidden="1" x14ac:dyDescent="0.35">
      <c r="B40" t="s">
        <v>705</v>
      </c>
      <c r="C40" s="49" t="s">
        <v>706</v>
      </c>
      <c r="D40" t="s">
        <v>682</v>
      </c>
      <c r="E40" t="s">
        <v>327</v>
      </c>
      <c r="F40" t="s">
        <v>589</v>
      </c>
      <c r="G40" t="s">
        <v>608</v>
      </c>
      <c r="H40" t="s">
        <v>597</v>
      </c>
      <c r="I40" t="s">
        <v>453</v>
      </c>
      <c r="J40" t="s">
        <v>618</v>
      </c>
      <c r="K40" t="s">
        <v>630</v>
      </c>
      <c r="L40" t="str">
        <f t="shared" ref="L40:L43" si="32">E40</f>
        <v>Charlotte Altman</v>
      </c>
      <c r="M40" t="str">
        <f>VLOOKUP($B40,Customers!$B:$J,4,0)</f>
        <v>4854 Tycos Dr</v>
      </c>
      <c r="N40" t="str">
        <f>VLOOKUP($B40,Customers!$B:$J,5,0)</f>
        <v>117</v>
      </c>
      <c r="O40" t="str">
        <f>VLOOKUP($B40,Customers!$B:$J,6,0)</f>
        <v>Toronto</v>
      </c>
      <c r="P40" t="str">
        <f>VLOOKUP($B40,Customers!$B:$J,7,0)</f>
        <v>Ontario</v>
      </c>
      <c r="Q40" t="str">
        <f>VLOOKUP($B40,Customers!$B:$J,8,0)</f>
        <v>M5T 1T4</v>
      </c>
      <c r="R40" t="str">
        <f>VLOOKUP($B40,Customers!$B:$J,9,0)</f>
        <v>416-343-8934</v>
      </c>
      <c r="S40" t="str">
        <f>VLOOKUP($B40,Customers!$B:$T,16,0)</f>
        <v>Debit</v>
      </c>
      <c r="T40" t="str">
        <f>VLOOKUP($B40,Customers!$B:$T,18,0)</f>
        <v>Visa</v>
      </c>
      <c r="U40" t="str">
        <f>VLOOKUP($B40,Customers!$B:$T,19,0)</f>
        <v>6745</v>
      </c>
      <c r="V40">
        <f ca="1">COUNTIF(C:C,C40)-1</f>
        <v>3</v>
      </c>
      <c r="X40">
        <f t="shared" ref="X40:X42" si="33">AC40*AD40</f>
        <v>118.65</v>
      </c>
      <c r="Y40">
        <f t="shared" ref="Y40:Y42" si="34">ROUND(X40*13%,2)</f>
        <v>15.42</v>
      </c>
      <c r="AA40">
        <v>4017</v>
      </c>
      <c r="AB40" t="s">
        <v>84</v>
      </c>
      <c r="AC40">
        <v>21</v>
      </c>
      <c r="AD40">
        <v>5.65</v>
      </c>
      <c r="AE40">
        <f>AC40*AD40</f>
        <v>118.65</v>
      </c>
      <c r="AF40" s="54" t="str">
        <f>"{ '"&amp;AA$11&amp;"' : '"&amp;AA40&amp;"', '"&amp;AB$11&amp;"' : '"&amp;AB40&amp;"', '"&amp;AC$11&amp;"' : "&amp;AC40&amp;", '"&amp;AD$11&amp;"' : "&amp;AD40&amp;", '"&amp;AE$11&amp;"' : "&amp;AE40&amp;" },"</f>
        <v>{ 'productId' : '4017', 'productName' : 'Malunggay Bread', 'quantity' : 21, 'price' : 5.65, 'subTotal' : 118.65 },</v>
      </c>
      <c r="AG40" s="48">
        <v>44868</v>
      </c>
      <c r="AH40" s="50" t="s">
        <v>707</v>
      </c>
      <c r="AI40" t="s">
        <v>755</v>
      </c>
      <c r="AJ40" s="48">
        <f>AG40</f>
        <v>44868</v>
      </c>
      <c r="AK40" t="s">
        <v>708</v>
      </c>
    </row>
    <row r="41" spans="1:39" hidden="1" x14ac:dyDescent="0.35">
      <c r="B41" t="s">
        <v>705</v>
      </c>
      <c r="C41" t="s">
        <v>706</v>
      </c>
      <c r="D41" t="s">
        <v>682</v>
      </c>
      <c r="E41" t="s">
        <v>327</v>
      </c>
      <c r="F41" t="s">
        <v>589</v>
      </c>
      <c r="G41" t="s">
        <v>608</v>
      </c>
      <c r="H41" t="s">
        <v>597</v>
      </c>
      <c r="I41" t="s">
        <v>453</v>
      </c>
      <c r="J41" t="s">
        <v>618</v>
      </c>
      <c r="K41" t="s">
        <v>630</v>
      </c>
      <c r="L41" t="str">
        <f t="shared" si="32"/>
        <v>Charlotte Altman</v>
      </c>
      <c r="M41" t="str">
        <f>VLOOKUP($B41,Customers!$B:$J,4,0)</f>
        <v>4854 Tycos Dr</v>
      </c>
      <c r="N41" t="str">
        <f>VLOOKUP($B41,Customers!$B:$J,5,0)</f>
        <v>117</v>
      </c>
      <c r="O41" t="str">
        <f>VLOOKUP($B41,Customers!$B:$J,6,0)</f>
        <v>Toronto</v>
      </c>
      <c r="P41" t="str">
        <f>VLOOKUP($B41,Customers!$B:$J,7,0)</f>
        <v>Ontario</v>
      </c>
      <c r="Q41" t="str">
        <f>VLOOKUP($B41,Customers!$B:$J,8,0)</f>
        <v>M5T 1T4</v>
      </c>
      <c r="R41" t="str">
        <f>VLOOKUP($B41,Customers!$B:$J,9,0)</f>
        <v>416-343-8934</v>
      </c>
      <c r="S41" t="str">
        <f>VLOOKUP($B41,Customers!$B:$T,16,0)</f>
        <v>Debit</v>
      </c>
      <c r="T41" t="str">
        <f>VLOOKUP($B41,Customers!$B:$T,18,0)</f>
        <v>Visa</v>
      </c>
      <c r="U41" t="str">
        <f>VLOOKUP($B41,Customers!$B:$T,19,0)</f>
        <v>6745</v>
      </c>
      <c r="V41">
        <f ca="1">COUNTIF(C:C,C41)-1</f>
        <v>3</v>
      </c>
      <c r="X41">
        <f t="shared" si="33"/>
        <v>64.5</v>
      </c>
      <c r="Y41">
        <f t="shared" si="34"/>
        <v>8.39</v>
      </c>
      <c r="AA41">
        <v>4019</v>
      </c>
      <c r="AB41" t="s">
        <v>86</v>
      </c>
      <c r="AC41">
        <v>10</v>
      </c>
      <c r="AD41">
        <v>6.45</v>
      </c>
      <c r="AE41">
        <f>AC41*AD41</f>
        <v>64.5</v>
      </c>
      <c r="AF41" s="54" t="str">
        <f>"{ '"&amp;AA$11&amp;"' : '"&amp;AA41&amp;"', '"&amp;AB$11&amp;"' : '"&amp;AB41&amp;"', '"&amp;AC$11&amp;"' : "&amp;AC41&amp;", '"&amp;AD$11&amp;"' : "&amp;AD41&amp;", '"&amp;AE$11&amp;"' : "&amp;AE41&amp;" },"</f>
        <v>{ 'productId' : '4019', 'productName' : 'Cinnammon Swirl and Raisen Bagel', 'quantity' : 10, 'price' : 6.45, 'subTotal' : 64.5 },</v>
      </c>
      <c r="AG41" s="48">
        <v>44868</v>
      </c>
      <c r="AH41" s="48" t="str">
        <f t="shared" ref="AH41:AH42" si="35">AH40</f>
        <v>113112</v>
      </c>
      <c r="AI41" t="str">
        <f t="shared" ref="AI41:AJ42" si="36">AI40</f>
        <v>Delivered</v>
      </c>
      <c r="AJ41" s="48">
        <f t="shared" si="36"/>
        <v>44868</v>
      </c>
    </row>
    <row r="42" spans="1:39" hidden="1" x14ac:dyDescent="0.35">
      <c r="B42" t="s">
        <v>705</v>
      </c>
      <c r="C42" t="s">
        <v>706</v>
      </c>
      <c r="D42" t="s">
        <v>682</v>
      </c>
      <c r="E42" t="s">
        <v>327</v>
      </c>
      <c r="F42" t="s">
        <v>589</v>
      </c>
      <c r="G42" t="s">
        <v>608</v>
      </c>
      <c r="H42" t="s">
        <v>597</v>
      </c>
      <c r="I42" t="s">
        <v>453</v>
      </c>
      <c r="J42" t="s">
        <v>618</v>
      </c>
      <c r="K42" t="s">
        <v>630</v>
      </c>
      <c r="L42" t="str">
        <f t="shared" si="32"/>
        <v>Charlotte Altman</v>
      </c>
      <c r="M42" t="str">
        <f>VLOOKUP($B42,Customers!$B:$J,4,0)</f>
        <v>4854 Tycos Dr</v>
      </c>
      <c r="N42" t="str">
        <f>VLOOKUP($B42,Customers!$B:$J,5,0)</f>
        <v>117</v>
      </c>
      <c r="O42" t="str">
        <f>VLOOKUP($B42,Customers!$B:$J,6,0)</f>
        <v>Toronto</v>
      </c>
      <c r="P42" t="str">
        <f>VLOOKUP($B42,Customers!$B:$J,7,0)</f>
        <v>Ontario</v>
      </c>
      <c r="Q42" t="str">
        <f>VLOOKUP($B42,Customers!$B:$J,8,0)</f>
        <v>M5T 1T4</v>
      </c>
      <c r="R42" t="str">
        <f>VLOOKUP($B42,Customers!$B:$J,9,0)</f>
        <v>416-343-8934</v>
      </c>
      <c r="S42" t="str">
        <f>VLOOKUP($B42,Customers!$B:$T,16,0)</f>
        <v>Debit</v>
      </c>
      <c r="T42" t="str">
        <f>VLOOKUP($B42,Customers!$B:$T,18,0)</f>
        <v>Visa</v>
      </c>
      <c r="U42" t="str">
        <f>VLOOKUP($B42,Customers!$B:$T,19,0)</f>
        <v>6745</v>
      </c>
      <c r="V42">
        <f ca="1">COUNTIF(C:C,C42)-1</f>
        <v>3</v>
      </c>
      <c r="X42">
        <f t="shared" si="33"/>
        <v>13.5</v>
      </c>
      <c r="Y42">
        <f t="shared" si="34"/>
        <v>1.76</v>
      </c>
      <c r="AA42">
        <v>4020</v>
      </c>
      <c r="AB42" t="s">
        <v>87</v>
      </c>
      <c r="AC42">
        <v>2</v>
      </c>
      <c r="AD42">
        <v>6.75</v>
      </c>
      <c r="AE42">
        <f>AC42*AD42</f>
        <v>13.5</v>
      </c>
      <c r="AF42" s="54" t="str">
        <f>"{ '"&amp;AA$11&amp;"' : '"&amp;AA42&amp;"', '"&amp;AB$11&amp;"' : '"&amp;AB42&amp;"', '"&amp;AC$11&amp;"' : "&amp;AC42&amp;", '"&amp;AD$11&amp;"' : "&amp;AD42&amp;", '"&amp;AE$11&amp;"' : "&amp;AE42&amp;" }"</f>
        <v>{ 'productId' : '4020', 'productName' : 'Cherry Vanilla Bagel', 'quantity' : 2, 'price' : 6.75, 'subTotal' : 13.5 }</v>
      </c>
      <c r="AG42" s="48">
        <v>44868</v>
      </c>
      <c r="AH42" s="48" t="str">
        <f t="shared" si="35"/>
        <v>113112</v>
      </c>
      <c r="AI42" t="str">
        <f t="shared" si="36"/>
        <v>Delivered</v>
      </c>
      <c r="AJ42" s="48">
        <f t="shared" si="36"/>
        <v>44868</v>
      </c>
    </row>
    <row r="43" spans="1:39" hidden="1" x14ac:dyDescent="0.35">
      <c r="A43" t="s">
        <v>759</v>
      </c>
      <c r="B43" t="s">
        <v>705</v>
      </c>
      <c r="C43" t="s">
        <v>706</v>
      </c>
      <c r="D43" t="s">
        <v>682</v>
      </c>
      <c r="E43" t="s">
        <v>327</v>
      </c>
      <c r="F43" t="s">
        <v>589</v>
      </c>
      <c r="G43" t="s">
        <v>608</v>
      </c>
      <c r="H43" t="s">
        <v>597</v>
      </c>
      <c r="I43" t="s">
        <v>453</v>
      </c>
      <c r="J43" t="s">
        <v>618</v>
      </c>
      <c r="K43" t="s">
        <v>630</v>
      </c>
      <c r="L43" t="str">
        <f t="shared" si="32"/>
        <v>Charlotte Altman</v>
      </c>
      <c r="M43" t="str">
        <f>VLOOKUP($B43,Customers!$B:$J,4,0)</f>
        <v>4854 Tycos Dr</v>
      </c>
      <c r="N43" t="str">
        <f>VLOOKUP($B43,Customers!$B:$J,5,0)</f>
        <v>117</v>
      </c>
      <c r="O43" t="str">
        <f>VLOOKUP($B43,Customers!$B:$J,6,0)</f>
        <v>Toronto</v>
      </c>
      <c r="P43" t="str">
        <f>VLOOKUP($B43,Customers!$B:$J,7,0)</f>
        <v>Ontario</v>
      </c>
      <c r="Q43" t="str">
        <f>VLOOKUP($B43,Customers!$B:$J,8,0)</f>
        <v>M5T 1T4</v>
      </c>
      <c r="R43" t="str">
        <f>VLOOKUP($B43,Customers!$B:$J,9,0)</f>
        <v>416-343-8934</v>
      </c>
      <c r="S43" t="str">
        <f>VLOOKUP($B43,Customers!$B:$T,16,0)</f>
        <v>Debit</v>
      </c>
      <c r="T43" t="str">
        <f>VLOOKUP($B43,Customers!$B:$T,18,0)</f>
        <v>Visa</v>
      </c>
      <c r="U43" t="str">
        <f>VLOOKUP($B43,Customers!$B:$T,19,0)</f>
        <v>6745</v>
      </c>
      <c r="V43">
        <f ca="1">COUNTIF(C:C,C43)-1</f>
        <v>3</v>
      </c>
      <c r="W43">
        <f>SUM(X43:Z43)</f>
        <v>227.21</v>
      </c>
      <c r="X43">
        <f>SUM(X40:X42)</f>
        <v>196.65</v>
      </c>
      <c r="Y43">
        <f>SUM(Y40:Y42)</f>
        <v>25.570000000000004</v>
      </c>
      <c r="Z43">
        <v>4.99</v>
      </c>
      <c r="AF43" s="54"/>
      <c r="AG43" s="48">
        <f>AG42</f>
        <v>44868</v>
      </c>
      <c r="AH43" s="48"/>
      <c r="AI43" t="str">
        <f t="shared" ref="AI43:AJ43" si="37">AI42</f>
        <v>Delivered</v>
      </c>
      <c r="AJ43" s="48">
        <f t="shared" si="37"/>
        <v>44868</v>
      </c>
    </row>
    <row r="44" spans="1:39" s="58" customFormat="1" ht="58" hidden="1" x14ac:dyDescent="0.35">
      <c r="A44" s="60" t="s">
        <v>760</v>
      </c>
      <c r="B44" s="60" t="str">
        <f>IF(B43="","","'"&amp;B$11&amp;"' : '"&amp;B43&amp;"', ")</f>
        <v xml:space="preserve">'emailAddress' : 'altmancharlotte@gmail.com', </v>
      </c>
      <c r="C44" s="60" t="str">
        <f>IF(C43="","","'"&amp;C$11&amp;"' : '"&amp;C43&amp;"', ")</f>
        <v xml:space="preserve">'orderId' : '20221103113112', </v>
      </c>
      <c r="D44" s="60" t="str">
        <f>IF(D43="","","'"&amp;D$11&amp;"' : '"&amp;D43&amp;"', ")</f>
        <v xml:space="preserve">'employeeUserName' : 'mjones', </v>
      </c>
      <c r="E44" s="60" t="str">
        <f>IF(E43="","","'"&amp;$F$10&amp;"' : { '"&amp;E$11&amp;"' : '"&amp;E43&amp;"' , ")</f>
        <v xml:space="preserve">'deliveryAddress' : { 'dName' : 'Charlotte Altman' , </v>
      </c>
      <c r="F44" s="60" t="str">
        <f>IF(F43="","","'"&amp;F$11&amp;"' : '"&amp;F43&amp;"' , ")</f>
        <v xml:space="preserve">'dStreet' : '4554 chemin Georges' , </v>
      </c>
      <c r="G44" s="60" t="str">
        <f>IF(G43="","","'"&amp;G$11&amp;"' : '"&amp;G43&amp;"' , ")</f>
        <v xml:space="preserve">'dUnit' : '108' , </v>
      </c>
      <c r="H44" s="60" t="str">
        <f>IF(H43="","","'"&amp;H$11&amp;"' : '"&amp;H43&amp;"' , ")</f>
        <v xml:space="preserve">'dCity' : 'St Felix De Valois' , </v>
      </c>
      <c r="I44" s="60" t="str">
        <f>IF(I43="","","'"&amp;I$11&amp;"' : '"&amp;I43&amp;"' , ")</f>
        <v xml:space="preserve">'dProvince' : 'Quebec' , </v>
      </c>
      <c r="J44" s="60" t="str">
        <f>IF(J43="","","'"&amp;J$11&amp;"' : '"&amp;J43&amp;"' , ")</f>
        <v xml:space="preserve">'dZip' : 'J0K 2M0' , </v>
      </c>
      <c r="K44" s="60" t="str">
        <f>IF(K43="","","'"&amp;K$11&amp;"' : '"&amp;K43&amp;"' } , ")</f>
        <v xml:space="preserve">'dMobileNumber' : '450-889-2867' } , </v>
      </c>
      <c r="L44" s="60" t="str">
        <f>IF(L43="","","'"&amp;$L$10&amp;"' : { '"&amp;L$11&amp;"' : '"&amp;L43&amp;"' , ")</f>
        <v xml:space="preserve">'billingsAddress' : { 'bName' : 'Charlotte Altman' , </v>
      </c>
      <c r="M44" s="60" t="str">
        <f>IF(M43="","","'"&amp;M$11&amp;"' : '"&amp;M43&amp;"' , ")</f>
        <v xml:space="preserve">'bStreet' : '4854 Tycos Dr' , </v>
      </c>
      <c r="N44" s="60" t="str">
        <f>IF(N43="","","'"&amp;N$11&amp;"' : '"&amp;N43&amp;"' , ")</f>
        <v xml:space="preserve">'bUnit' : '117' , </v>
      </c>
      <c r="O44" s="60" t="str">
        <f>IF(O43="","","'"&amp;O$11&amp;"' : '"&amp;O43&amp;"' , ")</f>
        <v xml:space="preserve">'bCity' : 'Toronto' , </v>
      </c>
      <c r="P44" s="60" t="str">
        <f>IF(P43="","","'"&amp;P$11&amp;"' : '"&amp;P43&amp;"' , ")</f>
        <v xml:space="preserve">'bProvince' : 'Ontario' , </v>
      </c>
      <c r="Q44" s="60" t="str">
        <f>IF(Q43="","","'"&amp;Q$11&amp;"' : '"&amp;Q43&amp;"' , ")</f>
        <v xml:space="preserve">'bZip' : 'M5T 1T4' , </v>
      </c>
      <c r="R44" s="60" t="str">
        <f>IF(R43="","","'"&amp;R$11&amp;"' : '"&amp;R43&amp;"' } , ")</f>
        <v xml:space="preserve">'bMobileNumber' : '416-343-8934' } , </v>
      </c>
      <c r="S44" s="60" t="str">
        <f>IF(S43="","","'"&amp;$S$10&amp;"' : { '"&amp;S$11&amp;"' : '"&amp;S43&amp;"' , ")</f>
        <v xml:space="preserve">'paymentMethod' : { 'paymentType' : 'Debit' , </v>
      </c>
      <c r="T44" s="60" t="str">
        <f>IF(T43="","","'"&amp;T$11&amp;"' : '"&amp;T43&amp;"' , ")</f>
        <v xml:space="preserve">'cardScheme' : 'Visa' , </v>
      </c>
      <c r="U44" s="60" t="str">
        <f>IF(U43="","","'"&amp;U$11&amp;"' : '"&amp;U43&amp;"' } , ")</f>
        <v xml:space="preserve">'cardLast4' : '6745' } , </v>
      </c>
      <c r="V44" s="60" t="str">
        <f ca="1">IF(V43="","","'"&amp;V$11&amp;"' : "&amp;V43&amp;", ")</f>
        <v xml:space="preserve">'totalQty' : 3, </v>
      </c>
      <c r="W44" s="60" t="str">
        <f>IF(W43="","","'"&amp;W$11&amp;"' : "&amp;W43&amp;", ")</f>
        <v xml:space="preserve">'orderTotal' : 227.21, </v>
      </c>
      <c r="X44" s="60" t="str">
        <f>IF(X43="","","'"&amp;X$11&amp;"' : "&amp;X43&amp;", ")</f>
        <v xml:space="preserve">'grossTotal' : 196.65, </v>
      </c>
      <c r="Y44" s="60" t="str">
        <f>IF(Y43="","","'"&amp;Y$11&amp;"' : "&amp;Y43&amp;", ")</f>
        <v xml:space="preserve">'tax' : 25.57, </v>
      </c>
      <c r="Z44" s="60" t="str">
        <f>IF(Z43="","","'"&amp;Z$11&amp;"' : "&amp;Z43&amp;", ")</f>
        <v xml:space="preserve">'deliveryFee' : 4.99, </v>
      </c>
      <c r="AA44" s="60"/>
      <c r="AB44" s="60"/>
      <c r="AC44" s="60"/>
      <c r="AD44" s="60"/>
      <c r="AE44" s="60"/>
      <c r="AF44" s="60" t="str">
        <f>$AA$10&amp;" : "&amp;_xlfn.CONCAT("[ ",AF40:AF42,"], ")</f>
        <v xml:space="preserve">orderDetails : [ { 'productId' : '4017', 'productName' : 'Malunggay Bread', 'quantity' : 21, 'price' : 5.65, 'subTotal' : 118.65 },{ 'productId' : '4019', 'productName' : 'Cinnammon Swirl and Raisen Bagel', 'quantity' : 10, 'price' : 6.45, 'subTotal' : 64.5 },{ 'productId' : '4020', 'productName' : 'Cherry Vanilla Bagel', 'quantity' : 2, 'price' : 6.75, 'subTotal' : 13.5 }], </v>
      </c>
      <c r="AG44" s="60" t="str">
        <f>IF(AG43="","","'"&amp;AG$11&amp;"' : new Date('"&amp;TEXT(AG43,"yyyy-mm-dd")&amp;"'), ")</f>
        <v xml:space="preserve">'orderDate' : new Date('2022-11-03'), </v>
      </c>
      <c r="AH44" s="60"/>
      <c r="AI44" s="60" t="str">
        <f>IF(AI43="","","'"&amp;AI$11&amp;"' : '"&amp;AI43&amp;"', ")</f>
        <v xml:space="preserve">'orderStatus' : 'Delivered', </v>
      </c>
      <c r="AJ44" s="60" t="str">
        <f>IF(AJ43="","","'"&amp;AJ$11&amp;"' : new Date('"&amp;TEXT(AJ43,"yyyy-mm-dd")&amp;"') ")</f>
        <v xml:space="preserve">'statusDate' : new Date('2022-11-03') </v>
      </c>
      <c r="AK44" s="60"/>
      <c r="AL44" s="59"/>
      <c r="AM44" s="58" t="str">
        <f ca="1">_xlfn.CONCAT("{ ",B44:AJ44,"} ,")</f>
        <v>{ 'emailAddress' : 'altmancharlotte@gmail.com', 'orderId' : '20221103113112', 'employeeUserName' : 'mjones', 'deliveryAddress' : { 'dName' : 'Charlotte Altman' , 'dStreet' : '4554 chemin Georges' , 'dUnit' : '108' , 'dCity' : 'St Felix De Valois' , 'dProvince' : 'Quebec' , 'dZip' : 'J0K 2M0' , 'dMobileNumber' : '450-889-2867' } , 'billingsAddress' : { 'bName' : 'Charlotte Altman' , 'bStreet' : '4854 Tycos Dr' , 'bUnit' : '117' , 'bCity' : 'Toronto' , 'bProvince' : 'Ontario' , 'bZip' : 'M5T 1T4' , 'bMobileNumber' : '416-343-8934' } , 'paymentMethod' : { 'paymentType' : 'Debit' , 'cardScheme' : 'Visa' , 'cardLast4' : '6745' } , 'totalQty' : 3, 'orderTotal' : 227.21, 'grossTotal' : 196.65, 'tax' : 25.57, 'deliveryFee' : 4.99, orderDetails : [ { 'productId' : '4017', 'productName' : 'Malunggay Bread', 'quantity' : 21, 'price' : 5.65, 'subTotal' : 118.65 },{ 'productId' : '4019', 'productName' : 'Cinnammon Swirl and Raisen Bagel', 'quantity' : 10, 'price' : 6.45, 'subTotal' : 64.5 },{ 'productId' : '4020', 'productName' : 'Cherry Vanilla Bagel', 'quantity' : 2, 'price' : 6.75, 'subTotal' : 13.5 }], 'orderDate' : new Date('2022-11-03'), 'orderStatus' : 'Delivered', 'statusDate' : new Date('2022-11-03') } ,</v>
      </c>
    </row>
    <row r="45" spans="1:39" hidden="1" x14ac:dyDescent="0.35">
      <c r="B45" t="s">
        <v>709</v>
      </c>
      <c r="C45" s="49" t="s">
        <v>710</v>
      </c>
      <c r="D45" t="s">
        <v>681</v>
      </c>
      <c r="E45" t="s">
        <v>323</v>
      </c>
      <c r="F45" t="s">
        <v>418</v>
      </c>
      <c r="G45" t="s">
        <v>575</v>
      </c>
      <c r="H45" t="s">
        <v>442</v>
      </c>
      <c r="I45" t="s">
        <v>26</v>
      </c>
      <c r="J45" t="s">
        <v>476</v>
      </c>
      <c r="K45" t="s">
        <v>506</v>
      </c>
      <c r="L45" t="str">
        <f t="shared" ref="L45:L47" si="38">E45</f>
        <v>Donovan Markle</v>
      </c>
      <c r="M45" t="str">
        <f>VLOOKUP($B45,Customers!$B:$J,4,0)</f>
        <v>4337 Algonquin Blvd</v>
      </c>
      <c r="N45" t="str">
        <f>VLOOKUP($B45,Customers!$B:$J,5,0)</f>
        <v>216</v>
      </c>
      <c r="O45" t="str">
        <f>VLOOKUP($B45,Customers!$B:$J,6,0)</f>
        <v>Timmins</v>
      </c>
      <c r="P45" t="str">
        <f>VLOOKUP($B45,Customers!$B:$J,7,0)</f>
        <v>Ontario</v>
      </c>
      <c r="Q45" t="str">
        <f>VLOOKUP($B45,Customers!$B:$J,8,0)</f>
        <v>P4N 7C4</v>
      </c>
      <c r="R45" t="str">
        <f>VLOOKUP($B45,Customers!$B:$J,9,0)</f>
        <v>705-668-1540</v>
      </c>
      <c r="S45" t="str">
        <f>VLOOKUP($B45,Customers!$B:$T,16,0)</f>
        <v>Credit</v>
      </c>
      <c r="T45" t="str">
        <f>VLOOKUP($B45,Customers!$B:$T,18,0)</f>
        <v>Visa</v>
      </c>
      <c r="U45" t="str">
        <f>VLOOKUP($B45,Customers!$B:$T,19,0)</f>
        <v>4070</v>
      </c>
      <c r="V45">
        <f ca="1">COUNTIF(C:C,C45)-1</f>
        <v>2</v>
      </c>
      <c r="X45">
        <f t="shared" ref="X45:X46" si="39">AC45*AD45</f>
        <v>73.45</v>
      </c>
      <c r="Y45">
        <f t="shared" ref="Y45:Y46" si="40">ROUND(X45*13%,2)</f>
        <v>9.5500000000000007</v>
      </c>
      <c r="AA45">
        <v>4017</v>
      </c>
      <c r="AB45" t="s">
        <v>84</v>
      </c>
      <c r="AC45">
        <v>13</v>
      </c>
      <c r="AD45">
        <v>5.65</v>
      </c>
      <c r="AE45">
        <f>AC45*AD45</f>
        <v>73.45</v>
      </c>
      <c r="AF45" s="54" t="str">
        <f>"{ '"&amp;AA$11&amp;"' : '"&amp;AA45&amp;"', '"&amp;AB$11&amp;"' : '"&amp;AB45&amp;"', '"&amp;AC$11&amp;"' : "&amp;AC45&amp;", '"&amp;AD$11&amp;"' : "&amp;AD45&amp;", '"&amp;AE$11&amp;"' : "&amp;AE45&amp;" },"</f>
        <v>{ 'productId' : '4017', 'productName' : 'Malunggay Bread', 'quantity' : 13, 'price' : 5.65, 'subTotal' : 73.45 },</v>
      </c>
      <c r="AG45" s="48">
        <v>44868</v>
      </c>
      <c r="AH45" s="50" t="s">
        <v>711</v>
      </c>
      <c r="AI45" t="s">
        <v>678</v>
      </c>
      <c r="AJ45" s="48">
        <f>AG45</f>
        <v>44868</v>
      </c>
      <c r="AK45" t="s">
        <v>709</v>
      </c>
    </row>
    <row r="46" spans="1:39" hidden="1" x14ac:dyDescent="0.35">
      <c r="B46" t="s">
        <v>709</v>
      </c>
      <c r="C46" t="s">
        <v>710</v>
      </c>
      <c r="D46" t="s">
        <v>681</v>
      </c>
      <c r="E46" t="s">
        <v>323</v>
      </c>
      <c r="F46" t="s">
        <v>418</v>
      </c>
      <c r="G46" t="s">
        <v>575</v>
      </c>
      <c r="H46" t="s">
        <v>442</v>
      </c>
      <c r="I46" t="s">
        <v>26</v>
      </c>
      <c r="J46" t="s">
        <v>476</v>
      </c>
      <c r="K46" t="s">
        <v>506</v>
      </c>
      <c r="L46" t="str">
        <f t="shared" si="38"/>
        <v>Donovan Markle</v>
      </c>
      <c r="M46" t="str">
        <f>VLOOKUP($B46,Customers!$B:$J,4,0)</f>
        <v>4337 Algonquin Blvd</v>
      </c>
      <c r="N46" t="str">
        <f>VLOOKUP($B46,Customers!$B:$J,5,0)</f>
        <v>216</v>
      </c>
      <c r="O46" t="str">
        <f>VLOOKUP($B46,Customers!$B:$J,6,0)</f>
        <v>Timmins</v>
      </c>
      <c r="P46" t="str">
        <f>VLOOKUP($B46,Customers!$B:$J,7,0)</f>
        <v>Ontario</v>
      </c>
      <c r="Q46" t="str">
        <f>VLOOKUP($B46,Customers!$B:$J,8,0)</f>
        <v>P4N 7C4</v>
      </c>
      <c r="R46" t="str">
        <f>VLOOKUP($B46,Customers!$B:$J,9,0)</f>
        <v>705-668-1540</v>
      </c>
      <c r="S46" t="str">
        <f>VLOOKUP($B46,Customers!$B:$T,16,0)</f>
        <v>Credit</v>
      </c>
      <c r="T46" t="str">
        <f>VLOOKUP($B46,Customers!$B:$T,18,0)</f>
        <v>Visa</v>
      </c>
      <c r="U46" t="str">
        <f>VLOOKUP($B46,Customers!$B:$T,19,0)</f>
        <v>4070</v>
      </c>
      <c r="V46">
        <f ca="1">COUNTIF(C:C,C46)-1</f>
        <v>2</v>
      </c>
      <c r="X46">
        <f t="shared" si="39"/>
        <v>11.98</v>
      </c>
      <c r="Y46">
        <f t="shared" si="40"/>
        <v>1.56</v>
      </c>
      <c r="AA46">
        <v>4002</v>
      </c>
      <c r="AB46" t="s">
        <v>66</v>
      </c>
      <c r="AC46">
        <v>2</v>
      </c>
      <c r="AD46">
        <v>5.99</v>
      </c>
      <c r="AE46">
        <f>AC46*AD46</f>
        <v>11.98</v>
      </c>
      <c r="AF46" s="54" t="str">
        <f>"{ '"&amp;AA$11&amp;"' : '"&amp;AA46&amp;"', '"&amp;AB$11&amp;"' : '"&amp;AB46&amp;"', '"&amp;AC$11&amp;"' : "&amp;AC46&amp;", '"&amp;AD$11&amp;"' : "&amp;AD46&amp;", '"&amp;AE$11&amp;"' : "&amp;AE46&amp;" }"</f>
        <v>{ 'productId' : '4002', 'productName' : 'Asiago Cheese Bagel', 'quantity' : 2, 'price' : 5.99, 'subTotal' : 11.98 }</v>
      </c>
      <c r="AG46" s="48">
        <v>44868</v>
      </c>
      <c r="AH46" s="48" t="str">
        <f>AH45</f>
        <v>082400</v>
      </c>
      <c r="AI46" t="str">
        <f t="shared" ref="AI46:AJ46" si="41">AI45</f>
        <v>Cancelled</v>
      </c>
      <c r="AJ46" s="48">
        <f t="shared" si="41"/>
        <v>44868</v>
      </c>
    </row>
    <row r="47" spans="1:39" hidden="1" x14ac:dyDescent="0.35">
      <c r="A47" t="s">
        <v>759</v>
      </c>
      <c r="B47" t="s">
        <v>709</v>
      </c>
      <c r="C47" t="s">
        <v>710</v>
      </c>
      <c r="D47" t="s">
        <v>681</v>
      </c>
      <c r="E47" t="s">
        <v>323</v>
      </c>
      <c r="F47" t="s">
        <v>418</v>
      </c>
      <c r="G47" t="s">
        <v>575</v>
      </c>
      <c r="H47" t="s">
        <v>442</v>
      </c>
      <c r="I47" t="s">
        <v>26</v>
      </c>
      <c r="J47" t="s">
        <v>476</v>
      </c>
      <c r="K47" t="s">
        <v>506</v>
      </c>
      <c r="L47" t="str">
        <f t="shared" si="38"/>
        <v>Donovan Markle</v>
      </c>
      <c r="M47" t="str">
        <f>VLOOKUP($B47,Customers!$B:$J,4,0)</f>
        <v>4337 Algonquin Blvd</v>
      </c>
      <c r="N47" t="str">
        <f>VLOOKUP($B47,Customers!$B:$J,5,0)</f>
        <v>216</v>
      </c>
      <c r="O47" t="str">
        <f>VLOOKUP($B47,Customers!$B:$J,6,0)</f>
        <v>Timmins</v>
      </c>
      <c r="P47" t="str">
        <f>VLOOKUP($B47,Customers!$B:$J,7,0)</f>
        <v>Ontario</v>
      </c>
      <c r="Q47" t="str">
        <f>VLOOKUP($B47,Customers!$B:$J,8,0)</f>
        <v>P4N 7C4</v>
      </c>
      <c r="R47" t="str">
        <f>VLOOKUP($B47,Customers!$B:$J,9,0)</f>
        <v>705-668-1540</v>
      </c>
      <c r="S47" t="str">
        <f>VLOOKUP($B47,Customers!$B:$T,16,0)</f>
        <v>Credit</v>
      </c>
      <c r="T47" t="str">
        <f>VLOOKUP($B47,Customers!$B:$T,18,0)</f>
        <v>Visa</v>
      </c>
      <c r="U47" t="str">
        <f>VLOOKUP($B47,Customers!$B:$T,19,0)</f>
        <v>4070</v>
      </c>
      <c r="V47">
        <f ca="1">COUNTIF(C:C,C47)-1</f>
        <v>2</v>
      </c>
      <c r="W47">
        <f>SUM(X47:Z47)</f>
        <v>101.53</v>
      </c>
      <c r="X47">
        <f>SUM(X45:X46)</f>
        <v>85.43</v>
      </c>
      <c r="Y47">
        <f>SUM(Y45:Y46)</f>
        <v>11.110000000000001</v>
      </c>
      <c r="Z47">
        <v>4.99</v>
      </c>
      <c r="AF47" s="54"/>
      <c r="AG47" s="48">
        <f>AG46</f>
        <v>44868</v>
      </c>
      <c r="AH47" s="48"/>
      <c r="AI47" t="str">
        <f t="shared" ref="AI47:AJ47" si="42">AI46</f>
        <v>Cancelled</v>
      </c>
      <c r="AJ47" s="48">
        <f t="shared" si="42"/>
        <v>44868</v>
      </c>
    </row>
    <row r="48" spans="1:39" s="58" customFormat="1" ht="43.5" hidden="1" x14ac:dyDescent="0.35">
      <c r="A48" s="60" t="s">
        <v>760</v>
      </c>
      <c r="B48" s="60" t="str">
        <f>IF(B47="","","'"&amp;B$11&amp;"' : '"&amp;B47&amp;"', ")</f>
        <v xml:space="preserve">'emailAddress' : 'donovanmarkle@gmail.com', </v>
      </c>
      <c r="C48" s="60" t="str">
        <f>IF(C47="","","'"&amp;C$11&amp;"' : '"&amp;C47&amp;"', ")</f>
        <v xml:space="preserve">'orderId' : '20221103082400', </v>
      </c>
      <c r="D48" s="60" t="str">
        <f>IF(D47="","","'"&amp;D$11&amp;"' : '"&amp;D47&amp;"', ")</f>
        <v xml:space="preserve">'employeeUserName' : 'jbartolata', </v>
      </c>
      <c r="E48" s="60" t="str">
        <f>IF(E47="","","'"&amp;$F$10&amp;"' : { '"&amp;E$11&amp;"' : '"&amp;E47&amp;"' , ")</f>
        <v xml:space="preserve">'deliveryAddress' : { 'dName' : 'Donovan Markle' , </v>
      </c>
      <c r="F48" s="60" t="str">
        <f>IF(F47="","","'"&amp;F$11&amp;"' : '"&amp;F47&amp;"' , ")</f>
        <v xml:space="preserve">'dStreet' : '4337 Algonquin Blvd' , </v>
      </c>
      <c r="G48" s="60" t="str">
        <f>IF(G47="","","'"&amp;G$11&amp;"' : '"&amp;G47&amp;"' , ")</f>
        <v xml:space="preserve">'dUnit' : '216' , </v>
      </c>
      <c r="H48" s="60" t="str">
        <f>IF(H47="","","'"&amp;H$11&amp;"' : '"&amp;H47&amp;"' , ")</f>
        <v xml:space="preserve">'dCity' : 'Timmins' , </v>
      </c>
      <c r="I48" s="60" t="str">
        <f>IF(I47="","","'"&amp;I$11&amp;"' : '"&amp;I47&amp;"' , ")</f>
        <v xml:space="preserve">'dProvince' : 'Ontario' , </v>
      </c>
      <c r="J48" s="60" t="str">
        <f>IF(J47="","","'"&amp;J$11&amp;"' : '"&amp;J47&amp;"' , ")</f>
        <v xml:space="preserve">'dZip' : 'P4N 7C4' , </v>
      </c>
      <c r="K48" s="60" t="str">
        <f>IF(K47="","","'"&amp;K$11&amp;"' : '"&amp;K47&amp;"' } , ")</f>
        <v xml:space="preserve">'dMobileNumber' : '705-668-1540' } , </v>
      </c>
      <c r="L48" s="60" t="str">
        <f>IF(L47="","","'"&amp;$L$10&amp;"' : { '"&amp;L$11&amp;"' : '"&amp;L47&amp;"' , ")</f>
        <v xml:space="preserve">'billingsAddress' : { 'bName' : 'Donovan Markle' , </v>
      </c>
      <c r="M48" s="60" t="str">
        <f>IF(M47="","","'"&amp;M$11&amp;"' : '"&amp;M47&amp;"' , ")</f>
        <v xml:space="preserve">'bStreet' : '4337 Algonquin Blvd' , </v>
      </c>
      <c r="N48" s="60" t="str">
        <f>IF(N47="","","'"&amp;N$11&amp;"' : '"&amp;N47&amp;"' , ")</f>
        <v xml:space="preserve">'bUnit' : '216' , </v>
      </c>
      <c r="O48" s="60" t="str">
        <f>IF(O47="","","'"&amp;O$11&amp;"' : '"&amp;O47&amp;"' , ")</f>
        <v xml:space="preserve">'bCity' : 'Timmins' , </v>
      </c>
      <c r="P48" s="60" t="str">
        <f>IF(P47="","","'"&amp;P$11&amp;"' : '"&amp;P47&amp;"' , ")</f>
        <v xml:space="preserve">'bProvince' : 'Ontario' , </v>
      </c>
      <c r="Q48" s="60" t="str">
        <f>IF(Q47="","","'"&amp;Q$11&amp;"' : '"&amp;Q47&amp;"' , ")</f>
        <v xml:space="preserve">'bZip' : 'P4N 7C4' , </v>
      </c>
      <c r="R48" s="60" t="str">
        <f>IF(R47="","","'"&amp;R$11&amp;"' : '"&amp;R47&amp;"' } , ")</f>
        <v xml:space="preserve">'bMobileNumber' : '705-668-1540' } , </v>
      </c>
      <c r="S48" s="60" t="str">
        <f>IF(S47="","","'"&amp;$S$10&amp;"' : { '"&amp;S$11&amp;"' : '"&amp;S47&amp;"' , ")</f>
        <v xml:space="preserve">'paymentMethod' : { 'paymentType' : 'Credit' , </v>
      </c>
      <c r="T48" s="60" t="str">
        <f>IF(T47="","","'"&amp;T$11&amp;"' : '"&amp;T47&amp;"' , ")</f>
        <v xml:space="preserve">'cardScheme' : 'Visa' , </v>
      </c>
      <c r="U48" s="60" t="str">
        <f>IF(U47="","","'"&amp;U$11&amp;"' : '"&amp;U47&amp;"' } , ")</f>
        <v xml:space="preserve">'cardLast4' : '4070' } , </v>
      </c>
      <c r="V48" s="60" t="str">
        <f ca="1">IF(V47="","","'"&amp;V$11&amp;"' : "&amp;V47&amp;", ")</f>
        <v xml:space="preserve">'totalQty' : 2, </v>
      </c>
      <c r="W48" s="60" t="str">
        <f>IF(W47="","","'"&amp;W$11&amp;"' : "&amp;W47&amp;", ")</f>
        <v xml:space="preserve">'orderTotal' : 101.53, </v>
      </c>
      <c r="X48" s="60" t="str">
        <f>IF(X47="","","'"&amp;X$11&amp;"' : "&amp;X47&amp;", ")</f>
        <v xml:space="preserve">'grossTotal' : 85.43, </v>
      </c>
      <c r="Y48" s="60" t="str">
        <f>IF(Y47="","","'"&amp;Y$11&amp;"' : "&amp;Y47&amp;", ")</f>
        <v xml:space="preserve">'tax' : 11.11, </v>
      </c>
      <c r="Z48" s="60" t="str">
        <f>IF(Z47="","","'"&amp;Z$11&amp;"' : "&amp;Z47&amp;", ")</f>
        <v xml:space="preserve">'deliveryFee' : 4.99, </v>
      </c>
      <c r="AA48" s="60"/>
      <c r="AB48" s="60"/>
      <c r="AC48" s="60"/>
      <c r="AD48" s="60"/>
      <c r="AE48" s="60"/>
      <c r="AF48" s="60" t="str">
        <f>$AA$10&amp;" : "&amp;_xlfn.CONCAT("[ ",AF45:AF46,"], ")</f>
        <v xml:space="preserve">orderDetails : [ { 'productId' : '4017', 'productName' : 'Malunggay Bread', 'quantity' : 13, 'price' : 5.65, 'subTotal' : 73.45 },{ 'productId' : '4002', 'productName' : 'Asiago Cheese Bagel', 'quantity' : 2, 'price' : 5.99, 'subTotal' : 11.98 }], </v>
      </c>
      <c r="AG48" s="60" t="str">
        <f>IF(AG47="","","'"&amp;AG$11&amp;"' : new Date('"&amp;TEXT(AG47,"yyyy-mm-dd")&amp;"'), ")</f>
        <v xml:space="preserve">'orderDate' : new Date('2022-11-03'), </v>
      </c>
      <c r="AH48" s="60"/>
      <c r="AI48" s="60" t="str">
        <f>IF(AI47="","","'"&amp;AI$11&amp;"' : '"&amp;AI47&amp;"', ")</f>
        <v xml:space="preserve">'orderStatus' : 'Cancelled', </v>
      </c>
      <c r="AJ48" s="60" t="str">
        <f>IF(AJ47="","","'"&amp;AJ$11&amp;"' : new Date('"&amp;TEXT(AJ47,"yyyy-mm-dd")&amp;"') ")</f>
        <v xml:space="preserve">'statusDate' : new Date('2022-11-03') </v>
      </c>
      <c r="AK48" s="60"/>
      <c r="AL48" s="59"/>
      <c r="AM48" s="58" t="str">
        <f ca="1">_xlfn.CONCAT("{ ",B48:AJ48,"} ,")</f>
        <v>{ 'emailAddress' : 'donovanmarkle@gmail.com', 'orderId' : '20221103082400', 'employeeUserName' : 'jbartolata', 'deliveryAddress' : { 'dName' : 'Donovan Markle' , 'dStreet' : '4337 Algonquin Blvd' , 'dUnit' : '216' , 'dCity' : 'Timmins' , 'dProvince' : 'Ontario' , 'dZip' : 'P4N 7C4' , 'dMobileNumber' : '705-668-1540' } , 'billingsAddress' : { 'bName' : 'Donovan Markle' , 'bStreet' : '4337 Algonquin Blvd' , 'bUnit' : '216' , 'bCity' : 'Timmins' , 'bProvince' : 'Ontario' , 'bZip' : 'P4N 7C4' , 'bMobileNumber' : '705-668-1540' } , 'paymentMethod' : { 'paymentType' : 'Credit' , 'cardScheme' : 'Visa' , 'cardLast4' : '4070' } , 'totalQty' : 2, 'orderTotal' : 101.53, 'grossTotal' : 85.43, 'tax' : 11.11, 'deliveryFee' : 4.99, orderDetails : [ { 'productId' : '4017', 'productName' : 'Malunggay Bread', 'quantity' : 13, 'price' : 5.65, 'subTotal' : 73.45 },{ 'productId' : '4002', 'productName' : 'Asiago Cheese Bagel', 'quantity' : 2, 'price' : 5.99, 'subTotal' : 11.98 }], 'orderDate' : new Date('2022-11-03'), 'orderStatus' : 'Cancelled', 'statusDate' : new Date('2022-11-03') } ,</v>
      </c>
    </row>
    <row r="49" spans="1:39" hidden="1" x14ac:dyDescent="0.35">
      <c r="B49" t="s">
        <v>712</v>
      </c>
      <c r="C49" s="49" t="s">
        <v>713</v>
      </c>
      <c r="D49" t="s">
        <v>680</v>
      </c>
      <c r="E49" t="s">
        <v>340</v>
      </c>
      <c r="F49" t="s">
        <v>406</v>
      </c>
      <c r="G49" t="s">
        <v>575</v>
      </c>
      <c r="H49" t="s">
        <v>431</v>
      </c>
      <c r="I49" t="s">
        <v>26</v>
      </c>
      <c r="J49" t="s">
        <v>467</v>
      </c>
      <c r="K49" t="s">
        <v>494</v>
      </c>
      <c r="L49" t="str">
        <f t="shared" ref="L49:L51" si="43">E49</f>
        <v>Scarlett David</v>
      </c>
      <c r="M49" t="str">
        <f>VLOOKUP($B49,Customers!$B:$J,4,0)</f>
        <v>1220 Tycos Dr</v>
      </c>
      <c r="O49" t="str">
        <f>VLOOKUP($B49,Customers!$B:$J,6,0)</f>
        <v>Toronto</v>
      </c>
      <c r="P49" t="str">
        <f>VLOOKUP($B49,Customers!$B:$J,7,0)</f>
        <v>Ontario</v>
      </c>
      <c r="Q49" t="str">
        <f>VLOOKUP($B49,Customers!$B:$J,8,0)</f>
        <v>M5T 1T4</v>
      </c>
      <c r="R49" t="str">
        <f>VLOOKUP($B49,Customers!$B:$J,9,0)</f>
        <v>416-595-0997</v>
      </c>
      <c r="S49" t="str">
        <f>VLOOKUP($B49,Customers!$B:$T,16,0)</f>
        <v>Debit</v>
      </c>
      <c r="T49" t="str">
        <f>VLOOKUP($B49,Customers!$B:$T,18,0)</f>
        <v>Visa</v>
      </c>
      <c r="U49" t="str">
        <f>VLOOKUP($B49,Customers!$B:$T,19,0)</f>
        <v>9741</v>
      </c>
      <c r="V49">
        <f ca="1">COUNTIF(C:C,C49)-1</f>
        <v>2</v>
      </c>
      <c r="X49">
        <f t="shared" ref="X49:X50" si="44">AC49*AD49</f>
        <v>37.450000000000003</v>
      </c>
      <c r="Y49">
        <f t="shared" ref="Y49:Y50" si="45">ROUND(X49*13%,2)</f>
        <v>4.87</v>
      </c>
      <c r="AA49">
        <v>4004</v>
      </c>
      <c r="AB49" t="s">
        <v>68</v>
      </c>
      <c r="AC49">
        <v>5</v>
      </c>
      <c r="AD49">
        <v>7.49</v>
      </c>
      <c r="AE49">
        <f>AC49*AD49</f>
        <v>37.450000000000003</v>
      </c>
      <c r="AF49" s="54" t="str">
        <f>"{ '"&amp;AA$11&amp;"' : '"&amp;AA49&amp;"', '"&amp;AB$11&amp;"' : '"&amp;AB49&amp;"', '"&amp;AC$11&amp;"' : "&amp;AC49&amp;", '"&amp;AD$11&amp;"' : "&amp;AD49&amp;", '"&amp;AE$11&amp;"' : "&amp;AE49&amp;" },"</f>
        <v>{ 'productId' : '4004', 'productName' : 'Everything Bagel', 'quantity' : 5, 'price' : 7.49, 'subTotal' : 37.45 },</v>
      </c>
      <c r="AG49" s="48">
        <v>44868</v>
      </c>
      <c r="AH49" s="50" t="s">
        <v>714</v>
      </c>
      <c r="AI49" t="s">
        <v>755</v>
      </c>
      <c r="AJ49" s="48">
        <f>AG49</f>
        <v>44868</v>
      </c>
      <c r="AK49" t="s">
        <v>712</v>
      </c>
    </row>
    <row r="50" spans="1:39" hidden="1" x14ac:dyDescent="0.35">
      <c r="B50" t="s">
        <v>712</v>
      </c>
      <c r="C50" t="s">
        <v>713</v>
      </c>
      <c r="D50" t="s">
        <v>680</v>
      </c>
      <c r="E50" t="s">
        <v>340</v>
      </c>
      <c r="F50" t="s">
        <v>406</v>
      </c>
      <c r="G50" t="s">
        <v>575</v>
      </c>
      <c r="H50" t="s">
        <v>431</v>
      </c>
      <c r="I50" t="s">
        <v>26</v>
      </c>
      <c r="J50" t="s">
        <v>467</v>
      </c>
      <c r="K50" t="s">
        <v>494</v>
      </c>
      <c r="L50" t="str">
        <f t="shared" si="43"/>
        <v>Scarlett David</v>
      </c>
      <c r="M50" t="str">
        <f>VLOOKUP($B50,Customers!$B:$J,4,0)</f>
        <v>1220 Tycos Dr</v>
      </c>
      <c r="O50" t="str">
        <f>VLOOKUP($B50,Customers!$B:$J,6,0)</f>
        <v>Toronto</v>
      </c>
      <c r="P50" t="str">
        <f>VLOOKUP($B50,Customers!$B:$J,7,0)</f>
        <v>Ontario</v>
      </c>
      <c r="Q50" t="str">
        <f>VLOOKUP($B50,Customers!$B:$J,8,0)</f>
        <v>M5T 1T4</v>
      </c>
      <c r="R50" t="str">
        <f>VLOOKUP($B50,Customers!$B:$J,9,0)</f>
        <v>416-595-0997</v>
      </c>
      <c r="S50" t="str">
        <f>VLOOKUP($B50,Customers!$B:$T,16,0)</f>
        <v>Debit</v>
      </c>
      <c r="T50" t="str">
        <f>VLOOKUP($B50,Customers!$B:$T,18,0)</f>
        <v>Visa</v>
      </c>
      <c r="U50" t="str">
        <f>VLOOKUP($B50,Customers!$B:$T,19,0)</f>
        <v>9741</v>
      </c>
      <c r="V50">
        <f ca="1">COUNTIF(C:C,C50)-1</f>
        <v>2</v>
      </c>
      <c r="X50">
        <f t="shared" si="44"/>
        <v>99.800000000000011</v>
      </c>
      <c r="Y50">
        <f t="shared" si="45"/>
        <v>12.97</v>
      </c>
      <c r="AA50">
        <v>5002</v>
      </c>
      <c r="AB50" t="s">
        <v>92</v>
      </c>
      <c r="AC50">
        <v>20</v>
      </c>
      <c r="AD50">
        <v>4.99</v>
      </c>
      <c r="AE50">
        <f>AC50*AD50</f>
        <v>99.800000000000011</v>
      </c>
      <c r="AF50" s="54" t="str">
        <f>"{ '"&amp;AA$11&amp;"' : '"&amp;AA50&amp;"', '"&amp;AB$11&amp;"' : '"&amp;AB50&amp;"', '"&amp;AC$11&amp;"' : "&amp;AC50&amp;", '"&amp;AD$11&amp;"' : "&amp;AD50&amp;", '"&amp;AE$11&amp;"' : "&amp;AE50&amp;" }"</f>
        <v>{ 'productId' : '5002', 'productName' : 'Greek Yougurt with mixed Berries', 'quantity' : 20, 'price' : 4.99, 'subTotal' : 99.8 }</v>
      </c>
      <c r="AG50" s="48">
        <v>44868</v>
      </c>
      <c r="AH50" s="48" t="str">
        <f>AH49</f>
        <v>085248</v>
      </c>
      <c r="AI50" t="str">
        <f t="shared" ref="AI50:AJ50" si="46">AI49</f>
        <v>Delivered</v>
      </c>
      <c r="AJ50" s="48">
        <f t="shared" si="46"/>
        <v>44868</v>
      </c>
    </row>
    <row r="51" spans="1:39" hidden="1" x14ac:dyDescent="0.35">
      <c r="A51" t="s">
        <v>759</v>
      </c>
      <c r="B51" t="s">
        <v>712</v>
      </c>
      <c r="C51" t="s">
        <v>713</v>
      </c>
      <c r="D51" t="s">
        <v>680</v>
      </c>
      <c r="E51" t="s">
        <v>340</v>
      </c>
      <c r="F51" t="s">
        <v>406</v>
      </c>
      <c r="G51" t="s">
        <v>575</v>
      </c>
      <c r="H51" t="s">
        <v>431</v>
      </c>
      <c r="I51" t="s">
        <v>26</v>
      </c>
      <c r="J51" t="s">
        <v>467</v>
      </c>
      <c r="K51" t="s">
        <v>494</v>
      </c>
      <c r="L51" t="str">
        <f t="shared" si="43"/>
        <v>Scarlett David</v>
      </c>
      <c r="M51" t="str">
        <f>VLOOKUP($B51,Customers!$B:$J,4,0)</f>
        <v>1220 Tycos Dr</v>
      </c>
      <c r="O51" t="str">
        <f>VLOOKUP($B51,Customers!$B:$J,6,0)</f>
        <v>Toronto</v>
      </c>
      <c r="P51" t="str">
        <f>VLOOKUP($B51,Customers!$B:$J,7,0)</f>
        <v>Ontario</v>
      </c>
      <c r="Q51" t="str">
        <f>VLOOKUP($B51,Customers!$B:$J,8,0)</f>
        <v>M5T 1T4</v>
      </c>
      <c r="R51" t="str">
        <f>VLOOKUP($B51,Customers!$B:$J,9,0)</f>
        <v>416-595-0997</v>
      </c>
      <c r="S51" t="str">
        <f>VLOOKUP($B51,Customers!$B:$T,16,0)</f>
        <v>Debit</v>
      </c>
      <c r="T51" t="str">
        <f>VLOOKUP($B51,Customers!$B:$T,18,0)</f>
        <v>Visa</v>
      </c>
      <c r="U51" t="str">
        <f>VLOOKUP($B51,Customers!$B:$T,19,0)</f>
        <v>9741</v>
      </c>
      <c r="V51">
        <f ca="1">COUNTIF(C:C,C51)-1</f>
        <v>2</v>
      </c>
      <c r="W51">
        <f>SUM(X51:Z51)</f>
        <v>160.08000000000001</v>
      </c>
      <c r="X51">
        <f>SUM(X49:X50)</f>
        <v>137.25</v>
      </c>
      <c r="Y51">
        <f>SUM(Y49:Y50)</f>
        <v>17.84</v>
      </c>
      <c r="Z51">
        <v>4.99</v>
      </c>
      <c r="AF51" s="54"/>
      <c r="AG51" s="48">
        <f>AG50</f>
        <v>44868</v>
      </c>
      <c r="AH51" s="48"/>
      <c r="AI51" t="str">
        <f t="shared" ref="AI51:AJ51" si="47">AI50</f>
        <v>Delivered</v>
      </c>
      <c r="AJ51" s="48">
        <f t="shared" si="47"/>
        <v>44868</v>
      </c>
    </row>
    <row r="52" spans="1:39" s="58" customFormat="1" ht="43.5" hidden="1" x14ac:dyDescent="0.35">
      <c r="A52" s="60" t="s">
        <v>760</v>
      </c>
      <c r="B52" s="60" t="str">
        <f>IF(B51="","","'"&amp;B$11&amp;"' : '"&amp;B51&amp;"', ")</f>
        <v xml:space="preserve">'emailAddress' : 'davidscarlett@gmail.com', </v>
      </c>
      <c r="C52" s="60" t="str">
        <f>IF(C51="","","'"&amp;C$11&amp;"' : '"&amp;C51&amp;"', ")</f>
        <v xml:space="preserve">'orderId' : '20221103085248', </v>
      </c>
      <c r="D52" s="60" t="str">
        <f>IF(D51="","","'"&amp;D$11&amp;"' : '"&amp;D51&amp;"', ")</f>
        <v xml:space="preserve">'employeeUserName' : 'lzapanta', </v>
      </c>
      <c r="E52" s="60" t="str">
        <f>IF(E51="","","'"&amp;$F$10&amp;"' : { '"&amp;E$11&amp;"' : '"&amp;E51&amp;"' , ")</f>
        <v xml:space="preserve">'deliveryAddress' : { 'dName' : 'Scarlett David' , </v>
      </c>
      <c r="F52" s="60" t="str">
        <f>IF(F51="","","'"&amp;F$11&amp;"' : '"&amp;F51&amp;"' , ")</f>
        <v xml:space="preserve">'dStreet' : '1220 Tycos Dr' , </v>
      </c>
      <c r="G52" s="60" t="str">
        <f>IF(G51="","","'"&amp;G$11&amp;"' : '"&amp;G51&amp;"' , ")</f>
        <v xml:space="preserve">'dUnit' : '216' , </v>
      </c>
      <c r="H52" s="60" t="str">
        <f>IF(H51="","","'"&amp;H$11&amp;"' : '"&amp;H51&amp;"' , ")</f>
        <v xml:space="preserve">'dCity' : 'Toronto' , </v>
      </c>
      <c r="I52" s="60" t="str">
        <f>IF(I51="","","'"&amp;I$11&amp;"' : '"&amp;I51&amp;"' , ")</f>
        <v xml:space="preserve">'dProvince' : 'Ontario' , </v>
      </c>
      <c r="J52" s="60" t="str">
        <f>IF(J51="","","'"&amp;J$11&amp;"' : '"&amp;J51&amp;"' , ")</f>
        <v xml:space="preserve">'dZip' : 'M5T 1T4' , </v>
      </c>
      <c r="K52" s="60" t="str">
        <f>IF(K51="","","'"&amp;K$11&amp;"' : '"&amp;K51&amp;"' } , ")</f>
        <v xml:space="preserve">'dMobileNumber' : '416-595-0997' } , </v>
      </c>
      <c r="L52" s="60" t="str">
        <f>IF(L51="","","'"&amp;$L$10&amp;"' : { '"&amp;L$11&amp;"' : '"&amp;L51&amp;"' , ")</f>
        <v xml:space="preserve">'billingsAddress' : { 'bName' : 'Scarlett David' , </v>
      </c>
      <c r="M52" s="60" t="str">
        <f>IF(M51="","","'"&amp;M$11&amp;"' : '"&amp;M51&amp;"' , ")</f>
        <v xml:space="preserve">'bStreet' : '1220 Tycos Dr' , </v>
      </c>
      <c r="N52" s="60" t="str">
        <f>IF(N51="","","'"&amp;N$11&amp;"' : '"&amp;N51&amp;"' , ")</f>
        <v/>
      </c>
      <c r="O52" s="60" t="str">
        <f>IF(O51="","","'"&amp;O$11&amp;"' : '"&amp;O51&amp;"' , ")</f>
        <v xml:space="preserve">'bCity' : 'Toronto' , </v>
      </c>
      <c r="P52" s="60" t="str">
        <f>IF(P51="","","'"&amp;P$11&amp;"' : '"&amp;P51&amp;"' , ")</f>
        <v xml:space="preserve">'bProvince' : 'Ontario' , </v>
      </c>
      <c r="Q52" s="60" t="str">
        <f>IF(Q51="","","'"&amp;Q$11&amp;"' : '"&amp;Q51&amp;"' , ")</f>
        <v xml:space="preserve">'bZip' : 'M5T 1T4' , </v>
      </c>
      <c r="R52" s="60" t="str">
        <f>IF(R51="","","'"&amp;R$11&amp;"' : '"&amp;R51&amp;"' } , ")</f>
        <v xml:space="preserve">'bMobileNumber' : '416-595-0997' } , </v>
      </c>
      <c r="S52" s="60" t="str">
        <f>IF(S51="","","'"&amp;$S$10&amp;"' : { '"&amp;S$11&amp;"' : '"&amp;S51&amp;"' , ")</f>
        <v xml:space="preserve">'paymentMethod' : { 'paymentType' : 'Debit' , </v>
      </c>
      <c r="T52" s="60" t="str">
        <f>IF(T51="","","'"&amp;T$11&amp;"' : '"&amp;T51&amp;"' , ")</f>
        <v xml:space="preserve">'cardScheme' : 'Visa' , </v>
      </c>
      <c r="U52" s="60" t="str">
        <f>IF(U51="","","'"&amp;U$11&amp;"' : '"&amp;U51&amp;"' } , ")</f>
        <v xml:space="preserve">'cardLast4' : '9741' } , </v>
      </c>
      <c r="V52" s="60" t="str">
        <f ca="1">IF(V51="","","'"&amp;V$11&amp;"' : "&amp;V51&amp;", ")</f>
        <v xml:space="preserve">'totalQty' : 2, </v>
      </c>
      <c r="W52" s="60" t="str">
        <f>IF(W51="","","'"&amp;W$11&amp;"' : "&amp;W51&amp;", ")</f>
        <v xml:space="preserve">'orderTotal' : 160.08, </v>
      </c>
      <c r="X52" s="60" t="str">
        <f>IF(X51="","","'"&amp;X$11&amp;"' : "&amp;X51&amp;", ")</f>
        <v xml:space="preserve">'grossTotal' : 137.25, </v>
      </c>
      <c r="Y52" s="60" t="str">
        <f>IF(Y51="","","'"&amp;Y$11&amp;"' : "&amp;Y51&amp;", ")</f>
        <v xml:space="preserve">'tax' : 17.84, </v>
      </c>
      <c r="Z52" s="60" t="str">
        <f>IF(Z51="","","'"&amp;Z$11&amp;"' : "&amp;Z51&amp;", ")</f>
        <v xml:space="preserve">'deliveryFee' : 4.99, </v>
      </c>
      <c r="AA52" s="60"/>
      <c r="AB52" s="60"/>
      <c r="AC52" s="60"/>
      <c r="AD52" s="60"/>
      <c r="AE52" s="60"/>
      <c r="AF52" s="60" t="str">
        <f>$AA$10&amp;" : "&amp;_xlfn.CONCAT("[ ",AF49:AF50,"], ")</f>
        <v xml:space="preserve">orderDetails : [ { 'productId' : '4004', 'productName' : 'Everything Bagel', 'quantity' : 5, 'price' : 7.49, 'subTotal' : 37.45 },{ 'productId' : '5002', 'productName' : 'Greek Yougurt with mixed Berries', 'quantity' : 20, 'price' : 4.99, 'subTotal' : 99.8 }], </v>
      </c>
      <c r="AG52" s="60" t="str">
        <f>IF(AG51="","","'"&amp;AG$11&amp;"' : new Date('"&amp;TEXT(AG51,"yyyy-mm-dd")&amp;"'), ")</f>
        <v xml:space="preserve">'orderDate' : new Date('2022-11-03'), </v>
      </c>
      <c r="AH52" s="60"/>
      <c r="AI52" s="60" t="str">
        <f>IF(AI51="","","'"&amp;AI$11&amp;"' : '"&amp;AI51&amp;"', ")</f>
        <v xml:space="preserve">'orderStatus' : 'Delivered', </v>
      </c>
      <c r="AJ52" s="60" t="str">
        <f>IF(AJ51="","","'"&amp;AJ$11&amp;"' : new Date('"&amp;TEXT(AJ51,"yyyy-mm-dd")&amp;"') ")</f>
        <v xml:space="preserve">'statusDate' : new Date('2022-11-03') </v>
      </c>
      <c r="AK52" s="60"/>
      <c r="AL52" s="59"/>
      <c r="AM52" s="58" t="str">
        <f ca="1">_xlfn.CONCAT("{ ",B52:AJ52,"} ,")</f>
        <v>{ 'emailAddress' : 'davidscarlett@gmail.com', 'orderId' : '20221103085248', 'employeeUserName' : 'lzapanta', 'deliveryAddress' : { 'dName' : 'Scarlett David' , 'dStreet' : '1220 Tycos Dr' , 'dUnit' : '216' , 'dCity' : 'Toronto' , 'dProvince' : 'Ontario' , 'dZip' : 'M5T 1T4' , 'dMobileNumber' : '416-595-0997' } , 'billingsAddress' : { 'bName' : 'Scarlett David' , 'bStreet' : '1220 Tycos Dr' , 'bCity' : 'Toronto' , 'bProvince' : 'Ontario' , 'bZip' : 'M5T 1T4' , 'bMobileNumber' : '416-595-0997' } , 'paymentMethod' : { 'paymentType' : 'Debit' , 'cardScheme' : 'Visa' , 'cardLast4' : '9741' } , 'totalQty' : 2, 'orderTotal' : 160.08, 'grossTotal' : 137.25, 'tax' : 17.84, 'deliveryFee' : 4.99, orderDetails : [ { 'productId' : '4004', 'productName' : 'Everything Bagel', 'quantity' : 5, 'price' : 7.49, 'subTotal' : 37.45 },{ 'productId' : '5002', 'productName' : 'Greek Yougurt with mixed Berries', 'quantity' : 20, 'price' : 4.99, 'subTotal' : 99.8 }], 'orderDate' : new Date('2022-11-03'), 'orderStatus' : 'Delivered', 'statusDate' : new Date('2022-11-03') } ,</v>
      </c>
    </row>
    <row r="53" spans="1:39" x14ac:dyDescent="0.35">
      <c r="B53" t="s">
        <v>715</v>
      </c>
      <c r="C53" s="49" t="s">
        <v>716</v>
      </c>
      <c r="D53" t="s">
        <v>682</v>
      </c>
      <c r="E53" t="s">
        <v>338</v>
      </c>
      <c r="F53" t="s">
        <v>591</v>
      </c>
      <c r="G53" t="s">
        <v>610</v>
      </c>
      <c r="H53" t="s">
        <v>435</v>
      </c>
      <c r="I53" t="s">
        <v>453</v>
      </c>
      <c r="J53" t="s">
        <v>620</v>
      </c>
      <c r="K53" t="s">
        <v>632</v>
      </c>
      <c r="L53" t="str">
        <f t="shared" ref="L53:L55" si="48">E53</f>
        <v>Charlie McCoy</v>
      </c>
      <c r="M53" t="str">
        <f>VLOOKUP($B53,Customers!$B:$J,4,0)</f>
        <v>1266 rue Ontario Ouest</v>
      </c>
      <c r="N53" t="str">
        <f>VLOOKUP($B53,Customers!$B:$J,5,0)</f>
        <v>319</v>
      </c>
      <c r="O53" t="str">
        <f>VLOOKUP($B53,Customers!$B:$J,6,0)</f>
        <v>Montreal</v>
      </c>
      <c r="P53" t="str">
        <f>VLOOKUP($B53,Customers!$B:$J,7,0)</f>
        <v>Quebec</v>
      </c>
      <c r="Q53" t="str">
        <f>VLOOKUP($B53,Customers!$B:$J,8,0)</f>
        <v>H2X 1Y8</v>
      </c>
      <c r="R53" t="str">
        <f>VLOOKUP($B53,Customers!$B:$J,9,0)</f>
        <v>514-982-1624</v>
      </c>
      <c r="S53" t="str">
        <f>VLOOKUP($B53,Customers!$B:$T,16,0)</f>
        <v>Debit</v>
      </c>
      <c r="T53" t="str">
        <f>VLOOKUP($B53,Customers!$B:$T,18,0)</f>
        <v>Mastercard</v>
      </c>
      <c r="U53" t="str">
        <f>VLOOKUP($B53,Customers!$B:$T,19,0)</f>
        <v>1351</v>
      </c>
      <c r="V53">
        <f ca="1">COUNTIF(C:C,C53)-1</f>
        <v>2</v>
      </c>
      <c r="X53">
        <f t="shared" ref="X53:X54" si="49">AC53*AD53</f>
        <v>141.94999999999999</v>
      </c>
      <c r="Y53">
        <f t="shared" ref="Y53:Y54" si="50">ROUND(X53*13%,2)</f>
        <v>18.45</v>
      </c>
      <c r="AA53">
        <v>4010</v>
      </c>
      <c r="AB53" t="s">
        <v>74</v>
      </c>
      <c r="AC53">
        <v>17</v>
      </c>
      <c r="AD53">
        <v>8.35</v>
      </c>
      <c r="AE53">
        <f>AC53*AD53</f>
        <v>141.94999999999999</v>
      </c>
      <c r="AF53" s="54" t="str">
        <f>"{ '"&amp;AA$11&amp;"' : '"&amp;AA53&amp;"', '"&amp;AB$11&amp;"' : '"&amp;AB53&amp;"', '"&amp;AC$11&amp;"' : "&amp;AC53&amp;", '"&amp;AD$11&amp;"' : "&amp;AD53&amp;", '"&amp;AE$11&amp;"' : "&amp;AE53&amp;" },"</f>
        <v>{ 'productId' : '4010', 'productName' : 'Blueberry Muffin', 'quantity' : 17, 'price' : 8.35, 'subTotal' : 141.95 },</v>
      </c>
      <c r="AG53" s="48">
        <v>44869</v>
      </c>
      <c r="AH53" s="50" t="s">
        <v>707</v>
      </c>
      <c r="AI53" t="s">
        <v>755</v>
      </c>
      <c r="AJ53" s="48">
        <f>AG53</f>
        <v>44869</v>
      </c>
      <c r="AK53" t="s">
        <v>717</v>
      </c>
    </row>
    <row r="54" spans="1:39" x14ac:dyDescent="0.35">
      <c r="B54" t="s">
        <v>715</v>
      </c>
      <c r="C54" t="s">
        <v>716</v>
      </c>
      <c r="D54" t="s">
        <v>682</v>
      </c>
      <c r="E54" t="s">
        <v>338</v>
      </c>
      <c r="F54" t="s">
        <v>591</v>
      </c>
      <c r="G54" t="s">
        <v>610</v>
      </c>
      <c r="H54" t="s">
        <v>435</v>
      </c>
      <c r="I54" t="s">
        <v>453</v>
      </c>
      <c r="J54" t="s">
        <v>620</v>
      </c>
      <c r="K54" t="s">
        <v>632</v>
      </c>
      <c r="L54" t="str">
        <f t="shared" si="48"/>
        <v>Charlie McCoy</v>
      </c>
      <c r="M54" t="str">
        <f>VLOOKUP($B54,Customers!$B:$J,4,0)</f>
        <v>1266 rue Ontario Ouest</v>
      </c>
      <c r="N54" t="str">
        <f>VLOOKUP($B54,Customers!$B:$J,5,0)</f>
        <v>319</v>
      </c>
      <c r="O54" t="str">
        <f>VLOOKUP($B54,Customers!$B:$J,6,0)</f>
        <v>Montreal</v>
      </c>
      <c r="P54" t="str">
        <f>VLOOKUP($B54,Customers!$B:$J,7,0)</f>
        <v>Quebec</v>
      </c>
      <c r="Q54" t="str">
        <f>VLOOKUP($B54,Customers!$B:$J,8,0)</f>
        <v>H2X 1Y8</v>
      </c>
      <c r="R54" t="str">
        <f>VLOOKUP($B54,Customers!$B:$J,9,0)</f>
        <v>514-982-1624</v>
      </c>
      <c r="S54" t="str">
        <f>VLOOKUP($B54,Customers!$B:$T,16,0)</f>
        <v>Debit</v>
      </c>
      <c r="T54" t="str">
        <f>VLOOKUP($B54,Customers!$B:$T,18,0)</f>
        <v>Mastercard</v>
      </c>
      <c r="U54" t="str">
        <f>VLOOKUP($B54,Customers!$B:$T,19,0)</f>
        <v>1351</v>
      </c>
      <c r="V54">
        <f ca="1">COUNTIF(C:C,C54)-1</f>
        <v>2</v>
      </c>
      <c r="X54">
        <f t="shared" si="49"/>
        <v>60.72</v>
      </c>
      <c r="Y54">
        <f t="shared" si="50"/>
        <v>7.89</v>
      </c>
      <c r="AA54">
        <v>4009</v>
      </c>
      <c r="AB54" t="s">
        <v>73</v>
      </c>
      <c r="AC54">
        <v>8</v>
      </c>
      <c r="AD54">
        <v>7.59</v>
      </c>
      <c r="AE54">
        <f>AC54*AD54</f>
        <v>60.72</v>
      </c>
      <c r="AF54" s="54" t="str">
        <f>"{ '"&amp;AA$11&amp;"' : '"&amp;AA54&amp;"', '"&amp;AB$11&amp;"' : '"&amp;AB54&amp;"', '"&amp;AC$11&amp;"' : "&amp;AC54&amp;", '"&amp;AD$11&amp;"' : "&amp;AD54&amp;", '"&amp;AE$11&amp;"' : "&amp;AE54&amp;" }"</f>
        <v>{ 'productId' : '4009', 'productName' : 'Pecan Braid', 'quantity' : 8, 'price' : 7.59, 'subTotal' : 60.72 }</v>
      </c>
      <c r="AG54" s="48">
        <v>44869</v>
      </c>
      <c r="AH54" s="48" t="str">
        <f>AH53</f>
        <v>113112</v>
      </c>
      <c r="AI54" t="str">
        <f t="shared" ref="AI54:AJ54" si="51">AI53</f>
        <v>Delivered</v>
      </c>
      <c r="AJ54" s="48">
        <f t="shared" si="51"/>
        <v>44869</v>
      </c>
    </row>
    <row r="55" spans="1:39" x14ac:dyDescent="0.35">
      <c r="A55" t="s">
        <v>759</v>
      </c>
      <c r="B55" t="s">
        <v>715</v>
      </c>
      <c r="C55" t="s">
        <v>716</v>
      </c>
      <c r="D55" t="s">
        <v>682</v>
      </c>
      <c r="E55" t="s">
        <v>338</v>
      </c>
      <c r="F55" t="s">
        <v>591</v>
      </c>
      <c r="G55" t="s">
        <v>610</v>
      </c>
      <c r="H55" t="s">
        <v>435</v>
      </c>
      <c r="I55" t="s">
        <v>453</v>
      </c>
      <c r="J55" t="s">
        <v>620</v>
      </c>
      <c r="K55" t="s">
        <v>632</v>
      </c>
      <c r="L55" t="str">
        <f t="shared" si="48"/>
        <v>Charlie McCoy</v>
      </c>
      <c r="M55" t="str">
        <f>VLOOKUP($B55,Customers!$B:$J,4,0)</f>
        <v>1266 rue Ontario Ouest</v>
      </c>
      <c r="N55" t="str">
        <f>VLOOKUP($B55,Customers!$B:$J,5,0)</f>
        <v>319</v>
      </c>
      <c r="O55" t="str">
        <f>VLOOKUP($B55,Customers!$B:$J,6,0)</f>
        <v>Montreal</v>
      </c>
      <c r="P55" t="str">
        <f>VLOOKUP($B55,Customers!$B:$J,7,0)</f>
        <v>Quebec</v>
      </c>
      <c r="Q55" t="str">
        <f>VLOOKUP($B55,Customers!$B:$J,8,0)</f>
        <v>H2X 1Y8</v>
      </c>
      <c r="R55" t="str">
        <f>VLOOKUP($B55,Customers!$B:$J,9,0)</f>
        <v>514-982-1624</v>
      </c>
      <c r="S55" t="str">
        <f>VLOOKUP($B55,Customers!$B:$T,16,0)</f>
        <v>Debit</v>
      </c>
      <c r="T55" t="str">
        <f>VLOOKUP($B55,Customers!$B:$T,18,0)</f>
        <v>Mastercard</v>
      </c>
      <c r="U55" t="str">
        <f>VLOOKUP($B55,Customers!$B:$T,19,0)</f>
        <v>1351</v>
      </c>
      <c r="V55">
        <f ca="1">COUNTIF(C:C,C55)-1</f>
        <v>2</v>
      </c>
      <c r="W55">
        <f>SUM(X55:Z55)</f>
        <v>234</v>
      </c>
      <c r="X55">
        <f>SUM(X53:X54)</f>
        <v>202.67</v>
      </c>
      <c r="Y55">
        <f>SUM(Y53:Y54)</f>
        <v>26.34</v>
      </c>
      <c r="Z55">
        <v>4.99</v>
      </c>
      <c r="AF55" s="54"/>
      <c r="AG55" s="48">
        <f>AG54</f>
        <v>44869</v>
      </c>
      <c r="AH55" s="48"/>
      <c r="AI55" t="str">
        <f t="shared" ref="AI55:AJ55" si="52">AI54</f>
        <v>Delivered</v>
      </c>
      <c r="AJ55" s="48">
        <f t="shared" si="52"/>
        <v>44869</v>
      </c>
    </row>
    <row r="56" spans="1:39" s="58" customFormat="1" ht="43.5" hidden="1" x14ac:dyDescent="0.35">
      <c r="A56" s="60" t="s">
        <v>760</v>
      </c>
      <c r="B56" s="60" t="str">
        <f>IF(B55="","","'"&amp;B$11&amp;"' : '"&amp;B55&amp;"', ")</f>
        <v xml:space="preserve">'emailAddress' : 'mccoycharlie@gmail.com', </v>
      </c>
      <c r="C56" s="60" t="str">
        <f>IF(C55="","","'"&amp;C$11&amp;"' : '"&amp;C55&amp;"', ")</f>
        <v xml:space="preserve">'orderId' : '20221104113112', </v>
      </c>
      <c r="D56" s="60" t="str">
        <f>IF(D55="","","'"&amp;D$11&amp;"' : '"&amp;D55&amp;"', ")</f>
        <v xml:space="preserve">'employeeUserName' : 'mjones', </v>
      </c>
      <c r="E56" s="60" t="str">
        <f>IF(E55="","","'"&amp;$F$10&amp;"' : { '"&amp;E$11&amp;"' : '"&amp;E55&amp;"' , ")</f>
        <v xml:space="preserve">'deliveryAddress' : { 'dName' : 'Charlie McCoy' , </v>
      </c>
      <c r="F56" s="60" t="str">
        <f>IF(F55="","","'"&amp;F$11&amp;"' : '"&amp;F55&amp;"' , ")</f>
        <v xml:space="preserve">'dStreet' : '1165 Duke Street' , </v>
      </c>
      <c r="G56" s="60" t="str">
        <f>IF(G55="","","'"&amp;G$11&amp;"' : '"&amp;G55&amp;"' , ")</f>
        <v xml:space="preserve">'dUnit' : '110' , </v>
      </c>
      <c r="H56" s="60" t="str">
        <f>IF(H55="","","'"&amp;H$11&amp;"' : '"&amp;H55&amp;"' , ")</f>
        <v xml:space="preserve">'dCity' : 'Montreal' , </v>
      </c>
      <c r="I56" s="60" t="str">
        <f>IF(I55="","","'"&amp;I$11&amp;"' : '"&amp;I55&amp;"' , ")</f>
        <v xml:space="preserve">'dProvince' : 'Quebec' , </v>
      </c>
      <c r="J56" s="60" t="str">
        <f>IF(J55="","","'"&amp;J$11&amp;"' : '"&amp;J55&amp;"' , ")</f>
        <v xml:space="preserve">'dZip' : 'H3C 5K4' , </v>
      </c>
      <c r="K56" s="60" t="str">
        <f>IF(K55="","","'"&amp;K$11&amp;"' : '"&amp;K55&amp;"' } , ")</f>
        <v xml:space="preserve">'dMobileNumber' : '514-229-9713' } , </v>
      </c>
      <c r="L56" s="60" t="str">
        <f>IF(L55="","","'"&amp;$L$10&amp;"' : { '"&amp;L$11&amp;"' : '"&amp;L55&amp;"' , ")</f>
        <v xml:space="preserve">'billingsAddress' : { 'bName' : 'Charlie McCoy' , </v>
      </c>
      <c r="M56" s="60" t="str">
        <f>IF(M55="","","'"&amp;M$11&amp;"' : '"&amp;M55&amp;"' , ")</f>
        <v xml:space="preserve">'bStreet' : '1266 rue Ontario Ouest' , </v>
      </c>
      <c r="N56" s="60" t="str">
        <f>IF(N55="","","'"&amp;N$11&amp;"' : '"&amp;N55&amp;"' , ")</f>
        <v xml:space="preserve">'bUnit' : '319' , </v>
      </c>
      <c r="O56" s="60" t="str">
        <f>IF(O55="","","'"&amp;O$11&amp;"' : '"&amp;O55&amp;"' , ")</f>
        <v xml:space="preserve">'bCity' : 'Montreal' , </v>
      </c>
      <c r="P56" s="60" t="str">
        <f>IF(P55="","","'"&amp;P$11&amp;"' : '"&amp;P55&amp;"' , ")</f>
        <v xml:space="preserve">'bProvince' : 'Quebec' , </v>
      </c>
      <c r="Q56" s="60" t="str">
        <f>IF(Q55="","","'"&amp;Q$11&amp;"' : '"&amp;Q55&amp;"' , ")</f>
        <v xml:space="preserve">'bZip' : 'H2X 1Y8' , </v>
      </c>
      <c r="R56" s="60" t="str">
        <f>IF(R55="","","'"&amp;R$11&amp;"' : '"&amp;R55&amp;"' } , ")</f>
        <v xml:space="preserve">'bMobileNumber' : '514-982-1624' } , </v>
      </c>
      <c r="S56" s="60" t="str">
        <f>IF(S55="","","'"&amp;$S$10&amp;"' : { '"&amp;S$11&amp;"' : '"&amp;S55&amp;"' , ")</f>
        <v xml:space="preserve">'paymentMethod' : { 'paymentType' : 'Debit' , </v>
      </c>
      <c r="T56" s="60" t="str">
        <f>IF(T55="","","'"&amp;T$11&amp;"' : '"&amp;T55&amp;"' , ")</f>
        <v xml:space="preserve">'cardScheme' : 'Mastercard' , </v>
      </c>
      <c r="U56" s="60" t="str">
        <f>IF(U55="","","'"&amp;U$11&amp;"' : '"&amp;U55&amp;"' } , ")</f>
        <v xml:space="preserve">'cardLast4' : '1351' } , </v>
      </c>
      <c r="V56" s="60" t="str">
        <f ca="1">IF(V55="","","'"&amp;V$11&amp;"' : "&amp;V55&amp;", ")</f>
        <v xml:space="preserve">'totalQty' : 2, </v>
      </c>
      <c r="W56" s="60" t="str">
        <f>IF(W55="","","'"&amp;W$11&amp;"' : "&amp;W55&amp;", ")</f>
        <v xml:space="preserve">'orderTotal' : 234, </v>
      </c>
      <c r="X56" s="60" t="str">
        <f>IF(X55="","","'"&amp;X$11&amp;"' : "&amp;X55&amp;", ")</f>
        <v xml:space="preserve">'grossTotal' : 202.67, </v>
      </c>
      <c r="Y56" s="60" t="str">
        <f>IF(Y55="","","'"&amp;Y$11&amp;"' : "&amp;Y55&amp;", ")</f>
        <v xml:space="preserve">'tax' : 26.34, </v>
      </c>
      <c r="Z56" s="60" t="str">
        <f>IF(Z55="","","'"&amp;Z$11&amp;"' : "&amp;Z55&amp;", ")</f>
        <v xml:space="preserve">'deliveryFee' : 4.99, </v>
      </c>
      <c r="AA56" s="60"/>
      <c r="AB56" s="60"/>
      <c r="AC56" s="60"/>
      <c r="AD56" s="60"/>
      <c r="AE56" s="60"/>
      <c r="AF56" s="60" t="str">
        <f>$AA$10&amp;" : "&amp;_xlfn.CONCAT("[ ",AF53:AF54,"], ")</f>
        <v xml:space="preserve">orderDetails : [ { 'productId' : '4010', 'productName' : 'Blueberry Muffin', 'quantity' : 17, 'price' : 8.35, 'subTotal' : 141.95 },{ 'productId' : '4009', 'productName' : 'Pecan Braid', 'quantity' : 8, 'price' : 7.59, 'subTotal' : 60.72 }], </v>
      </c>
      <c r="AG56" s="60" t="str">
        <f>IF(AG55="","","'"&amp;AG$11&amp;"' : new Date('"&amp;TEXT(AG55,"yyyy-mm-dd")&amp;"'), ")</f>
        <v xml:space="preserve">'orderDate' : new Date('2022-11-04'), </v>
      </c>
      <c r="AH56" s="60"/>
      <c r="AI56" s="60" t="str">
        <f>IF(AI55="","","'"&amp;AI$11&amp;"' : '"&amp;AI55&amp;"', ")</f>
        <v xml:space="preserve">'orderStatus' : 'Delivered', </v>
      </c>
      <c r="AJ56" s="60" t="str">
        <f>IF(AJ55="","","'"&amp;AJ$11&amp;"' : new Date('"&amp;TEXT(AJ55,"yyyy-mm-dd")&amp;"') ")</f>
        <v xml:space="preserve">'statusDate' : new Date('2022-11-04') </v>
      </c>
      <c r="AK56" s="60"/>
      <c r="AL56" s="59"/>
      <c r="AM56" s="58" t="str">
        <f ca="1">_xlfn.CONCAT("{ ",B56:AJ56,"} ,")</f>
        <v>{ 'emailAddress' : 'mccoycharlie@gmail.com', 'orderId' : '20221104113112', 'employeeUserName' : 'mjones', 'deliveryAddress' : { 'dName' : 'Charlie McCoy' , 'dStreet' : '1165 Duke Street' , 'dUnit' : '110' , 'dCity' : 'Montreal' , 'dProvince' : 'Quebec' , 'dZip' : 'H3C 5K4' , 'dMobileNumber' : '514-229-9713' } , 'billingsAddress' : { 'bName' : 'Charlie McCoy' , 'bStreet' : '1266 rue Ontario Ouest' , 'bUnit' : '319' , 'bCity' : 'Montreal' , 'bProvince' : 'Quebec' , 'bZip' : 'H2X 1Y8' , 'bMobileNumber' : '514-982-1624' } , 'paymentMethod' : { 'paymentType' : 'Debit' , 'cardScheme' : 'Mastercard' , 'cardLast4' : '1351' } , 'totalQty' : 2, 'orderTotal' : 234, 'grossTotal' : 202.67, 'tax' : 26.34, 'deliveryFee' : 4.99, orderDetails : [ { 'productId' : '4010', 'productName' : 'Blueberry Muffin', 'quantity' : 17, 'price' : 8.35, 'subTotal' : 141.95 },{ 'productId' : '4009', 'productName' : 'Pecan Braid', 'quantity' : 8, 'price' : 7.59, 'subTotal' : 60.72 }], 'orderDate' : new Date('2022-11-04'), 'orderStatus' : 'Delivered', 'statusDate' : new Date('2022-11-04') } ,</v>
      </c>
    </row>
    <row r="57" spans="1:39" x14ac:dyDescent="0.35">
      <c r="B57" t="s">
        <v>718</v>
      </c>
      <c r="C57" s="49" t="s">
        <v>719</v>
      </c>
      <c r="D57" t="s">
        <v>680</v>
      </c>
      <c r="E57" t="s">
        <v>330</v>
      </c>
      <c r="F57" t="s">
        <v>592</v>
      </c>
      <c r="G57" t="s">
        <v>611</v>
      </c>
      <c r="H57" t="s">
        <v>599</v>
      </c>
      <c r="I57" t="s">
        <v>455</v>
      </c>
      <c r="J57" t="s">
        <v>621</v>
      </c>
      <c r="K57" t="s">
        <v>633</v>
      </c>
      <c r="L57" t="str">
        <f t="shared" ref="L57:L61" si="53">E57</f>
        <v>Adelaide Hennessy</v>
      </c>
      <c r="M57" t="str">
        <f>VLOOKUP($B57,Customers!$B:$J,4,0)</f>
        <v>2172 Stoney Creek</v>
      </c>
      <c r="N57" t="str">
        <f>VLOOKUP($B57,Customers!$B:$J,5,0)</f>
        <v>310</v>
      </c>
      <c r="O57" t="str">
        <f>VLOOKUP($B57,Customers!$B:$J,6,0)</f>
        <v>Green Lake</v>
      </c>
      <c r="P57" t="str">
        <f>VLOOKUP($B57,Customers!$B:$J,7,0)</f>
        <v>Saskatchewan</v>
      </c>
      <c r="Q57" t="str">
        <f>VLOOKUP($B57,Customers!$B:$J,8,0)</f>
        <v>S4P 3Y2</v>
      </c>
      <c r="R57" t="str">
        <f>VLOOKUP($B57,Customers!$B:$J,9,0)</f>
        <v>306-832-9394</v>
      </c>
      <c r="S57" t="str">
        <f>VLOOKUP($B57,Customers!$B:$T,16,0)</f>
        <v>Credit</v>
      </c>
      <c r="T57" t="str">
        <f>VLOOKUP($B57,Customers!$B:$T,18,0)</f>
        <v>Mastercard</v>
      </c>
      <c r="U57" t="str">
        <f>VLOOKUP($B57,Customers!$B:$T,19,0)</f>
        <v>8225</v>
      </c>
      <c r="V57">
        <f ca="1">COUNTIF(C:C,C57)-1</f>
        <v>4</v>
      </c>
      <c r="X57">
        <f t="shared" ref="X57:X60" si="54">AC57*AD57</f>
        <v>47.53</v>
      </c>
      <c r="Y57">
        <f t="shared" ref="Y57:Y60" si="55">ROUND(X57*13%,2)</f>
        <v>6.18</v>
      </c>
      <c r="AA57">
        <v>4012</v>
      </c>
      <c r="AB57" t="s">
        <v>76</v>
      </c>
      <c r="AC57">
        <v>7</v>
      </c>
      <c r="AD57">
        <v>6.79</v>
      </c>
      <c r="AE57">
        <f>AC57*AD57</f>
        <v>47.53</v>
      </c>
      <c r="AF57" s="54" t="str">
        <f>"{ '"&amp;AA$11&amp;"' : '"&amp;AA57&amp;"', '"&amp;AB$11&amp;"' : '"&amp;AB57&amp;"', '"&amp;AC$11&amp;"' : "&amp;AC57&amp;", '"&amp;AD$11&amp;"' : "&amp;AD57&amp;", '"&amp;AE$11&amp;"' : "&amp;AE57&amp;" },"</f>
        <v>{ 'productId' : '4012', 'productName' : 'Empanada', 'quantity' : 7, 'price' : 6.79, 'subTotal' : 47.53 },</v>
      </c>
      <c r="AG57" s="48">
        <v>44869</v>
      </c>
      <c r="AH57" s="50" t="s">
        <v>720</v>
      </c>
      <c r="AI57" t="s">
        <v>755</v>
      </c>
      <c r="AJ57" s="48">
        <f>AG57</f>
        <v>44869</v>
      </c>
      <c r="AK57" t="s">
        <v>721</v>
      </c>
    </row>
    <row r="58" spans="1:39" x14ac:dyDescent="0.35">
      <c r="B58" t="s">
        <v>718</v>
      </c>
      <c r="C58" t="s">
        <v>719</v>
      </c>
      <c r="D58" t="s">
        <v>680</v>
      </c>
      <c r="E58" t="s">
        <v>330</v>
      </c>
      <c r="F58" t="s">
        <v>592</v>
      </c>
      <c r="G58" t="s">
        <v>611</v>
      </c>
      <c r="H58" t="s">
        <v>599</v>
      </c>
      <c r="I58" t="s">
        <v>455</v>
      </c>
      <c r="J58" t="s">
        <v>621</v>
      </c>
      <c r="K58" t="s">
        <v>633</v>
      </c>
      <c r="L58" t="str">
        <f t="shared" si="53"/>
        <v>Adelaide Hennessy</v>
      </c>
      <c r="M58" t="str">
        <f>VLOOKUP($B58,Customers!$B:$J,4,0)</f>
        <v>2172 Stoney Creek</v>
      </c>
      <c r="N58" t="str">
        <f>VLOOKUP($B58,Customers!$B:$J,5,0)</f>
        <v>310</v>
      </c>
      <c r="O58" t="str">
        <f>VLOOKUP($B58,Customers!$B:$J,6,0)</f>
        <v>Green Lake</v>
      </c>
      <c r="P58" t="str">
        <f>VLOOKUP($B58,Customers!$B:$J,7,0)</f>
        <v>Saskatchewan</v>
      </c>
      <c r="Q58" t="str">
        <f>VLOOKUP($B58,Customers!$B:$J,8,0)</f>
        <v>S4P 3Y2</v>
      </c>
      <c r="R58" t="str">
        <f>VLOOKUP($B58,Customers!$B:$J,9,0)</f>
        <v>306-832-9394</v>
      </c>
      <c r="S58" t="str">
        <f>VLOOKUP($B58,Customers!$B:$T,16,0)</f>
        <v>Credit</v>
      </c>
      <c r="T58" t="str">
        <f>VLOOKUP($B58,Customers!$B:$T,18,0)</f>
        <v>Mastercard</v>
      </c>
      <c r="U58" t="str">
        <f>VLOOKUP($B58,Customers!$B:$T,19,0)</f>
        <v>8225</v>
      </c>
      <c r="V58">
        <f ca="1">COUNTIF(C:C,C58)-1</f>
        <v>4</v>
      </c>
      <c r="X58">
        <f t="shared" si="54"/>
        <v>179.76</v>
      </c>
      <c r="Y58">
        <f t="shared" si="55"/>
        <v>23.37</v>
      </c>
      <c r="AA58">
        <v>4004</v>
      </c>
      <c r="AB58" t="s">
        <v>68</v>
      </c>
      <c r="AC58">
        <v>24</v>
      </c>
      <c r="AD58">
        <v>7.49</v>
      </c>
      <c r="AE58">
        <f>AC58*AD58</f>
        <v>179.76</v>
      </c>
      <c r="AF58" s="54" t="str">
        <f>"{ '"&amp;AA$11&amp;"' : '"&amp;AA58&amp;"', '"&amp;AB$11&amp;"' : '"&amp;AB58&amp;"', '"&amp;AC$11&amp;"' : "&amp;AC58&amp;", '"&amp;AD$11&amp;"' : "&amp;AD58&amp;", '"&amp;AE$11&amp;"' : "&amp;AE58&amp;" },"</f>
        <v>{ 'productId' : '4004', 'productName' : 'Everything Bagel', 'quantity' : 24, 'price' : 7.49, 'subTotal' : 179.76 },</v>
      </c>
      <c r="AG58" s="48">
        <v>44869</v>
      </c>
      <c r="AH58" s="48" t="str">
        <f t="shared" ref="AH58:AH60" si="56">AH57</f>
        <v>120000</v>
      </c>
      <c r="AI58" t="str">
        <f t="shared" ref="AI58:AJ60" si="57">AI57</f>
        <v>Delivered</v>
      </c>
      <c r="AJ58" s="48">
        <f t="shared" si="57"/>
        <v>44869</v>
      </c>
    </row>
    <row r="59" spans="1:39" x14ac:dyDescent="0.35">
      <c r="B59" t="s">
        <v>718</v>
      </c>
      <c r="C59" t="s">
        <v>719</v>
      </c>
      <c r="D59" t="s">
        <v>680</v>
      </c>
      <c r="E59" t="s">
        <v>330</v>
      </c>
      <c r="F59" t="s">
        <v>592</v>
      </c>
      <c r="G59" t="s">
        <v>611</v>
      </c>
      <c r="H59" t="s">
        <v>599</v>
      </c>
      <c r="I59" t="s">
        <v>455</v>
      </c>
      <c r="J59" t="s">
        <v>621</v>
      </c>
      <c r="K59" t="s">
        <v>633</v>
      </c>
      <c r="L59" t="str">
        <f t="shared" si="53"/>
        <v>Adelaide Hennessy</v>
      </c>
      <c r="M59" t="str">
        <f>VLOOKUP($B59,Customers!$B:$J,4,0)</f>
        <v>2172 Stoney Creek</v>
      </c>
      <c r="N59" t="str">
        <f>VLOOKUP($B59,Customers!$B:$J,5,0)</f>
        <v>310</v>
      </c>
      <c r="O59" t="str">
        <f>VLOOKUP($B59,Customers!$B:$J,6,0)</f>
        <v>Green Lake</v>
      </c>
      <c r="P59" t="str">
        <f>VLOOKUP($B59,Customers!$B:$J,7,0)</f>
        <v>Saskatchewan</v>
      </c>
      <c r="Q59" t="str">
        <f>VLOOKUP($B59,Customers!$B:$J,8,0)</f>
        <v>S4P 3Y2</v>
      </c>
      <c r="R59" t="str">
        <f>VLOOKUP($B59,Customers!$B:$J,9,0)</f>
        <v>306-832-9394</v>
      </c>
      <c r="S59" t="str">
        <f>VLOOKUP($B59,Customers!$B:$T,16,0)</f>
        <v>Credit</v>
      </c>
      <c r="T59" t="str">
        <f>VLOOKUP($B59,Customers!$B:$T,18,0)</f>
        <v>Mastercard</v>
      </c>
      <c r="U59" t="str">
        <f>VLOOKUP($B59,Customers!$B:$T,19,0)</f>
        <v>8225</v>
      </c>
      <c r="V59">
        <f ca="1">COUNTIF(C:C,C59)-1</f>
        <v>4</v>
      </c>
      <c r="X59">
        <f t="shared" si="54"/>
        <v>7.98</v>
      </c>
      <c r="Y59">
        <f t="shared" si="55"/>
        <v>1.04</v>
      </c>
      <c r="AA59">
        <v>5003</v>
      </c>
      <c r="AB59" t="s">
        <v>94</v>
      </c>
      <c r="AC59">
        <v>2</v>
      </c>
      <c r="AD59">
        <v>3.99</v>
      </c>
      <c r="AE59">
        <f>AC59*AD59</f>
        <v>7.98</v>
      </c>
      <c r="AF59" s="54" t="str">
        <f>"{ '"&amp;AA$11&amp;"' : '"&amp;AA59&amp;"', '"&amp;AB$11&amp;"' : '"&amp;AB59&amp;"', '"&amp;AC$11&amp;"' : "&amp;AC59&amp;", '"&amp;AD$11&amp;"' : "&amp;AD59&amp;", '"&amp;AE$11&amp;"' : "&amp;AE59&amp;" },"</f>
        <v>{ 'productId' : '5003', 'productName' : 'Continental Drinks', 'quantity' : 2, 'price' : 3.99, 'subTotal' : 7.98 },</v>
      </c>
      <c r="AG59" s="48">
        <v>44869</v>
      </c>
      <c r="AH59" s="48" t="str">
        <f t="shared" si="56"/>
        <v>120000</v>
      </c>
      <c r="AI59" t="str">
        <f t="shared" si="57"/>
        <v>Delivered</v>
      </c>
      <c r="AJ59" s="48">
        <f t="shared" si="57"/>
        <v>44869</v>
      </c>
    </row>
    <row r="60" spans="1:39" x14ac:dyDescent="0.35">
      <c r="B60" t="s">
        <v>718</v>
      </c>
      <c r="C60" t="s">
        <v>719</v>
      </c>
      <c r="D60" t="s">
        <v>680</v>
      </c>
      <c r="E60" t="s">
        <v>330</v>
      </c>
      <c r="F60" t="s">
        <v>592</v>
      </c>
      <c r="G60" t="s">
        <v>611</v>
      </c>
      <c r="H60" t="s">
        <v>599</v>
      </c>
      <c r="I60" t="s">
        <v>455</v>
      </c>
      <c r="J60" t="s">
        <v>621</v>
      </c>
      <c r="K60" t="s">
        <v>633</v>
      </c>
      <c r="L60" t="str">
        <f t="shared" si="53"/>
        <v>Adelaide Hennessy</v>
      </c>
      <c r="M60" t="str">
        <f>VLOOKUP($B60,Customers!$B:$J,4,0)</f>
        <v>2172 Stoney Creek</v>
      </c>
      <c r="N60" t="str">
        <f>VLOOKUP($B60,Customers!$B:$J,5,0)</f>
        <v>310</v>
      </c>
      <c r="O60" t="str">
        <f>VLOOKUP($B60,Customers!$B:$J,6,0)</f>
        <v>Green Lake</v>
      </c>
      <c r="P60" t="str">
        <f>VLOOKUP($B60,Customers!$B:$J,7,0)</f>
        <v>Saskatchewan</v>
      </c>
      <c r="Q60" t="str">
        <f>VLOOKUP($B60,Customers!$B:$J,8,0)</f>
        <v>S4P 3Y2</v>
      </c>
      <c r="R60" t="str">
        <f>VLOOKUP($B60,Customers!$B:$J,9,0)</f>
        <v>306-832-9394</v>
      </c>
      <c r="S60" t="str">
        <f>VLOOKUP($B60,Customers!$B:$T,16,0)</f>
        <v>Credit</v>
      </c>
      <c r="T60" t="str">
        <f>VLOOKUP($B60,Customers!$B:$T,18,0)</f>
        <v>Mastercard</v>
      </c>
      <c r="U60" t="str">
        <f>VLOOKUP($B60,Customers!$B:$T,19,0)</f>
        <v>8225</v>
      </c>
      <c r="V60">
        <f ca="1">COUNTIF(C:C,C60)-1</f>
        <v>4</v>
      </c>
      <c r="X60">
        <f t="shared" si="54"/>
        <v>114.75</v>
      </c>
      <c r="Y60">
        <f t="shared" si="55"/>
        <v>14.92</v>
      </c>
      <c r="AA60">
        <v>4006</v>
      </c>
      <c r="AB60" t="s">
        <v>70</v>
      </c>
      <c r="AC60">
        <v>15</v>
      </c>
      <c r="AD60">
        <v>7.65</v>
      </c>
      <c r="AE60">
        <f>AC60*AD60</f>
        <v>114.75</v>
      </c>
      <c r="AF60" s="54" t="str">
        <f>"{ '"&amp;AA$11&amp;"' : '"&amp;AA60&amp;"', '"&amp;AB$11&amp;"' : '"&amp;AB60&amp;"', '"&amp;AC$11&amp;"' : "&amp;AC60&amp;", '"&amp;AD$11&amp;"' : "&amp;AD60&amp;", '"&amp;AE$11&amp;"' : "&amp;AE60&amp;" }"</f>
        <v>{ 'productId' : '4006', 'productName' : 'Chocolate Croissant', 'quantity' : 15, 'price' : 7.65, 'subTotal' : 114.75 }</v>
      </c>
      <c r="AG60" s="48">
        <v>44869</v>
      </c>
      <c r="AH60" s="48" t="str">
        <f t="shared" si="56"/>
        <v>120000</v>
      </c>
      <c r="AI60" t="str">
        <f t="shared" si="57"/>
        <v>Delivered</v>
      </c>
      <c r="AJ60" s="48">
        <f t="shared" si="57"/>
        <v>44869</v>
      </c>
    </row>
    <row r="61" spans="1:39" x14ac:dyDescent="0.35">
      <c r="A61" t="s">
        <v>759</v>
      </c>
      <c r="B61" t="s">
        <v>718</v>
      </c>
      <c r="C61" t="s">
        <v>719</v>
      </c>
      <c r="D61" t="s">
        <v>680</v>
      </c>
      <c r="E61" t="s">
        <v>330</v>
      </c>
      <c r="F61" t="s">
        <v>592</v>
      </c>
      <c r="G61" t="s">
        <v>611</v>
      </c>
      <c r="H61" t="s">
        <v>599</v>
      </c>
      <c r="I61" t="s">
        <v>455</v>
      </c>
      <c r="J61" t="s">
        <v>621</v>
      </c>
      <c r="K61" t="s">
        <v>633</v>
      </c>
      <c r="L61" t="str">
        <f t="shared" si="53"/>
        <v>Adelaide Hennessy</v>
      </c>
      <c r="M61" t="str">
        <f>VLOOKUP($B61,Customers!$B:$J,4,0)</f>
        <v>2172 Stoney Creek</v>
      </c>
      <c r="N61" t="str">
        <f>VLOOKUP($B61,Customers!$B:$J,5,0)</f>
        <v>310</v>
      </c>
      <c r="O61" t="str">
        <f>VLOOKUP($B61,Customers!$B:$J,6,0)</f>
        <v>Green Lake</v>
      </c>
      <c r="P61" t="str">
        <f>VLOOKUP($B61,Customers!$B:$J,7,0)</f>
        <v>Saskatchewan</v>
      </c>
      <c r="Q61" t="str">
        <f>VLOOKUP($B61,Customers!$B:$J,8,0)</f>
        <v>S4P 3Y2</v>
      </c>
      <c r="R61" t="str">
        <f>VLOOKUP($B61,Customers!$B:$J,9,0)</f>
        <v>306-832-9394</v>
      </c>
      <c r="S61" t="str">
        <f>VLOOKUP($B61,Customers!$B:$T,16,0)</f>
        <v>Credit</v>
      </c>
      <c r="T61" t="str">
        <f>VLOOKUP($B61,Customers!$B:$T,18,0)</f>
        <v>Mastercard</v>
      </c>
      <c r="U61" t="str">
        <f>VLOOKUP($B61,Customers!$B:$T,19,0)</f>
        <v>8225</v>
      </c>
      <c r="V61">
        <f ca="1">COUNTIF(C:C,C61)-1</f>
        <v>4</v>
      </c>
      <c r="W61">
        <f>SUM(X61:Z61)</f>
        <v>400.52</v>
      </c>
      <c r="X61">
        <f>SUM(X57:X60)</f>
        <v>350.02</v>
      </c>
      <c r="Y61">
        <f>SUM(Y57:Y60)</f>
        <v>45.51</v>
      </c>
      <c r="Z61">
        <v>4.99</v>
      </c>
      <c r="AF61" s="54"/>
      <c r="AG61" s="48">
        <f>AG60</f>
        <v>44869</v>
      </c>
      <c r="AH61" s="48"/>
      <c r="AI61" t="str">
        <f t="shared" ref="AI61:AJ61" si="58">AI60</f>
        <v>Delivered</v>
      </c>
      <c r="AJ61" s="48">
        <f t="shared" si="58"/>
        <v>44869</v>
      </c>
    </row>
    <row r="62" spans="1:39" s="58" customFormat="1" ht="58" hidden="1" x14ac:dyDescent="0.35">
      <c r="A62" s="60" t="s">
        <v>760</v>
      </c>
      <c r="B62" s="60" t="str">
        <f>IF(B61="","","'"&amp;B$11&amp;"' : '"&amp;B61&amp;"', ")</f>
        <v xml:space="preserve">'emailAddress' : 'hennessyadelaide@gmail.com', </v>
      </c>
      <c r="C62" s="60" t="str">
        <f>IF(C61="","","'"&amp;C$11&amp;"' : '"&amp;C61&amp;"', ")</f>
        <v xml:space="preserve">'orderId' : '20221104120000', </v>
      </c>
      <c r="D62" s="60" t="str">
        <f>IF(D61="","","'"&amp;D$11&amp;"' : '"&amp;D61&amp;"', ")</f>
        <v xml:space="preserve">'employeeUserName' : 'lzapanta', </v>
      </c>
      <c r="E62" s="60" t="str">
        <f>IF(E61="","","'"&amp;$F$10&amp;"' : { '"&amp;E$11&amp;"' : '"&amp;E61&amp;"' , ")</f>
        <v xml:space="preserve">'deliveryAddress' : { 'dName' : 'Adelaide Hennessy' , </v>
      </c>
      <c r="F62" s="60" t="str">
        <f>IF(F61="","","'"&amp;F$11&amp;"' : '"&amp;F61&amp;"' , ")</f>
        <v xml:space="preserve">'dStreet' : '3238 102nd Avenue' , </v>
      </c>
      <c r="G62" s="60" t="str">
        <f>IF(G61="","","'"&amp;G$11&amp;"' : '"&amp;G61&amp;"' , ")</f>
        <v xml:space="preserve">'dUnit' : '411' , </v>
      </c>
      <c r="H62" s="60" t="str">
        <f>IF(H61="","","'"&amp;H$11&amp;"' : '"&amp;H61&amp;"' , ")</f>
        <v xml:space="preserve">'dCity' : 'Fort St John' , </v>
      </c>
      <c r="I62" s="60" t="str">
        <f>IF(I61="","","'"&amp;I$11&amp;"' : '"&amp;I61&amp;"' , ")</f>
        <v xml:space="preserve">'dProvince' : 'British Columbia' , </v>
      </c>
      <c r="J62" s="60" t="str">
        <f>IF(J61="","","'"&amp;J$11&amp;"' : '"&amp;J61&amp;"' , ")</f>
        <v xml:space="preserve">'dZip' : 'V1J 3Y7' , </v>
      </c>
      <c r="K62" s="60" t="str">
        <f>IF(K61="","","'"&amp;K$11&amp;"' : '"&amp;K61&amp;"' } , ")</f>
        <v xml:space="preserve">'dMobileNumber' : '250-263-5582' } , </v>
      </c>
      <c r="L62" s="60" t="str">
        <f>IF(L61="","","'"&amp;$L$10&amp;"' : { '"&amp;L$11&amp;"' : '"&amp;L61&amp;"' , ")</f>
        <v xml:space="preserve">'billingsAddress' : { 'bName' : 'Adelaide Hennessy' , </v>
      </c>
      <c r="M62" s="60" t="str">
        <f>IF(M61="","","'"&amp;M$11&amp;"' : '"&amp;M61&amp;"' , ")</f>
        <v xml:space="preserve">'bStreet' : '2172 Stoney Creek' , </v>
      </c>
      <c r="N62" s="60" t="str">
        <f>IF(N61="","","'"&amp;N$11&amp;"' : '"&amp;N61&amp;"' , ")</f>
        <v xml:space="preserve">'bUnit' : '310' , </v>
      </c>
      <c r="O62" s="60" t="str">
        <f>IF(O61="","","'"&amp;O$11&amp;"' : '"&amp;O61&amp;"' , ")</f>
        <v xml:space="preserve">'bCity' : 'Green Lake' , </v>
      </c>
      <c r="P62" s="60" t="str">
        <f>IF(P61="","","'"&amp;P$11&amp;"' : '"&amp;P61&amp;"' , ")</f>
        <v xml:space="preserve">'bProvince' : 'Saskatchewan' , </v>
      </c>
      <c r="Q62" s="60" t="str">
        <f>IF(Q61="","","'"&amp;Q$11&amp;"' : '"&amp;Q61&amp;"' , ")</f>
        <v xml:space="preserve">'bZip' : 'S4P 3Y2' , </v>
      </c>
      <c r="R62" s="60" t="str">
        <f>IF(R61="","","'"&amp;R$11&amp;"' : '"&amp;R61&amp;"' } , ")</f>
        <v xml:space="preserve">'bMobileNumber' : '306-832-9394' } , </v>
      </c>
      <c r="S62" s="60" t="str">
        <f>IF(S61="","","'"&amp;$S$10&amp;"' : { '"&amp;S$11&amp;"' : '"&amp;S61&amp;"' , ")</f>
        <v xml:space="preserve">'paymentMethod' : { 'paymentType' : 'Credit' , </v>
      </c>
      <c r="T62" s="60" t="str">
        <f>IF(T61="","","'"&amp;T$11&amp;"' : '"&amp;T61&amp;"' , ")</f>
        <v xml:space="preserve">'cardScheme' : 'Mastercard' , </v>
      </c>
      <c r="U62" s="60" t="str">
        <f>IF(U61="","","'"&amp;U$11&amp;"' : '"&amp;U61&amp;"' } , ")</f>
        <v xml:space="preserve">'cardLast4' : '8225' } , </v>
      </c>
      <c r="V62" s="60" t="str">
        <f ca="1">IF(V61="","","'"&amp;V$11&amp;"' : "&amp;V61&amp;", ")</f>
        <v xml:space="preserve">'totalQty' : 4, </v>
      </c>
      <c r="W62" s="60" t="str">
        <f>IF(W61="","","'"&amp;W$11&amp;"' : "&amp;W61&amp;", ")</f>
        <v xml:space="preserve">'orderTotal' : 400.52, </v>
      </c>
      <c r="X62" s="60" t="str">
        <f>IF(X61="","","'"&amp;X$11&amp;"' : "&amp;X61&amp;", ")</f>
        <v xml:space="preserve">'grossTotal' : 350.02, </v>
      </c>
      <c r="Y62" s="60" t="str">
        <f>IF(Y61="","","'"&amp;Y$11&amp;"' : "&amp;Y61&amp;", ")</f>
        <v xml:space="preserve">'tax' : 45.51, </v>
      </c>
      <c r="Z62" s="60" t="str">
        <f>IF(Z61="","","'"&amp;Z$11&amp;"' : "&amp;Z61&amp;", ")</f>
        <v xml:space="preserve">'deliveryFee' : 4.99, </v>
      </c>
      <c r="AA62" s="60"/>
      <c r="AB62" s="60"/>
      <c r="AC62" s="60"/>
      <c r="AD62" s="60"/>
      <c r="AE62" s="60"/>
      <c r="AF62" s="60" t="str">
        <f>$AA$10&amp;" : "&amp;_xlfn.CONCAT("[ ",AF57:AF60,"], ")</f>
        <v xml:space="preserve">orderDetails : [ { 'productId' : '4012', 'productName' : 'Empanada', 'quantity' : 7, 'price' : 6.79, 'subTotal' : 47.53 },{ 'productId' : '4004', 'productName' : 'Everything Bagel', 'quantity' : 24, 'price' : 7.49, 'subTotal' : 179.76 },{ 'productId' : '5003', 'productName' : 'Continental Drinks', 'quantity' : 2, 'price' : 3.99, 'subTotal' : 7.98 },{ 'productId' : '4006', 'productName' : 'Chocolate Croissant', 'quantity' : 15, 'price' : 7.65, 'subTotal' : 114.75 }], </v>
      </c>
      <c r="AG62" s="60" t="str">
        <f>IF(AG61="","","'"&amp;AG$11&amp;"' : new Date('"&amp;TEXT(AG61,"yyyy-mm-dd")&amp;"'), ")</f>
        <v xml:space="preserve">'orderDate' : new Date('2022-11-04'), </v>
      </c>
      <c r="AH62" s="60"/>
      <c r="AI62" s="60" t="str">
        <f>IF(AI61="","","'"&amp;AI$11&amp;"' : '"&amp;AI61&amp;"', ")</f>
        <v xml:space="preserve">'orderStatus' : 'Delivered', </v>
      </c>
      <c r="AJ62" s="60" t="str">
        <f>IF(AJ61="","","'"&amp;AJ$11&amp;"' : new Date('"&amp;TEXT(AJ61,"yyyy-mm-dd")&amp;"') ")</f>
        <v xml:space="preserve">'statusDate' : new Date('2022-11-04') </v>
      </c>
      <c r="AK62" s="60"/>
      <c r="AL62" s="59"/>
      <c r="AM62" s="58" t="str">
        <f ca="1">_xlfn.CONCAT("{ ",B62:AJ62,"} ,")</f>
        <v>{ 'emailAddress' : 'hennessyadelaide@gmail.com', 'orderId' : '20221104120000', 'employeeUserName' : 'lzapanta', 'deliveryAddress' : { 'dName' : 'Adelaide Hennessy' , 'dStreet' : '3238 102nd Avenue' , 'dUnit' : '411' , 'dCity' : 'Fort St John' , 'dProvince' : 'British Columbia' , 'dZip' : 'V1J 3Y7' , 'dMobileNumber' : '250-263-5582' } , 'billingsAddress' : { 'bName' : 'Adelaide Hennessy' , 'bStreet' : '2172 Stoney Creek' , 'bUnit' : '310' , 'bCity' : 'Green Lake' , 'bProvince' : 'Saskatchewan' , 'bZip' : 'S4P 3Y2' , 'bMobileNumber' : '306-832-9394' } , 'paymentMethod' : { 'paymentType' : 'Credit' , 'cardScheme' : 'Mastercard' , 'cardLast4' : '8225' } , 'totalQty' : 4, 'orderTotal' : 400.52, 'grossTotal' : 350.02, 'tax' : 45.51, 'deliveryFee' : 4.99, orderDetails : [ { 'productId' : '4012', 'productName' : 'Empanada', 'quantity' : 7, 'price' : 6.79, 'subTotal' : 47.53 },{ 'productId' : '4004', 'productName' : 'Everything Bagel', 'quantity' : 24, 'price' : 7.49, 'subTotal' : 179.76 },{ 'productId' : '5003', 'productName' : 'Continental Drinks', 'quantity' : 2, 'price' : 3.99, 'subTotal' : 7.98 },{ 'productId' : '4006', 'productName' : 'Chocolate Croissant', 'quantity' : 15, 'price' : 7.65, 'subTotal' : 114.75 }], 'orderDate' : new Date('2022-11-04'), 'orderStatus' : 'Delivered', 'statusDate' : new Date('2022-11-04') } ,</v>
      </c>
    </row>
    <row r="63" spans="1:39" x14ac:dyDescent="0.35">
      <c r="B63" t="s">
        <v>689</v>
      </c>
      <c r="C63" s="49" t="s">
        <v>722</v>
      </c>
      <c r="D63" t="s">
        <v>682</v>
      </c>
      <c r="E63" t="s">
        <v>325</v>
      </c>
      <c r="F63" t="s">
        <v>587</v>
      </c>
      <c r="G63" t="s">
        <v>606</v>
      </c>
      <c r="H63" t="s">
        <v>432</v>
      </c>
      <c r="I63" t="s">
        <v>26</v>
      </c>
      <c r="J63" t="s">
        <v>616</v>
      </c>
      <c r="K63" t="s">
        <v>628</v>
      </c>
      <c r="L63" t="str">
        <f t="shared" ref="L63:L65" si="59">E63</f>
        <v>Penelope Piers</v>
      </c>
      <c r="M63" t="str">
        <f>VLOOKUP($B63,Customers!$B:$J,4,0)</f>
        <v>1228 A Avenue</v>
      </c>
      <c r="O63" t="str">
        <f>VLOOKUP($B63,Customers!$B:$J,6,0)</f>
        <v>Edmonton</v>
      </c>
      <c r="P63" t="str">
        <f>VLOOKUP($B63,Customers!$B:$J,7,0)</f>
        <v>Alberta</v>
      </c>
      <c r="Q63" t="str">
        <f>VLOOKUP($B63,Customers!$B:$J,8,0)</f>
        <v>T5J 0K7</v>
      </c>
      <c r="R63" t="str">
        <f>VLOOKUP($B63,Customers!$B:$J,9,0)</f>
        <v>780-917-8428</v>
      </c>
      <c r="S63" t="str">
        <f>VLOOKUP($B63,Customers!$B:$T,16,0)</f>
        <v>Debit</v>
      </c>
      <c r="T63" t="str">
        <f>VLOOKUP($B63,Customers!$B:$T,18,0)</f>
        <v>Visa</v>
      </c>
      <c r="U63" t="str">
        <f>VLOOKUP($B63,Customers!$B:$T,19,0)</f>
        <v>2990</v>
      </c>
      <c r="V63">
        <f ca="1">COUNTIF(C:C,C63)-1</f>
        <v>2</v>
      </c>
      <c r="X63">
        <f t="shared" ref="X63:X64" si="60">AC63*AD63</f>
        <v>59.88</v>
      </c>
      <c r="Y63">
        <f t="shared" ref="Y63:Y64" si="61">ROUND(X63*13%,2)</f>
        <v>7.78</v>
      </c>
      <c r="AA63">
        <v>4013</v>
      </c>
      <c r="AB63" t="s">
        <v>79</v>
      </c>
      <c r="AC63">
        <v>12</v>
      </c>
      <c r="AD63">
        <v>4.99</v>
      </c>
      <c r="AE63">
        <f>AC63*AD63</f>
        <v>59.88</v>
      </c>
      <c r="AF63" s="54" t="str">
        <f>"{ '"&amp;AA$11&amp;"' : '"&amp;AA63&amp;"', '"&amp;AB$11&amp;"' : '"&amp;AB63&amp;"', '"&amp;AC$11&amp;"' : "&amp;AC63&amp;", '"&amp;AD$11&amp;"' : "&amp;AD63&amp;", '"&amp;AE$11&amp;"' : "&amp;AE63&amp;" },"</f>
        <v>{ 'productId' : '4013', 'productName' : 'Pandesal', 'quantity' : 12, 'price' : 4.99, 'subTotal' : 59.88 },</v>
      </c>
      <c r="AG63" s="48">
        <v>44869</v>
      </c>
      <c r="AH63" s="50" t="s">
        <v>692</v>
      </c>
      <c r="AI63" t="s">
        <v>755</v>
      </c>
      <c r="AJ63" s="48">
        <f>AG63</f>
        <v>44869</v>
      </c>
      <c r="AK63" t="s">
        <v>694</v>
      </c>
    </row>
    <row r="64" spans="1:39" x14ac:dyDescent="0.35">
      <c r="B64" t="s">
        <v>689</v>
      </c>
      <c r="C64" t="s">
        <v>722</v>
      </c>
      <c r="D64" t="s">
        <v>682</v>
      </c>
      <c r="E64" t="s">
        <v>325</v>
      </c>
      <c r="F64" t="s">
        <v>587</v>
      </c>
      <c r="G64" t="s">
        <v>606</v>
      </c>
      <c r="H64" t="s">
        <v>432</v>
      </c>
      <c r="I64" t="s">
        <v>26</v>
      </c>
      <c r="J64" t="s">
        <v>616</v>
      </c>
      <c r="K64" t="s">
        <v>628</v>
      </c>
      <c r="L64" t="str">
        <f t="shared" si="59"/>
        <v>Penelope Piers</v>
      </c>
      <c r="M64" t="str">
        <f>VLOOKUP($B64,Customers!$B:$J,4,0)</f>
        <v>1228 A Avenue</v>
      </c>
      <c r="O64" t="str">
        <f>VLOOKUP($B64,Customers!$B:$J,6,0)</f>
        <v>Edmonton</v>
      </c>
      <c r="P64" t="str">
        <f>VLOOKUP($B64,Customers!$B:$J,7,0)</f>
        <v>Alberta</v>
      </c>
      <c r="Q64" t="str">
        <f>VLOOKUP($B64,Customers!$B:$J,8,0)</f>
        <v>T5J 0K7</v>
      </c>
      <c r="R64" t="str">
        <f>VLOOKUP($B64,Customers!$B:$J,9,0)</f>
        <v>780-917-8428</v>
      </c>
      <c r="S64" t="str">
        <f>VLOOKUP($B64,Customers!$B:$T,16,0)</f>
        <v>Debit</v>
      </c>
      <c r="T64" t="str">
        <f>VLOOKUP($B64,Customers!$B:$T,18,0)</f>
        <v>Visa</v>
      </c>
      <c r="U64" t="str">
        <f>VLOOKUP($B64,Customers!$B:$T,19,0)</f>
        <v>2990</v>
      </c>
      <c r="V64">
        <f ca="1">COUNTIF(C:C,C64)-1</f>
        <v>2</v>
      </c>
      <c r="X64">
        <f t="shared" si="60"/>
        <v>151.80000000000001</v>
      </c>
      <c r="Y64">
        <f t="shared" si="61"/>
        <v>19.73</v>
      </c>
      <c r="AA64">
        <v>4009</v>
      </c>
      <c r="AB64" t="s">
        <v>73</v>
      </c>
      <c r="AC64">
        <v>20</v>
      </c>
      <c r="AD64">
        <v>7.59</v>
      </c>
      <c r="AE64">
        <f>AC64*AD64</f>
        <v>151.80000000000001</v>
      </c>
      <c r="AF64" s="54" t="str">
        <f>"{ '"&amp;AA$11&amp;"' : '"&amp;AA64&amp;"', '"&amp;AB$11&amp;"' : '"&amp;AB64&amp;"', '"&amp;AC$11&amp;"' : "&amp;AC64&amp;", '"&amp;AD$11&amp;"' : "&amp;AD64&amp;", '"&amp;AE$11&amp;"' : "&amp;AE64&amp;" }"</f>
        <v>{ 'productId' : '4009', 'productName' : 'Pecan Braid', 'quantity' : 20, 'price' : 7.59, 'subTotal' : 151.8 }</v>
      </c>
      <c r="AG64" s="48">
        <v>44869</v>
      </c>
      <c r="AH64" s="48" t="str">
        <f>AH63</f>
        <v>103336</v>
      </c>
      <c r="AI64" t="str">
        <f t="shared" ref="AI64:AJ64" si="62">AI63</f>
        <v>Delivered</v>
      </c>
      <c r="AJ64" s="48">
        <f t="shared" si="62"/>
        <v>44869</v>
      </c>
    </row>
    <row r="65" spans="1:39" x14ac:dyDescent="0.35">
      <c r="A65" t="s">
        <v>759</v>
      </c>
      <c r="B65" t="s">
        <v>689</v>
      </c>
      <c r="C65" t="s">
        <v>722</v>
      </c>
      <c r="D65" t="s">
        <v>682</v>
      </c>
      <c r="E65" t="s">
        <v>325</v>
      </c>
      <c r="F65" t="s">
        <v>587</v>
      </c>
      <c r="G65" t="s">
        <v>606</v>
      </c>
      <c r="H65" t="s">
        <v>432</v>
      </c>
      <c r="I65" t="s">
        <v>26</v>
      </c>
      <c r="J65" t="s">
        <v>616</v>
      </c>
      <c r="K65" t="s">
        <v>628</v>
      </c>
      <c r="L65" t="str">
        <f t="shared" si="59"/>
        <v>Penelope Piers</v>
      </c>
      <c r="M65" t="str">
        <f>VLOOKUP($B65,Customers!$B:$J,4,0)</f>
        <v>1228 A Avenue</v>
      </c>
      <c r="O65" t="str">
        <f>VLOOKUP($B65,Customers!$B:$J,6,0)</f>
        <v>Edmonton</v>
      </c>
      <c r="P65" t="str">
        <f>VLOOKUP($B65,Customers!$B:$J,7,0)</f>
        <v>Alberta</v>
      </c>
      <c r="Q65" t="str">
        <f>VLOOKUP($B65,Customers!$B:$J,8,0)</f>
        <v>T5J 0K7</v>
      </c>
      <c r="R65" t="str">
        <f>VLOOKUP($B65,Customers!$B:$J,9,0)</f>
        <v>780-917-8428</v>
      </c>
      <c r="S65" t="str">
        <f>VLOOKUP($B65,Customers!$B:$T,16,0)</f>
        <v>Debit</v>
      </c>
      <c r="T65" t="str">
        <f>VLOOKUP($B65,Customers!$B:$T,18,0)</f>
        <v>Visa</v>
      </c>
      <c r="U65" t="str">
        <f>VLOOKUP($B65,Customers!$B:$T,19,0)</f>
        <v>2990</v>
      </c>
      <c r="V65">
        <f ca="1">COUNTIF(C:C,C65)-1</f>
        <v>2</v>
      </c>
      <c r="W65">
        <f>SUM(X65:Z65)</f>
        <v>244.18</v>
      </c>
      <c r="X65">
        <f>SUM(X63:X64)</f>
        <v>211.68</v>
      </c>
      <c r="Y65">
        <f>SUM(Y63:Y64)</f>
        <v>27.51</v>
      </c>
      <c r="Z65">
        <v>4.99</v>
      </c>
      <c r="AF65" s="54"/>
      <c r="AG65" s="48">
        <f>AG64</f>
        <v>44869</v>
      </c>
      <c r="AH65" s="48"/>
      <c r="AI65" t="str">
        <f t="shared" ref="AI65:AJ65" si="63">AI64</f>
        <v>Delivered</v>
      </c>
      <c r="AJ65" s="48">
        <f t="shared" si="63"/>
        <v>44869</v>
      </c>
    </row>
    <row r="66" spans="1:39" s="58" customFormat="1" ht="43.5" hidden="1" x14ac:dyDescent="0.35">
      <c r="A66" s="60" t="s">
        <v>760</v>
      </c>
      <c r="B66" s="60" t="str">
        <f>IF(B65="","","'"&amp;B$11&amp;"' : '"&amp;B65&amp;"', ")</f>
        <v xml:space="preserve">'emailAddress' : 'penelope_piers@gmail.com', </v>
      </c>
      <c r="C66" s="60" t="str">
        <f>IF(C65="","","'"&amp;C$11&amp;"' : '"&amp;C65&amp;"', ")</f>
        <v xml:space="preserve">'orderId' : '20221104103336', </v>
      </c>
      <c r="D66" s="60" t="str">
        <f>IF(D65="","","'"&amp;D$11&amp;"' : '"&amp;D65&amp;"', ")</f>
        <v xml:space="preserve">'employeeUserName' : 'mjones', </v>
      </c>
      <c r="E66" s="60" t="str">
        <f>IF(E65="","","'"&amp;$F$10&amp;"' : { '"&amp;E$11&amp;"' : '"&amp;E65&amp;"' , ")</f>
        <v xml:space="preserve">'deliveryAddress' : { 'dName' : 'Penelope Piers' , </v>
      </c>
      <c r="F66" s="60" t="str">
        <f>IF(F65="","","'"&amp;F$11&amp;"' : '"&amp;F65&amp;"' , ")</f>
        <v xml:space="preserve">'dStreet' : '3050 Speers Road' , </v>
      </c>
      <c r="G66" s="60" t="str">
        <f>IF(G65="","","'"&amp;G$11&amp;"' : '"&amp;G65&amp;"' , ")</f>
        <v xml:space="preserve">'dUnit' : '86' , </v>
      </c>
      <c r="H66" s="60" t="str">
        <f>IF(H65="","","'"&amp;H$11&amp;"' : '"&amp;H65&amp;"' , ")</f>
        <v xml:space="preserve">'dCity' : 'Oakville' , </v>
      </c>
      <c r="I66" s="60" t="str">
        <f>IF(I65="","","'"&amp;I$11&amp;"' : '"&amp;I65&amp;"' , ")</f>
        <v xml:space="preserve">'dProvince' : 'Ontario' , </v>
      </c>
      <c r="J66" s="60" t="str">
        <f>IF(J65="","","'"&amp;J$11&amp;"' : '"&amp;J65&amp;"' , ")</f>
        <v xml:space="preserve">'dZip' : 'L6H 3H5' , </v>
      </c>
      <c r="K66" s="60" t="str">
        <f>IF(K65="","","'"&amp;K$11&amp;"' : '"&amp;K65&amp;"' } , ")</f>
        <v xml:space="preserve">'dMobileNumber' : '905-467-2429' } , </v>
      </c>
      <c r="L66" s="60" t="str">
        <f>IF(L65="","","'"&amp;$L$10&amp;"' : { '"&amp;L$11&amp;"' : '"&amp;L65&amp;"' , ")</f>
        <v xml:space="preserve">'billingsAddress' : { 'bName' : 'Penelope Piers' , </v>
      </c>
      <c r="M66" s="60" t="str">
        <f>IF(M65="","","'"&amp;M$11&amp;"' : '"&amp;M65&amp;"' , ")</f>
        <v xml:space="preserve">'bStreet' : '1228 A Avenue' , </v>
      </c>
      <c r="N66" s="60" t="str">
        <f>IF(N65="","","'"&amp;N$11&amp;"' : '"&amp;N65&amp;"' , ")</f>
        <v/>
      </c>
      <c r="O66" s="60" t="str">
        <f>IF(O65="","","'"&amp;O$11&amp;"' : '"&amp;O65&amp;"' , ")</f>
        <v xml:space="preserve">'bCity' : 'Edmonton' , </v>
      </c>
      <c r="P66" s="60" t="str">
        <f>IF(P65="","","'"&amp;P$11&amp;"' : '"&amp;P65&amp;"' , ")</f>
        <v xml:space="preserve">'bProvince' : 'Alberta' , </v>
      </c>
      <c r="Q66" s="60" t="str">
        <f>IF(Q65="","","'"&amp;Q$11&amp;"' : '"&amp;Q65&amp;"' , ")</f>
        <v xml:space="preserve">'bZip' : 'T5J 0K7' , </v>
      </c>
      <c r="R66" s="60" t="str">
        <f>IF(R65="","","'"&amp;R$11&amp;"' : '"&amp;R65&amp;"' } , ")</f>
        <v xml:space="preserve">'bMobileNumber' : '780-917-8428' } , </v>
      </c>
      <c r="S66" s="60" t="str">
        <f>IF(S65="","","'"&amp;$S$10&amp;"' : { '"&amp;S$11&amp;"' : '"&amp;S65&amp;"' , ")</f>
        <v xml:space="preserve">'paymentMethod' : { 'paymentType' : 'Debit' , </v>
      </c>
      <c r="T66" s="60" t="str">
        <f>IF(T65="","","'"&amp;T$11&amp;"' : '"&amp;T65&amp;"' , ")</f>
        <v xml:space="preserve">'cardScheme' : 'Visa' , </v>
      </c>
      <c r="U66" s="60" t="str">
        <f>IF(U65="","","'"&amp;U$11&amp;"' : '"&amp;U65&amp;"' } , ")</f>
        <v xml:space="preserve">'cardLast4' : '2990' } , </v>
      </c>
      <c r="V66" s="60" t="str">
        <f ca="1">IF(V65="","","'"&amp;V$11&amp;"' : "&amp;V65&amp;", ")</f>
        <v xml:space="preserve">'totalQty' : 2, </v>
      </c>
      <c r="W66" s="60" t="str">
        <f>IF(W65="","","'"&amp;W$11&amp;"' : "&amp;W65&amp;", ")</f>
        <v xml:space="preserve">'orderTotal' : 244.18, </v>
      </c>
      <c r="X66" s="60" t="str">
        <f>IF(X65="","","'"&amp;X$11&amp;"' : "&amp;X65&amp;", ")</f>
        <v xml:space="preserve">'grossTotal' : 211.68, </v>
      </c>
      <c r="Y66" s="60" t="str">
        <f>IF(Y65="","","'"&amp;Y$11&amp;"' : "&amp;Y65&amp;", ")</f>
        <v xml:space="preserve">'tax' : 27.51, </v>
      </c>
      <c r="Z66" s="60" t="str">
        <f>IF(Z65="","","'"&amp;Z$11&amp;"' : "&amp;Z65&amp;", ")</f>
        <v xml:space="preserve">'deliveryFee' : 4.99, </v>
      </c>
      <c r="AA66" s="60"/>
      <c r="AB66" s="60"/>
      <c r="AC66" s="60"/>
      <c r="AD66" s="60"/>
      <c r="AE66" s="60"/>
      <c r="AF66" s="60" t="str">
        <f>$AA$10&amp;" : "&amp;_xlfn.CONCAT("[ ",AF63:AF64,"], ")</f>
        <v xml:space="preserve">orderDetails : [ { 'productId' : '4013', 'productName' : 'Pandesal', 'quantity' : 12, 'price' : 4.99, 'subTotal' : 59.88 },{ 'productId' : '4009', 'productName' : 'Pecan Braid', 'quantity' : 20, 'price' : 7.59, 'subTotal' : 151.8 }], </v>
      </c>
      <c r="AG66" s="60" t="str">
        <f>IF(AG65="","","'"&amp;AG$11&amp;"' : new Date('"&amp;TEXT(AG65,"yyyy-mm-dd")&amp;"'), ")</f>
        <v xml:space="preserve">'orderDate' : new Date('2022-11-04'), </v>
      </c>
      <c r="AH66" s="60"/>
      <c r="AI66" s="60" t="str">
        <f>IF(AI65="","","'"&amp;AI$11&amp;"' : '"&amp;AI65&amp;"', ")</f>
        <v xml:space="preserve">'orderStatus' : 'Delivered', </v>
      </c>
      <c r="AJ66" s="60" t="str">
        <f>IF(AJ65="","","'"&amp;AJ$11&amp;"' : new Date('"&amp;TEXT(AJ65,"yyyy-mm-dd")&amp;"') ")</f>
        <v xml:space="preserve">'statusDate' : new Date('2022-11-04') </v>
      </c>
      <c r="AK66" s="60"/>
      <c r="AL66" s="59"/>
      <c r="AM66" s="58" t="str">
        <f ca="1">_xlfn.CONCAT("{ ",B66:AJ66,"} ,")</f>
        <v>{ 'emailAddress' : 'penelope_piers@gmail.com', 'orderId' : '20221104103336', 'employeeUserName' : 'mjones', 'deliveryAddress' : { 'dName' : 'Penelope Piers' , 'dStreet' : '3050 Speers Road' , 'dUnit' : '86' , 'dCity' : 'Oakville' , 'dProvince' : 'Ontario' , 'dZip' : 'L6H 3H5' , 'dMobileNumber' : '905-467-2429' } , 'billingsAddress' : { 'bName' : 'Penelope Piers' , 'bStreet' : '1228 A Avenue' , 'bCity' : 'Edmonton' , 'bProvince' : 'Alberta' , 'bZip' : 'T5J 0K7' , 'bMobileNumber' : '780-917-8428' } , 'paymentMethod' : { 'paymentType' : 'Debit' , 'cardScheme' : 'Visa' , 'cardLast4' : '2990' } , 'totalQty' : 2, 'orderTotal' : 244.18, 'grossTotal' : 211.68, 'tax' : 27.51, 'deliveryFee' : 4.99, orderDetails : [ { 'productId' : '4013', 'productName' : 'Pandesal', 'quantity' : 12, 'price' : 4.99, 'subTotal' : 59.88 },{ 'productId' : '4009', 'productName' : 'Pecan Braid', 'quantity' : 20, 'price' : 7.59, 'subTotal' : 151.8 }], 'orderDate' : new Date('2022-11-04'), 'orderStatus' : 'Delivered', 'statusDate' : new Date('2022-11-04') } ,</v>
      </c>
    </row>
    <row r="67" spans="1:39" hidden="1" x14ac:dyDescent="0.35">
      <c r="B67" t="s">
        <v>723</v>
      </c>
      <c r="C67" s="49" t="s">
        <v>724</v>
      </c>
      <c r="D67" t="s">
        <v>681</v>
      </c>
      <c r="E67" t="s">
        <v>314</v>
      </c>
      <c r="F67" t="s">
        <v>585</v>
      </c>
      <c r="G67" t="s">
        <v>604</v>
      </c>
      <c r="H67" t="s">
        <v>595</v>
      </c>
      <c r="I67" t="s">
        <v>26</v>
      </c>
      <c r="J67" t="s">
        <v>614</v>
      </c>
      <c r="K67" t="s">
        <v>626</v>
      </c>
      <c r="L67" t="str">
        <f t="shared" ref="L67:L71" si="64">E67</f>
        <v>Leo Clarkson</v>
      </c>
      <c r="M67" t="str">
        <f>VLOOKUP($B67,Customers!$B:$J,4,0)</f>
        <v>1808 Pope St</v>
      </c>
      <c r="O67" t="str">
        <f>VLOOKUP($B67,Customers!$B:$J,6,0)</f>
        <v>Alberton</v>
      </c>
      <c r="P67" t="str">
        <f>VLOOKUP($B67,Customers!$B:$J,7,0)</f>
        <v>Prince Edward Island</v>
      </c>
      <c r="Q67" t="str">
        <f>VLOOKUP($B67,Customers!$B:$J,8,0)</f>
        <v>C0B 1K0</v>
      </c>
      <c r="R67" t="str">
        <f>VLOOKUP($B67,Customers!$B:$J,9,0)</f>
        <v>902-853-1818</v>
      </c>
      <c r="S67" t="str">
        <f>VLOOKUP($B67,Customers!$B:$T,16,0)</f>
        <v>Debit</v>
      </c>
      <c r="T67" t="str">
        <f>VLOOKUP($B67,Customers!$B:$T,18,0)</f>
        <v>Mastercard</v>
      </c>
      <c r="U67" t="str">
        <f>VLOOKUP($B67,Customers!$B:$T,19,0)</f>
        <v>2880</v>
      </c>
      <c r="V67">
        <f ca="1">COUNTIF(C:C,C67)-1</f>
        <v>4</v>
      </c>
      <c r="X67">
        <f t="shared" ref="X67:X70" si="65">AC67*AD67</f>
        <v>129.03</v>
      </c>
      <c r="Y67">
        <f t="shared" ref="Y67:Y70" si="66">ROUND(X67*13%,2)</f>
        <v>16.77</v>
      </c>
      <c r="AA67">
        <v>4009</v>
      </c>
      <c r="AB67" t="s">
        <v>73</v>
      </c>
      <c r="AC67">
        <v>17</v>
      </c>
      <c r="AD67">
        <v>7.59</v>
      </c>
      <c r="AE67">
        <f>AC67*AD67</f>
        <v>129.03</v>
      </c>
      <c r="AF67" s="54" t="str">
        <f>"{ '"&amp;AA$11&amp;"' : '"&amp;AA67&amp;"', '"&amp;AB$11&amp;"' : '"&amp;AB67&amp;"', '"&amp;AC$11&amp;"' : "&amp;AC67&amp;", '"&amp;AD$11&amp;"' : "&amp;AD67&amp;", '"&amp;AE$11&amp;"' : "&amp;AE67&amp;" },"</f>
        <v>{ 'productId' : '4009', 'productName' : 'Pecan Braid', 'quantity' : 17, 'price' : 7.59, 'subTotal' : 129.03 },</v>
      </c>
      <c r="AG67" s="48">
        <v>44870</v>
      </c>
      <c r="AH67" s="50" t="s">
        <v>688</v>
      </c>
      <c r="AI67" t="s">
        <v>755</v>
      </c>
      <c r="AJ67" s="48">
        <f>AG67</f>
        <v>44870</v>
      </c>
      <c r="AK67" t="s">
        <v>689</v>
      </c>
    </row>
    <row r="68" spans="1:39" hidden="1" x14ac:dyDescent="0.35">
      <c r="B68" t="s">
        <v>723</v>
      </c>
      <c r="C68" t="s">
        <v>724</v>
      </c>
      <c r="D68" t="s">
        <v>681</v>
      </c>
      <c r="E68" t="s">
        <v>314</v>
      </c>
      <c r="F68" t="s">
        <v>585</v>
      </c>
      <c r="G68" t="s">
        <v>604</v>
      </c>
      <c r="H68" t="s">
        <v>595</v>
      </c>
      <c r="I68" t="s">
        <v>26</v>
      </c>
      <c r="J68" t="s">
        <v>614</v>
      </c>
      <c r="K68" t="s">
        <v>626</v>
      </c>
      <c r="L68" t="str">
        <f t="shared" si="64"/>
        <v>Leo Clarkson</v>
      </c>
      <c r="M68" t="str">
        <f>VLOOKUP($B68,Customers!$B:$J,4,0)</f>
        <v>1808 Pope St</v>
      </c>
      <c r="O68" t="str">
        <f>VLOOKUP($B68,Customers!$B:$J,6,0)</f>
        <v>Alberton</v>
      </c>
      <c r="P68" t="str">
        <f>VLOOKUP($B68,Customers!$B:$J,7,0)</f>
        <v>Prince Edward Island</v>
      </c>
      <c r="Q68" t="str">
        <f>VLOOKUP($B68,Customers!$B:$J,8,0)</f>
        <v>C0B 1K0</v>
      </c>
      <c r="R68" t="str">
        <f>VLOOKUP($B68,Customers!$B:$J,9,0)</f>
        <v>902-853-1818</v>
      </c>
      <c r="S68" t="str">
        <f>VLOOKUP($B68,Customers!$B:$T,16,0)</f>
        <v>Debit</v>
      </c>
      <c r="T68" t="str">
        <f>VLOOKUP($B68,Customers!$B:$T,18,0)</f>
        <v>Mastercard</v>
      </c>
      <c r="U68" t="str">
        <f>VLOOKUP($B68,Customers!$B:$T,19,0)</f>
        <v>2880</v>
      </c>
      <c r="V68">
        <f ca="1">COUNTIF(C:C,C68)-1</f>
        <v>4</v>
      </c>
      <c r="X68">
        <f t="shared" si="65"/>
        <v>74.900000000000006</v>
      </c>
      <c r="Y68">
        <f t="shared" si="66"/>
        <v>9.74</v>
      </c>
      <c r="AA68">
        <v>4004</v>
      </c>
      <c r="AB68" t="s">
        <v>68</v>
      </c>
      <c r="AC68">
        <v>10</v>
      </c>
      <c r="AD68">
        <v>7.49</v>
      </c>
      <c r="AE68">
        <f>AC68*AD68</f>
        <v>74.900000000000006</v>
      </c>
      <c r="AF68" s="54" t="str">
        <f>"{ '"&amp;AA$11&amp;"' : '"&amp;AA68&amp;"', '"&amp;AB$11&amp;"' : '"&amp;AB68&amp;"', '"&amp;AC$11&amp;"' : "&amp;AC68&amp;", '"&amp;AD$11&amp;"' : "&amp;AD68&amp;", '"&amp;AE$11&amp;"' : "&amp;AE68&amp;" },"</f>
        <v>{ 'productId' : '4004', 'productName' : 'Everything Bagel', 'quantity' : 10, 'price' : 7.49, 'subTotal' : 74.9 },</v>
      </c>
      <c r="AG68" s="48">
        <v>44870</v>
      </c>
      <c r="AH68" s="48" t="str">
        <f t="shared" ref="AH68:AH70" si="67">AH67</f>
        <v>104800</v>
      </c>
      <c r="AI68" t="str">
        <f t="shared" ref="AI68:AJ70" si="68">AI67</f>
        <v>Delivered</v>
      </c>
      <c r="AJ68" s="48">
        <f t="shared" si="68"/>
        <v>44870</v>
      </c>
    </row>
    <row r="69" spans="1:39" hidden="1" x14ac:dyDescent="0.35">
      <c r="B69" t="s">
        <v>723</v>
      </c>
      <c r="C69" t="s">
        <v>724</v>
      </c>
      <c r="D69" t="s">
        <v>681</v>
      </c>
      <c r="E69" t="s">
        <v>314</v>
      </c>
      <c r="F69" t="s">
        <v>585</v>
      </c>
      <c r="G69" t="s">
        <v>604</v>
      </c>
      <c r="H69" t="s">
        <v>595</v>
      </c>
      <c r="I69" t="s">
        <v>26</v>
      </c>
      <c r="J69" t="s">
        <v>614</v>
      </c>
      <c r="K69" t="s">
        <v>626</v>
      </c>
      <c r="L69" t="str">
        <f t="shared" si="64"/>
        <v>Leo Clarkson</v>
      </c>
      <c r="M69" t="str">
        <f>VLOOKUP($B69,Customers!$B:$J,4,0)</f>
        <v>1808 Pope St</v>
      </c>
      <c r="O69" t="str">
        <f>VLOOKUP($B69,Customers!$B:$J,6,0)</f>
        <v>Alberton</v>
      </c>
      <c r="P69" t="str">
        <f>VLOOKUP($B69,Customers!$B:$J,7,0)</f>
        <v>Prince Edward Island</v>
      </c>
      <c r="Q69" t="str">
        <f>VLOOKUP($B69,Customers!$B:$J,8,0)</f>
        <v>C0B 1K0</v>
      </c>
      <c r="R69" t="str">
        <f>VLOOKUP($B69,Customers!$B:$J,9,0)</f>
        <v>902-853-1818</v>
      </c>
      <c r="S69" t="str">
        <f>VLOOKUP($B69,Customers!$B:$T,16,0)</f>
        <v>Debit</v>
      </c>
      <c r="T69" t="str">
        <f>VLOOKUP($B69,Customers!$B:$T,18,0)</f>
        <v>Mastercard</v>
      </c>
      <c r="U69" t="str">
        <f>VLOOKUP($B69,Customers!$B:$T,19,0)</f>
        <v>2880</v>
      </c>
      <c r="V69">
        <f ca="1">COUNTIF(C:C,C69)-1</f>
        <v>4</v>
      </c>
      <c r="X69">
        <f t="shared" si="65"/>
        <v>91.85</v>
      </c>
      <c r="Y69">
        <f t="shared" si="66"/>
        <v>11.94</v>
      </c>
      <c r="AA69">
        <v>4010</v>
      </c>
      <c r="AB69" t="s">
        <v>74</v>
      </c>
      <c r="AC69">
        <v>11</v>
      </c>
      <c r="AD69">
        <v>8.35</v>
      </c>
      <c r="AE69">
        <f>AC69*AD69</f>
        <v>91.85</v>
      </c>
      <c r="AF69" s="54" t="str">
        <f>"{ '"&amp;AA$11&amp;"' : '"&amp;AA69&amp;"', '"&amp;AB$11&amp;"' : '"&amp;AB69&amp;"', '"&amp;AC$11&amp;"' : "&amp;AC69&amp;", '"&amp;AD$11&amp;"' : "&amp;AD69&amp;", '"&amp;AE$11&amp;"' : "&amp;AE69&amp;" },"</f>
        <v>{ 'productId' : '4010', 'productName' : 'Blueberry Muffin', 'quantity' : 11, 'price' : 8.35, 'subTotal' : 91.85 },</v>
      </c>
      <c r="AG69" s="48">
        <v>44870</v>
      </c>
      <c r="AH69" s="48" t="str">
        <f t="shared" si="67"/>
        <v>104800</v>
      </c>
      <c r="AI69" t="str">
        <f t="shared" si="68"/>
        <v>Delivered</v>
      </c>
      <c r="AJ69" s="48">
        <f t="shared" si="68"/>
        <v>44870</v>
      </c>
    </row>
    <row r="70" spans="1:39" hidden="1" x14ac:dyDescent="0.35">
      <c r="B70" t="s">
        <v>723</v>
      </c>
      <c r="C70" t="s">
        <v>724</v>
      </c>
      <c r="D70" t="s">
        <v>681</v>
      </c>
      <c r="E70" t="s">
        <v>314</v>
      </c>
      <c r="F70" t="s">
        <v>585</v>
      </c>
      <c r="G70" t="s">
        <v>604</v>
      </c>
      <c r="H70" t="s">
        <v>595</v>
      </c>
      <c r="I70" t="s">
        <v>26</v>
      </c>
      <c r="J70" t="s">
        <v>614</v>
      </c>
      <c r="K70" t="s">
        <v>626</v>
      </c>
      <c r="L70" t="str">
        <f t="shared" si="64"/>
        <v>Leo Clarkson</v>
      </c>
      <c r="M70" t="str">
        <f>VLOOKUP($B70,Customers!$B:$J,4,0)</f>
        <v>1808 Pope St</v>
      </c>
      <c r="O70" t="str">
        <f>VLOOKUP($B70,Customers!$B:$J,6,0)</f>
        <v>Alberton</v>
      </c>
      <c r="P70" t="str">
        <f>VLOOKUP($B70,Customers!$B:$J,7,0)</f>
        <v>Prince Edward Island</v>
      </c>
      <c r="Q70" t="str">
        <f>VLOOKUP($B70,Customers!$B:$J,8,0)</f>
        <v>C0B 1K0</v>
      </c>
      <c r="R70" t="str">
        <f>VLOOKUP($B70,Customers!$B:$J,9,0)</f>
        <v>902-853-1818</v>
      </c>
      <c r="S70" t="str">
        <f>VLOOKUP($B70,Customers!$B:$T,16,0)</f>
        <v>Debit</v>
      </c>
      <c r="T70" t="str">
        <f>VLOOKUP($B70,Customers!$B:$T,18,0)</f>
        <v>Mastercard</v>
      </c>
      <c r="U70" t="str">
        <f>VLOOKUP($B70,Customers!$B:$T,19,0)</f>
        <v>2880</v>
      </c>
      <c r="V70">
        <f ca="1">COUNTIF(C:C,C70)-1</f>
        <v>4</v>
      </c>
      <c r="X70">
        <f t="shared" si="65"/>
        <v>77.87</v>
      </c>
      <c r="Y70">
        <f t="shared" si="66"/>
        <v>10.119999999999999</v>
      </c>
      <c r="AA70">
        <v>4018</v>
      </c>
      <c r="AB70" t="s">
        <v>85</v>
      </c>
      <c r="AC70">
        <v>13</v>
      </c>
      <c r="AD70">
        <v>5.99</v>
      </c>
      <c r="AE70">
        <f>AC70*AD70</f>
        <v>77.87</v>
      </c>
      <c r="AF70" s="54" t="str">
        <f>"{ '"&amp;AA$11&amp;"' : '"&amp;AA70&amp;"', '"&amp;AB$11&amp;"' : '"&amp;AB70&amp;"', '"&amp;AC$11&amp;"' : "&amp;AC70&amp;", '"&amp;AD$11&amp;"' : "&amp;AD70&amp;", '"&amp;AE$11&amp;"' : "&amp;AE70&amp;" }"</f>
        <v>{ 'productId' : '4018', 'productName' : 'Cheese Bread', 'quantity' : 13, 'price' : 5.99, 'subTotal' : 77.87 }</v>
      </c>
      <c r="AG70" s="48">
        <v>44870</v>
      </c>
      <c r="AH70" s="48" t="str">
        <f t="shared" si="67"/>
        <v>104800</v>
      </c>
      <c r="AI70" t="str">
        <f t="shared" si="68"/>
        <v>Delivered</v>
      </c>
      <c r="AJ70" s="48">
        <f t="shared" si="68"/>
        <v>44870</v>
      </c>
    </row>
    <row r="71" spans="1:39" hidden="1" x14ac:dyDescent="0.35">
      <c r="A71" t="s">
        <v>759</v>
      </c>
      <c r="B71" t="s">
        <v>723</v>
      </c>
      <c r="C71" t="s">
        <v>724</v>
      </c>
      <c r="D71" t="s">
        <v>681</v>
      </c>
      <c r="E71" t="s">
        <v>314</v>
      </c>
      <c r="F71" t="s">
        <v>585</v>
      </c>
      <c r="G71" t="s">
        <v>604</v>
      </c>
      <c r="H71" t="s">
        <v>595</v>
      </c>
      <c r="I71" t="s">
        <v>26</v>
      </c>
      <c r="J71" t="s">
        <v>614</v>
      </c>
      <c r="K71" t="s">
        <v>626</v>
      </c>
      <c r="L71" t="str">
        <f t="shared" si="64"/>
        <v>Leo Clarkson</v>
      </c>
      <c r="M71" t="str">
        <f>VLOOKUP($B71,Customers!$B:$J,4,0)</f>
        <v>1808 Pope St</v>
      </c>
      <c r="O71" t="str">
        <f>VLOOKUP($B71,Customers!$B:$J,6,0)</f>
        <v>Alberton</v>
      </c>
      <c r="P71" t="str">
        <f>VLOOKUP($B71,Customers!$B:$J,7,0)</f>
        <v>Prince Edward Island</v>
      </c>
      <c r="Q71" t="str">
        <f>VLOOKUP($B71,Customers!$B:$J,8,0)</f>
        <v>C0B 1K0</v>
      </c>
      <c r="R71" t="str">
        <f>VLOOKUP($B71,Customers!$B:$J,9,0)</f>
        <v>902-853-1818</v>
      </c>
      <c r="S71" t="str">
        <f>VLOOKUP($B71,Customers!$B:$T,16,0)</f>
        <v>Debit</v>
      </c>
      <c r="T71" t="str">
        <f>VLOOKUP($B71,Customers!$B:$T,18,0)</f>
        <v>Mastercard</v>
      </c>
      <c r="U71" t="str">
        <f>VLOOKUP($B71,Customers!$B:$T,19,0)</f>
        <v>2880</v>
      </c>
      <c r="V71">
        <f ca="1">COUNTIF(C:C,C71)-1</f>
        <v>4</v>
      </c>
      <c r="W71">
        <f>SUM(X71:Z71)</f>
        <v>427.21</v>
      </c>
      <c r="X71">
        <f>SUM(X67:X70)</f>
        <v>373.65</v>
      </c>
      <c r="Y71">
        <f>SUM(Y67:Y70)</f>
        <v>48.569999999999993</v>
      </c>
      <c r="Z71">
        <v>4.99</v>
      </c>
      <c r="AF71" s="54"/>
      <c r="AG71" s="48">
        <f>AG70</f>
        <v>44870</v>
      </c>
      <c r="AH71" s="48"/>
      <c r="AI71" t="str">
        <f t="shared" ref="AI71:AJ71" si="69">AI70</f>
        <v>Delivered</v>
      </c>
      <c r="AJ71" s="48">
        <f t="shared" si="69"/>
        <v>44870</v>
      </c>
    </row>
    <row r="72" spans="1:39" s="58" customFormat="1" ht="58" hidden="1" x14ac:dyDescent="0.35">
      <c r="A72" s="60" t="s">
        <v>760</v>
      </c>
      <c r="B72" s="60" t="str">
        <f>IF(B71="","","'"&amp;B$11&amp;"' : '"&amp;B71&amp;"', ")</f>
        <v xml:space="preserve">'emailAddress' : 'leo_clarkson@gmail.com', </v>
      </c>
      <c r="C72" s="60" t="str">
        <f>IF(C71="","","'"&amp;C$11&amp;"' : '"&amp;C71&amp;"', ")</f>
        <v xml:space="preserve">'orderId' : '20221105104800', </v>
      </c>
      <c r="D72" s="60" t="str">
        <f>IF(D71="","","'"&amp;D$11&amp;"' : '"&amp;D71&amp;"', ")</f>
        <v xml:space="preserve">'employeeUserName' : 'jbartolata', </v>
      </c>
      <c r="E72" s="60" t="str">
        <f>IF(E71="","","'"&amp;$F$10&amp;"' : { '"&amp;E$11&amp;"' : '"&amp;E71&amp;"' , ")</f>
        <v xml:space="preserve">'deliveryAddress' : { 'dName' : 'Leo Clarkson' , </v>
      </c>
      <c r="F72" s="60" t="str">
        <f>IF(F71="","","'"&amp;F$11&amp;"' : '"&amp;F71&amp;"' , ")</f>
        <v xml:space="preserve">'dStreet' : '832 Nelson Street' , </v>
      </c>
      <c r="G72" s="60" t="str">
        <f>IF(G71="","","'"&amp;G$11&amp;"' : '"&amp;G71&amp;"' , ")</f>
        <v xml:space="preserve">'dUnit' : '44' , </v>
      </c>
      <c r="H72" s="60" t="str">
        <f>IF(H71="","","'"&amp;H$11&amp;"' : '"&amp;H71&amp;"' , ")</f>
        <v xml:space="preserve">'dCity' : 'Cat Lake' , </v>
      </c>
      <c r="I72" s="60" t="str">
        <f>IF(I71="","","'"&amp;I$11&amp;"' : '"&amp;I71&amp;"' , ")</f>
        <v xml:space="preserve">'dProvince' : 'Ontario' , </v>
      </c>
      <c r="J72" s="60" t="str">
        <f>IF(J71="","","'"&amp;J$11&amp;"' : '"&amp;J71&amp;"' , ")</f>
        <v xml:space="preserve">'dZip' : 'P0V 1J0' , </v>
      </c>
      <c r="K72" s="60" t="str">
        <f>IF(K71="","","'"&amp;K$11&amp;"' : '"&amp;K71&amp;"' } , ")</f>
        <v xml:space="preserve">'dMobileNumber' : '807-347-1528' } , </v>
      </c>
      <c r="L72" s="60" t="str">
        <f>IF(L71="","","'"&amp;$L$10&amp;"' : { '"&amp;L$11&amp;"' : '"&amp;L71&amp;"' , ")</f>
        <v xml:space="preserve">'billingsAddress' : { 'bName' : 'Leo Clarkson' , </v>
      </c>
      <c r="M72" s="60" t="str">
        <f>IF(M71="","","'"&amp;M$11&amp;"' : '"&amp;M71&amp;"' , ")</f>
        <v xml:space="preserve">'bStreet' : '1808 Pope St' , </v>
      </c>
      <c r="N72" s="60" t="str">
        <f>IF(N71="","","'"&amp;N$11&amp;"' : '"&amp;N71&amp;"' , ")</f>
        <v/>
      </c>
      <c r="O72" s="60" t="str">
        <f>IF(O71="","","'"&amp;O$11&amp;"' : '"&amp;O71&amp;"' , ")</f>
        <v xml:space="preserve">'bCity' : 'Alberton' , </v>
      </c>
      <c r="P72" s="60" t="str">
        <f>IF(P71="","","'"&amp;P$11&amp;"' : '"&amp;P71&amp;"' , ")</f>
        <v xml:space="preserve">'bProvince' : 'Prince Edward Island' , </v>
      </c>
      <c r="Q72" s="60" t="str">
        <f>IF(Q71="","","'"&amp;Q$11&amp;"' : '"&amp;Q71&amp;"' , ")</f>
        <v xml:space="preserve">'bZip' : 'C0B 1K0' , </v>
      </c>
      <c r="R72" s="60" t="str">
        <f>IF(R71="","","'"&amp;R$11&amp;"' : '"&amp;R71&amp;"' } , ")</f>
        <v xml:space="preserve">'bMobileNumber' : '902-853-1818' } , </v>
      </c>
      <c r="S72" s="60" t="str">
        <f>IF(S71="","","'"&amp;$S$10&amp;"' : { '"&amp;S$11&amp;"' : '"&amp;S71&amp;"' , ")</f>
        <v xml:space="preserve">'paymentMethod' : { 'paymentType' : 'Debit' , </v>
      </c>
      <c r="T72" s="60" t="str">
        <f>IF(T71="","","'"&amp;T$11&amp;"' : '"&amp;T71&amp;"' , ")</f>
        <v xml:space="preserve">'cardScheme' : 'Mastercard' , </v>
      </c>
      <c r="U72" s="60" t="str">
        <f>IF(U71="","","'"&amp;U$11&amp;"' : '"&amp;U71&amp;"' } , ")</f>
        <v xml:space="preserve">'cardLast4' : '2880' } , </v>
      </c>
      <c r="V72" s="60" t="str">
        <f ca="1">IF(V71="","","'"&amp;V$11&amp;"' : "&amp;V71&amp;", ")</f>
        <v xml:space="preserve">'totalQty' : 4, </v>
      </c>
      <c r="W72" s="60" t="str">
        <f>IF(W71="","","'"&amp;W$11&amp;"' : "&amp;W71&amp;", ")</f>
        <v xml:space="preserve">'orderTotal' : 427.21, </v>
      </c>
      <c r="X72" s="60" t="str">
        <f>IF(X71="","","'"&amp;X$11&amp;"' : "&amp;X71&amp;", ")</f>
        <v xml:space="preserve">'grossTotal' : 373.65, </v>
      </c>
      <c r="Y72" s="60" t="str">
        <f>IF(Y71="","","'"&amp;Y$11&amp;"' : "&amp;Y71&amp;", ")</f>
        <v xml:space="preserve">'tax' : 48.57, </v>
      </c>
      <c r="Z72" s="60" t="str">
        <f>IF(Z71="","","'"&amp;Z$11&amp;"' : "&amp;Z71&amp;", ")</f>
        <v xml:space="preserve">'deliveryFee' : 4.99, </v>
      </c>
      <c r="AA72" s="60"/>
      <c r="AB72" s="60"/>
      <c r="AC72" s="60"/>
      <c r="AD72" s="60"/>
      <c r="AE72" s="60"/>
      <c r="AF72" s="60" t="str">
        <f>$AA$10&amp;" : "&amp;_xlfn.CONCAT("[ ",AF67:AF70,"], ")</f>
        <v xml:space="preserve">orderDetails : [ { 'productId' : '4009', 'productName' : 'Pecan Braid', 'quantity' : 17, 'price' : 7.59, 'subTotal' : 129.03 },{ 'productId' : '4004', 'productName' : 'Everything Bagel', 'quantity' : 10, 'price' : 7.49, 'subTotal' : 74.9 },{ 'productId' : '4010', 'productName' : 'Blueberry Muffin', 'quantity' : 11, 'price' : 8.35, 'subTotal' : 91.85 },{ 'productId' : '4018', 'productName' : 'Cheese Bread', 'quantity' : 13, 'price' : 5.99, 'subTotal' : 77.87 }], </v>
      </c>
      <c r="AG72" s="60" t="str">
        <f>IF(AG71="","","'"&amp;AG$11&amp;"' : new Date('"&amp;TEXT(AG71,"yyyy-mm-dd")&amp;"'), ")</f>
        <v xml:space="preserve">'orderDate' : new Date('2022-11-05'), </v>
      </c>
      <c r="AH72" s="60"/>
      <c r="AI72" s="60" t="str">
        <f>IF(AI71="","","'"&amp;AI$11&amp;"' : '"&amp;AI71&amp;"', ")</f>
        <v xml:space="preserve">'orderStatus' : 'Delivered', </v>
      </c>
      <c r="AJ72" s="60" t="str">
        <f>IF(AJ71="","","'"&amp;AJ$11&amp;"' : new Date('"&amp;TEXT(AJ71,"yyyy-mm-dd")&amp;"') ")</f>
        <v xml:space="preserve">'statusDate' : new Date('2022-11-05') </v>
      </c>
      <c r="AK72" s="60"/>
      <c r="AL72" s="59"/>
      <c r="AM72" s="58" t="str">
        <f ca="1">_xlfn.CONCAT("{ ",B72:AJ72,"} ,")</f>
        <v>{ 'emailAddress' : 'leo_clarkson@gmail.com', 'orderId' : '20221105104800', 'employeeUserName' : 'jbartolata', 'deliveryAddress' : { 'dName' : 'Leo Clarkson' , 'dStreet' : '832 Nelson Street' , 'dUnit' : '44' , 'dCity' : 'Cat Lake' , 'dProvince' : 'Ontario' , 'dZip' : 'P0V 1J0' , 'dMobileNumber' : '807-347-1528' } , 'billingsAddress' : { 'bName' : 'Leo Clarkson' , 'bStreet' : '1808 Pope St' , 'bCity' : 'Alberton' , 'bProvince' : 'Prince Edward Island' , 'bZip' : 'C0B 1K0' , 'bMobileNumber' : '902-853-1818' } , 'paymentMethod' : { 'paymentType' : 'Debit' , 'cardScheme' : 'Mastercard' , 'cardLast4' : '2880' } , 'totalQty' : 4, 'orderTotal' : 427.21, 'grossTotal' : 373.65, 'tax' : 48.57, 'deliveryFee' : 4.99, orderDetails : [ { 'productId' : '4009', 'productName' : 'Pecan Braid', 'quantity' : 17, 'price' : 7.59, 'subTotal' : 129.03 },{ 'productId' : '4004', 'productName' : 'Everything Bagel', 'quantity' : 10, 'price' : 7.49, 'subTotal' : 74.9 },{ 'productId' : '4010', 'productName' : 'Blueberry Muffin', 'quantity' : 11, 'price' : 8.35, 'subTotal' : 91.85 },{ 'productId' : '4018', 'productName' : 'Cheese Bread', 'quantity' : 13, 'price' : 5.99, 'subTotal' : 77.87 }], 'orderDate' : new Date('2022-11-05'), 'orderStatus' : 'Delivered', 'statusDate' : new Date('2022-11-05') } ,</v>
      </c>
    </row>
    <row r="73" spans="1:39" hidden="1" x14ac:dyDescent="0.35">
      <c r="B73" t="s">
        <v>725</v>
      </c>
      <c r="C73" s="49" t="s">
        <v>726</v>
      </c>
      <c r="D73" t="s">
        <v>680</v>
      </c>
      <c r="E73" t="s">
        <v>318</v>
      </c>
      <c r="F73" t="s">
        <v>582</v>
      </c>
      <c r="G73" t="s">
        <v>601</v>
      </c>
      <c r="H73" t="s">
        <v>431</v>
      </c>
      <c r="I73" t="s">
        <v>26</v>
      </c>
      <c r="J73" t="s">
        <v>612</v>
      </c>
      <c r="K73" t="s">
        <v>623</v>
      </c>
      <c r="L73" t="str">
        <f t="shared" ref="L73:L76" si="70">E73</f>
        <v>Rhett Fuller</v>
      </c>
      <c r="M73" t="str">
        <f>VLOOKUP($B73,Customers!$B:$J,4,0)</f>
        <v>2267 184th Street</v>
      </c>
      <c r="O73" t="str">
        <f>VLOOKUP($B73,Customers!$B:$J,6,0)</f>
        <v>Edmonton</v>
      </c>
      <c r="P73" t="str">
        <f>VLOOKUP($B73,Customers!$B:$J,7,0)</f>
        <v>Alberta</v>
      </c>
      <c r="Q73" t="str">
        <f>VLOOKUP($B73,Customers!$B:$J,8,0)</f>
        <v>T5J 2R4</v>
      </c>
      <c r="R73" t="str">
        <f>VLOOKUP($B73,Customers!$B:$J,9,0)</f>
        <v>780-485-2704</v>
      </c>
      <c r="S73" t="str">
        <f>VLOOKUP($B73,Customers!$B:$T,16,0)</f>
        <v>Debit</v>
      </c>
      <c r="T73" t="str">
        <f>VLOOKUP($B73,Customers!$B:$T,18,0)</f>
        <v>Visa</v>
      </c>
      <c r="U73" t="str">
        <f>VLOOKUP($B73,Customers!$B:$T,19,0)</f>
        <v>2064</v>
      </c>
      <c r="V73">
        <f ca="1">COUNTIF(C:C,C73)-1</f>
        <v>3</v>
      </c>
      <c r="X73">
        <f t="shared" ref="X73:X75" si="71">AC73*AD73</f>
        <v>59.85</v>
      </c>
      <c r="Y73">
        <f t="shared" ref="Y73:Y75" si="72">ROUND(X73*13%,2)</f>
        <v>7.78</v>
      </c>
      <c r="AA73">
        <v>5001</v>
      </c>
      <c r="AB73" t="s">
        <v>89</v>
      </c>
      <c r="AC73">
        <v>15</v>
      </c>
      <c r="AD73">
        <v>3.99</v>
      </c>
      <c r="AE73">
        <f>AC73*AD73</f>
        <v>59.85</v>
      </c>
      <c r="AF73" s="54" t="str">
        <f>"{ '"&amp;AA$11&amp;"' : '"&amp;AA73&amp;"', '"&amp;AB$11&amp;"' : '"&amp;AB73&amp;"', '"&amp;AC$11&amp;"' : "&amp;AC73&amp;", '"&amp;AD$11&amp;"' : "&amp;AD73&amp;", '"&amp;AE$11&amp;"' : "&amp;AE73&amp;" },"</f>
        <v>{ 'productId' : '5001', 'productName' : 'Hot Chocolait', 'quantity' : 15, 'price' : 3.99, 'subTotal' : 59.85 },</v>
      </c>
      <c r="AG73" s="48">
        <v>44870</v>
      </c>
      <c r="AH73" s="50" t="s">
        <v>711</v>
      </c>
      <c r="AI73" t="s">
        <v>755</v>
      </c>
      <c r="AJ73" s="48">
        <f>AG73</f>
        <v>44870</v>
      </c>
      <c r="AK73" t="s">
        <v>727</v>
      </c>
    </row>
    <row r="74" spans="1:39" hidden="1" x14ac:dyDescent="0.35">
      <c r="B74" t="s">
        <v>725</v>
      </c>
      <c r="C74" t="s">
        <v>726</v>
      </c>
      <c r="D74" t="s">
        <v>680</v>
      </c>
      <c r="E74" t="s">
        <v>318</v>
      </c>
      <c r="F74" t="s">
        <v>582</v>
      </c>
      <c r="G74" t="s">
        <v>601</v>
      </c>
      <c r="H74" t="s">
        <v>431</v>
      </c>
      <c r="I74" t="s">
        <v>26</v>
      </c>
      <c r="J74" t="s">
        <v>612</v>
      </c>
      <c r="K74" t="s">
        <v>623</v>
      </c>
      <c r="L74" t="str">
        <f t="shared" si="70"/>
        <v>Rhett Fuller</v>
      </c>
      <c r="M74" t="str">
        <f>VLOOKUP($B74,Customers!$B:$J,4,0)</f>
        <v>2267 184th Street</v>
      </c>
      <c r="O74" t="str">
        <f>VLOOKUP($B74,Customers!$B:$J,6,0)</f>
        <v>Edmonton</v>
      </c>
      <c r="P74" t="str">
        <f>VLOOKUP($B74,Customers!$B:$J,7,0)</f>
        <v>Alberta</v>
      </c>
      <c r="Q74" t="str">
        <f>VLOOKUP($B74,Customers!$B:$J,8,0)</f>
        <v>T5J 2R4</v>
      </c>
      <c r="R74" t="str">
        <f>VLOOKUP($B74,Customers!$B:$J,9,0)</f>
        <v>780-485-2704</v>
      </c>
      <c r="S74" t="str">
        <f>VLOOKUP($B74,Customers!$B:$T,16,0)</f>
        <v>Debit</v>
      </c>
      <c r="T74" t="str">
        <f>VLOOKUP($B74,Customers!$B:$T,18,0)</f>
        <v>Visa</v>
      </c>
      <c r="U74" t="str">
        <f>VLOOKUP($B74,Customers!$B:$T,19,0)</f>
        <v>2064</v>
      </c>
      <c r="V74">
        <f ca="1">COUNTIF(C:C,C74)-1</f>
        <v>3</v>
      </c>
      <c r="X74">
        <f t="shared" si="71"/>
        <v>44.910000000000004</v>
      </c>
      <c r="Y74">
        <f t="shared" si="72"/>
        <v>5.84</v>
      </c>
      <c r="AA74">
        <v>5002</v>
      </c>
      <c r="AB74" t="s">
        <v>92</v>
      </c>
      <c r="AC74">
        <v>9</v>
      </c>
      <c r="AD74">
        <v>4.99</v>
      </c>
      <c r="AE74">
        <f>AC74*AD74</f>
        <v>44.910000000000004</v>
      </c>
      <c r="AF74" s="54" t="str">
        <f>"{ '"&amp;AA$11&amp;"' : '"&amp;AA74&amp;"', '"&amp;AB$11&amp;"' : '"&amp;AB74&amp;"', '"&amp;AC$11&amp;"' : "&amp;AC74&amp;", '"&amp;AD$11&amp;"' : "&amp;AD74&amp;", '"&amp;AE$11&amp;"' : "&amp;AE74&amp;" },"</f>
        <v>{ 'productId' : '5002', 'productName' : 'Greek Yougurt with mixed Berries', 'quantity' : 9, 'price' : 4.99, 'subTotal' : 44.91 },</v>
      </c>
      <c r="AG74" s="48">
        <v>44870</v>
      </c>
      <c r="AH74" s="48" t="str">
        <f t="shared" ref="AH74:AH75" si="73">AH73</f>
        <v>082400</v>
      </c>
      <c r="AI74" t="str">
        <f t="shared" ref="AI74:AJ75" si="74">AI73</f>
        <v>Delivered</v>
      </c>
      <c r="AJ74" s="48">
        <f t="shared" si="74"/>
        <v>44870</v>
      </c>
    </row>
    <row r="75" spans="1:39" hidden="1" x14ac:dyDescent="0.35">
      <c r="B75" t="s">
        <v>725</v>
      </c>
      <c r="C75" t="s">
        <v>726</v>
      </c>
      <c r="D75" t="s">
        <v>680</v>
      </c>
      <c r="E75" t="s">
        <v>318</v>
      </c>
      <c r="F75" t="s">
        <v>582</v>
      </c>
      <c r="G75" t="s">
        <v>601</v>
      </c>
      <c r="H75" t="s">
        <v>431</v>
      </c>
      <c r="I75" t="s">
        <v>26</v>
      </c>
      <c r="J75" t="s">
        <v>612</v>
      </c>
      <c r="K75" t="s">
        <v>623</v>
      </c>
      <c r="L75" t="str">
        <f t="shared" si="70"/>
        <v>Rhett Fuller</v>
      </c>
      <c r="M75" t="str">
        <f>VLOOKUP($B75,Customers!$B:$J,4,0)</f>
        <v>2267 184th Street</v>
      </c>
      <c r="O75" t="str">
        <f>VLOOKUP($B75,Customers!$B:$J,6,0)</f>
        <v>Edmonton</v>
      </c>
      <c r="P75" t="str">
        <f>VLOOKUP($B75,Customers!$B:$J,7,0)</f>
        <v>Alberta</v>
      </c>
      <c r="Q75" t="str">
        <f>VLOOKUP($B75,Customers!$B:$J,8,0)</f>
        <v>T5J 2R4</v>
      </c>
      <c r="R75" t="str">
        <f>VLOOKUP($B75,Customers!$B:$J,9,0)</f>
        <v>780-485-2704</v>
      </c>
      <c r="S75" t="str">
        <f>VLOOKUP($B75,Customers!$B:$T,16,0)</f>
        <v>Debit</v>
      </c>
      <c r="T75" t="str">
        <f>VLOOKUP($B75,Customers!$B:$T,18,0)</f>
        <v>Visa</v>
      </c>
      <c r="U75" t="str">
        <f>VLOOKUP($B75,Customers!$B:$T,19,0)</f>
        <v>2064</v>
      </c>
      <c r="V75">
        <f ca="1">COUNTIF(C:C,C75)-1</f>
        <v>3</v>
      </c>
      <c r="X75">
        <f t="shared" si="71"/>
        <v>74.850000000000009</v>
      </c>
      <c r="Y75">
        <f t="shared" si="72"/>
        <v>9.73</v>
      </c>
      <c r="AA75">
        <v>5002</v>
      </c>
      <c r="AB75" t="s">
        <v>92</v>
      </c>
      <c r="AC75">
        <v>15</v>
      </c>
      <c r="AD75">
        <v>4.99</v>
      </c>
      <c r="AE75">
        <f>AC75*AD75</f>
        <v>74.850000000000009</v>
      </c>
      <c r="AF75" s="54" t="str">
        <f>"{ '"&amp;AA$11&amp;"' : '"&amp;AA75&amp;"', '"&amp;AB$11&amp;"' : '"&amp;AB75&amp;"', '"&amp;AC$11&amp;"' : "&amp;AC75&amp;", '"&amp;AD$11&amp;"' : "&amp;AD75&amp;", '"&amp;AE$11&amp;"' : "&amp;AE75&amp;" }"</f>
        <v>{ 'productId' : '5002', 'productName' : 'Greek Yougurt with mixed Berries', 'quantity' : 15, 'price' : 4.99, 'subTotal' : 74.85 }</v>
      </c>
      <c r="AG75" s="48">
        <v>44870</v>
      </c>
      <c r="AH75" s="48" t="str">
        <f t="shared" si="73"/>
        <v>082400</v>
      </c>
      <c r="AI75" t="str">
        <f t="shared" si="74"/>
        <v>Delivered</v>
      </c>
      <c r="AJ75" s="48">
        <f t="shared" si="74"/>
        <v>44870</v>
      </c>
    </row>
    <row r="76" spans="1:39" hidden="1" x14ac:dyDescent="0.35">
      <c r="A76" t="s">
        <v>759</v>
      </c>
      <c r="B76" t="s">
        <v>725</v>
      </c>
      <c r="C76" t="s">
        <v>726</v>
      </c>
      <c r="D76" t="s">
        <v>680</v>
      </c>
      <c r="E76" t="s">
        <v>318</v>
      </c>
      <c r="F76" t="s">
        <v>582</v>
      </c>
      <c r="G76" t="s">
        <v>601</v>
      </c>
      <c r="H76" t="s">
        <v>431</v>
      </c>
      <c r="I76" t="s">
        <v>26</v>
      </c>
      <c r="J76" t="s">
        <v>612</v>
      </c>
      <c r="K76" t="s">
        <v>623</v>
      </c>
      <c r="L76" t="str">
        <f t="shared" si="70"/>
        <v>Rhett Fuller</v>
      </c>
      <c r="M76" t="str">
        <f>VLOOKUP($B76,Customers!$B:$J,4,0)</f>
        <v>2267 184th Street</v>
      </c>
      <c r="O76" t="str">
        <f>VLOOKUP($B76,Customers!$B:$J,6,0)</f>
        <v>Edmonton</v>
      </c>
      <c r="P76" t="str">
        <f>VLOOKUP($B76,Customers!$B:$J,7,0)</f>
        <v>Alberta</v>
      </c>
      <c r="Q76" t="str">
        <f>VLOOKUP($B76,Customers!$B:$J,8,0)</f>
        <v>T5J 2R4</v>
      </c>
      <c r="R76" t="str">
        <f>VLOOKUP($B76,Customers!$B:$J,9,0)</f>
        <v>780-485-2704</v>
      </c>
      <c r="S76" t="str">
        <f>VLOOKUP($B76,Customers!$B:$T,16,0)</f>
        <v>Debit</v>
      </c>
      <c r="T76" t="str">
        <f>VLOOKUP($B76,Customers!$B:$T,18,0)</f>
        <v>Visa</v>
      </c>
      <c r="U76" t="str">
        <f>VLOOKUP($B76,Customers!$B:$T,19,0)</f>
        <v>2064</v>
      </c>
      <c r="V76">
        <f ca="1">COUNTIF(C:C,C76)-1</f>
        <v>3</v>
      </c>
      <c r="W76">
        <f>SUM(X76:Z76)</f>
        <v>207.95000000000002</v>
      </c>
      <c r="X76">
        <f>SUM(X73:X75)</f>
        <v>179.61</v>
      </c>
      <c r="Y76">
        <f>SUM(Y73:Y75)</f>
        <v>23.35</v>
      </c>
      <c r="Z76">
        <v>4.99</v>
      </c>
      <c r="AF76" s="54"/>
      <c r="AG76" s="48">
        <f>AG75</f>
        <v>44870</v>
      </c>
      <c r="AH76" s="48"/>
      <c r="AI76" t="str">
        <f t="shared" ref="AI76:AJ76" si="75">AI75</f>
        <v>Delivered</v>
      </c>
      <c r="AJ76" s="48">
        <f t="shared" si="75"/>
        <v>44870</v>
      </c>
    </row>
    <row r="77" spans="1:39" s="58" customFormat="1" ht="58" hidden="1" x14ac:dyDescent="0.35">
      <c r="A77" s="60" t="s">
        <v>760</v>
      </c>
      <c r="B77" s="60" t="str">
        <f>IF(B76="","","'"&amp;B$11&amp;"' : '"&amp;B76&amp;"', ")</f>
        <v xml:space="preserve">'emailAddress' : 'rhett_fuller@gmail.com', </v>
      </c>
      <c r="C77" s="60" t="str">
        <f>IF(C76="","","'"&amp;C$11&amp;"' : '"&amp;C76&amp;"', ")</f>
        <v xml:space="preserve">'orderId' : '20221105082400', </v>
      </c>
      <c r="D77" s="60" t="str">
        <f>IF(D76="","","'"&amp;D$11&amp;"' : '"&amp;D76&amp;"', ")</f>
        <v xml:space="preserve">'employeeUserName' : 'lzapanta', </v>
      </c>
      <c r="E77" s="60" t="str">
        <f>IF(E76="","","'"&amp;$F$10&amp;"' : { '"&amp;E$11&amp;"' : '"&amp;E76&amp;"' , ")</f>
        <v xml:space="preserve">'deliveryAddress' : { 'dName' : 'Rhett Fuller' , </v>
      </c>
      <c r="F77" s="60" t="str">
        <f>IF(F76="","","'"&amp;F$11&amp;"' : '"&amp;F76&amp;"' , ")</f>
        <v xml:space="preserve">'dStreet' : '1958 Weir Crescent' , </v>
      </c>
      <c r="G77" s="60" t="str">
        <f>IF(G76="","","'"&amp;G$11&amp;"' : '"&amp;G76&amp;"' , ")</f>
        <v xml:space="preserve">'dUnit' : '71' , </v>
      </c>
      <c r="H77" s="60" t="str">
        <f>IF(H76="","","'"&amp;H$11&amp;"' : '"&amp;H76&amp;"' , ")</f>
        <v xml:space="preserve">'dCity' : 'Toronto' , </v>
      </c>
      <c r="I77" s="60" t="str">
        <f>IF(I76="","","'"&amp;I$11&amp;"' : '"&amp;I76&amp;"' , ")</f>
        <v xml:space="preserve">'dProvince' : 'Ontario' , </v>
      </c>
      <c r="J77" s="60" t="str">
        <f>IF(J76="","","'"&amp;J$11&amp;"' : '"&amp;J76&amp;"' , ")</f>
        <v xml:space="preserve">'dZip' : 'M1E 3T8' , </v>
      </c>
      <c r="K77" s="60" t="str">
        <f>IF(K76="","","'"&amp;K$11&amp;"' : '"&amp;K76&amp;"' } , ")</f>
        <v xml:space="preserve">'dMobileNumber' : '647-828-4520' } , </v>
      </c>
      <c r="L77" s="60" t="str">
        <f>IF(L76="","","'"&amp;$L$10&amp;"' : { '"&amp;L$11&amp;"' : '"&amp;L76&amp;"' , ")</f>
        <v xml:space="preserve">'billingsAddress' : { 'bName' : 'Rhett Fuller' , </v>
      </c>
      <c r="M77" s="60" t="str">
        <f>IF(M76="","","'"&amp;M$11&amp;"' : '"&amp;M76&amp;"' , ")</f>
        <v xml:space="preserve">'bStreet' : '2267 184th Street' , </v>
      </c>
      <c r="N77" s="60" t="str">
        <f>IF(N76="","","'"&amp;N$11&amp;"' : '"&amp;N76&amp;"' , ")</f>
        <v/>
      </c>
      <c r="O77" s="60" t="str">
        <f>IF(O76="","","'"&amp;O$11&amp;"' : '"&amp;O76&amp;"' , ")</f>
        <v xml:space="preserve">'bCity' : 'Edmonton' , </v>
      </c>
      <c r="P77" s="60" t="str">
        <f>IF(P76="","","'"&amp;P$11&amp;"' : '"&amp;P76&amp;"' , ")</f>
        <v xml:space="preserve">'bProvince' : 'Alberta' , </v>
      </c>
      <c r="Q77" s="60" t="str">
        <f>IF(Q76="","","'"&amp;Q$11&amp;"' : '"&amp;Q76&amp;"' , ")</f>
        <v xml:space="preserve">'bZip' : 'T5J 2R4' , </v>
      </c>
      <c r="R77" s="60" t="str">
        <f>IF(R76="","","'"&amp;R$11&amp;"' : '"&amp;R76&amp;"' } , ")</f>
        <v xml:space="preserve">'bMobileNumber' : '780-485-2704' } , </v>
      </c>
      <c r="S77" s="60" t="str">
        <f>IF(S76="","","'"&amp;$S$10&amp;"' : { '"&amp;S$11&amp;"' : '"&amp;S76&amp;"' , ")</f>
        <v xml:space="preserve">'paymentMethod' : { 'paymentType' : 'Debit' , </v>
      </c>
      <c r="T77" s="60" t="str">
        <f>IF(T76="","","'"&amp;T$11&amp;"' : '"&amp;T76&amp;"' , ")</f>
        <v xml:space="preserve">'cardScheme' : 'Visa' , </v>
      </c>
      <c r="U77" s="60" t="str">
        <f>IF(U76="","","'"&amp;U$11&amp;"' : '"&amp;U76&amp;"' } , ")</f>
        <v xml:space="preserve">'cardLast4' : '2064' } , </v>
      </c>
      <c r="V77" s="60" t="str">
        <f ca="1">IF(V76="","","'"&amp;V$11&amp;"' : "&amp;V76&amp;", ")</f>
        <v xml:space="preserve">'totalQty' : 3, </v>
      </c>
      <c r="W77" s="60" t="str">
        <f>IF(W76="","","'"&amp;W$11&amp;"' : "&amp;W76&amp;", ")</f>
        <v xml:space="preserve">'orderTotal' : 207.95, </v>
      </c>
      <c r="X77" s="60" t="str">
        <f>IF(X76="","","'"&amp;X$11&amp;"' : "&amp;X76&amp;", ")</f>
        <v xml:space="preserve">'grossTotal' : 179.61, </v>
      </c>
      <c r="Y77" s="60" t="str">
        <f>IF(Y76="","","'"&amp;Y$11&amp;"' : "&amp;Y76&amp;", ")</f>
        <v xml:space="preserve">'tax' : 23.35, </v>
      </c>
      <c r="Z77" s="60" t="str">
        <f>IF(Z76="","","'"&amp;Z$11&amp;"' : "&amp;Z76&amp;", ")</f>
        <v xml:space="preserve">'deliveryFee' : 4.99, </v>
      </c>
      <c r="AA77" s="60"/>
      <c r="AB77" s="60"/>
      <c r="AC77" s="60"/>
      <c r="AD77" s="60"/>
      <c r="AE77" s="60"/>
      <c r="AF77" s="60" t="str">
        <f>$AA$10&amp;" : "&amp;_xlfn.CONCAT("[ ",AF73:AF75,"], ")</f>
        <v xml:space="preserve">orderDetails : [ { 'productId' : '5001', 'productName' : 'Hot Chocolait', 'quantity' : 15, 'price' : 3.99, 'subTotal' : 59.85 },{ 'productId' : '5002', 'productName' : 'Greek Yougurt with mixed Berries', 'quantity' : 9, 'price' : 4.99, 'subTotal' : 44.91 },{ 'productId' : '5002', 'productName' : 'Greek Yougurt with mixed Berries', 'quantity' : 15, 'price' : 4.99, 'subTotal' : 74.85 }], </v>
      </c>
      <c r="AG77" s="60" t="str">
        <f>IF(AG76="","","'"&amp;AG$11&amp;"' : new Date('"&amp;TEXT(AG76,"yyyy-mm-dd")&amp;"'), ")</f>
        <v xml:space="preserve">'orderDate' : new Date('2022-11-05'), </v>
      </c>
      <c r="AH77" s="60"/>
      <c r="AI77" s="60" t="str">
        <f>IF(AI76="","","'"&amp;AI$11&amp;"' : '"&amp;AI76&amp;"', ")</f>
        <v xml:space="preserve">'orderStatus' : 'Delivered', </v>
      </c>
      <c r="AJ77" s="60" t="str">
        <f>IF(AJ76="","","'"&amp;AJ$11&amp;"' : new Date('"&amp;TEXT(AJ76,"yyyy-mm-dd")&amp;"') ")</f>
        <v xml:space="preserve">'statusDate' : new Date('2022-11-05') </v>
      </c>
      <c r="AK77" s="60"/>
      <c r="AL77" s="59"/>
      <c r="AM77" s="58" t="str">
        <f ca="1">_xlfn.CONCAT("{ ",B77:AJ77,"} ,")</f>
        <v>{ 'emailAddress' : 'rhett_fuller@gmail.com', 'orderId' : '20221105082400', 'employeeUserName' : 'lzapanta', 'deliveryAddress' : { 'dName' : 'Rhett Fuller' , 'dStreet' : '1958 Weir Crescent' , 'dUnit' : '71' , 'dCity' : 'Toronto' , 'dProvince' : 'Ontario' , 'dZip' : 'M1E 3T8' , 'dMobileNumber' : '647-828-4520' } , 'billingsAddress' : { 'bName' : 'Rhett Fuller' , 'bStreet' : '2267 184th Street' , 'bCity' : 'Edmonton' , 'bProvince' : 'Alberta' , 'bZip' : 'T5J 2R4' , 'bMobileNumber' : '780-485-2704' } , 'paymentMethod' : { 'paymentType' : 'Debit' , 'cardScheme' : 'Visa' , 'cardLast4' : '2064' } , 'totalQty' : 3, 'orderTotal' : 207.95, 'grossTotal' : 179.61, 'tax' : 23.35, 'deliveryFee' : 4.99, orderDetails : [ { 'productId' : '5001', 'productName' : 'Hot Chocolait', 'quantity' : 15, 'price' : 3.99, 'subTotal' : 59.85 },{ 'productId' : '5002', 'productName' : 'Greek Yougurt with mixed Berries', 'quantity' : 9, 'price' : 4.99, 'subTotal' : 44.91 },{ 'productId' : '5002', 'productName' : 'Greek Yougurt with mixed Berries', 'quantity' : 15, 'price' : 4.99, 'subTotal' : 74.85 }], 'orderDate' : new Date('2022-11-05'), 'orderStatus' : 'Delivered', 'statusDate' : new Date('2022-11-05') } ,</v>
      </c>
    </row>
    <row r="78" spans="1:39" hidden="1" x14ac:dyDescent="0.35">
      <c r="B78" t="s">
        <v>709</v>
      </c>
      <c r="C78" s="49" t="s">
        <v>728</v>
      </c>
      <c r="D78" t="s">
        <v>682</v>
      </c>
      <c r="E78" t="s">
        <v>323</v>
      </c>
      <c r="F78" t="s">
        <v>418</v>
      </c>
      <c r="G78" t="s">
        <v>575</v>
      </c>
      <c r="H78" t="s">
        <v>442</v>
      </c>
      <c r="I78" t="s">
        <v>26</v>
      </c>
      <c r="J78" t="s">
        <v>476</v>
      </c>
      <c r="K78" t="s">
        <v>506</v>
      </c>
      <c r="L78" t="str">
        <f t="shared" ref="L78:L81" si="76">E78</f>
        <v>Donovan Markle</v>
      </c>
      <c r="M78" t="str">
        <f>VLOOKUP($B78,Customers!$B:$J,4,0)</f>
        <v>4337 Algonquin Blvd</v>
      </c>
      <c r="N78" t="str">
        <f>VLOOKUP($B78,Customers!$B:$J,5,0)</f>
        <v>216</v>
      </c>
      <c r="O78" t="str">
        <f>VLOOKUP($B78,Customers!$B:$J,6,0)</f>
        <v>Timmins</v>
      </c>
      <c r="P78" t="str">
        <f>VLOOKUP($B78,Customers!$B:$J,7,0)</f>
        <v>Ontario</v>
      </c>
      <c r="Q78" t="str">
        <f>VLOOKUP($B78,Customers!$B:$J,8,0)</f>
        <v>P4N 7C4</v>
      </c>
      <c r="R78" t="str">
        <f>VLOOKUP($B78,Customers!$B:$J,9,0)</f>
        <v>705-668-1540</v>
      </c>
      <c r="S78" t="str">
        <f>VLOOKUP($B78,Customers!$B:$T,16,0)</f>
        <v>Credit</v>
      </c>
      <c r="T78" t="str">
        <f>VLOOKUP($B78,Customers!$B:$T,18,0)</f>
        <v>Visa</v>
      </c>
      <c r="U78" t="str">
        <f>VLOOKUP($B78,Customers!$B:$T,19,0)</f>
        <v>4070</v>
      </c>
      <c r="V78">
        <f ca="1">COUNTIF(C:C,C78)-1</f>
        <v>3</v>
      </c>
      <c r="X78">
        <f t="shared" ref="X78:X80" si="77">AC78*AD78</f>
        <v>90.3</v>
      </c>
      <c r="Y78">
        <f t="shared" ref="Y78:Y80" si="78">ROUND(X78*13%,2)</f>
        <v>11.74</v>
      </c>
      <c r="AA78">
        <v>4019</v>
      </c>
      <c r="AB78" t="s">
        <v>86</v>
      </c>
      <c r="AC78">
        <v>14</v>
      </c>
      <c r="AD78">
        <v>6.45</v>
      </c>
      <c r="AE78">
        <f>AC78*AD78</f>
        <v>90.3</v>
      </c>
      <c r="AF78" s="54" t="str">
        <f>"{ '"&amp;AA$11&amp;"' : '"&amp;AA78&amp;"', '"&amp;AB$11&amp;"' : '"&amp;AB78&amp;"', '"&amp;AC$11&amp;"' : "&amp;AC78&amp;", '"&amp;AD$11&amp;"' : "&amp;AD78&amp;", '"&amp;AE$11&amp;"' : "&amp;AE78&amp;" },"</f>
        <v>{ 'productId' : '4019', 'productName' : 'Cinnammon Swirl and Raisen Bagel', 'quantity' : 14, 'price' : 6.45, 'subTotal' : 90.3 },</v>
      </c>
      <c r="AG78" s="48">
        <v>44870</v>
      </c>
      <c r="AH78" s="50" t="s">
        <v>729</v>
      </c>
      <c r="AI78" t="s">
        <v>755</v>
      </c>
      <c r="AJ78" s="48">
        <f>AG78</f>
        <v>44870</v>
      </c>
      <c r="AK78" t="s">
        <v>708</v>
      </c>
    </row>
    <row r="79" spans="1:39" hidden="1" x14ac:dyDescent="0.35">
      <c r="B79" t="s">
        <v>709</v>
      </c>
      <c r="C79" t="s">
        <v>728</v>
      </c>
      <c r="D79" t="s">
        <v>682</v>
      </c>
      <c r="E79" t="s">
        <v>323</v>
      </c>
      <c r="F79" t="s">
        <v>418</v>
      </c>
      <c r="G79" t="s">
        <v>575</v>
      </c>
      <c r="H79" t="s">
        <v>442</v>
      </c>
      <c r="I79" t="s">
        <v>26</v>
      </c>
      <c r="J79" t="s">
        <v>476</v>
      </c>
      <c r="K79" t="s">
        <v>506</v>
      </c>
      <c r="L79" t="str">
        <f t="shared" si="76"/>
        <v>Donovan Markle</v>
      </c>
      <c r="M79" t="str">
        <f>VLOOKUP($B79,Customers!$B:$J,4,0)</f>
        <v>4337 Algonquin Blvd</v>
      </c>
      <c r="N79" t="str">
        <f>VLOOKUP($B79,Customers!$B:$J,5,0)</f>
        <v>216</v>
      </c>
      <c r="O79" t="str">
        <f>VLOOKUP($B79,Customers!$B:$J,6,0)</f>
        <v>Timmins</v>
      </c>
      <c r="P79" t="str">
        <f>VLOOKUP($B79,Customers!$B:$J,7,0)</f>
        <v>Ontario</v>
      </c>
      <c r="Q79" t="str">
        <f>VLOOKUP($B79,Customers!$B:$J,8,0)</f>
        <v>P4N 7C4</v>
      </c>
      <c r="R79" t="str">
        <f>VLOOKUP($B79,Customers!$B:$J,9,0)</f>
        <v>705-668-1540</v>
      </c>
      <c r="S79" t="str">
        <f>VLOOKUP($B79,Customers!$B:$T,16,0)</f>
        <v>Credit</v>
      </c>
      <c r="T79" t="str">
        <f>VLOOKUP($B79,Customers!$B:$T,18,0)</f>
        <v>Visa</v>
      </c>
      <c r="U79" t="str">
        <f>VLOOKUP($B79,Customers!$B:$T,19,0)</f>
        <v>4070</v>
      </c>
      <c r="V79">
        <f ca="1">COUNTIF(C:C,C79)-1</f>
        <v>3</v>
      </c>
      <c r="X79">
        <f t="shared" si="77"/>
        <v>112.5</v>
      </c>
      <c r="Y79">
        <f t="shared" si="78"/>
        <v>14.63</v>
      </c>
      <c r="AA79">
        <v>4003</v>
      </c>
      <c r="AB79" t="s">
        <v>67</v>
      </c>
      <c r="AC79">
        <v>18</v>
      </c>
      <c r="AD79">
        <v>6.25</v>
      </c>
      <c r="AE79">
        <f>AC79*AD79</f>
        <v>112.5</v>
      </c>
      <c r="AF79" s="54" t="str">
        <f>"{ '"&amp;AA$11&amp;"' : '"&amp;AA79&amp;"', '"&amp;AB$11&amp;"' : '"&amp;AB79&amp;"', '"&amp;AC$11&amp;"' : "&amp;AC79&amp;", '"&amp;AD$11&amp;"' : "&amp;AD79&amp;", '"&amp;AE$11&amp;"' : "&amp;AE79&amp;" },"</f>
        <v>{ 'productId' : '4003', 'productName' : 'Cinnamon Crunch Bagel', 'quantity' : 18, 'price' : 6.25, 'subTotal' : 112.5 },</v>
      </c>
      <c r="AG79" s="48">
        <v>44871</v>
      </c>
      <c r="AH79" s="48" t="str">
        <f t="shared" ref="AH79:AH80" si="79">AH78</f>
        <v>090712</v>
      </c>
      <c r="AI79" t="str">
        <f t="shared" ref="AI79:AJ80" si="80">AI78</f>
        <v>Delivered</v>
      </c>
      <c r="AJ79" s="48">
        <f t="shared" si="80"/>
        <v>44870</v>
      </c>
    </row>
    <row r="80" spans="1:39" hidden="1" x14ac:dyDescent="0.35">
      <c r="B80" t="s">
        <v>709</v>
      </c>
      <c r="C80" t="s">
        <v>728</v>
      </c>
      <c r="D80" t="s">
        <v>682</v>
      </c>
      <c r="E80" t="s">
        <v>323</v>
      </c>
      <c r="F80" t="s">
        <v>418</v>
      </c>
      <c r="G80" t="s">
        <v>575</v>
      </c>
      <c r="H80" t="s">
        <v>442</v>
      </c>
      <c r="I80" t="s">
        <v>26</v>
      </c>
      <c r="J80" t="s">
        <v>476</v>
      </c>
      <c r="K80" t="s">
        <v>506</v>
      </c>
      <c r="L80" t="str">
        <f t="shared" si="76"/>
        <v>Donovan Markle</v>
      </c>
      <c r="M80" t="str">
        <f>VLOOKUP($B80,Customers!$B:$J,4,0)</f>
        <v>4337 Algonquin Blvd</v>
      </c>
      <c r="N80" t="str">
        <f>VLOOKUP($B80,Customers!$B:$J,5,0)</f>
        <v>216</v>
      </c>
      <c r="O80" t="str">
        <f>VLOOKUP($B80,Customers!$B:$J,6,0)</f>
        <v>Timmins</v>
      </c>
      <c r="P80" t="str">
        <f>VLOOKUP($B80,Customers!$B:$J,7,0)</f>
        <v>Ontario</v>
      </c>
      <c r="Q80" t="str">
        <f>VLOOKUP($B80,Customers!$B:$J,8,0)</f>
        <v>P4N 7C4</v>
      </c>
      <c r="R80" t="str">
        <f>VLOOKUP($B80,Customers!$B:$J,9,0)</f>
        <v>705-668-1540</v>
      </c>
      <c r="S80" t="str">
        <f>VLOOKUP($B80,Customers!$B:$T,16,0)</f>
        <v>Credit</v>
      </c>
      <c r="T80" t="str">
        <f>VLOOKUP($B80,Customers!$B:$T,18,0)</f>
        <v>Visa</v>
      </c>
      <c r="U80" t="str">
        <f>VLOOKUP($B80,Customers!$B:$T,19,0)</f>
        <v>4070</v>
      </c>
      <c r="V80">
        <f ca="1">COUNTIF(C:C,C80)-1</f>
        <v>3</v>
      </c>
      <c r="X80">
        <f t="shared" si="77"/>
        <v>135.60000000000002</v>
      </c>
      <c r="Y80">
        <f t="shared" si="78"/>
        <v>17.63</v>
      </c>
      <c r="AA80">
        <v>4017</v>
      </c>
      <c r="AB80" t="s">
        <v>84</v>
      </c>
      <c r="AC80">
        <v>24</v>
      </c>
      <c r="AD80">
        <v>5.65</v>
      </c>
      <c r="AE80">
        <f>AC80*AD80</f>
        <v>135.60000000000002</v>
      </c>
      <c r="AF80" s="54" t="str">
        <f>"{ '"&amp;AA$11&amp;"' : '"&amp;AA80&amp;"', '"&amp;AB$11&amp;"' : '"&amp;AB80&amp;"', '"&amp;AC$11&amp;"' : "&amp;AC80&amp;", '"&amp;AD$11&amp;"' : "&amp;AD80&amp;", '"&amp;AE$11&amp;"' : "&amp;AE80&amp;" }"</f>
        <v>{ 'productId' : '4017', 'productName' : 'Malunggay Bread', 'quantity' : 24, 'price' : 5.65, 'subTotal' : 135.6 }</v>
      </c>
      <c r="AG80" s="48">
        <v>44871</v>
      </c>
      <c r="AH80" s="48" t="str">
        <f t="shared" si="79"/>
        <v>090712</v>
      </c>
      <c r="AI80" t="str">
        <f t="shared" si="80"/>
        <v>Delivered</v>
      </c>
      <c r="AJ80" s="48">
        <f t="shared" si="80"/>
        <v>44870</v>
      </c>
    </row>
    <row r="81" spans="1:39" hidden="1" x14ac:dyDescent="0.35">
      <c r="A81" t="s">
        <v>759</v>
      </c>
      <c r="B81" t="s">
        <v>709</v>
      </c>
      <c r="C81" t="s">
        <v>728</v>
      </c>
      <c r="D81" t="s">
        <v>682</v>
      </c>
      <c r="E81" t="s">
        <v>323</v>
      </c>
      <c r="F81" t="s">
        <v>418</v>
      </c>
      <c r="G81" t="s">
        <v>575</v>
      </c>
      <c r="H81" t="s">
        <v>442</v>
      </c>
      <c r="I81" t="s">
        <v>26</v>
      </c>
      <c r="J81" t="s">
        <v>476</v>
      </c>
      <c r="K81" t="s">
        <v>506</v>
      </c>
      <c r="L81" t="str">
        <f t="shared" si="76"/>
        <v>Donovan Markle</v>
      </c>
      <c r="M81" t="str">
        <f>VLOOKUP($B81,Customers!$B:$J,4,0)</f>
        <v>4337 Algonquin Blvd</v>
      </c>
      <c r="N81" t="str">
        <f>VLOOKUP($B81,Customers!$B:$J,5,0)</f>
        <v>216</v>
      </c>
      <c r="O81" t="str">
        <f>VLOOKUP($B81,Customers!$B:$J,6,0)</f>
        <v>Timmins</v>
      </c>
      <c r="P81" t="str">
        <f>VLOOKUP($B81,Customers!$B:$J,7,0)</f>
        <v>Ontario</v>
      </c>
      <c r="Q81" t="str">
        <f>VLOOKUP($B81,Customers!$B:$J,8,0)</f>
        <v>P4N 7C4</v>
      </c>
      <c r="R81" t="str">
        <f>VLOOKUP($B81,Customers!$B:$J,9,0)</f>
        <v>705-668-1540</v>
      </c>
      <c r="S81" t="str">
        <f>VLOOKUP($B81,Customers!$B:$T,16,0)</f>
        <v>Credit</v>
      </c>
      <c r="T81" t="str">
        <f>VLOOKUP($B81,Customers!$B:$T,18,0)</f>
        <v>Visa</v>
      </c>
      <c r="U81" t="str">
        <f>VLOOKUP($B81,Customers!$B:$T,19,0)</f>
        <v>4070</v>
      </c>
      <c r="V81">
        <f ca="1">COUNTIF(C:C,C81)-1</f>
        <v>3</v>
      </c>
      <c r="W81">
        <f>SUM(X81:Z81)</f>
        <v>387.39000000000004</v>
      </c>
      <c r="X81">
        <f>SUM(X78:X80)</f>
        <v>338.40000000000003</v>
      </c>
      <c r="Y81">
        <f>SUM(Y78:Y80)</f>
        <v>44</v>
      </c>
      <c r="Z81">
        <v>4.99</v>
      </c>
      <c r="AF81" s="54"/>
      <c r="AG81" s="48">
        <f>AG80</f>
        <v>44871</v>
      </c>
      <c r="AH81" s="48"/>
      <c r="AI81" t="str">
        <f t="shared" ref="AI81:AJ81" si="81">AI80</f>
        <v>Delivered</v>
      </c>
      <c r="AJ81" s="48">
        <f t="shared" si="81"/>
        <v>44870</v>
      </c>
    </row>
    <row r="82" spans="1:39" s="58" customFormat="1" ht="58" hidden="1" x14ac:dyDescent="0.35">
      <c r="A82" s="60" t="s">
        <v>760</v>
      </c>
      <c r="B82" s="60" t="str">
        <f>IF(B81="","","'"&amp;B$11&amp;"' : '"&amp;B81&amp;"', ")</f>
        <v xml:space="preserve">'emailAddress' : 'donovanmarkle@gmail.com', </v>
      </c>
      <c r="C82" s="60" t="str">
        <f>IF(C81="","","'"&amp;C$11&amp;"' : '"&amp;C81&amp;"', ")</f>
        <v xml:space="preserve">'orderId' : '20221105090712', </v>
      </c>
      <c r="D82" s="60" t="str">
        <f>IF(D81="","","'"&amp;D$11&amp;"' : '"&amp;D81&amp;"', ")</f>
        <v xml:space="preserve">'employeeUserName' : 'mjones', </v>
      </c>
      <c r="E82" s="60" t="str">
        <f>IF(E81="","","'"&amp;$F$10&amp;"' : { '"&amp;E$11&amp;"' : '"&amp;E81&amp;"' , ")</f>
        <v xml:space="preserve">'deliveryAddress' : { 'dName' : 'Donovan Markle' , </v>
      </c>
      <c r="F82" s="60" t="str">
        <f>IF(F81="","","'"&amp;F$11&amp;"' : '"&amp;F81&amp;"' , ")</f>
        <v xml:space="preserve">'dStreet' : '4337 Algonquin Blvd' , </v>
      </c>
      <c r="G82" s="60" t="str">
        <f>IF(G81="","","'"&amp;G$11&amp;"' : '"&amp;G81&amp;"' , ")</f>
        <v xml:space="preserve">'dUnit' : '216' , </v>
      </c>
      <c r="H82" s="60" t="str">
        <f>IF(H81="","","'"&amp;H$11&amp;"' : '"&amp;H81&amp;"' , ")</f>
        <v xml:space="preserve">'dCity' : 'Timmins' , </v>
      </c>
      <c r="I82" s="60" t="str">
        <f>IF(I81="","","'"&amp;I$11&amp;"' : '"&amp;I81&amp;"' , ")</f>
        <v xml:space="preserve">'dProvince' : 'Ontario' , </v>
      </c>
      <c r="J82" s="60" t="str">
        <f>IF(J81="","","'"&amp;J$11&amp;"' : '"&amp;J81&amp;"' , ")</f>
        <v xml:space="preserve">'dZip' : 'P4N 7C4' , </v>
      </c>
      <c r="K82" s="60" t="str">
        <f>IF(K81="","","'"&amp;K$11&amp;"' : '"&amp;K81&amp;"' } , ")</f>
        <v xml:space="preserve">'dMobileNumber' : '705-668-1540' } , </v>
      </c>
      <c r="L82" s="60" t="str">
        <f>IF(L81="","","'"&amp;$L$10&amp;"' : { '"&amp;L$11&amp;"' : '"&amp;L81&amp;"' , ")</f>
        <v xml:space="preserve">'billingsAddress' : { 'bName' : 'Donovan Markle' , </v>
      </c>
      <c r="M82" s="60" t="str">
        <f>IF(M81="","","'"&amp;M$11&amp;"' : '"&amp;M81&amp;"' , ")</f>
        <v xml:space="preserve">'bStreet' : '4337 Algonquin Blvd' , </v>
      </c>
      <c r="N82" s="60" t="str">
        <f>IF(N81="","","'"&amp;N$11&amp;"' : '"&amp;N81&amp;"' , ")</f>
        <v xml:space="preserve">'bUnit' : '216' , </v>
      </c>
      <c r="O82" s="60" t="str">
        <f>IF(O81="","","'"&amp;O$11&amp;"' : '"&amp;O81&amp;"' , ")</f>
        <v xml:space="preserve">'bCity' : 'Timmins' , </v>
      </c>
      <c r="P82" s="60" t="str">
        <f>IF(P81="","","'"&amp;P$11&amp;"' : '"&amp;P81&amp;"' , ")</f>
        <v xml:space="preserve">'bProvince' : 'Ontario' , </v>
      </c>
      <c r="Q82" s="60" t="str">
        <f>IF(Q81="","","'"&amp;Q$11&amp;"' : '"&amp;Q81&amp;"' , ")</f>
        <v xml:space="preserve">'bZip' : 'P4N 7C4' , </v>
      </c>
      <c r="R82" s="60" t="str">
        <f>IF(R81="","","'"&amp;R$11&amp;"' : '"&amp;R81&amp;"' } , ")</f>
        <v xml:space="preserve">'bMobileNumber' : '705-668-1540' } , </v>
      </c>
      <c r="S82" s="60" t="str">
        <f>IF(S81="","","'"&amp;$S$10&amp;"' : { '"&amp;S$11&amp;"' : '"&amp;S81&amp;"' , ")</f>
        <v xml:space="preserve">'paymentMethod' : { 'paymentType' : 'Credit' , </v>
      </c>
      <c r="T82" s="60" t="str">
        <f>IF(T81="","","'"&amp;T$11&amp;"' : '"&amp;T81&amp;"' , ")</f>
        <v xml:space="preserve">'cardScheme' : 'Visa' , </v>
      </c>
      <c r="U82" s="60" t="str">
        <f>IF(U81="","","'"&amp;U$11&amp;"' : '"&amp;U81&amp;"' } , ")</f>
        <v xml:space="preserve">'cardLast4' : '4070' } , </v>
      </c>
      <c r="V82" s="60" t="str">
        <f ca="1">IF(V81="","","'"&amp;V$11&amp;"' : "&amp;V81&amp;", ")</f>
        <v xml:space="preserve">'totalQty' : 3, </v>
      </c>
      <c r="W82" s="60" t="str">
        <f>IF(W81="","","'"&amp;W$11&amp;"' : "&amp;W81&amp;", ")</f>
        <v xml:space="preserve">'orderTotal' : 387.39, </v>
      </c>
      <c r="X82" s="60" t="str">
        <f>IF(X81="","","'"&amp;X$11&amp;"' : "&amp;X81&amp;", ")</f>
        <v xml:space="preserve">'grossTotal' : 338.4, </v>
      </c>
      <c r="Y82" s="60" t="str">
        <f>IF(Y81="","","'"&amp;Y$11&amp;"' : "&amp;Y81&amp;", ")</f>
        <v xml:space="preserve">'tax' : 44, </v>
      </c>
      <c r="Z82" s="60" t="str">
        <f>IF(Z81="","","'"&amp;Z$11&amp;"' : "&amp;Z81&amp;", ")</f>
        <v xml:space="preserve">'deliveryFee' : 4.99, </v>
      </c>
      <c r="AA82" s="60"/>
      <c r="AB82" s="60"/>
      <c r="AC82" s="60"/>
      <c r="AD82" s="60"/>
      <c r="AE82" s="60"/>
      <c r="AF82" s="60" t="str">
        <f>$AA$10&amp;" : "&amp;_xlfn.CONCAT("[ ",AF78:AF80,"], ")</f>
        <v xml:space="preserve">orderDetails : [ { 'productId' : '4019', 'productName' : 'Cinnammon Swirl and Raisen Bagel', 'quantity' : 14, 'price' : 6.45, 'subTotal' : 90.3 },{ 'productId' : '4003', 'productName' : 'Cinnamon Crunch Bagel', 'quantity' : 18, 'price' : 6.25, 'subTotal' : 112.5 },{ 'productId' : '4017', 'productName' : 'Malunggay Bread', 'quantity' : 24, 'price' : 5.65, 'subTotal' : 135.6 }], </v>
      </c>
      <c r="AG82" s="60" t="str">
        <f>IF(AG81="","","'"&amp;AG$11&amp;"' : new Date('"&amp;TEXT(AG81,"yyyy-mm-dd")&amp;"'), ")</f>
        <v xml:space="preserve">'orderDate' : new Date('2022-11-06'), </v>
      </c>
      <c r="AH82" s="60"/>
      <c r="AI82" s="60" t="str">
        <f>IF(AI81="","","'"&amp;AI$11&amp;"' : '"&amp;AI81&amp;"', ")</f>
        <v xml:space="preserve">'orderStatus' : 'Delivered', </v>
      </c>
      <c r="AJ82" s="60" t="str">
        <f>IF(AJ81="","","'"&amp;AJ$11&amp;"' : new Date('"&amp;TEXT(AJ81,"yyyy-mm-dd")&amp;"') ")</f>
        <v xml:space="preserve">'statusDate' : new Date('2022-11-05') </v>
      </c>
      <c r="AK82" s="60"/>
      <c r="AL82" s="59"/>
      <c r="AM82" s="58" t="str">
        <f ca="1">_xlfn.CONCAT("{ ",B82:AJ82,"} ,")</f>
        <v>{ 'emailAddress' : 'donovanmarkle@gmail.com', 'orderId' : '20221105090712', 'employeeUserName' : 'mjones', 'deliveryAddress' : { 'dName' : 'Donovan Markle' , 'dStreet' : '4337 Algonquin Blvd' , 'dUnit' : '216' , 'dCity' : 'Timmins' , 'dProvince' : 'Ontario' , 'dZip' : 'P4N 7C4' , 'dMobileNumber' : '705-668-1540' } , 'billingsAddress' : { 'bName' : 'Donovan Markle' , 'bStreet' : '4337 Algonquin Blvd' , 'bUnit' : '216' , 'bCity' : 'Timmins' , 'bProvince' : 'Ontario' , 'bZip' : 'P4N 7C4' , 'bMobileNumber' : '705-668-1540' } , 'paymentMethod' : { 'paymentType' : 'Credit' , 'cardScheme' : 'Visa' , 'cardLast4' : '4070' } , 'totalQty' : 3, 'orderTotal' : 387.39, 'grossTotal' : 338.4, 'tax' : 44, 'deliveryFee' : 4.99, orderDetails : [ { 'productId' : '4019', 'productName' : 'Cinnammon Swirl and Raisen Bagel', 'quantity' : 14, 'price' : 6.45, 'subTotal' : 90.3 },{ 'productId' : '4003', 'productName' : 'Cinnamon Crunch Bagel', 'quantity' : 18, 'price' : 6.25, 'subTotal' : 112.5 },{ 'productId' : '4017', 'productName' : 'Malunggay Bread', 'quantity' : 24, 'price' : 5.65, 'subTotal' : 135.6 }], 'orderDate' : new Date('2022-11-06'), 'orderStatus' : 'Delivered', 'statusDate' : new Date('2022-11-05') } ,</v>
      </c>
    </row>
    <row r="83" spans="1:39" hidden="1" x14ac:dyDescent="0.35">
      <c r="B83" t="s">
        <v>694</v>
      </c>
      <c r="C83" s="49" t="s">
        <v>730</v>
      </c>
      <c r="D83" t="s">
        <v>682</v>
      </c>
      <c r="E83" t="s">
        <v>329</v>
      </c>
      <c r="F83" t="s">
        <v>583</v>
      </c>
      <c r="G83" t="s">
        <v>602</v>
      </c>
      <c r="H83" t="s">
        <v>431</v>
      </c>
      <c r="I83" t="s">
        <v>26</v>
      </c>
      <c r="J83" t="s">
        <v>465</v>
      </c>
      <c r="K83" t="s">
        <v>624</v>
      </c>
      <c r="L83" t="str">
        <f t="shared" ref="L83:L85" si="82">E83</f>
        <v>Norah Fessenden</v>
      </c>
      <c r="M83" t="str">
        <f>VLOOKUP($B83,Customers!$B:$J,4,0)</f>
        <v>1751 Wallbridge Loyalist Rd</v>
      </c>
      <c r="O83" t="str">
        <f>VLOOKUP($B83,Customers!$B:$J,6,0)</f>
        <v>Belleville</v>
      </c>
      <c r="P83" t="str">
        <f>VLOOKUP($B83,Customers!$B:$J,7,0)</f>
        <v>Ontario</v>
      </c>
      <c r="Q83" t="str">
        <f>VLOOKUP($B83,Customers!$B:$J,8,0)</f>
        <v>K8N 1L9</v>
      </c>
      <c r="R83" t="str">
        <f>VLOOKUP($B83,Customers!$B:$J,9,0)</f>
        <v>613-847-5941</v>
      </c>
      <c r="S83" t="str">
        <f>VLOOKUP($B83,Customers!$B:$T,16,0)</f>
        <v>Debit</v>
      </c>
      <c r="T83" t="str">
        <f>VLOOKUP($B83,Customers!$B:$T,18,0)</f>
        <v>Visa</v>
      </c>
      <c r="U83" t="str">
        <f>VLOOKUP($B83,Customers!$B:$T,19,0)</f>
        <v>2541</v>
      </c>
      <c r="V83">
        <f ca="1">COUNTIF(C:C,C83)-1</f>
        <v>2</v>
      </c>
      <c r="X83">
        <f t="shared" ref="X83:X84" si="83">AC83*AD83</f>
        <v>5.99</v>
      </c>
      <c r="Y83">
        <f t="shared" ref="Y83:Y84" si="84">ROUND(X83*13%,2)</f>
        <v>0.78</v>
      </c>
      <c r="AA83">
        <v>4018</v>
      </c>
      <c r="AB83" t="s">
        <v>85</v>
      </c>
      <c r="AC83">
        <v>1</v>
      </c>
      <c r="AD83">
        <v>5.99</v>
      </c>
      <c r="AE83">
        <f>AC83*AD83</f>
        <v>5.99</v>
      </c>
      <c r="AF83" s="54" t="str">
        <f>"{ '"&amp;AA$11&amp;"' : '"&amp;AA83&amp;"', '"&amp;AB$11&amp;"' : '"&amp;AB83&amp;"', '"&amp;AC$11&amp;"' : "&amp;AC83&amp;", '"&amp;AD$11&amp;"' : "&amp;AD83&amp;", '"&amp;AE$11&amp;"' : "&amp;AE83&amp;" },"</f>
        <v>{ 'productId' : '4018', 'productName' : 'Cheese Bread', 'quantity' : 1, 'price' : 5.99, 'subTotal' : 5.99 },</v>
      </c>
      <c r="AG83" s="48">
        <v>44871</v>
      </c>
      <c r="AH83" s="50" t="s">
        <v>731</v>
      </c>
      <c r="AI83" t="s">
        <v>755</v>
      </c>
      <c r="AJ83" s="48">
        <f>AG83</f>
        <v>44871</v>
      </c>
      <c r="AK83" t="s">
        <v>709</v>
      </c>
    </row>
    <row r="84" spans="1:39" hidden="1" x14ac:dyDescent="0.35">
      <c r="B84" t="s">
        <v>694</v>
      </c>
      <c r="C84" t="s">
        <v>730</v>
      </c>
      <c r="D84" t="s">
        <v>682</v>
      </c>
      <c r="E84" t="s">
        <v>329</v>
      </c>
      <c r="F84" t="s">
        <v>583</v>
      </c>
      <c r="G84" t="s">
        <v>602</v>
      </c>
      <c r="H84" t="s">
        <v>431</v>
      </c>
      <c r="I84" t="s">
        <v>26</v>
      </c>
      <c r="J84" t="s">
        <v>465</v>
      </c>
      <c r="K84" t="s">
        <v>624</v>
      </c>
      <c r="L84" t="str">
        <f t="shared" si="82"/>
        <v>Norah Fessenden</v>
      </c>
      <c r="M84" t="str">
        <f>VLOOKUP($B84,Customers!$B:$J,4,0)</f>
        <v>1751 Wallbridge Loyalist Rd</v>
      </c>
      <c r="O84" t="str">
        <f>VLOOKUP($B84,Customers!$B:$J,6,0)</f>
        <v>Belleville</v>
      </c>
      <c r="P84" t="str">
        <f>VLOOKUP($B84,Customers!$B:$J,7,0)</f>
        <v>Ontario</v>
      </c>
      <c r="Q84" t="str">
        <f>VLOOKUP($B84,Customers!$B:$J,8,0)</f>
        <v>K8N 1L9</v>
      </c>
      <c r="R84" t="str">
        <f>VLOOKUP($B84,Customers!$B:$J,9,0)</f>
        <v>613-847-5941</v>
      </c>
      <c r="S84" t="str">
        <f>VLOOKUP($B84,Customers!$B:$T,16,0)</f>
        <v>Debit</v>
      </c>
      <c r="T84" t="str">
        <f>VLOOKUP($B84,Customers!$B:$T,18,0)</f>
        <v>Visa</v>
      </c>
      <c r="U84" t="str">
        <f>VLOOKUP($B84,Customers!$B:$T,19,0)</f>
        <v>2541</v>
      </c>
      <c r="V84">
        <f ca="1">COUNTIF(C:C,C84)-1</f>
        <v>2</v>
      </c>
      <c r="X84">
        <f t="shared" si="83"/>
        <v>23.96</v>
      </c>
      <c r="Y84">
        <f t="shared" si="84"/>
        <v>3.11</v>
      </c>
      <c r="AA84">
        <v>4018</v>
      </c>
      <c r="AB84" t="s">
        <v>85</v>
      </c>
      <c r="AC84">
        <v>4</v>
      </c>
      <c r="AD84">
        <v>5.99</v>
      </c>
      <c r="AE84">
        <f>AC84*AD84</f>
        <v>23.96</v>
      </c>
      <c r="AF84" s="54" t="str">
        <f>"{ '"&amp;AA$11&amp;"' : '"&amp;AA84&amp;"', '"&amp;AB$11&amp;"' : '"&amp;AB84&amp;"', '"&amp;AC$11&amp;"' : "&amp;AC84&amp;", '"&amp;AD$11&amp;"' : "&amp;AD84&amp;", '"&amp;AE$11&amp;"' : "&amp;AE84&amp;" }"</f>
        <v>{ 'productId' : '4018', 'productName' : 'Cheese Bread', 'quantity' : 4, 'price' : 5.99, 'subTotal' : 23.96 }</v>
      </c>
      <c r="AG84" s="48">
        <v>44871</v>
      </c>
      <c r="AH84" s="48" t="str">
        <f>AH83</f>
        <v>111648</v>
      </c>
      <c r="AI84" t="str">
        <f t="shared" ref="AI84:AJ84" si="85">AI83</f>
        <v>Delivered</v>
      </c>
      <c r="AJ84" s="48">
        <f t="shared" si="85"/>
        <v>44871</v>
      </c>
    </row>
    <row r="85" spans="1:39" hidden="1" x14ac:dyDescent="0.35">
      <c r="A85" t="s">
        <v>759</v>
      </c>
      <c r="B85" t="s">
        <v>694</v>
      </c>
      <c r="C85" t="s">
        <v>730</v>
      </c>
      <c r="D85" t="s">
        <v>682</v>
      </c>
      <c r="E85" t="s">
        <v>329</v>
      </c>
      <c r="F85" t="s">
        <v>583</v>
      </c>
      <c r="G85" t="s">
        <v>602</v>
      </c>
      <c r="H85" t="s">
        <v>431</v>
      </c>
      <c r="I85" t="s">
        <v>26</v>
      </c>
      <c r="J85" t="s">
        <v>465</v>
      </c>
      <c r="K85" t="s">
        <v>624</v>
      </c>
      <c r="L85" t="str">
        <f t="shared" si="82"/>
        <v>Norah Fessenden</v>
      </c>
      <c r="M85" t="str">
        <f>VLOOKUP($B85,Customers!$B:$J,4,0)</f>
        <v>1751 Wallbridge Loyalist Rd</v>
      </c>
      <c r="O85" t="str">
        <f>VLOOKUP($B85,Customers!$B:$J,6,0)</f>
        <v>Belleville</v>
      </c>
      <c r="P85" t="str">
        <f>VLOOKUP($B85,Customers!$B:$J,7,0)</f>
        <v>Ontario</v>
      </c>
      <c r="Q85" t="str">
        <f>VLOOKUP($B85,Customers!$B:$J,8,0)</f>
        <v>K8N 1L9</v>
      </c>
      <c r="R85" t="str">
        <f>VLOOKUP($B85,Customers!$B:$J,9,0)</f>
        <v>613-847-5941</v>
      </c>
      <c r="S85" t="str">
        <f>VLOOKUP($B85,Customers!$B:$T,16,0)</f>
        <v>Debit</v>
      </c>
      <c r="T85" t="str">
        <f>VLOOKUP($B85,Customers!$B:$T,18,0)</f>
        <v>Visa</v>
      </c>
      <c r="U85" t="str">
        <f>VLOOKUP($B85,Customers!$B:$T,19,0)</f>
        <v>2541</v>
      </c>
      <c r="V85">
        <f ca="1">COUNTIF(C:C,C85)-1</f>
        <v>2</v>
      </c>
      <c r="W85">
        <f>SUM(X85:Z85)</f>
        <v>38.830000000000005</v>
      </c>
      <c r="X85">
        <f>SUM(X83:X84)</f>
        <v>29.950000000000003</v>
      </c>
      <c r="Y85">
        <f>SUM(Y83:Y84)</f>
        <v>3.8899999999999997</v>
      </c>
      <c r="Z85">
        <v>4.99</v>
      </c>
      <c r="AF85" s="54"/>
      <c r="AG85" s="48">
        <f>AG84</f>
        <v>44871</v>
      </c>
      <c r="AH85" s="48"/>
      <c r="AI85" t="str">
        <f t="shared" ref="AI85:AJ85" si="86">AI84</f>
        <v>Delivered</v>
      </c>
      <c r="AJ85" s="48">
        <f t="shared" si="86"/>
        <v>44871</v>
      </c>
    </row>
    <row r="86" spans="1:39" s="58" customFormat="1" ht="43.5" hidden="1" x14ac:dyDescent="0.35">
      <c r="A86" s="60" t="s">
        <v>760</v>
      </c>
      <c r="B86" s="60" t="str">
        <f>IF(B85="","","'"&amp;B$11&amp;"' : '"&amp;B85&amp;"', ")</f>
        <v xml:space="preserve">'emailAddress' : 'norah_fessenden@gmail.com', </v>
      </c>
      <c r="C86" s="60" t="str">
        <f>IF(C85="","","'"&amp;C$11&amp;"' : '"&amp;C85&amp;"', ")</f>
        <v xml:space="preserve">'orderId' : '20221106111648', </v>
      </c>
      <c r="D86" s="60" t="str">
        <f>IF(D85="","","'"&amp;D$11&amp;"' : '"&amp;D85&amp;"', ")</f>
        <v xml:space="preserve">'employeeUserName' : 'mjones', </v>
      </c>
      <c r="E86" s="60" t="str">
        <f>IF(E85="","","'"&amp;$F$10&amp;"' : { '"&amp;E$11&amp;"' : '"&amp;E85&amp;"' , ")</f>
        <v xml:space="preserve">'deliveryAddress' : { 'dName' : 'Norah Fessenden' , </v>
      </c>
      <c r="F86" s="60" t="str">
        <f>IF(F85="","","'"&amp;F$11&amp;"' : '"&amp;F85&amp;"' , ")</f>
        <v xml:space="preserve">'dStreet' : '694 Yonge Street' , </v>
      </c>
      <c r="G86" s="60" t="str">
        <f>IF(G85="","","'"&amp;G$11&amp;"' : '"&amp;G85&amp;"' , ")</f>
        <v xml:space="preserve">'dUnit' : '102' , </v>
      </c>
      <c r="H86" s="60" t="str">
        <f>IF(H85="","","'"&amp;H$11&amp;"' : '"&amp;H85&amp;"' , ")</f>
        <v xml:space="preserve">'dCity' : 'Toronto' , </v>
      </c>
      <c r="I86" s="60" t="str">
        <f>IF(I85="","","'"&amp;I$11&amp;"' : '"&amp;I85&amp;"' , ")</f>
        <v xml:space="preserve">'dProvince' : 'Ontario' , </v>
      </c>
      <c r="J86" s="60" t="str">
        <f>IF(J85="","","'"&amp;J$11&amp;"' : '"&amp;J85&amp;"' , ")</f>
        <v xml:space="preserve">'dZip' : 'M4W 1J7' , </v>
      </c>
      <c r="K86" s="60" t="str">
        <f>IF(K85="","","'"&amp;K$11&amp;"' : '"&amp;K85&amp;"' } , ")</f>
        <v xml:space="preserve">'dMobileNumber' : '416-963-8125' } , </v>
      </c>
      <c r="L86" s="60" t="str">
        <f>IF(L85="","","'"&amp;$L$10&amp;"' : { '"&amp;L$11&amp;"' : '"&amp;L85&amp;"' , ")</f>
        <v xml:space="preserve">'billingsAddress' : { 'bName' : 'Norah Fessenden' , </v>
      </c>
      <c r="M86" s="60" t="str">
        <f>IF(M85="","","'"&amp;M$11&amp;"' : '"&amp;M85&amp;"' , ")</f>
        <v xml:space="preserve">'bStreet' : '1751 Wallbridge Loyalist Rd' , </v>
      </c>
      <c r="N86" s="60" t="str">
        <f>IF(N85="","","'"&amp;N$11&amp;"' : '"&amp;N85&amp;"' , ")</f>
        <v/>
      </c>
      <c r="O86" s="60" t="str">
        <f>IF(O85="","","'"&amp;O$11&amp;"' : '"&amp;O85&amp;"' , ")</f>
        <v xml:space="preserve">'bCity' : 'Belleville' , </v>
      </c>
      <c r="P86" s="60" t="str">
        <f>IF(P85="","","'"&amp;P$11&amp;"' : '"&amp;P85&amp;"' , ")</f>
        <v xml:space="preserve">'bProvince' : 'Ontario' , </v>
      </c>
      <c r="Q86" s="60" t="str">
        <f>IF(Q85="","","'"&amp;Q$11&amp;"' : '"&amp;Q85&amp;"' , ")</f>
        <v xml:space="preserve">'bZip' : 'K8N 1L9' , </v>
      </c>
      <c r="R86" s="60" t="str">
        <f>IF(R85="","","'"&amp;R$11&amp;"' : '"&amp;R85&amp;"' } , ")</f>
        <v xml:space="preserve">'bMobileNumber' : '613-847-5941' } , </v>
      </c>
      <c r="S86" s="60" t="str">
        <f>IF(S85="","","'"&amp;$S$10&amp;"' : { '"&amp;S$11&amp;"' : '"&amp;S85&amp;"' , ")</f>
        <v xml:space="preserve">'paymentMethod' : { 'paymentType' : 'Debit' , </v>
      </c>
      <c r="T86" s="60" t="str">
        <f>IF(T85="","","'"&amp;T$11&amp;"' : '"&amp;T85&amp;"' , ")</f>
        <v xml:space="preserve">'cardScheme' : 'Visa' , </v>
      </c>
      <c r="U86" s="60" t="str">
        <f>IF(U85="","","'"&amp;U$11&amp;"' : '"&amp;U85&amp;"' } , ")</f>
        <v xml:space="preserve">'cardLast4' : '2541' } , </v>
      </c>
      <c r="V86" s="60" t="str">
        <f ca="1">IF(V85="","","'"&amp;V$11&amp;"' : "&amp;V85&amp;", ")</f>
        <v xml:space="preserve">'totalQty' : 2, </v>
      </c>
      <c r="W86" s="60" t="str">
        <f>IF(W85="","","'"&amp;W$11&amp;"' : "&amp;W85&amp;", ")</f>
        <v xml:space="preserve">'orderTotal' : 38.83, </v>
      </c>
      <c r="X86" s="60" t="str">
        <f>IF(X85="","","'"&amp;X$11&amp;"' : "&amp;X85&amp;", ")</f>
        <v xml:space="preserve">'grossTotal' : 29.95, </v>
      </c>
      <c r="Y86" s="60" t="str">
        <f>IF(Y85="","","'"&amp;Y$11&amp;"' : "&amp;Y85&amp;", ")</f>
        <v xml:space="preserve">'tax' : 3.89, </v>
      </c>
      <c r="Z86" s="60" t="str">
        <f>IF(Z85="","","'"&amp;Z$11&amp;"' : "&amp;Z85&amp;", ")</f>
        <v xml:space="preserve">'deliveryFee' : 4.99, </v>
      </c>
      <c r="AA86" s="60"/>
      <c r="AB86" s="60"/>
      <c r="AC86" s="60"/>
      <c r="AD86" s="60"/>
      <c r="AE86" s="60"/>
      <c r="AF86" s="60" t="str">
        <f>$AA$10&amp;" : "&amp;_xlfn.CONCAT("[ ",AF83:AF84,"], ")</f>
        <v xml:space="preserve">orderDetails : [ { 'productId' : '4018', 'productName' : 'Cheese Bread', 'quantity' : 1, 'price' : 5.99, 'subTotal' : 5.99 },{ 'productId' : '4018', 'productName' : 'Cheese Bread', 'quantity' : 4, 'price' : 5.99, 'subTotal' : 23.96 }], </v>
      </c>
      <c r="AG86" s="60" t="str">
        <f>IF(AG85="","","'"&amp;AG$11&amp;"' : new Date('"&amp;TEXT(AG85,"yyyy-mm-dd")&amp;"'), ")</f>
        <v xml:space="preserve">'orderDate' : new Date('2022-11-06'), </v>
      </c>
      <c r="AH86" s="60"/>
      <c r="AI86" s="60" t="str">
        <f>IF(AI85="","","'"&amp;AI$11&amp;"' : '"&amp;AI85&amp;"', ")</f>
        <v xml:space="preserve">'orderStatus' : 'Delivered', </v>
      </c>
      <c r="AJ86" s="60" t="str">
        <f>IF(AJ85="","","'"&amp;AJ$11&amp;"' : new Date('"&amp;TEXT(AJ85,"yyyy-mm-dd")&amp;"') ")</f>
        <v xml:space="preserve">'statusDate' : new Date('2022-11-06') </v>
      </c>
      <c r="AK86" s="60"/>
      <c r="AL86" s="59"/>
      <c r="AM86" s="58" t="str">
        <f ca="1">_xlfn.CONCAT("{ ",B86:AJ86,"} ,")</f>
        <v>{ 'emailAddress' : 'norah_fessenden@gmail.com', 'orderId' : '20221106111648', 'employeeUserName' : 'mjones', 'deliveryAddress' : { 'dName' : 'Norah Fessenden' , 'dStreet' : '694 Yonge Street' , 'dUnit' : '102' , 'dCity' : 'Toronto' , 'dProvince' : 'Ontario' , 'dZip' : 'M4W 1J7' , 'dMobileNumber' : '416-963-8125' } , 'billingsAddress' : { 'bName' : 'Norah Fessenden' , 'bStreet' : '1751 Wallbridge Loyalist Rd' , 'bCity' : 'Belleville' , 'bProvince' : 'Ontario' , 'bZip' : 'K8N 1L9' , 'bMobileNumber' : '613-847-5941' } , 'paymentMethod' : { 'paymentType' : 'Debit' , 'cardScheme' : 'Visa' , 'cardLast4' : '2541' } , 'totalQty' : 2, 'orderTotal' : 38.83, 'grossTotal' : 29.95, 'tax' : 3.89, 'deliveryFee' : 4.99, orderDetails : [ { 'productId' : '4018', 'productName' : 'Cheese Bread', 'quantity' : 1, 'price' : 5.99, 'subTotal' : 5.99 },{ 'productId' : '4018', 'productName' : 'Cheese Bread', 'quantity' : 4, 'price' : 5.99, 'subTotal' : 23.96 }], 'orderDate' : new Date('2022-11-06'), 'orderStatus' : 'Delivered', 'statusDate' : new Date('2022-11-06') } ,</v>
      </c>
    </row>
    <row r="87" spans="1:39" hidden="1" x14ac:dyDescent="0.35">
      <c r="B87" t="s">
        <v>732</v>
      </c>
      <c r="C87" s="49" t="str">
        <f t="shared" ref="C87:C91" si="87">TEXT(AG87,"yyyymmdd")&amp;AH87</f>
        <v>20221106101912</v>
      </c>
      <c r="D87" t="s">
        <v>680</v>
      </c>
      <c r="E87" t="s">
        <v>332</v>
      </c>
      <c r="F87" t="s">
        <v>416</v>
      </c>
      <c r="G87" t="s">
        <v>573</v>
      </c>
      <c r="H87" t="s">
        <v>440</v>
      </c>
      <c r="I87" t="s">
        <v>453</v>
      </c>
      <c r="J87" t="s">
        <v>474</v>
      </c>
      <c r="K87" t="s">
        <v>504</v>
      </c>
      <c r="L87" t="str">
        <f t="shared" ref="L87:L89" si="88">E87</f>
        <v>Octavia Boyd</v>
      </c>
      <c r="M87" t="str">
        <f>VLOOKUP($B87,Customers!$B:$J,4,0)</f>
        <v>2179 Côte Joyeuse</v>
      </c>
      <c r="N87" t="str">
        <f>VLOOKUP($B87,Customers!$B:$J,5,0)</f>
        <v>314</v>
      </c>
      <c r="O87" t="str">
        <f>VLOOKUP($B87,Customers!$B:$J,6,0)</f>
        <v>L'etape</v>
      </c>
      <c r="P87" t="str">
        <f>VLOOKUP($B87,Customers!$B:$J,7,0)</f>
        <v>Quebec</v>
      </c>
      <c r="Q87" t="str">
        <f>VLOOKUP($B87,Customers!$B:$J,8,0)</f>
        <v>H0H 0H0</v>
      </c>
      <c r="R87" t="str">
        <f>VLOOKUP($B87,Customers!$B:$J,9,0)</f>
        <v>418-859-5959</v>
      </c>
      <c r="S87" t="str">
        <f>VLOOKUP($B87,Customers!$B:$T,16,0)</f>
        <v>Credit</v>
      </c>
      <c r="T87" t="str">
        <f>VLOOKUP($B87,Customers!$B:$T,18,0)</f>
        <v>Mastercard</v>
      </c>
      <c r="U87" t="str">
        <f>VLOOKUP($B87,Customers!$B:$T,19,0)</f>
        <v>5941</v>
      </c>
      <c r="V87">
        <f ca="1">COUNTIF(C:C,C87)-1</f>
        <v>2</v>
      </c>
      <c r="X87">
        <f t="shared" ref="X87:X88" si="89">AC87*AD87</f>
        <v>56.5</v>
      </c>
      <c r="Y87">
        <f t="shared" ref="Y87:Y88" si="90">ROUND(X87*13%,2)</f>
        <v>7.35</v>
      </c>
      <c r="AA87">
        <v>4017</v>
      </c>
      <c r="AB87" t="s">
        <v>84</v>
      </c>
      <c r="AC87">
        <v>10</v>
      </c>
      <c r="AD87">
        <v>5.65</v>
      </c>
      <c r="AE87">
        <f>AC87*AD87</f>
        <v>56.5</v>
      </c>
      <c r="AF87" s="54" t="str">
        <f>"{ '"&amp;AA$11&amp;"' : '"&amp;AA87&amp;"', '"&amp;AB$11&amp;"' : '"&amp;AB87&amp;"', '"&amp;AC$11&amp;"' : "&amp;AC87&amp;", '"&amp;AD$11&amp;"' : "&amp;AD87&amp;", '"&amp;AE$11&amp;"' : "&amp;AE87&amp;" },"</f>
        <v>{ 'productId' : '4017', 'productName' : 'Malunggay Bread', 'quantity' : 10, 'price' : 5.65, 'subTotal' : 56.5 },</v>
      </c>
      <c r="AG87" s="48">
        <v>44871</v>
      </c>
      <c r="AH87" s="50" t="s">
        <v>685</v>
      </c>
      <c r="AI87" t="s">
        <v>678</v>
      </c>
      <c r="AJ87" s="48">
        <f>AG87</f>
        <v>44871</v>
      </c>
      <c r="AK87" t="s">
        <v>733</v>
      </c>
    </row>
    <row r="88" spans="1:39" hidden="1" x14ac:dyDescent="0.35">
      <c r="B88" t="s">
        <v>732</v>
      </c>
      <c r="C88" t="str">
        <f>C87</f>
        <v>20221106101912</v>
      </c>
      <c r="D88" t="s">
        <v>680</v>
      </c>
      <c r="E88" t="s">
        <v>332</v>
      </c>
      <c r="F88" t="s">
        <v>416</v>
      </c>
      <c r="G88" t="s">
        <v>573</v>
      </c>
      <c r="H88" t="s">
        <v>440</v>
      </c>
      <c r="I88" t="s">
        <v>453</v>
      </c>
      <c r="J88" t="s">
        <v>474</v>
      </c>
      <c r="K88" t="s">
        <v>504</v>
      </c>
      <c r="L88" t="str">
        <f t="shared" si="88"/>
        <v>Octavia Boyd</v>
      </c>
      <c r="M88" t="str">
        <f>VLOOKUP($B88,Customers!$B:$J,4,0)</f>
        <v>2179 Côte Joyeuse</v>
      </c>
      <c r="N88" t="str">
        <f>VLOOKUP($B88,Customers!$B:$J,5,0)</f>
        <v>314</v>
      </c>
      <c r="O88" t="str">
        <f>VLOOKUP($B88,Customers!$B:$J,6,0)</f>
        <v>L'etape</v>
      </c>
      <c r="P88" t="str">
        <f>VLOOKUP($B88,Customers!$B:$J,7,0)</f>
        <v>Quebec</v>
      </c>
      <c r="Q88" t="str">
        <f>VLOOKUP($B88,Customers!$B:$J,8,0)</f>
        <v>H0H 0H0</v>
      </c>
      <c r="R88" t="str">
        <f>VLOOKUP($B88,Customers!$B:$J,9,0)</f>
        <v>418-859-5959</v>
      </c>
      <c r="S88" t="str">
        <f>VLOOKUP($B88,Customers!$B:$T,16,0)</f>
        <v>Credit</v>
      </c>
      <c r="T88" t="str">
        <f>VLOOKUP($B88,Customers!$B:$T,18,0)</f>
        <v>Mastercard</v>
      </c>
      <c r="U88" t="str">
        <f>VLOOKUP($B88,Customers!$B:$T,19,0)</f>
        <v>5941</v>
      </c>
      <c r="V88">
        <f ca="1">COUNTIF(C:C,C88)-1</f>
        <v>2</v>
      </c>
      <c r="X88">
        <f t="shared" si="89"/>
        <v>39.92</v>
      </c>
      <c r="Y88">
        <f t="shared" si="90"/>
        <v>5.19</v>
      </c>
      <c r="AA88">
        <v>4013</v>
      </c>
      <c r="AB88" t="s">
        <v>79</v>
      </c>
      <c r="AC88">
        <v>8</v>
      </c>
      <c r="AD88">
        <v>4.99</v>
      </c>
      <c r="AE88">
        <f>AC88*AD88</f>
        <v>39.92</v>
      </c>
      <c r="AF88" s="54" t="str">
        <f>"{ '"&amp;AA$11&amp;"' : '"&amp;AA88&amp;"', '"&amp;AB$11&amp;"' : '"&amp;AB88&amp;"', '"&amp;AC$11&amp;"' : "&amp;AC88&amp;", '"&amp;AD$11&amp;"' : "&amp;AD88&amp;", '"&amp;AE$11&amp;"' : "&amp;AE88&amp;" }"</f>
        <v>{ 'productId' : '4013', 'productName' : 'Pandesal', 'quantity' : 8, 'price' : 4.99, 'subTotal' : 39.92 }</v>
      </c>
      <c r="AG88" s="48">
        <v>44871</v>
      </c>
      <c r="AH88" s="48" t="str">
        <f>AH87</f>
        <v>101912</v>
      </c>
      <c r="AI88" t="str">
        <f t="shared" ref="AI88:AJ88" si="91">AI87</f>
        <v>Cancelled</v>
      </c>
      <c r="AJ88" s="48">
        <f t="shared" si="91"/>
        <v>44871</v>
      </c>
    </row>
    <row r="89" spans="1:39" hidden="1" x14ac:dyDescent="0.35">
      <c r="A89" t="s">
        <v>759</v>
      </c>
      <c r="B89" t="s">
        <v>732</v>
      </c>
      <c r="C89" t="str">
        <f>C88</f>
        <v>20221106101912</v>
      </c>
      <c r="D89" t="s">
        <v>680</v>
      </c>
      <c r="E89" t="s">
        <v>332</v>
      </c>
      <c r="F89" t="s">
        <v>416</v>
      </c>
      <c r="G89" t="s">
        <v>573</v>
      </c>
      <c r="H89" t="s">
        <v>440</v>
      </c>
      <c r="I89" t="s">
        <v>453</v>
      </c>
      <c r="J89" t="s">
        <v>474</v>
      </c>
      <c r="K89" t="s">
        <v>504</v>
      </c>
      <c r="L89" t="str">
        <f t="shared" si="88"/>
        <v>Octavia Boyd</v>
      </c>
      <c r="M89" t="str">
        <f>VLOOKUP($B89,Customers!$B:$J,4,0)</f>
        <v>2179 Côte Joyeuse</v>
      </c>
      <c r="N89" t="str">
        <f>VLOOKUP($B89,Customers!$B:$J,5,0)</f>
        <v>314</v>
      </c>
      <c r="O89" t="str">
        <f>VLOOKUP($B89,Customers!$B:$J,6,0)</f>
        <v>L'etape</v>
      </c>
      <c r="P89" t="str">
        <f>VLOOKUP($B89,Customers!$B:$J,7,0)</f>
        <v>Quebec</v>
      </c>
      <c r="Q89" t="str">
        <f>VLOOKUP($B89,Customers!$B:$J,8,0)</f>
        <v>H0H 0H0</v>
      </c>
      <c r="R89" t="str">
        <f>VLOOKUP($B89,Customers!$B:$J,9,0)</f>
        <v>418-859-5959</v>
      </c>
      <c r="S89" t="str">
        <f>VLOOKUP($B89,Customers!$B:$T,16,0)</f>
        <v>Credit</v>
      </c>
      <c r="T89" t="str">
        <f>VLOOKUP($B89,Customers!$B:$T,18,0)</f>
        <v>Mastercard</v>
      </c>
      <c r="U89" t="str">
        <f>VLOOKUP($B89,Customers!$B:$T,19,0)</f>
        <v>5941</v>
      </c>
      <c r="V89">
        <f ca="1">COUNTIF(C:C,C89)-1</f>
        <v>2</v>
      </c>
      <c r="W89">
        <f>SUM(X89:Z89)</f>
        <v>113.95</v>
      </c>
      <c r="X89">
        <f>SUM(X87:X88)</f>
        <v>96.42</v>
      </c>
      <c r="Y89">
        <f>SUM(Y87:Y88)</f>
        <v>12.54</v>
      </c>
      <c r="Z89">
        <v>4.99</v>
      </c>
      <c r="AF89" s="54"/>
      <c r="AG89" s="48">
        <f>AG88</f>
        <v>44871</v>
      </c>
      <c r="AH89" s="48"/>
      <c r="AI89" t="str">
        <f t="shared" ref="AI89:AJ89" si="92">AI88</f>
        <v>Cancelled</v>
      </c>
      <c r="AJ89" s="48">
        <f t="shared" si="92"/>
        <v>44871</v>
      </c>
    </row>
    <row r="90" spans="1:39" s="58" customFormat="1" ht="43.5" hidden="1" x14ac:dyDescent="0.35">
      <c r="A90" s="60" t="s">
        <v>760</v>
      </c>
      <c r="B90" s="60" t="str">
        <f>IF(B89="","","'"&amp;B$11&amp;"' : '"&amp;B89&amp;"', ")</f>
        <v xml:space="preserve">'emailAddress' : 'octaviaboyd@gmail.com', </v>
      </c>
      <c r="C90" s="60" t="str">
        <f>IF(C89="","","'"&amp;C$11&amp;"' : '"&amp;C89&amp;"', ")</f>
        <v xml:space="preserve">'orderId' : '20221106101912', </v>
      </c>
      <c r="D90" s="60" t="str">
        <f>IF(D89="","","'"&amp;D$11&amp;"' : '"&amp;D89&amp;"', ")</f>
        <v xml:space="preserve">'employeeUserName' : 'lzapanta', </v>
      </c>
      <c r="E90" s="60" t="str">
        <f>IF(E89="","","'"&amp;$F$10&amp;"' : { '"&amp;E$11&amp;"' : '"&amp;E89&amp;"' , ")</f>
        <v xml:space="preserve">'deliveryAddress' : { 'dName' : 'Octavia Boyd' , </v>
      </c>
      <c r="F90" s="60" t="str">
        <f>IF(F89="","","'"&amp;F$11&amp;"' : '"&amp;F89&amp;"' , ")</f>
        <v xml:space="preserve">'dStreet' : '2179 Côte Joyeuse' , </v>
      </c>
      <c r="G90" s="60" t="str">
        <f>IF(G89="","","'"&amp;G$11&amp;"' : '"&amp;G89&amp;"' , ")</f>
        <v xml:space="preserve">'dUnit' : '314' , </v>
      </c>
      <c r="H90" s="60" t="str">
        <f>IF(H89="","","'"&amp;H$11&amp;"' : '"&amp;H89&amp;"' , ")</f>
        <v xml:space="preserve">'dCity' : 'L'etape' , </v>
      </c>
      <c r="I90" s="60" t="str">
        <f>IF(I89="","","'"&amp;I$11&amp;"' : '"&amp;I89&amp;"' , ")</f>
        <v xml:space="preserve">'dProvince' : 'Quebec' , </v>
      </c>
      <c r="J90" s="60" t="str">
        <f>IF(J89="","","'"&amp;J$11&amp;"' : '"&amp;J89&amp;"' , ")</f>
        <v xml:space="preserve">'dZip' : 'H0H 0H0' , </v>
      </c>
      <c r="K90" s="60" t="str">
        <f>IF(K89="","","'"&amp;K$11&amp;"' : '"&amp;K89&amp;"' } , ")</f>
        <v xml:space="preserve">'dMobileNumber' : '418-859-5959' } , </v>
      </c>
      <c r="L90" s="60" t="str">
        <f>IF(L89="","","'"&amp;$L$10&amp;"' : { '"&amp;L$11&amp;"' : '"&amp;L89&amp;"' , ")</f>
        <v xml:space="preserve">'billingsAddress' : { 'bName' : 'Octavia Boyd' , </v>
      </c>
      <c r="M90" s="60" t="str">
        <f>IF(M89="","","'"&amp;M$11&amp;"' : '"&amp;M89&amp;"' , ")</f>
        <v xml:space="preserve">'bStreet' : '2179 Côte Joyeuse' , </v>
      </c>
      <c r="N90" s="60" t="str">
        <f>IF(N89="","","'"&amp;N$11&amp;"' : '"&amp;N89&amp;"' , ")</f>
        <v xml:space="preserve">'bUnit' : '314' , </v>
      </c>
      <c r="O90" s="60" t="str">
        <f>IF(O89="","","'"&amp;O$11&amp;"' : '"&amp;O89&amp;"' , ")</f>
        <v xml:space="preserve">'bCity' : 'L'etape' , </v>
      </c>
      <c r="P90" s="60" t="str">
        <f>IF(P89="","","'"&amp;P$11&amp;"' : '"&amp;P89&amp;"' , ")</f>
        <v xml:space="preserve">'bProvince' : 'Quebec' , </v>
      </c>
      <c r="Q90" s="60" t="str">
        <f>IF(Q89="","","'"&amp;Q$11&amp;"' : '"&amp;Q89&amp;"' , ")</f>
        <v xml:space="preserve">'bZip' : 'H0H 0H0' , </v>
      </c>
      <c r="R90" s="60" t="str">
        <f>IF(R89="","","'"&amp;R$11&amp;"' : '"&amp;R89&amp;"' } , ")</f>
        <v xml:space="preserve">'bMobileNumber' : '418-859-5959' } , </v>
      </c>
      <c r="S90" s="60" t="str">
        <f>IF(S89="","","'"&amp;$S$10&amp;"' : { '"&amp;S$11&amp;"' : '"&amp;S89&amp;"' , ")</f>
        <v xml:space="preserve">'paymentMethod' : { 'paymentType' : 'Credit' , </v>
      </c>
      <c r="T90" s="60" t="str">
        <f>IF(T89="","","'"&amp;T$11&amp;"' : '"&amp;T89&amp;"' , ")</f>
        <v xml:space="preserve">'cardScheme' : 'Mastercard' , </v>
      </c>
      <c r="U90" s="60" t="str">
        <f>IF(U89="","","'"&amp;U$11&amp;"' : '"&amp;U89&amp;"' } , ")</f>
        <v xml:space="preserve">'cardLast4' : '5941' } , </v>
      </c>
      <c r="V90" s="60" t="str">
        <f ca="1">IF(V89="","","'"&amp;V$11&amp;"' : "&amp;V89&amp;", ")</f>
        <v xml:space="preserve">'totalQty' : 2, </v>
      </c>
      <c r="W90" s="60" t="str">
        <f>IF(W89="","","'"&amp;W$11&amp;"' : "&amp;W89&amp;", ")</f>
        <v xml:space="preserve">'orderTotal' : 113.95, </v>
      </c>
      <c r="X90" s="60" t="str">
        <f>IF(X89="","","'"&amp;X$11&amp;"' : "&amp;X89&amp;", ")</f>
        <v xml:space="preserve">'grossTotal' : 96.42, </v>
      </c>
      <c r="Y90" s="60" t="str">
        <f>IF(Y89="","","'"&amp;Y$11&amp;"' : "&amp;Y89&amp;", ")</f>
        <v xml:space="preserve">'tax' : 12.54, </v>
      </c>
      <c r="Z90" s="60" t="str">
        <f>IF(Z89="","","'"&amp;Z$11&amp;"' : "&amp;Z89&amp;", ")</f>
        <v xml:space="preserve">'deliveryFee' : 4.99, </v>
      </c>
      <c r="AA90" s="60"/>
      <c r="AB90" s="60"/>
      <c r="AC90" s="60"/>
      <c r="AD90" s="60"/>
      <c r="AE90" s="60"/>
      <c r="AF90" s="60" t="str">
        <f>$AA$10&amp;" : "&amp;_xlfn.CONCAT("[ ",AF87:AF88,"], ")</f>
        <v xml:space="preserve">orderDetails : [ { 'productId' : '4017', 'productName' : 'Malunggay Bread', 'quantity' : 10, 'price' : 5.65, 'subTotal' : 56.5 },{ 'productId' : '4013', 'productName' : 'Pandesal', 'quantity' : 8, 'price' : 4.99, 'subTotal' : 39.92 }], </v>
      </c>
      <c r="AG90" s="60" t="str">
        <f>IF(AG89="","","'"&amp;AG$11&amp;"' : new Date('"&amp;TEXT(AG89,"yyyy-mm-dd")&amp;"'), ")</f>
        <v xml:space="preserve">'orderDate' : new Date('2022-11-06'), </v>
      </c>
      <c r="AH90" s="60"/>
      <c r="AI90" s="60" t="str">
        <f>IF(AI89="","","'"&amp;AI$11&amp;"' : '"&amp;AI89&amp;"', ")</f>
        <v xml:space="preserve">'orderStatus' : 'Cancelled', </v>
      </c>
      <c r="AJ90" s="60" t="str">
        <f>IF(AJ89="","","'"&amp;AJ$11&amp;"' : new Date('"&amp;TEXT(AJ89,"yyyy-mm-dd")&amp;"') ")</f>
        <v xml:space="preserve">'statusDate' : new Date('2022-11-06') </v>
      </c>
      <c r="AK90" s="60"/>
      <c r="AL90" s="59"/>
      <c r="AM90" s="58" t="str">
        <f ca="1">_xlfn.CONCAT("{ ",B90:AJ90,"} ,")</f>
        <v>{ 'emailAddress' : 'octaviaboyd@gmail.com', 'orderId' : '20221106101912', 'employeeUserName' : 'lzapanta', 'deliveryAddress' : { 'dName' : 'Octavia Boyd' , 'dStreet' : '2179 Côte Joyeuse' , 'dUnit' : '314' , 'dCity' : 'L'etape' , 'dProvince' : 'Quebec' , 'dZip' : 'H0H 0H0' , 'dMobileNumber' : '418-859-5959' } , 'billingsAddress' : { 'bName' : 'Octavia Boyd' , 'bStreet' : '2179 Côte Joyeuse' , 'bUnit' : '314' , 'bCity' : 'L'etape' , 'bProvince' : 'Quebec' , 'bZip' : 'H0H 0H0' , 'bMobileNumber' : '418-859-5959' } , 'paymentMethod' : { 'paymentType' : 'Credit' , 'cardScheme' : 'Mastercard' , 'cardLast4' : '5941' } , 'totalQty' : 2, 'orderTotal' : 113.95, 'grossTotal' : 96.42, 'tax' : 12.54, 'deliveryFee' : 4.99, orderDetails : [ { 'productId' : '4017', 'productName' : 'Malunggay Bread', 'quantity' : 10, 'price' : 5.65, 'subTotal' : 56.5 },{ 'productId' : '4013', 'productName' : 'Pandesal', 'quantity' : 8, 'price' : 4.99, 'subTotal' : 39.92 }], 'orderDate' : new Date('2022-11-06'), 'orderStatus' : 'Cancelled', 'statusDate' : new Date('2022-11-06') } ,</v>
      </c>
    </row>
    <row r="91" spans="1:39" hidden="1" x14ac:dyDescent="0.35">
      <c r="B91" t="s">
        <v>709</v>
      </c>
      <c r="C91" s="49" t="str">
        <f t="shared" si="87"/>
        <v>20221106101913</v>
      </c>
      <c r="D91" t="s">
        <v>681</v>
      </c>
      <c r="E91" t="s">
        <v>323</v>
      </c>
      <c r="F91" t="s">
        <v>418</v>
      </c>
      <c r="G91" t="s">
        <v>575</v>
      </c>
      <c r="H91" t="s">
        <v>442</v>
      </c>
      <c r="I91" t="s">
        <v>26</v>
      </c>
      <c r="J91" t="s">
        <v>476</v>
      </c>
      <c r="K91" t="s">
        <v>506</v>
      </c>
      <c r="L91" t="str">
        <f t="shared" ref="L91:L94" si="93">E91</f>
        <v>Donovan Markle</v>
      </c>
      <c r="M91" t="str">
        <f>VLOOKUP($B91,Customers!$B:$J,4,0)</f>
        <v>4337 Algonquin Blvd</v>
      </c>
      <c r="N91" t="str">
        <f>VLOOKUP($B91,Customers!$B:$J,5,0)</f>
        <v>216</v>
      </c>
      <c r="O91" t="str">
        <f>VLOOKUP($B91,Customers!$B:$J,6,0)</f>
        <v>Timmins</v>
      </c>
      <c r="P91" t="str">
        <f>VLOOKUP($B91,Customers!$B:$J,7,0)</f>
        <v>Ontario</v>
      </c>
      <c r="Q91" t="str">
        <f>VLOOKUP($B91,Customers!$B:$J,8,0)</f>
        <v>P4N 7C4</v>
      </c>
      <c r="R91" t="str">
        <f>VLOOKUP($B91,Customers!$B:$J,9,0)</f>
        <v>705-668-1540</v>
      </c>
      <c r="S91" t="str">
        <f>VLOOKUP($B91,Customers!$B:$T,16,0)</f>
        <v>Credit</v>
      </c>
      <c r="T91" t="str">
        <f>VLOOKUP($B91,Customers!$B:$T,18,0)</f>
        <v>Visa</v>
      </c>
      <c r="U91" t="str">
        <f>VLOOKUP($B91,Customers!$B:$T,19,0)</f>
        <v>4070</v>
      </c>
      <c r="V91">
        <f ca="1">COUNTIF(C:C,C91)-1</f>
        <v>3</v>
      </c>
      <c r="X91">
        <f t="shared" ref="X91:X93" si="94">AC91*AD91</f>
        <v>24.950000000000003</v>
      </c>
      <c r="Y91">
        <f t="shared" ref="Y91:Y93" si="95">ROUND(X91*13%,2)</f>
        <v>3.24</v>
      </c>
      <c r="AA91">
        <v>4001</v>
      </c>
      <c r="AB91" t="s">
        <v>63</v>
      </c>
      <c r="AC91">
        <v>5</v>
      </c>
      <c r="AD91">
        <v>4.99</v>
      </c>
      <c r="AE91">
        <f>AC91*AD91</f>
        <v>24.950000000000003</v>
      </c>
      <c r="AF91" s="54" t="str">
        <f>"{ '"&amp;AA$11&amp;"' : '"&amp;AA91&amp;"', '"&amp;AB$11&amp;"' : '"&amp;AB91&amp;"', '"&amp;AC$11&amp;"' : "&amp;AC91&amp;", '"&amp;AD$11&amp;"' : "&amp;AD91&amp;", '"&amp;AE$11&amp;"' : "&amp;AE91&amp;" },"</f>
        <v>{ 'productId' : '4001', 'productName' : 'Plain Bagel', 'quantity' : 5, 'price' : 4.99, 'subTotal' : 24.95 },</v>
      </c>
      <c r="AG91" s="48">
        <v>44871</v>
      </c>
      <c r="AH91" s="61" t="s">
        <v>762</v>
      </c>
      <c r="AI91" t="s">
        <v>755</v>
      </c>
      <c r="AJ91" s="48">
        <f>AG91</f>
        <v>44871</v>
      </c>
      <c r="AK91" t="s">
        <v>734</v>
      </c>
    </row>
    <row r="92" spans="1:39" hidden="1" x14ac:dyDescent="0.35">
      <c r="B92" t="s">
        <v>709</v>
      </c>
      <c r="C92" t="str">
        <f t="shared" ref="C92:C94" si="96">C91</f>
        <v>20221106101913</v>
      </c>
      <c r="D92" t="s">
        <v>681</v>
      </c>
      <c r="E92" t="s">
        <v>323</v>
      </c>
      <c r="F92" t="s">
        <v>418</v>
      </c>
      <c r="G92" t="s">
        <v>575</v>
      </c>
      <c r="H92" t="s">
        <v>442</v>
      </c>
      <c r="I92" t="s">
        <v>26</v>
      </c>
      <c r="J92" t="s">
        <v>476</v>
      </c>
      <c r="K92" t="s">
        <v>506</v>
      </c>
      <c r="L92" t="str">
        <f t="shared" si="93"/>
        <v>Donovan Markle</v>
      </c>
      <c r="M92" t="str">
        <f>VLOOKUP($B92,Customers!$B:$J,4,0)</f>
        <v>4337 Algonquin Blvd</v>
      </c>
      <c r="N92" t="str">
        <f>VLOOKUP($B92,Customers!$B:$J,5,0)</f>
        <v>216</v>
      </c>
      <c r="O92" t="str">
        <f>VLOOKUP($B92,Customers!$B:$J,6,0)</f>
        <v>Timmins</v>
      </c>
      <c r="P92" t="str">
        <f>VLOOKUP($B92,Customers!$B:$J,7,0)</f>
        <v>Ontario</v>
      </c>
      <c r="Q92" t="str">
        <f>VLOOKUP($B92,Customers!$B:$J,8,0)</f>
        <v>P4N 7C4</v>
      </c>
      <c r="R92" t="str">
        <f>VLOOKUP($B92,Customers!$B:$J,9,0)</f>
        <v>705-668-1540</v>
      </c>
      <c r="S92" t="str">
        <f>VLOOKUP($B92,Customers!$B:$T,16,0)</f>
        <v>Credit</v>
      </c>
      <c r="T92" t="str">
        <f>VLOOKUP($B92,Customers!$B:$T,18,0)</f>
        <v>Visa</v>
      </c>
      <c r="U92" t="str">
        <f>VLOOKUP($B92,Customers!$B:$T,19,0)</f>
        <v>4070</v>
      </c>
      <c r="V92">
        <f ca="1">COUNTIF(C:C,C92)-1</f>
        <v>3</v>
      </c>
      <c r="X92">
        <f t="shared" si="94"/>
        <v>59.31</v>
      </c>
      <c r="Y92">
        <f t="shared" si="95"/>
        <v>7.71</v>
      </c>
      <c r="AA92">
        <v>4015</v>
      </c>
      <c r="AB92" t="s">
        <v>82</v>
      </c>
      <c r="AC92">
        <v>9</v>
      </c>
      <c r="AD92">
        <v>6.59</v>
      </c>
      <c r="AE92">
        <f>AC92*AD92</f>
        <v>59.31</v>
      </c>
      <c r="AF92" s="54" t="str">
        <f>"{ '"&amp;AA$11&amp;"' : '"&amp;AA92&amp;"', '"&amp;AB$11&amp;"' : '"&amp;AB92&amp;"', '"&amp;AC$11&amp;"' : "&amp;AC92&amp;", '"&amp;AD$11&amp;"' : "&amp;AD92&amp;", '"&amp;AE$11&amp;"' : "&amp;AE92&amp;" },"</f>
        <v>{ 'productId' : '4015', 'productName' : 'Sprouted Grain Flat Bagel', 'quantity' : 9, 'price' : 6.59, 'subTotal' : 59.31 },</v>
      </c>
      <c r="AG92" s="48">
        <v>44872</v>
      </c>
      <c r="AH92" s="48" t="str">
        <f t="shared" ref="AH92:AH93" si="97">AH91</f>
        <v>101913</v>
      </c>
      <c r="AI92" t="str">
        <f t="shared" ref="AI92:AJ93" si="98">AI91</f>
        <v>Delivered</v>
      </c>
      <c r="AJ92" s="48">
        <f t="shared" si="98"/>
        <v>44871</v>
      </c>
    </row>
    <row r="93" spans="1:39" hidden="1" x14ac:dyDescent="0.35">
      <c r="B93" t="s">
        <v>709</v>
      </c>
      <c r="C93" t="str">
        <f t="shared" si="96"/>
        <v>20221106101913</v>
      </c>
      <c r="D93" t="s">
        <v>681</v>
      </c>
      <c r="E93" t="s">
        <v>323</v>
      </c>
      <c r="F93" t="s">
        <v>418</v>
      </c>
      <c r="G93" t="s">
        <v>575</v>
      </c>
      <c r="H93" t="s">
        <v>442</v>
      </c>
      <c r="I93" t="s">
        <v>26</v>
      </c>
      <c r="J93" t="s">
        <v>476</v>
      </c>
      <c r="K93" t="s">
        <v>506</v>
      </c>
      <c r="L93" t="str">
        <f t="shared" si="93"/>
        <v>Donovan Markle</v>
      </c>
      <c r="M93" t="str">
        <f>VLOOKUP($B93,Customers!$B:$J,4,0)</f>
        <v>4337 Algonquin Blvd</v>
      </c>
      <c r="N93" t="str">
        <f>VLOOKUP($B93,Customers!$B:$J,5,0)</f>
        <v>216</v>
      </c>
      <c r="O93" t="str">
        <f>VLOOKUP($B93,Customers!$B:$J,6,0)</f>
        <v>Timmins</v>
      </c>
      <c r="P93" t="str">
        <f>VLOOKUP($B93,Customers!$B:$J,7,0)</f>
        <v>Ontario</v>
      </c>
      <c r="Q93" t="str">
        <f>VLOOKUP($B93,Customers!$B:$J,8,0)</f>
        <v>P4N 7C4</v>
      </c>
      <c r="R93" t="str">
        <f>VLOOKUP($B93,Customers!$B:$J,9,0)</f>
        <v>705-668-1540</v>
      </c>
      <c r="S93" t="str">
        <f>VLOOKUP($B93,Customers!$B:$T,16,0)</f>
        <v>Credit</v>
      </c>
      <c r="T93" t="str">
        <f>VLOOKUP($B93,Customers!$B:$T,18,0)</f>
        <v>Visa</v>
      </c>
      <c r="U93" t="str">
        <f>VLOOKUP($B93,Customers!$B:$T,19,0)</f>
        <v>4070</v>
      </c>
      <c r="V93">
        <f ca="1">COUNTIF(C:C,C93)-1</f>
        <v>3</v>
      </c>
      <c r="X93">
        <f t="shared" si="94"/>
        <v>125</v>
      </c>
      <c r="Y93">
        <f t="shared" si="95"/>
        <v>16.25</v>
      </c>
      <c r="AA93">
        <v>4003</v>
      </c>
      <c r="AB93" t="s">
        <v>67</v>
      </c>
      <c r="AC93">
        <v>20</v>
      </c>
      <c r="AD93">
        <v>6.25</v>
      </c>
      <c r="AE93">
        <f>AC93*AD93</f>
        <v>125</v>
      </c>
      <c r="AF93" s="54" t="str">
        <f>"{ '"&amp;AA$11&amp;"' : '"&amp;AA93&amp;"', '"&amp;AB$11&amp;"' : '"&amp;AB93&amp;"', '"&amp;AC$11&amp;"' : "&amp;AC93&amp;", '"&amp;AD$11&amp;"' : "&amp;AD93&amp;", '"&amp;AE$11&amp;"' : "&amp;AE93&amp;" }"</f>
        <v>{ 'productId' : '4003', 'productName' : 'Cinnamon Crunch Bagel', 'quantity' : 20, 'price' : 6.25, 'subTotal' : 125 }</v>
      </c>
      <c r="AG93" s="48">
        <v>44872</v>
      </c>
      <c r="AH93" s="48" t="str">
        <f t="shared" si="97"/>
        <v>101913</v>
      </c>
      <c r="AI93" t="str">
        <f t="shared" si="98"/>
        <v>Delivered</v>
      </c>
      <c r="AJ93" s="48">
        <f t="shared" si="98"/>
        <v>44871</v>
      </c>
    </row>
    <row r="94" spans="1:39" hidden="1" x14ac:dyDescent="0.35">
      <c r="A94" t="s">
        <v>759</v>
      </c>
      <c r="B94" t="s">
        <v>709</v>
      </c>
      <c r="C94" t="str">
        <f t="shared" si="96"/>
        <v>20221106101913</v>
      </c>
      <c r="D94" t="s">
        <v>681</v>
      </c>
      <c r="E94" t="s">
        <v>323</v>
      </c>
      <c r="F94" t="s">
        <v>418</v>
      </c>
      <c r="G94" t="s">
        <v>575</v>
      </c>
      <c r="H94" t="s">
        <v>442</v>
      </c>
      <c r="I94" t="s">
        <v>26</v>
      </c>
      <c r="J94" t="s">
        <v>476</v>
      </c>
      <c r="K94" t="s">
        <v>506</v>
      </c>
      <c r="L94" t="str">
        <f t="shared" si="93"/>
        <v>Donovan Markle</v>
      </c>
      <c r="M94" t="str">
        <f>VLOOKUP($B94,Customers!$B:$J,4,0)</f>
        <v>4337 Algonquin Blvd</v>
      </c>
      <c r="N94" t="str">
        <f>VLOOKUP($B94,Customers!$B:$J,5,0)</f>
        <v>216</v>
      </c>
      <c r="O94" t="str">
        <f>VLOOKUP($B94,Customers!$B:$J,6,0)</f>
        <v>Timmins</v>
      </c>
      <c r="P94" t="str">
        <f>VLOOKUP($B94,Customers!$B:$J,7,0)</f>
        <v>Ontario</v>
      </c>
      <c r="Q94" t="str">
        <f>VLOOKUP($B94,Customers!$B:$J,8,0)</f>
        <v>P4N 7C4</v>
      </c>
      <c r="R94" t="str">
        <f>VLOOKUP($B94,Customers!$B:$J,9,0)</f>
        <v>705-668-1540</v>
      </c>
      <c r="S94" t="str">
        <f>VLOOKUP($B94,Customers!$B:$T,16,0)</f>
        <v>Credit</v>
      </c>
      <c r="T94" t="str">
        <f>VLOOKUP($B94,Customers!$B:$T,18,0)</f>
        <v>Visa</v>
      </c>
      <c r="U94" t="str">
        <f>VLOOKUP($B94,Customers!$B:$T,19,0)</f>
        <v>4070</v>
      </c>
      <c r="V94">
        <f ca="1">COUNTIF(C:C,C94)-1</f>
        <v>3</v>
      </c>
      <c r="W94">
        <f>SUM(X94:Z94)</f>
        <v>241.45</v>
      </c>
      <c r="X94">
        <f>SUM(X91:X93)</f>
        <v>209.26</v>
      </c>
      <c r="Y94">
        <f>SUM(Y91:Y93)</f>
        <v>27.2</v>
      </c>
      <c r="Z94">
        <v>4.99</v>
      </c>
      <c r="AF94" s="54"/>
      <c r="AG94" s="48">
        <f>AG93</f>
        <v>44872</v>
      </c>
      <c r="AH94" s="48"/>
      <c r="AI94" t="str">
        <f t="shared" ref="AI94:AJ94" si="99">AI93</f>
        <v>Delivered</v>
      </c>
      <c r="AJ94" s="48">
        <f t="shared" si="99"/>
        <v>44871</v>
      </c>
    </row>
    <row r="95" spans="1:39" s="58" customFormat="1" ht="43.5" hidden="1" x14ac:dyDescent="0.35">
      <c r="A95" s="60" t="s">
        <v>760</v>
      </c>
      <c r="B95" s="60" t="str">
        <f>IF(B94="","","'"&amp;B$11&amp;"' : '"&amp;B94&amp;"', ")</f>
        <v xml:space="preserve">'emailAddress' : 'donovanmarkle@gmail.com', </v>
      </c>
      <c r="C95" s="60" t="str">
        <f>IF(C94="","","'"&amp;C$11&amp;"' : '"&amp;C94&amp;"', ")</f>
        <v xml:space="preserve">'orderId' : '20221106101913', </v>
      </c>
      <c r="D95" s="60" t="str">
        <f>IF(D94="","","'"&amp;D$11&amp;"' : '"&amp;D94&amp;"', ")</f>
        <v xml:space="preserve">'employeeUserName' : 'jbartolata', </v>
      </c>
      <c r="E95" s="60" t="str">
        <f>IF(E94="","","'"&amp;$F$10&amp;"' : { '"&amp;E$11&amp;"' : '"&amp;E94&amp;"' , ")</f>
        <v xml:space="preserve">'deliveryAddress' : { 'dName' : 'Donovan Markle' , </v>
      </c>
      <c r="F95" s="60" t="str">
        <f>IF(F94="","","'"&amp;F$11&amp;"' : '"&amp;F94&amp;"' , ")</f>
        <v xml:space="preserve">'dStreet' : '4337 Algonquin Blvd' , </v>
      </c>
      <c r="G95" s="60" t="str">
        <f>IF(G94="","","'"&amp;G$11&amp;"' : '"&amp;G94&amp;"' , ")</f>
        <v xml:space="preserve">'dUnit' : '216' , </v>
      </c>
      <c r="H95" s="60" t="str">
        <f>IF(H94="","","'"&amp;H$11&amp;"' : '"&amp;H94&amp;"' , ")</f>
        <v xml:space="preserve">'dCity' : 'Timmins' , </v>
      </c>
      <c r="I95" s="60" t="str">
        <f>IF(I94="","","'"&amp;I$11&amp;"' : '"&amp;I94&amp;"' , ")</f>
        <v xml:space="preserve">'dProvince' : 'Ontario' , </v>
      </c>
      <c r="J95" s="60" t="str">
        <f>IF(J94="","","'"&amp;J$11&amp;"' : '"&amp;J94&amp;"' , ")</f>
        <v xml:space="preserve">'dZip' : 'P4N 7C4' , </v>
      </c>
      <c r="K95" s="60" t="str">
        <f>IF(K94="","","'"&amp;K$11&amp;"' : '"&amp;K94&amp;"' } , ")</f>
        <v xml:space="preserve">'dMobileNumber' : '705-668-1540' } , </v>
      </c>
      <c r="L95" s="60" t="str">
        <f>IF(L94="","","'"&amp;$L$10&amp;"' : { '"&amp;L$11&amp;"' : '"&amp;L94&amp;"' , ")</f>
        <v xml:space="preserve">'billingsAddress' : { 'bName' : 'Donovan Markle' , </v>
      </c>
      <c r="M95" s="60" t="str">
        <f>IF(M94="","","'"&amp;M$11&amp;"' : '"&amp;M94&amp;"' , ")</f>
        <v xml:space="preserve">'bStreet' : '4337 Algonquin Blvd' , </v>
      </c>
      <c r="N95" s="60" t="str">
        <f>IF(N94="","","'"&amp;N$11&amp;"' : '"&amp;N94&amp;"' , ")</f>
        <v xml:space="preserve">'bUnit' : '216' , </v>
      </c>
      <c r="O95" s="60" t="str">
        <f>IF(O94="","","'"&amp;O$11&amp;"' : '"&amp;O94&amp;"' , ")</f>
        <v xml:space="preserve">'bCity' : 'Timmins' , </v>
      </c>
      <c r="P95" s="60" t="str">
        <f>IF(P94="","","'"&amp;P$11&amp;"' : '"&amp;P94&amp;"' , ")</f>
        <v xml:space="preserve">'bProvince' : 'Ontario' , </v>
      </c>
      <c r="Q95" s="60" t="str">
        <f>IF(Q94="","","'"&amp;Q$11&amp;"' : '"&amp;Q94&amp;"' , ")</f>
        <v xml:space="preserve">'bZip' : 'P4N 7C4' , </v>
      </c>
      <c r="R95" s="60" t="str">
        <f>IF(R94="","","'"&amp;R$11&amp;"' : '"&amp;R94&amp;"' } , ")</f>
        <v xml:space="preserve">'bMobileNumber' : '705-668-1540' } , </v>
      </c>
      <c r="S95" s="60" t="str">
        <f>IF(S94="","","'"&amp;$S$10&amp;"' : { '"&amp;S$11&amp;"' : '"&amp;S94&amp;"' , ")</f>
        <v xml:space="preserve">'paymentMethod' : { 'paymentType' : 'Credit' , </v>
      </c>
      <c r="T95" s="60" t="str">
        <f>IF(T94="","","'"&amp;T$11&amp;"' : '"&amp;T94&amp;"' , ")</f>
        <v xml:space="preserve">'cardScheme' : 'Visa' , </v>
      </c>
      <c r="U95" s="60" t="str">
        <f>IF(U94="","","'"&amp;U$11&amp;"' : '"&amp;U94&amp;"' } , ")</f>
        <v xml:space="preserve">'cardLast4' : '4070' } , </v>
      </c>
      <c r="V95" s="60" t="str">
        <f ca="1">IF(V94="","","'"&amp;V$11&amp;"' : "&amp;V94&amp;", ")</f>
        <v xml:space="preserve">'totalQty' : 3, </v>
      </c>
      <c r="W95" s="60" t="str">
        <f>IF(W94="","","'"&amp;W$11&amp;"' : "&amp;W94&amp;", ")</f>
        <v xml:space="preserve">'orderTotal' : 241.45, </v>
      </c>
      <c r="X95" s="60" t="str">
        <f>IF(X94="","","'"&amp;X$11&amp;"' : "&amp;X94&amp;", ")</f>
        <v xml:space="preserve">'grossTotal' : 209.26, </v>
      </c>
      <c r="Y95" s="60" t="str">
        <f>IF(Y94="","","'"&amp;Y$11&amp;"' : "&amp;Y94&amp;", ")</f>
        <v xml:space="preserve">'tax' : 27.2, </v>
      </c>
      <c r="Z95" s="60" t="str">
        <f>IF(Z94="","","'"&amp;Z$11&amp;"' : "&amp;Z94&amp;", ")</f>
        <v xml:space="preserve">'deliveryFee' : 4.99, </v>
      </c>
      <c r="AA95" s="60"/>
      <c r="AB95" s="60"/>
      <c r="AC95" s="60"/>
      <c r="AD95" s="60"/>
      <c r="AE95" s="60"/>
      <c r="AF95" s="60" t="str">
        <f>$AA$10&amp;" : "&amp;_xlfn.CONCAT("[ ",AF91:AF93,"], ")</f>
        <v xml:space="preserve">orderDetails : [ { 'productId' : '4001', 'productName' : 'Plain Bagel', 'quantity' : 5, 'price' : 4.99, 'subTotal' : 24.95 },{ 'productId' : '4015', 'productName' : 'Sprouted Grain Flat Bagel', 'quantity' : 9, 'price' : 6.59, 'subTotal' : 59.31 },{ 'productId' : '4003', 'productName' : 'Cinnamon Crunch Bagel', 'quantity' : 20, 'price' : 6.25, 'subTotal' : 125 }], </v>
      </c>
      <c r="AG95" s="60" t="str">
        <f>IF(AG94="","","'"&amp;AG$11&amp;"' : new Date('"&amp;TEXT(AG94,"yyyy-mm-dd")&amp;"'), ")</f>
        <v xml:space="preserve">'orderDate' : new Date('2022-11-07'), </v>
      </c>
      <c r="AH95" s="60"/>
      <c r="AI95" s="60" t="str">
        <f>IF(AI94="","","'"&amp;AI$11&amp;"' : '"&amp;AI94&amp;"', ")</f>
        <v xml:space="preserve">'orderStatus' : 'Delivered', </v>
      </c>
      <c r="AJ95" s="60" t="str">
        <f>IF(AJ94="","","'"&amp;AJ$11&amp;"' : new Date('"&amp;TEXT(AJ94,"yyyy-mm-dd")&amp;"') ")</f>
        <v xml:space="preserve">'statusDate' : new Date('2022-11-06') </v>
      </c>
      <c r="AK95" s="60"/>
      <c r="AL95" s="59"/>
      <c r="AM95" s="58" t="str">
        <f ca="1">_xlfn.CONCAT("{ ",B95:AJ95,"} ,")</f>
        <v>{ 'emailAddress' : 'donovanmarkle@gmail.com', 'orderId' : '20221106101913', 'employeeUserName' : 'jbartolata', 'deliveryAddress' : { 'dName' : 'Donovan Markle' , 'dStreet' : '4337 Algonquin Blvd' , 'dUnit' : '216' , 'dCity' : 'Timmins' , 'dProvince' : 'Ontario' , 'dZip' : 'P4N 7C4' , 'dMobileNumber' : '705-668-1540' } , 'billingsAddress' : { 'bName' : 'Donovan Markle' , 'bStreet' : '4337 Algonquin Blvd' , 'bUnit' : '216' , 'bCity' : 'Timmins' , 'bProvince' : 'Ontario' , 'bZip' : 'P4N 7C4' , 'bMobileNumber' : '705-668-1540' } , 'paymentMethod' : { 'paymentType' : 'Credit' , 'cardScheme' : 'Visa' , 'cardLast4' : '4070' } , 'totalQty' : 3, 'orderTotal' : 241.45, 'grossTotal' : 209.26, 'tax' : 27.2, 'deliveryFee' : 4.99, orderDetails : [ { 'productId' : '4001', 'productName' : 'Plain Bagel', 'quantity' : 5, 'price' : 4.99, 'subTotal' : 24.95 },{ 'productId' : '4015', 'productName' : 'Sprouted Grain Flat Bagel', 'quantity' : 9, 'price' : 6.59, 'subTotal' : 59.31 },{ 'productId' : '4003', 'productName' : 'Cinnamon Crunch Bagel', 'quantity' : 20, 'price' : 6.25, 'subTotal' : 125 }], 'orderDate' : new Date('2022-11-07'), 'orderStatus' : 'Delivered', 'statusDate' : new Date('2022-11-06') } ,</v>
      </c>
    </row>
    <row r="96" spans="1:39" hidden="1" x14ac:dyDescent="0.35">
      <c r="B96" t="s">
        <v>735</v>
      </c>
      <c r="C96" s="49" t="s">
        <v>736</v>
      </c>
      <c r="D96" t="s">
        <v>681</v>
      </c>
      <c r="E96" t="s">
        <v>328</v>
      </c>
      <c r="F96" t="s">
        <v>584</v>
      </c>
      <c r="G96" t="s">
        <v>603</v>
      </c>
      <c r="H96" t="s">
        <v>441</v>
      </c>
      <c r="I96" t="s">
        <v>26</v>
      </c>
      <c r="J96" t="s">
        <v>613</v>
      </c>
      <c r="K96" t="s">
        <v>625</v>
      </c>
      <c r="L96" t="str">
        <f t="shared" ref="L96:L100" si="100">E96</f>
        <v>Sawyer Oliver</v>
      </c>
      <c r="M96" t="str">
        <f>VLOOKUP($B96,Customers!$B:$J,4,0)</f>
        <v>2963 Pine Street</v>
      </c>
      <c r="O96" t="str">
        <f>VLOOKUP($B96,Customers!$B:$J,6,0)</f>
        <v>Nisku</v>
      </c>
      <c r="P96" t="str">
        <f>VLOOKUP($B96,Customers!$B:$J,7,0)</f>
        <v>Alberta</v>
      </c>
      <c r="Q96" t="str">
        <f>VLOOKUP($B96,Customers!$B:$J,8,0)</f>
        <v>T0C 2G0</v>
      </c>
      <c r="R96" t="str">
        <f>VLOOKUP($B96,Customers!$B:$J,9,0)</f>
        <v>780-955-0637</v>
      </c>
      <c r="S96" t="str">
        <f>VLOOKUP($B96,Customers!$B:$T,16,0)</f>
        <v>Debit</v>
      </c>
      <c r="T96" t="str">
        <f>VLOOKUP($B96,Customers!$B:$T,18,0)</f>
        <v>Mastercard</v>
      </c>
      <c r="U96" t="str">
        <f>VLOOKUP($B96,Customers!$B:$T,19,0)</f>
        <v>5161</v>
      </c>
      <c r="V96">
        <f ca="1">COUNTIF(C:C,C96)-1</f>
        <v>4</v>
      </c>
      <c r="X96">
        <f t="shared" ref="X96:X99" si="101">AC96*AD96</f>
        <v>39.900000000000006</v>
      </c>
      <c r="Y96">
        <f t="shared" ref="Y96:Y99" si="102">ROUND(X96*13%,2)</f>
        <v>5.19</v>
      </c>
      <c r="AA96">
        <v>5001</v>
      </c>
      <c r="AB96" t="s">
        <v>89</v>
      </c>
      <c r="AC96">
        <v>10</v>
      </c>
      <c r="AD96">
        <v>3.99</v>
      </c>
      <c r="AE96">
        <f>AC96*AD96</f>
        <v>39.900000000000006</v>
      </c>
      <c r="AF96" s="54" t="str">
        <f>"{ '"&amp;AA$11&amp;"' : '"&amp;AA96&amp;"', '"&amp;AB$11&amp;"' : '"&amp;AB96&amp;"', '"&amp;AC$11&amp;"' : "&amp;AC96&amp;", '"&amp;AD$11&amp;"' : "&amp;AD96&amp;", '"&amp;AE$11&amp;"' : "&amp;AE96&amp;" },"</f>
        <v>{ 'productId' : '5001', 'productName' : 'Hot Chocolait', 'quantity' : 10, 'price' : 3.99, 'subTotal' : 39.9 },</v>
      </c>
      <c r="AG96" s="48">
        <v>44872</v>
      </c>
      <c r="AH96" s="50" t="s">
        <v>711</v>
      </c>
      <c r="AI96" t="s">
        <v>755</v>
      </c>
      <c r="AJ96" s="48">
        <f>AG96</f>
        <v>44872</v>
      </c>
      <c r="AK96" t="s">
        <v>693</v>
      </c>
    </row>
    <row r="97" spans="1:39" hidden="1" x14ac:dyDescent="0.35">
      <c r="B97" t="s">
        <v>735</v>
      </c>
      <c r="C97" t="s">
        <v>736</v>
      </c>
      <c r="D97" t="s">
        <v>681</v>
      </c>
      <c r="E97" t="s">
        <v>328</v>
      </c>
      <c r="F97" t="s">
        <v>584</v>
      </c>
      <c r="G97" t="s">
        <v>603</v>
      </c>
      <c r="H97" t="s">
        <v>441</v>
      </c>
      <c r="I97" t="s">
        <v>26</v>
      </c>
      <c r="J97" t="s">
        <v>613</v>
      </c>
      <c r="K97" t="s">
        <v>625</v>
      </c>
      <c r="L97" t="str">
        <f t="shared" si="100"/>
        <v>Sawyer Oliver</v>
      </c>
      <c r="M97" t="str">
        <f>VLOOKUP($B97,Customers!$B:$J,4,0)</f>
        <v>2963 Pine Street</v>
      </c>
      <c r="O97" t="str">
        <f>VLOOKUP($B97,Customers!$B:$J,6,0)</f>
        <v>Nisku</v>
      </c>
      <c r="P97" t="str">
        <f>VLOOKUP($B97,Customers!$B:$J,7,0)</f>
        <v>Alberta</v>
      </c>
      <c r="Q97" t="str">
        <f>VLOOKUP($B97,Customers!$B:$J,8,0)</f>
        <v>T0C 2G0</v>
      </c>
      <c r="R97" t="str">
        <f>VLOOKUP($B97,Customers!$B:$J,9,0)</f>
        <v>780-955-0637</v>
      </c>
      <c r="S97" t="str">
        <f>VLOOKUP($B97,Customers!$B:$T,16,0)</f>
        <v>Debit</v>
      </c>
      <c r="T97" t="str">
        <f>VLOOKUP($B97,Customers!$B:$T,18,0)</f>
        <v>Mastercard</v>
      </c>
      <c r="U97" t="str">
        <f>VLOOKUP($B97,Customers!$B:$T,19,0)</f>
        <v>5161</v>
      </c>
      <c r="V97">
        <f ca="1">COUNTIF(C:C,C97)-1</f>
        <v>4</v>
      </c>
      <c r="X97">
        <f t="shared" si="101"/>
        <v>83.49</v>
      </c>
      <c r="Y97">
        <f t="shared" si="102"/>
        <v>10.85</v>
      </c>
      <c r="AA97">
        <v>4009</v>
      </c>
      <c r="AB97" t="s">
        <v>73</v>
      </c>
      <c r="AC97">
        <v>11</v>
      </c>
      <c r="AD97">
        <v>7.59</v>
      </c>
      <c r="AE97">
        <f>AC97*AD97</f>
        <v>83.49</v>
      </c>
      <c r="AF97" s="54" t="str">
        <f>"{ '"&amp;AA$11&amp;"' : '"&amp;AA97&amp;"', '"&amp;AB$11&amp;"' : '"&amp;AB97&amp;"', '"&amp;AC$11&amp;"' : "&amp;AC97&amp;", '"&amp;AD$11&amp;"' : "&amp;AD97&amp;", '"&amp;AE$11&amp;"' : "&amp;AE97&amp;" },"</f>
        <v>{ 'productId' : '4009', 'productName' : 'Pecan Braid', 'quantity' : 11, 'price' : 7.59, 'subTotal' : 83.49 },</v>
      </c>
      <c r="AG97" s="48">
        <v>44872</v>
      </c>
      <c r="AH97" s="48" t="str">
        <f t="shared" ref="AH97:AH99" si="103">AH96</f>
        <v>082400</v>
      </c>
      <c r="AI97" t="str">
        <f t="shared" ref="AI97:AJ99" si="104">AI96</f>
        <v>Delivered</v>
      </c>
      <c r="AJ97" s="48">
        <f t="shared" si="104"/>
        <v>44872</v>
      </c>
    </row>
    <row r="98" spans="1:39" hidden="1" x14ac:dyDescent="0.35">
      <c r="B98" t="s">
        <v>735</v>
      </c>
      <c r="C98" t="s">
        <v>736</v>
      </c>
      <c r="D98" t="s">
        <v>681</v>
      </c>
      <c r="E98" t="s">
        <v>328</v>
      </c>
      <c r="F98" t="s">
        <v>584</v>
      </c>
      <c r="G98" t="s">
        <v>603</v>
      </c>
      <c r="H98" t="s">
        <v>441</v>
      </c>
      <c r="I98" t="s">
        <v>26</v>
      </c>
      <c r="J98" t="s">
        <v>613</v>
      </c>
      <c r="K98" t="s">
        <v>625</v>
      </c>
      <c r="L98" t="str">
        <f t="shared" si="100"/>
        <v>Sawyer Oliver</v>
      </c>
      <c r="M98" t="str">
        <f>VLOOKUP($B98,Customers!$B:$J,4,0)</f>
        <v>2963 Pine Street</v>
      </c>
      <c r="O98" t="str">
        <f>VLOOKUP($B98,Customers!$B:$J,6,0)</f>
        <v>Nisku</v>
      </c>
      <c r="P98" t="str">
        <f>VLOOKUP($B98,Customers!$B:$J,7,0)</f>
        <v>Alberta</v>
      </c>
      <c r="Q98" t="str">
        <f>VLOOKUP($B98,Customers!$B:$J,8,0)</f>
        <v>T0C 2G0</v>
      </c>
      <c r="R98" t="str">
        <f>VLOOKUP($B98,Customers!$B:$J,9,0)</f>
        <v>780-955-0637</v>
      </c>
      <c r="S98" t="str">
        <f>VLOOKUP($B98,Customers!$B:$T,16,0)</f>
        <v>Debit</v>
      </c>
      <c r="T98" t="str">
        <f>VLOOKUP($B98,Customers!$B:$T,18,0)</f>
        <v>Mastercard</v>
      </c>
      <c r="U98" t="str">
        <f>VLOOKUP($B98,Customers!$B:$T,19,0)</f>
        <v>5161</v>
      </c>
      <c r="V98">
        <f ca="1">COUNTIF(C:C,C98)-1</f>
        <v>4</v>
      </c>
      <c r="X98">
        <f t="shared" si="101"/>
        <v>118.62</v>
      </c>
      <c r="Y98">
        <f t="shared" si="102"/>
        <v>15.42</v>
      </c>
      <c r="AA98">
        <v>4015</v>
      </c>
      <c r="AB98" t="s">
        <v>82</v>
      </c>
      <c r="AC98">
        <v>18</v>
      </c>
      <c r="AD98">
        <v>6.59</v>
      </c>
      <c r="AE98">
        <f>AC98*AD98</f>
        <v>118.62</v>
      </c>
      <c r="AF98" s="54" t="str">
        <f>"{ '"&amp;AA$11&amp;"' : '"&amp;AA98&amp;"', '"&amp;AB$11&amp;"' : '"&amp;AB98&amp;"', '"&amp;AC$11&amp;"' : "&amp;AC98&amp;", '"&amp;AD$11&amp;"' : "&amp;AD98&amp;", '"&amp;AE$11&amp;"' : "&amp;AE98&amp;" },"</f>
        <v>{ 'productId' : '4015', 'productName' : 'Sprouted Grain Flat Bagel', 'quantity' : 18, 'price' : 6.59, 'subTotal' : 118.62 },</v>
      </c>
      <c r="AG98" s="48">
        <v>44872</v>
      </c>
      <c r="AH98" s="48" t="str">
        <f t="shared" si="103"/>
        <v>082400</v>
      </c>
      <c r="AI98" t="str">
        <f t="shared" si="104"/>
        <v>Delivered</v>
      </c>
      <c r="AJ98" s="48">
        <f t="shared" si="104"/>
        <v>44872</v>
      </c>
    </row>
    <row r="99" spans="1:39" hidden="1" x14ac:dyDescent="0.35">
      <c r="B99" t="s">
        <v>735</v>
      </c>
      <c r="C99" t="s">
        <v>736</v>
      </c>
      <c r="D99" t="s">
        <v>681</v>
      </c>
      <c r="E99" t="s">
        <v>328</v>
      </c>
      <c r="F99" t="s">
        <v>584</v>
      </c>
      <c r="G99" t="s">
        <v>603</v>
      </c>
      <c r="H99" t="s">
        <v>441</v>
      </c>
      <c r="I99" t="s">
        <v>26</v>
      </c>
      <c r="J99" t="s">
        <v>613</v>
      </c>
      <c r="K99" t="s">
        <v>625</v>
      </c>
      <c r="L99" t="str">
        <f t="shared" si="100"/>
        <v>Sawyer Oliver</v>
      </c>
      <c r="M99" t="str">
        <f>VLOOKUP($B99,Customers!$B:$J,4,0)</f>
        <v>2963 Pine Street</v>
      </c>
      <c r="O99" t="str">
        <f>VLOOKUP($B99,Customers!$B:$J,6,0)</f>
        <v>Nisku</v>
      </c>
      <c r="P99" t="str">
        <f>VLOOKUP($B99,Customers!$B:$J,7,0)</f>
        <v>Alberta</v>
      </c>
      <c r="Q99" t="str">
        <f>VLOOKUP($B99,Customers!$B:$J,8,0)</f>
        <v>T0C 2G0</v>
      </c>
      <c r="R99" t="str">
        <f>VLOOKUP($B99,Customers!$B:$J,9,0)</f>
        <v>780-955-0637</v>
      </c>
      <c r="S99" t="str">
        <f>VLOOKUP($B99,Customers!$B:$T,16,0)</f>
        <v>Debit</v>
      </c>
      <c r="T99" t="str">
        <f>VLOOKUP($B99,Customers!$B:$T,18,0)</f>
        <v>Mastercard</v>
      </c>
      <c r="U99" t="str">
        <f>VLOOKUP($B99,Customers!$B:$T,19,0)</f>
        <v>5161</v>
      </c>
      <c r="V99">
        <f ca="1">COUNTIF(C:C,C99)-1</f>
        <v>4</v>
      </c>
      <c r="X99">
        <f t="shared" si="101"/>
        <v>106.25</v>
      </c>
      <c r="Y99">
        <f t="shared" si="102"/>
        <v>13.81</v>
      </c>
      <c r="AA99">
        <v>4003</v>
      </c>
      <c r="AB99" t="s">
        <v>67</v>
      </c>
      <c r="AC99">
        <v>17</v>
      </c>
      <c r="AD99">
        <v>6.25</v>
      </c>
      <c r="AE99">
        <f>AC99*AD99</f>
        <v>106.25</v>
      </c>
      <c r="AF99" s="54" t="str">
        <f>"{ '"&amp;AA$11&amp;"' : '"&amp;AA99&amp;"', '"&amp;AB$11&amp;"' : '"&amp;AB99&amp;"', '"&amp;AC$11&amp;"' : "&amp;AC99&amp;", '"&amp;AD$11&amp;"' : "&amp;AD99&amp;", '"&amp;AE$11&amp;"' : "&amp;AE99&amp;" }"</f>
        <v>{ 'productId' : '4003', 'productName' : 'Cinnamon Crunch Bagel', 'quantity' : 17, 'price' : 6.25, 'subTotal' : 106.25 }</v>
      </c>
      <c r="AG99" s="48">
        <v>44872</v>
      </c>
      <c r="AH99" s="48" t="str">
        <f t="shared" si="103"/>
        <v>082400</v>
      </c>
      <c r="AI99" t="str">
        <f t="shared" si="104"/>
        <v>Delivered</v>
      </c>
      <c r="AJ99" s="48">
        <f t="shared" si="104"/>
        <v>44872</v>
      </c>
    </row>
    <row r="100" spans="1:39" hidden="1" x14ac:dyDescent="0.35">
      <c r="A100" t="s">
        <v>759</v>
      </c>
      <c r="B100" t="s">
        <v>735</v>
      </c>
      <c r="C100" t="s">
        <v>736</v>
      </c>
      <c r="D100" t="s">
        <v>681</v>
      </c>
      <c r="E100" t="s">
        <v>328</v>
      </c>
      <c r="F100" t="s">
        <v>584</v>
      </c>
      <c r="G100" t="s">
        <v>603</v>
      </c>
      <c r="H100" t="s">
        <v>441</v>
      </c>
      <c r="I100" t="s">
        <v>26</v>
      </c>
      <c r="J100" t="s">
        <v>613</v>
      </c>
      <c r="K100" t="s">
        <v>625</v>
      </c>
      <c r="L100" t="str">
        <f t="shared" si="100"/>
        <v>Sawyer Oliver</v>
      </c>
      <c r="M100" t="str">
        <f>VLOOKUP($B100,Customers!$B:$J,4,0)</f>
        <v>2963 Pine Street</v>
      </c>
      <c r="O100" t="str">
        <f>VLOOKUP($B100,Customers!$B:$J,6,0)</f>
        <v>Nisku</v>
      </c>
      <c r="P100" t="str">
        <f>VLOOKUP($B100,Customers!$B:$J,7,0)</f>
        <v>Alberta</v>
      </c>
      <c r="Q100" t="str">
        <f>VLOOKUP($B100,Customers!$B:$J,8,0)</f>
        <v>T0C 2G0</v>
      </c>
      <c r="R100" t="str">
        <f>VLOOKUP($B100,Customers!$B:$J,9,0)</f>
        <v>780-955-0637</v>
      </c>
      <c r="S100" t="str">
        <f>VLOOKUP($B100,Customers!$B:$T,16,0)</f>
        <v>Debit</v>
      </c>
      <c r="T100" t="str">
        <f>VLOOKUP($B100,Customers!$B:$T,18,0)</f>
        <v>Mastercard</v>
      </c>
      <c r="U100" t="str">
        <f>VLOOKUP($B100,Customers!$B:$T,19,0)</f>
        <v>5161</v>
      </c>
      <c r="V100">
        <f ca="1">COUNTIF(C:C,C100)-1</f>
        <v>4</v>
      </c>
      <c r="W100">
        <f>SUM(X100:Z100)</f>
        <v>398.52</v>
      </c>
      <c r="X100">
        <f>SUM(X96:X99)</f>
        <v>348.26</v>
      </c>
      <c r="Y100">
        <f>SUM(Y96:Y99)</f>
        <v>45.27</v>
      </c>
      <c r="Z100">
        <v>4.99</v>
      </c>
      <c r="AF100" s="54"/>
      <c r="AG100" s="48">
        <f>AG99</f>
        <v>44872</v>
      </c>
      <c r="AH100" s="48"/>
      <c r="AI100" t="str">
        <f t="shared" ref="AI100:AJ100" si="105">AI99</f>
        <v>Delivered</v>
      </c>
      <c r="AJ100" s="48">
        <f t="shared" si="105"/>
        <v>44872</v>
      </c>
    </row>
    <row r="101" spans="1:39" s="58" customFormat="1" ht="58" hidden="1" x14ac:dyDescent="0.35">
      <c r="A101" s="60" t="s">
        <v>760</v>
      </c>
      <c r="B101" s="60" t="str">
        <f>IF(B100="","","'"&amp;B$11&amp;"' : '"&amp;B100&amp;"', ")</f>
        <v xml:space="preserve">'emailAddress' : 'sawyer_oliver@gmail.com', </v>
      </c>
      <c r="C101" s="60" t="str">
        <f>IF(C100="","","'"&amp;C$11&amp;"' : '"&amp;C100&amp;"', ")</f>
        <v xml:space="preserve">'orderId' : '20221107082400', </v>
      </c>
      <c r="D101" s="60" t="str">
        <f>IF(D100="","","'"&amp;D$11&amp;"' : '"&amp;D100&amp;"', ")</f>
        <v xml:space="preserve">'employeeUserName' : 'jbartolata', </v>
      </c>
      <c r="E101" s="60" t="str">
        <f>IF(E100="","","'"&amp;$F$10&amp;"' : { '"&amp;E$11&amp;"' : '"&amp;E100&amp;"' , ")</f>
        <v xml:space="preserve">'deliveryAddress' : { 'dName' : 'Sawyer Oliver' , </v>
      </c>
      <c r="F101" s="60" t="str">
        <f>IF(F100="","","'"&amp;F$11&amp;"' : '"&amp;F100&amp;"' , ")</f>
        <v xml:space="preserve">'dStreet' : '674 Montreal Road' , </v>
      </c>
      <c r="G101" s="60" t="str">
        <f>IF(G100="","","'"&amp;G$11&amp;"' : '"&amp;G100&amp;"' , ")</f>
        <v xml:space="preserve">'dUnit' : '13' , </v>
      </c>
      <c r="H101" s="60" t="str">
        <f>IF(H100="","","'"&amp;H$11&amp;"' : '"&amp;H100&amp;"' , ")</f>
        <v xml:space="preserve">'dCity' : 'Ottawa' , </v>
      </c>
      <c r="I101" s="60" t="str">
        <f>IF(I100="","","'"&amp;I$11&amp;"' : '"&amp;I100&amp;"' , ")</f>
        <v xml:space="preserve">'dProvince' : 'Ontario' , </v>
      </c>
      <c r="J101" s="60" t="str">
        <f>IF(J100="","","'"&amp;J$11&amp;"' : '"&amp;J100&amp;"' , ")</f>
        <v xml:space="preserve">'dZip' : 'K1L 6C7' , </v>
      </c>
      <c r="K101" s="60" t="str">
        <f>IF(K100="","","'"&amp;K$11&amp;"' : '"&amp;K100&amp;"' } , ")</f>
        <v xml:space="preserve">'dMobileNumber' : '613-744-0751' } , </v>
      </c>
      <c r="L101" s="60" t="str">
        <f>IF(L100="","","'"&amp;$L$10&amp;"' : { '"&amp;L$11&amp;"' : '"&amp;L100&amp;"' , ")</f>
        <v xml:space="preserve">'billingsAddress' : { 'bName' : 'Sawyer Oliver' , </v>
      </c>
      <c r="M101" s="60" t="str">
        <f>IF(M100="","","'"&amp;M$11&amp;"' : '"&amp;M100&amp;"' , ")</f>
        <v xml:space="preserve">'bStreet' : '2963 Pine Street' , </v>
      </c>
      <c r="N101" s="60" t="str">
        <f>IF(N100="","","'"&amp;N$11&amp;"' : '"&amp;N100&amp;"' , ")</f>
        <v/>
      </c>
      <c r="O101" s="60" t="str">
        <f>IF(O100="","","'"&amp;O$11&amp;"' : '"&amp;O100&amp;"' , ")</f>
        <v xml:space="preserve">'bCity' : 'Nisku' , </v>
      </c>
      <c r="P101" s="60" t="str">
        <f>IF(P100="","","'"&amp;P$11&amp;"' : '"&amp;P100&amp;"' , ")</f>
        <v xml:space="preserve">'bProvince' : 'Alberta' , </v>
      </c>
      <c r="Q101" s="60" t="str">
        <f>IF(Q100="","","'"&amp;Q$11&amp;"' : '"&amp;Q100&amp;"' , ")</f>
        <v xml:space="preserve">'bZip' : 'T0C 2G0' , </v>
      </c>
      <c r="R101" s="60" t="str">
        <f>IF(R100="","","'"&amp;R$11&amp;"' : '"&amp;R100&amp;"' } , ")</f>
        <v xml:space="preserve">'bMobileNumber' : '780-955-0637' } , </v>
      </c>
      <c r="S101" s="60" t="str">
        <f>IF(S100="","","'"&amp;$S$10&amp;"' : { '"&amp;S$11&amp;"' : '"&amp;S100&amp;"' , ")</f>
        <v xml:space="preserve">'paymentMethod' : { 'paymentType' : 'Debit' , </v>
      </c>
      <c r="T101" s="60" t="str">
        <f>IF(T100="","","'"&amp;T$11&amp;"' : '"&amp;T100&amp;"' , ")</f>
        <v xml:space="preserve">'cardScheme' : 'Mastercard' , </v>
      </c>
      <c r="U101" s="60" t="str">
        <f>IF(U100="","","'"&amp;U$11&amp;"' : '"&amp;U100&amp;"' } , ")</f>
        <v xml:space="preserve">'cardLast4' : '5161' } , </v>
      </c>
      <c r="V101" s="60" t="str">
        <f ca="1">IF(V100="","","'"&amp;V$11&amp;"' : "&amp;V100&amp;", ")</f>
        <v xml:space="preserve">'totalQty' : 4, </v>
      </c>
      <c r="W101" s="60" t="str">
        <f>IF(W100="","","'"&amp;W$11&amp;"' : "&amp;W100&amp;", ")</f>
        <v xml:space="preserve">'orderTotal' : 398.52, </v>
      </c>
      <c r="X101" s="60" t="str">
        <f>IF(X100="","","'"&amp;X$11&amp;"' : "&amp;X100&amp;", ")</f>
        <v xml:space="preserve">'grossTotal' : 348.26, </v>
      </c>
      <c r="Y101" s="60" t="str">
        <f>IF(Y100="","","'"&amp;Y$11&amp;"' : "&amp;Y100&amp;", ")</f>
        <v xml:space="preserve">'tax' : 45.27, </v>
      </c>
      <c r="Z101" s="60" t="str">
        <f>IF(Z100="","","'"&amp;Z$11&amp;"' : "&amp;Z100&amp;", ")</f>
        <v xml:space="preserve">'deliveryFee' : 4.99, </v>
      </c>
      <c r="AA101" s="60"/>
      <c r="AB101" s="60"/>
      <c r="AC101" s="60"/>
      <c r="AD101" s="60"/>
      <c r="AE101" s="60"/>
      <c r="AF101" s="60" t="str">
        <f>$AA$10&amp;" : "&amp;_xlfn.CONCAT("[ ",AF96:AF99,"], ")</f>
        <v xml:space="preserve">orderDetails : [ { 'productId' : '5001', 'productName' : 'Hot Chocolait', 'quantity' : 10, 'price' : 3.99, 'subTotal' : 39.9 },{ 'productId' : '4009', 'productName' : 'Pecan Braid', 'quantity' : 11, 'price' : 7.59, 'subTotal' : 83.49 },{ 'productId' : '4015', 'productName' : 'Sprouted Grain Flat Bagel', 'quantity' : 18, 'price' : 6.59, 'subTotal' : 118.62 },{ 'productId' : '4003', 'productName' : 'Cinnamon Crunch Bagel', 'quantity' : 17, 'price' : 6.25, 'subTotal' : 106.25 }], </v>
      </c>
      <c r="AG101" s="60" t="str">
        <f>IF(AG100="","","'"&amp;AG$11&amp;"' : new Date('"&amp;TEXT(AG100,"yyyy-mm-dd")&amp;"'), ")</f>
        <v xml:space="preserve">'orderDate' : new Date('2022-11-07'), </v>
      </c>
      <c r="AH101" s="60"/>
      <c r="AI101" s="60" t="str">
        <f>IF(AI100="","","'"&amp;AI$11&amp;"' : '"&amp;AI100&amp;"', ")</f>
        <v xml:space="preserve">'orderStatus' : 'Delivered', </v>
      </c>
      <c r="AJ101" s="60" t="str">
        <f>IF(AJ100="","","'"&amp;AJ$11&amp;"' : new Date('"&amp;TEXT(AJ100,"yyyy-mm-dd")&amp;"') ")</f>
        <v xml:space="preserve">'statusDate' : new Date('2022-11-07') </v>
      </c>
      <c r="AK101" s="60"/>
      <c r="AL101" s="59"/>
      <c r="AM101" s="58" t="str">
        <f ca="1">_xlfn.CONCAT("{ ",B101:AJ101,"} ,")</f>
        <v>{ 'emailAddress' : 'sawyer_oliver@gmail.com', 'orderId' : '20221107082400', 'employeeUserName' : 'jbartolata', 'deliveryAddress' : { 'dName' : 'Sawyer Oliver' , 'dStreet' : '674 Montreal Road' , 'dUnit' : '13' , 'dCity' : 'Ottawa' , 'dProvince' : 'Ontario' , 'dZip' : 'K1L 6C7' , 'dMobileNumber' : '613-744-0751' } , 'billingsAddress' : { 'bName' : 'Sawyer Oliver' , 'bStreet' : '2963 Pine Street' , 'bCity' : 'Nisku' , 'bProvince' : 'Alberta' , 'bZip' : 'T0C 2G0' , 'bMobileNumber' : '780-955-0637' } , 'paymentMethod' : { 'paymentType' : 'Debit' , 'cardScheme' : 'Mastercard' , 'cardLast4' : '5161' } , 'totalQty' : 4, 'orderTotal' : 398.52, 'grossTotal' : 348.26, 'tax' : 45.27, 'deliveryFee' : 4.99, orderDetails : [ { 'productId' : '5001', 'productName' : 'Hot Chocolait', 'quantity' : 10, 'price' : 3.99, 'subTotal' : 39.9 },{ 'productId' : '4009', 'productName' : 'Pecan Braid', 'quantity' : 11, 'price' : 7.59, 'subTotal' : 83.49 },{ 'productId' : '4015', 'productName' : 'Sprouted Grain Flat Bagel', 'quantity' : 18, 'price' : 6.59, 'subTotal' : 118.62 },{ 'productId' : '4003', 'productName' : 'Cinnamon Crunch Bagel', 'quantity' : 17, 'price' : 6.25, 'subTotal' : 106.25 }], 'orderDate' : new Date('2022-11-07'), 'orderStatus' : 'Delivered', 'statusDate' : new Date('2022-11-07') } ,</v>
      </c>
    </row>
    <row r="102" spans="1:39" hidden="1" x14ac:dyDescent="0.35">
      <c r="B102" t="s">
        <v>709</v>
      </c>
      <c r="C102" s="49" t="s">
        <v>737</v>
      </c>
      <c r="D102" t="s">
        <v>681</v>
      </c>
      <c r="E102" t="s">
        <v>323</v>
      </c>
      <c r="F102" t="s">
        <v>418</v>
      </c>
      <c r="G102" t="s">
        <v>575</v>
      </c>
      <c r="H102" t="s">
        <v>442</v>
      </c>
      <c r="I102" t="s">
        <v>26</v>
      </c>
      <c r="J102" t="s">
        <v>476</v>
      </c>
      <c r="K102" t="s">
        <v>506</v>
      </c>
      <c r="L102" t="str">
        <f t="shared" ref="L102:L105" si="106">E102</f>
        <v>Donovan Markle</v>
      </c>
      <c r="M102" t="str">
        <f>VLOOKUP($B102,Customers!$B:$J,4,0)</f>
        <v>4337 Algonquin Blvd</v>
      </c>
      <c r="N102" t="str">
        <f>VLOOKUP($B102,Customers!$B:$J,5,0)</f>
        <v>216</v>
      </c>
      <c r="O102" t="str">
        <f>VLOOKUP($B102,Customers!$B:$J,6,0)</f>
        <v>Timmins</v>
      </c>
      <c r="P102" t="str">
        <f>VLOOKUP($B102,Customers!$B:$J,7,0)</f>
        <v>Ontario</v>
      </c>
      <c r="Q102" t="str">
        <f>VLOOKUP($B102,Customers!$B:$J,8,0)</f>
        <v>P4N 7C4</v>
      </c>
      <c r="R102" t="str">
        <f>VLOOKUP($B102,Customers!$B:$J,9,0)</f>
        <v>705-668-1540</v>
      </c>
      <c r="S102" t="str">
        <f>VLOOKUP($B102,Customers!$B:$T,16,0)</f>
        <v>Credit</v>
      </c>
      <c r="T102" t="str">
        <f>VLOOKUP($B102,Customers!$B:$T,18,0)</f>
        <v>Visa</v>
      </c>
      <c r="U102" t="str">
        <f>VLOOKUP($B102,Customers!$B:$T,19,0)</f>
        <v>4070</v>
      </c>
      <c r="V102">
        <f ca="1">COUNTIF(C:C,C102)-1</f>
        <v>3</v>
      </c>
      <c r="X102">
        <f t="shared" ref="X102:X104" si="107">AC102*AD102</f>
        <v>67.900000000000006</v>
      </c>
      <c r="Y102">
        <f t="shared" ref="Y102:Y104" si="108">ROUND(X102*13%,2)</f>
        <v>8.83</v>
      </c>
      <c r="AA102">
        <v>4012</v>
      </c>
      <c r="AB102" t="s">
        <v>76</v>
      </c>
      <c r="AC102">
        <v>10</v>
      </c>
      <c r="AD102">
        <v>6.79</v>
      </c>
      <c r="AE102">
        <f>AC102*AD102</f>
        <v>67.900000000000006</v>
      </c>
      <c r="AF102" s="54" t="str">
        <f>"{ '"&amp;AA$11&amp;"' : '"&amp;AA102&amp;"', '"&amp;AB$11&amp;"' : '"&amp;AB102&amp;"', '"&amp;AC$11&amp;"' : "&amp;AC102&amp;", '"&amp;AD$11&amp;"' : "&amp;AD102&amp;", '"&amp;AE$11&amp;"' : "&amp;AE102&amp;" },"</f>
        <v>{ 'productId' : '4012', 'productName' : 'Empanada', 'quantity' : 10, 'price' : 6.79, 'subTotal' : 67.9 },</v>
      </c>
      <c r="AG102" s="48">
        <v>44872</v>
      </c>
      <c r="AH102" s="50" t="s">
        <v>714</v>
      </c>
      <c r="AI102" t="s">
        <v>755</v>
      </c>
      <c r="AJ102" s="48">
        <f>AG102</f>
        <v>44872</v>
      </c>
      <c r="AK102" t="s">
        <v>725</v>
      </c>
    </row>
    <row r="103" spans="1:39" hidden="1" x14ac:dyDescent="0.35">
      <c r="B103" t="s">
        <v>709</v>
      </c>
      <c r="C103" t="s">
        <v>737</v>
      </c>
      <c r="D103" t="s">
        <v>681</v>
      </c>
      <c r="E103" t="s">
        <v>323</v>
      </c>
      <c r="F103" t="s">
        <v>418</v>
      </c>
      <c r="G103" t="s">
        <v>575</v>
      </c>
      <c r="H103" t="s">
        <v>442</v>
      </c>
      <c r="I103" t="s">
        <v>26</v>
      </c>
      <c r="J103" t="s">
        <v>476</v>
      </c>
      <c r="K103" t="s">
        <v>506</v>
      </c>
      <c r="L103" t="str">
        <f t="shared" si="106"/>
        <v>Donovan Markle</v>
      </c>
      <c r="M103" t="str">
        <f>VLOOKUP($B103,Customers!$B:$J,4,0)</f>
        <v>4337 Algonquin Blvd</v>
      </c>
      <c r="N103" t="str">
        <f>VLOOKUP($B103,Customers!$B:$J,5,0)</f>
        <v>216</v>
      </c>
      <c r="O103" t="str">
        <f>VLOOKUP($B103,Customers!$B:$J,6,0)</f>
        <v>Timmins</v>
      </c>
      <c r="P103" t="str">
        <f>VLOOKUP($B103,Customers!$B:$J,7,0)</f>
        <v>Ontario</v>
      </c>
      <c r="Q103" t="str">
        <f>VLOOKUP($B103,Customers!$B:$J,8,0)</f>
        <v>P4N 7C4</v>
      </c>
      <c r="R103" t="str">
        <f>VLOOKUP($B103,Customers!$B:$J,9,0)</f>
        <v>705-668-1540</v>
      </c>
      <c r="S103" t="str">
        <f>VLOOKUP($B103,Customers!$B:$T,16,0)</f>
        <v>Credit</v>
      </c>
      <c r="T103" t="str">
        <f>VLOOKUP($B103,Customers!$B:$T,18,0)</f>
        <v>Visa</v>
      </c>
      <c r="U103" t="str">
        <f>VLOOKUP($B103,Customers!$B:$T,19,0)</f>
        <v>4070</v>
      </c>
      <c r="V103">
        <f ca="1">COUNTIF(C:C,C103)-1</f>
        <v>3</v>
      </c>
      <c r="X103">
        <f t="shared" si="107"/>
        <v>59.85</v>
      </c>
      <c r="Y103">
        <f t="shared" si="108"/>
        <v>7.78</v>
      </c>
      <c r="AA103">
        <v>5003</v>
      </c>
      <c r="AB103" t="s">
        <v>94</v>
      </c>
      <c r="AC103">
        <v>15</v>
      </c>
      <c r="AD103">
        <v>3.99</v>
      </c>
      <c r="AE103">
        <f>AC103*AD103</f>
        <v>59.85</v>
      </c>
      <c r="AF103" s="54" t="str">
        <f>"{ '"&amp;AA$11&amp;"' : '"&amp;AA103&amp;"', '"&amp;AB$11&amp;"' : '"&amp;AB103&amp;"', '"&amp;AC$11&amp;"' : "&amp;AC103&amp;", '"&amp;AD$11&amp;"' : "&amp;AD103&amp;", '"&amp;AE$11&amp;"' : "&amp;AE103&amp;" },"</f>
        <v>{ 'productId' : '5003', 'productName' : 'Continental Drinks', 'quantity' : 15, 'price' : 3.99, 'subTotal' : 59.85 },</v>
      </c>
      <c r="AG103" s="48">
        <v>44872</v>
      </c>
      <c r="AH103" s="48" t="str">
        <f t="shared" ref="AH103:AH104" si="109">AH102</f>
        <v>085248</v>
      </c>
      <c r="AI103" t="str">
        <f t="shared" ref="AI103:AJ104" si="110">AI102</f>
        <v>Delivered</v>
      </c>
      <c r="AJ103" s="48">
        <f t="shared" si="110"/>
        <v>44872</v>
      </c>
    </row>
    <row r="104" spans="1:39" hidden="1" x14ac:dyDescent="0.35">
      <c r="B104" t="s">
        <v>709</v>
      </c>
      <c r="C104" t="s">
        <v>737</v>
      </c>
      <c r="D104" t="s">
        <v>681</v>
      </c>
      <c r="E104" t="s">
        <v>323</v>
      </c>
      <c r="F104" t="s">
        <v>418</v>
      </c>
      <c r="G104" t="s">
        <v>575</v>
      </c>
      <c r="H104" t="s">
        <v>442</v>
      </c>
      <c r="I104" t="s">
        <v>26</v>
      </c>
      <c r="J104" t="s">
        <v>476</v>
      </c>
      <c r="K104" t="s">
        <v>506</v>
      </c>
      <c r="L104" t="str">
        <f t="shared" si="106"/>
        <v>Donovan Markle</v>
      </c>
      <c r="M104" t="str">
        <f>VLOOKUP($B104,Customers!$B:$J,4,0)</f>
        <v>4337 Algonquin Blvd</v>
      </c>
      <c r="N104" t="str">
        <f>VLOOKUP($B104,Customers!$B:$J,5,0)</f>
        <v>216</v>
      </c>
      <c r="O104" t="str">
        <f>VLOOKUP($B104,Customers!$B:$J,6,0)</f>
        <v>Timmins</v>
      </c>
      <c r="P104" t="str">
        <f>VLOOKUP($B104,Customers!$B:$J,7,0)</f>
        <v>Ontario</v>
      </c>
      <c r="Q104" t="str">
        <f>VLOOKUP($B104,Customers!$B:$J,8,0)</f>
        <v>P4N 7C4</v>
      </c>
      <c r="R104" t="str">
        <f>VLOOKUP($B104,Customers!$B:$J,9,0)</f>
        <v>705-668-1540</v>
      </c>
      <c r="S104" t="str">
        <f>VLOOKUP($B104,Customers!$B:$T,16,0)</f>
        <v>Credit</v>
      </c>
      <c r="T104" t="str">
        <f>VLOOKUP($B104,Customers!$B:$T,18,0)</f>
        <v>Visa</v>
      </c>
      <c r="U104" t="str">
        <f>VLOOKUP($B104,Customers!$B:$T,19,0)</f>
        <v>4070</v>
      </c>
      <c r="V104">
        <f ca="1">COUNTIF(C:C,C104)-1</f>
        <v>3</v>
      </c>
      <c r="X104">
        <f t="shared" si="107"/>
        <v>59.900000000000006</v>
      </c>
      <c r="Y104">
        <f t="shared" si="108"/>
        <v>7.79</v>
      </c>
      <c r="AA104">
        <v>4005</v>
      </c>
      <c r="AB104" t="s">
        <v>69</v>
      </c>
      <c r="AC104">
        <v>10</v>
      </c>
      <c r="AD104">
        <v>5.99</v>
      </c>
      <c r="AE104">
        <f>AC104*AD104</f>
        <v>59.900000000000006</v>
      </c>
      <c r="AF104" s="54" t="str">
        <f>"{ '"&amp;AA$11&amp;"' : '"&amp;AA104&amp;"', '"&amp;AB$11&amp;"' : '"&amp;AB104&amp;"', '"&amp;AC$11&amp;"' : "&amp;AC104&amp;", '"&amp;AD$11&amp;"' : "&amp;AD104&amp;", '"&amp;AE$11&amp;"' : "&amp;AE104&amp;" }"</f>
        <v>{ 'productId' : '4005', 'productName' : 'Bear Claw', 'quantity' : 10, 'price' : 5.99, 'subTotal' : 59.9 }</v>
      </c>
      <c r="AG104" s="48">
        <v>44872</v>
      </c>
      <c r="AH104" s="48" t="str">
        <f t="shared" si="109"/>
        <v>085248</v>
      </c>
      <c r="AI104" t="str">
        <f t="shared" si="110"/>
        <v>Delivered</v>
      </c>
      <c r="AJ104" s="48">
        <f t="shared" si="110"/>
        <v>44872</v>
      </c>
    </row>
    <row r="105" spans="1:39" hidden="1" x14ac:dyDescent="0.35">
      <c r="A105" t="s">
        <v>759</v>
      </c>
      <c r="B105" t="s">
        <v>709</v>
      </c>
      <c r="C105" t="s">
        <v>737</v>
      </c>
      <c r="D105" t="s">
        <v>681</v>
      </c>
      <c r="E105" t="s">
        <v>323</v>
      </c>
      <c r="F105" t="s">
        <v>418</v>
      </c>
      <c r="G105" t="s">
        <v>575</v>
      </c>
      <c r="H105" t="s">
        <v>442</v>
      </c>
      <c r="I105" t="s">
        <v>26</v>
      </c>
      <c r="J105" t="s">
        <v>476</v>
      </c>
      <c r="K105" t="s">
        <v>506</v>
      </c>
      <c r="L105" t="str">
        <f t="shared" si="106"/>
        <v>Donovan Markle</v>
      </c>
      <c r="M105" t="str">
        <f>VLOOKUP($B105,Customers!$B:$J,4,0)</f>
        <v>4337 Algonquin Blvd</v>
      </c>
      <c r="N105" t="str">
        <f>VLOOKUP($B105,Customers!$B:$J,5,0)</f>
        <v>216</v>
      </c>
      <c r="O105" t="str">
        <f>VLOOKUP($B105,Customers!$B:$J,6,0)</f>
        <v>Timmins</v>
      </c>
      <c r="P105" t="str">
        <f>VLOOKUP($B105,Customers!$B:$J,7,0)</f>
        <v>Ontario</v>
      </c>
      <c r="Q105" t="str">
        <f>VLOOKUP($B105,Customers!$B:$J,8,0)</f>
        <v>P4N 7C4</v>
      </c>
      <c r="R105" t="str">
        <f>VLOOKUP($B105,Customers!$B:$J,9,0)</f>
        <v>705-668-1540</v>
      </c>
      <c r="S105" t="str">
        <f>VLOOKUP($B105,Customers!$B:$T,16,0)</f>
        <v>Credit</v>
      </c>
      <c r="T105" t="str">
        <f>VLOOKUP($B105,Customers!$B:$T,18,0)</f>
        <v>Visa</v>
      </c>
      <c r="U105" t="str">
        <f>VLOOKUP($B105,Customers!$B:$T,19,0)</f>
        <v>4070</v>
      </c>
      <c r="V105">
        <f ca="1">COUNTIF(C:C,C105)-1</f>
        <v>3</v>
      </c>
      <c r="W105">
        <f>SUM(X105:Z105)</f>
        <v>217.04000000000002</v>
      </c>
      <c r="X105">
        <f>SUM(X102:X104)</f>
        <v>187.65</v>
      </c>
      <c r="Y105">
        <f>SUM(Y102:Y104)</f>
        <v>24.4</v>
      </c>
      <c r="Z105">
        <v>4.99</v>
      </c>
      <c r="AF105" s="54"/>
      <c r="AG105" s="48">
        <f>AG104</f>
        <v>44872</v>
      </c>
      <c r="AH105" s="48"/>
      <c r="AI105" t="str">
        <f t="shared" ref="AI105:AJ105" si="111">AI104</f>
        <v>Delivered</v>
      </c>
      <c r="AJ105" s="48">
        <f t="shared" si="111"/>
        <v>44872</v>
      </c>
    </row>
    <row r="106" spans="1:39" s="58" customFormat="1" ht="43.5" hidden="1" x14ac:dyDescent="0.35">
      <c r="A106" s="60" t="s">
        <v>760</v>
      </c>
      <c r="B106" s="60" t="str">
        <f>IF(B105="","","'"&amp;B$11&amp;"' : '"&amp;B105&amp;"', ")</f>
        <v xml:space="preserve">'emailAddress' : 'donovanmarkle@gmail.com', </v>
      </c>
      <c r="C106" s="60" t="str">
        <f>IF(C105="","","'"&amp;C$11&amp;"' : '"&amp;C105&amp;"', ")</f>
        <v xml:space="preserve">'orderId' : '20221107085248', </v>
      </c>
      <c r="D106" s="60" t="str">
        <f>IF(D105="","","'"&amp;D$11&amp;"' : '"&amp;D105&amp;"', ")</f>
        <v xml:space="preserve">'employeeUserName' : 'jbartolata', </v>
      </c>
      <c r="E106" s="60" t="str">
        <f>IF(E105="","","'"&amp;$F$10&amp;"' : { '"&amp;E$11&amp;"' : '"&amp;E105&amp;"' , ")</f>
        <v xml:space="preserve">'deliveryAddress' : { 'dName' : 'Donovan Markle' , </v>
      </c>
      <c r="F106" s="60" t="str">
        <f>IF(F105="","","'"&amp;F$11&amp;"' : '"&amp;F105&amp;"' , ")</f>
        <v xml:space="preserve">'dStreet' : '4337 Algonquin Blvd' , </v>
      </c>
      <c r="G106" s="60" t="str">
        <f>IF(G105="","","'"&amp;G$11&amp;"' : '"&amp;G105&amp;"' , ")</f>
        <v xml:space="preserve">'dUnit' : '216' , </v>
      </c>
      <c r="H106" s="60" t="str">
        <f>IF(H105="","","'"&amp;H$11&amp;"' : '"&amp;H105&amp;"' , ")</f>
        <v xml:space="preserve">'dCity' : 'Timmins' , </v>
      </c>
      <c r="I106" s="60" t="str">
        <f>IF(I105="","","'"&amp;I$11&amp;"' : '"&amp;I105&amp;"' , ")</f>
        <v xml:space="preserve">'dProvince' : 'Ontario' , </v>
      </c>
      <c r="J106" s="60" t="str">
        <f>IF(J105="","","'"&amp;J$11&amp;"' : '"&amp;J105&amp;"' , ")</f>
        <v xml:space="preserve">'dZip' : 'P4N 7C4' , </v>
      </c>
      <c r="K106" s="60" t="str">
        <f>IF(K105="","","'"&amp;K$11&amp;"' : '"&amp;K105&amp;"' } , ")</f>
        <v xml:space="preserve">'dMobileNumber' : '705-668-1540' } , </v>
      </c>
      <c r="L106" s="60" t="str">
        <f>IF(L105="","","'"&amp;$L$10&amp;"' : { '"&amp;L$11&amp;"' : '"&amp;L105&amp;"' , ")</f>
        <v xml:space="preserve">'billingsAddress' : { 'bName' : 'Donovan Markle' , </v>
      </c>
      <c r="M106" s="60" t="str">
        <f>IF(M105="","","'"&amp;M$11&amp;"' : '"&amp;M105&amp;"' , ")</f>
        <v xml:space="preserve">'bStreet' : '4337 Algonquin Blvd' , </v>
      </c>
      <c r="N106" s="60" t="str">
        <f>IF(N105="","","'"&amp;N$11&amp;"' : '"&amp;N105&amp;"' , ")</f>
        <v xml:space="preserve">'bUnit' : '216' , </v>
      </c>
      <c r="O106" s="60" t="str">
        <f>IF(O105="","","'"&amp;O$11&amp;"' : '"&amp;O105&amp;"' , ")</f>
        <v xml:space="preserve">'bCity' : 'Timmins' , </v>
      </c>
      <c r="P106" s="60" t="str">
        <f>IF(P105="","","'"&amp;P$11&amp;"' : '"&amp;P105&amp;"' , ")</f>
        <v xml:space="preserve">'bProvince' : 'Ontario' , </v>
      </c>
      <c r="Q106" s="60" t="str">
        <f>IF(Q105="","","'"&amp;Q$11&amp;"' : '"&amp;Q105&amp;"' , ")</f>
        <v xml:space="preserve">'bZip' : 'P4N 7C4' , </v>
      </c>
      <c r="R106" s="60" t="str">
        <f>IF(R105="","","'"&amp;R$11&amp;"' : '"&amp;R105&amp;"' } , ")</f>
        <v xml:space="preserve">'bMobileNumber' : '705-668-1540' } , </v>
      </c>
      <c r="S106" s="60" t="str">
        <f>IF(S105="","","'"&amp;$S$10&amp;"' : { '"&amp;S$11&amp;"' : '"&amp;S105&amp;"' , ")</f>
        <v xml:space="preserve">'paymentMethod' : { 'paymentType' : 'Credit' , </v>
      </c>
      <c r="T106" s="60" t="str">
        <f>IF(T105="","","'"&amp;T$11&amp;"' : '"&amp;T105&amp;"' , ")</f>
        <v xml:space="preserve">'cardScheme' : 'Visa' , </v>
      </c>
      <c r="U106" s="60" t="str">
        <f>IF(U105="","","'"&amp;U$11&amp;"' : '"&amp;U105&amp;"' } , ")</f>
        <v xml:space="preserve">'cardLast4' : '4070' } , </v>
      </c>
      <c r="V106" s="60" t="str">
        <f ca="1">IF(V105="","","'"&amp;V$11&amp;"' : "&amp;V105&amp;", ")</f>
        <v xml:space="preserve">'totalQty' : 3, </v>
      </c>
      <c r="W106" s="60" t="str">
        <f>IF(W105="","","'"&amp;W$11&amp;"' : "&amp;W105&amp;", ")</f>
        <v xml:space="preserve">'orderTotal' : 217.04, </v>
      </c>
      <c r="X106" s="60" t="str">
        <f>IF(X105="","","'"&amp;X$11&amp;"' : "&amp;X105&amp;", ")</f>
        <v xml:space="preserve">'grossTotal' : 187.65, </v>
      </c>
      <c r="Y106" s="60" t="str">
        <f>IF(Y105="","","'"&amp;Y$11&amp;"' : "&amp;Y105&amp;", ")</f>
        <v xml:space="preserve">'tax' : 24.4, </v>
      </c>
      <c r="Z106" s="60" t="str">
        <f>IF(Z105="","","'"&amp;Z$11&amp;"' : "&amp;Z105&amp;", ")</f>
        <v xml:space="preserve">'deliveryFee' : 4.99, </v>
      </c>
      <c r="AA106" s="60"/>
      <c r="AB106" s="60"/>
      <c r="AC106" s="60"/>
      <c r="AD106" s="60"/>
      <c r="AE106" s="60"/>
      <c r="AF106" s="60" t="str">
        <f>$AA$10&amp;" : "&amp;_xlfn.CONCAT("[ ",AF102:AF104,"], ")</f>
        <v xml:space="preserve">orderDetails : [ { 'productId' : '4012', 'productName' : 'Empanada', 'quantity' : 10, 'price' : 6.79, 'subTotal' : 67.9 },{ 'productId' : '5003', 'productName' : 'Continental Drinks', 'quantity' : 15, 'price' : 3.99, 'subTotal' : 59.85 },{ 'productId' : '4005', 'productName' : 'Bear Claw', 'quantity' : 10, 'price' : 5.99, 'subTotal' : 59.9 }], </v>
      </c>
      <c r="AG106" s="60" t="str">
        <f>IF(AG105="","","'"&amp;AG$11&amp;"' : new Date('"&amp;TEXT(AG105,"yyyy-mm-dd")&amp;"'), ")</f>
        <v xml:space="preserve">'orderDate' : new Date('2022-11-07'), </v>
      </c>
      <c r="AH106" s="60"/>
      <c r="AI106" s="60" t="str">
        <f>IF(AI105="","","'"&amp;AI$11&amp;"' : '"&amp;AI105&amp;"', ")</f>
        <v xml:space="preserve">'orderStatus' : 'Delivered', </v>
      </c>
      <c r="AJ106" s="60" t="str">
        <f>IF(AJ105="","","'"&amp;AJ$11&amp;"' : new Date('"&amp;TEXT(AJ105,"yyyy-mm-dd")&amp;"') ")</f>
        <v xml:space="preserve">'statusDate' : new Date('2022-11-07') </v>
      </c>
      <c r="AK106" s="60"/>
      <c r="AL106" s="59"/>
      <c r="AM106" s="58" t="str">
        <f ca="1">_xlfn.CONCAT("{ ",B106:AJ106,"} ,")</f>
        <v>{ 'emailAddress' : 'donovanmarkle@gmail.com', 'orderId' : '20221107085248', 'employeeUserName' : 'jbartolata', 'deliveryAddress' : { 'dName' : 'Donovan Markle' , 'dStreet' : '4337 Algonquin Blvd' , 'dUnit' : '216' , 'dCity' : 'Timmins' , 'dProvince' : 'Ontario' , 'dZip' : 'P4N 7C4' , 'dMobileNumber' : '705-668-1540' } , 'billingsAddress' : { 'bName' : 'Donovan Markle' , 'bStreet' : '4337 Algonquin Blvd' , 'bUnit' : '216' , 'bCity' : 'Timmins' , 'bProvince' : 'Ontario' , 'bZip' : 'P4N 7C4' , 'bMobileNumber' : '705-668-1540' } , 'paymentMethod' : { 'paymentType' : 'Credit' , 'cardScheme' : 'Visa' , 'cardLast4' : '4070' } , 'totalQty' : 3, 'orderTotal' : 217.04, 'grossTotal' : 187.65, 'tax' : 24.4, 'deliveryFee' : 4.99, orderDetails : [ { 'productId' : '4012', 'productName' : 'Empanada', 'quantity' : 10, 'price' : 6.79, 'subTotal' : 67.9 },{ 'productId' : '5003', 'productName' : 'Continental Drinks', 'quantity' : 15, 'price' : 3.99, 'subTotal' : 59.85 },{ 'productId' : '4005', 'productName' : 'Bear Claw', 'quantity' : 10, 'price' : 5.99, 'subTotal' : 59.9 }], 'orderDate' : new Date('2022-11-07'), 'orderStatus' : 'Delivered', 'statusDate' : new Date('2022-11-07') } ,</v>
      </c>
    </row>
    <row r="107" spans="1:39" hidden="1" x14ac:dyDescent="0.35">
      <c r="A107" t="s">
        <v>759</v>
      </c>
      <c r="B107" t="s">
        <v>725</v>
      </c>
      <c r="C107" s="49" t="s">
        <v>738</v>
      </c>
      <c r="D107" t="s">
        <v>682</v>
      </c>
      <c r="E107" t="s">
        <v>318</v>
      </c>
      <c r="F107" t="s">
        <v>582</v>
      </c>
      <c r="G107" t="s">
        <v>601</v>
      </c>
      <c r="H107" t="s">
        <v>431</v>
      </c>
      <c r="I107" t="s">
        <v>26</v>
      </c>
      <c r="J107" t="s">
        <v>612</v>
      </c>
      <c r="K107" t="s">
        <v>623</v>
      </c>
      <c r="L107" t="str">
        <f t="shared" ref="L107" si="112">E107</f>
        <v>Rhett Fuller</v>
      </c>
      <c r="M107" t="str">
        <f>VLOOKUP($B107,Customers!$B:$J,4,0)</f>
        <v>2267 184th Street</v>
      </c>
      <c r="O107" t="str">
        <f>VLOOKUP($B107,Customers!$B:$J,6,0)</f>
        <v>Edmonton</v>
      </c>
      <c r="P107" t="str">
        <f>VLOOKUP($B107,Customers!$B:$J,7,0)</f>
        <v>Alberta</v>
      </c>
      <c r="Q107" t="str">
        <f>VLOOKUP($B107,Customers!$B:$J,8,0)</f>
        <v>T5J 2R4</v>
      </c>
      <c r="R107" t="str">
        <f>VLOOKUP($B107,Customers!$B:$J,9,0)</f>
        <v>780-485-2704</v>
      </c>
      <c r="S107" t="str">
        <f>VLOOKUP($B107,Customers!$B:$T,16,0)</f>
        <v>Debit</v>
      </c>
      <c r="T107" t="str">
        <f>VLOOKUP($B107,Customers!$B:$T,18,0)</f>
        <v>Visa</v>
      </c>
      <c r="U107" t="str">
        <f>VLOOKUP($B107,Customers!$B:$T,19,0)</f>
        <v>2064</v>
      </c>
      <c r="V107">
        <v>1</v>
      </c>
      <c r="X107">
        <f t="shared" ref="X107:X113" si="113">AC107*AD107</f>
        <v>5.99</v>
      </c>
      <c r="Y107">
        <f t="shared" ref="Y107:Y113" si="114">ROUND(X107*13%,2)</f>
        <v>0.78</v>
      </c>
      <c r="AA107">
        <v>4018</v>
      </c>
      <c r="AB107" t="s">
        <v>85</v>
      </c>
      <c r="AC107">
        <v>1</v>
      </c>
      <c r="AD107">
        <v>5.99</v>
      </c>
      <c r="AE107">
        <f>AC107*AD107</f>
        <v>5.99</v>
      </c>
      <c r="AF107" s="54" t="str">
        <f>"{ '"&amp;AA$11&amp;"' : '"&amp;AA107&amp;"', '"&amp;AB$11&amp;"' : '"&amp;AB107&amp;"', '"&amp;AC$11&amp;"' : "&amp;AC107&amp;", '"&amp;AD$11&amp;"' : "&amp;AD107&amp;", '"&amp;AE$11&amp;"' : "&amp;AE107&amp;" }"</f>
        <v>{ 'productId' : '4018', 'productName' : 'Cheese Bread', 'quantity' : 1, 'price' : 5.99, 'subTotal' : 5.99 }</v>
      </c>
      <c r="AG107" s="48">
        <v>44873</v>
      </c>
      <c r="AH107" s="50" t="s">
        <v>688</v>
      </c>
      <c r="AI107" t="s">
        <v>755</v>
      </c>
      <c r="AJ107" s="48">
        <f>AG107</f>
        <v>44873</v>
      </c>
      <c r="AK107" t="s">
        <v>715</v>
      </c>
    </row>
    <row r="108" spans="1:39" s="58" customFormat="1" ht="43.5" hidden="1" x14ac:dyDescent="0.35">
      <c r="A108" s="60" t="s">
        <v>760</v>
      </c>
      <c r="B108" s="60" t="str">
        <f>IF(B107="","","'"&amp;B$11&amp;"' : '"&amp;B107&amp;"', ")</f>
        <v xml:space="preserve">'emailAddress' : 'rhett_fuller@gmail.com', </v>
      </c>
      <c r="C108" s="60" t="str">
        <f>IF(C107="","","'"&amp;C$11&amp;"' : '"&amp;C107&amp;"', ")</f>
        <v xml:space="preserve">'orderId' : '20221108104800', </v>
      </c>
      <c r="D108" s="60" t="str">
        <f>IF(D107="","","'"&amp;D$11&amp;"' : '"&amp;D107&amp;"', ")</f>
        <v xml:space="preserve">'employeeUserName' : 'mjones', </v>
      </c>
      <c r="E108" s="60" t="str">
        <f>IF(E107="","","'"&amp;$F$10&amp;"' : { '"&amp;E$11&amp;"' : '"&amp;E107&amp;"' , ")</f>
        <v xml:space="preserve">'deliveryAddress' : { 'dName' : 'Rhett Fuller' , </v>
      </c>
      <c r="F108" s="60" t="str">
        <f>IF(F107="","","'"&amp;F$11&amp;"' : '"&amp;F107&amp;"' , ")</f>
        <v xml:space="preserve">'dStreet' : '1958 Weir Crescent' , </v>
      </c>
      <c r="G108" s="60" t="str">
        <f>IF(G107="","","'"&amp;G$11&amp;"' : '"&amp;G107&amp;"' , ")</f>
        <v xml:space="preserve">'dUnit' : '71' , </v>
      </c>
      <c r="H108" s="60" t="str">
        <f>IF(H107="","","'"&amp;H$11&amp;"' : '"&amp;H107&amp;"' , ")</f>
        <v xml:space="preserve">'dCity' : 'Toronto' , </v>
      </c>
      <c r="I108" s="60" t="str">
        <f>IF(I107="","","'"&amp;I$11&amp;"' : '"&amp;I107&amp;"' , ")</f>
        <v xml:space="preserve">'dProvince' : 'Ontario' , </v>
      </c>
      <c r="J108" s="60" t="str">
        <f>IF(J107="","","'"&amp;J$11&amp;"' : '"&amp;J107&amp;"' , ")</f>
        <v xml:space="preserve">'dZip' : 'M1E 3T8' , </v>
      </c>
      <c r="K108" s="60" t="str">
        <f>IF(K107="","","'"&amp;K$11&amp;"' : '"&amp;K107&amp;"' } , ")</f>
        <v xml:space="preserve">'dMobileNumber' : '647-828-4520' } , </v>
      </c>
      <c r="L108" s="60" t="str">
        <f>IF(L107="","","'"&amp;$L$10&amp;"' : { '"&amp;L$11&amp;"' : '"&amp;L107&amp;"' , ")</f>
        <v xml:space="preserve">'billingsAddress' : { 'bName' : 'Rhett Fuller' , </v>
      </c>
      <c r="M108" s="60" t="str">
        <f>IF(M107="","","'"&amp;M$11&amp;"' : '"&amp;M107&amp;"' , ")</f>
        <v xml:space="preserve">'bStreet' : '2267 184th Street' , </v>
      </c>
      <c r="N108" s="60" t="str">
        <f>IF(N107="","","'"&amp;N$11&amp;"' : '"&amp;N107&amp;"' , ")</f>
        <v/>
      </c>
      <c r="O108" s="60" t="str">
        <f>IF(O107="","","'"&amp;O$11&amp;"' : '"&amp;O107&amp;"' , ")</f>
        <v xml:space="preserve">'bCity' : 'Edmonton' , </v>
      </c>
      <c r="P108" s="60" t="str">
        <f>IF(P107="","","'"&amp;P$11&amp;"' : '"&amp;P107&amp;"' , ")</f>
        <v xml:space="preserve">'bProvince' : 'Alberta' , </v>
      </c>
      <c r="Q108" s="60" t="str">
        <f>IF(Q107="","","'"&amp;Q$11&amp;"' : '"&amp;Q107&amp;"' , ")</f>
        <v xml:space="preserve">'bZip' : 'T5J 2R4' , </v>
      </c>
      <c r="R108" s="60" t="str">
        <f>IF(R107="","","'"&amp;R$11&amp;"' : '"&amp;R107&amp;"' } , ")</f>
        <v xml:space="preserve">'bMobileNumber' : '780-485-2704' } , </v>
      </c>
      <c r="S108" s="60" t="str">
        <f>IF(S107="","","'"&amp;$S$10&amp;"' : { '"&amp;S$11&amp;"' : '"&amp;S107&amp;"' , ")</f>
        <v xml:space="preserve">'paymentMethod' : { 'paymentType' : 'Debit' , </v>
      </c>
      <c r="T108" s="60" t="str">
        <f>IF(T107="","","'"&amp;T$11&amp;"' : '"&amp;T107&amp;"' , ")</f>
        <v xml:space="preserve">'cardScheme' : 'Visa' , </v>
      </c>
      <c r="U108" s="60" t="str">
        <f>IF(U107="","","'"&amp;U$11&amp;"' : '"&amp;U107&amp;"' } , ")</f>
        <v xml:space="preserve">'cardLast4' : '2064' } , </v>
      </c>
      <c r="V108" s="60" t="str">
        <f>IF(V107="","","'"&amp;V$11&amp;"' : "&amp;V107&amp;", ")</f>
        <v xml:space="preserve">'totalQty' : 1, </v>
      </c>
      <c r="W108" s="60" t="str">
        <f>IF(W107="","","'"&amp;W$11&amp;"' : "&amp;W107&amp;", ")</f>
        <v/>
      </c>
      <c r="X108" s="60" t="str">
        <f>IF(X107="","","'"&amp;X$11&amp;"' : "&amp;X107&amp;", ")</f>
        <v xml:space="preserve">'grossTotal' : 5.99, </v>
      </c>
      <c r="Y108" s="60" t="str">
        <f>IF(Y107="","","'"&amp;Y$11&amp;"' : "&amp;Y107&amp;", ")</f>
        <v xml:space="preserve">'tax' : 0.78, </v>
      </c>
      <c r="Z108" s="60" t="str">
        <f>IF(Z107="","","'"&amp;Z$11&amp;"' : "&amp;Z107&amp;", ")</f>
        <v/>
      </c>
      <c r="AA108" s="60"/>
      <c r="AB108" s="60"/>
      <c r="AC108" s="60"/>
      <c r="AD108" s="60"/>
      <c r="AE108" s="60"/>
      <c r="AF108" s="60" t="str">
        <f>$AA$10&amp;" : "&amp;_xlfn.CONCAT("[ ",AF107,"], ")</f>
        <v xml:space="preserve">orderDetails : [ { 'productId' : '4018', 'productName' : 'Cheese Bread', 'quantity' : 1, 'price' : 5.99, 'subTotal' : 5.99 }], </v>
      </c>
      <c r="AG108" s="60" t="str">
        <f>IF(AG107="","","'"&amp;AG$11&amp;"' : new Date('"&amp;TEXT(AG107,"yyyy-mm-dd")&amp;"'), ")</f>
        <v xml:space="preserve">'orderDate' : new Date('2022-11-08'), </v>
      </c>
      <c r="AH108" s="60"/>
      <c r="AI108" s="60" t="str">
        <f>IF(AI107="","","'"&amp;AI$11&amp;"' : '"&amp;AI107&amp;"', ")</f>
        <v xml:space="preserve">'orderStatus' : 'Delivered', </v>
      </c>
      <c r="AJ108" s="60" t="str">
        <f>IF(AJ107="","","'"&amp;AJ$11&amp;"' : new Date('"&amp;TEXT(AJ107,"yyyy-mm-dd")&amp;"') ")</f>
        <v xml:space="preserve">'statusDate' : new Date('2022-11-08') </v>
      </c>
      <c r="AK108" s="60"/>
      <c r="AL108" s="59"/>
      <c r="AM108" s="58" t="str">
        <f>_xlfn.CONCAT("{ ",B108:AJ108,"} ,")</f>
        <v>{ 'emailAddress' : 'rhett_fuller@gmail.com', 'orderId' : '20221108104800', 'employeeUserName' : 'mjones', 'deliveryAddress' : { 'dName' : 'Rhett Fuller' , 'dStreet' : '1958 Weir Crescent' , 'dUnit' : '71' , 'dCity' : 'Toronto' , 'dProvince' : 'Ontario' , 'dZip' : 'M1E 3T8' , 'dMobileNumber' : '647-828-4520' } , 'billingsAddress' : { 'bName' : 'Rhett Fuller' , 'bStreet' : '2267 184th Street' , 'bCity' : 'Edmonton' , 'bProvince' : 'Alberta' , 'bZip' : 'T5J 2R4' , 'bMobileNumber' : '780-485-2704' } , 'paymentMethod' : { 'paymentType' : 'Debit' , 'cardScheme' : 'Visa' , 'cardLast4' : '2064' } , 'totalQty' : 1, 'grossTotal' : 5.99, 'tax' : 0.78, orderDetails : [ { 'productId' : '4018', 'productName' : 'Cheese Bread', 'quantity' : 1, 'price' : 5.99, 'subTotal' : 5.99 }], 'orderDate' : new Date('2022-11-08'), 'orderStatus' : 'Delivered', 'statusDate' : new Date('2022-11-08') } ,</v>
      </c>
    </row>
    <row r="109" spans="1:39" hidden="1" x14ac:dyDescent="0.35">
      <c r="A109" t="s">
        <v>759</v>
      </c>
      <c r="B109" t="s">
        <v>686</v>
      </c>
      <c r="C109" s="49" t="s">
        <v>739</v>
      </c>
      <c r="D109" t="s">
        <v>681</v>
      </c>
      <c r="E109" t="s">
        <v>336</v>
      </c>
      <c r="F109" t="s">
        <v>400</v>
      </c>
      <c r="G109" t="s">
        <v>601</v>
      </c>
      <c r="H109" t="s">
        <v>429</v>
      </c>
      <c r="I109" t="s">
        <v>454</v>
      </c>
      <c r="J109" t="s">
        <v>463</v>
      </c>
      <c r="K109" t="s">
        <v>488</v>
      </c>
      <c r="L109" t="str">
        <f t="shared" ref="L109" si="115">E109</f>
        <v>Trinity Gosling</v>
      </c>
      <c r="M109" t="str">
        <f>VLOOKUP($B109,Customers!$B:$J,4,0)</f>
        <v>3504 Rose Street</v>
      </c>
      <c r="O109" t="str">
        <f>VLOOKUP($B109,Customers!$B:$J,6,0)</f>
        <v>Regina</v>
      </c>
      <c r="P109" t="str">
        <f>VLOOKUP($B109,Customers!$B:$J,7,0)</f>
        <v>Saskatchewan</v>
      </c>
      <c r="Q109" t="str">
        <f>VLOOKUP($B109,Customers!$B:$J,8,0)</f>
        <v>S4P 3Y2</v>
      </c>
      <c r="R109" t="str">
        <f>VLOOKUP($B109,Customers!$B:$J,9,0)</f>
        <v>306-569-6952</v>
      </c>
      <c r="S109" t="str">
        <f>VLOOKUP($B109,Customers!$B:$T,16,0)</f>
        <v>Credit</v>
      </c>
      <c r="T109" t="str">
        <f>VLOOKUP($B109,Customers!$B:$T,18,0)</f>
        <v>Mastercard</v>
      </c>
      <c r="U109" t="str">
        <f>VLOOKUP($B109,Customers!$B:$T,19,0)</f>
        <v>5230</v>
      </c>
      <c r="V109">
        <v>1</v>
      </c>
      <c r="X109">
        <f t="shared" si="113"/>
        <v>92.65</v>
      </c>
      <c r="Y109">
        <f t="shared" si="114"/>
        <v>12.04</v>
      </c>
      <c r="AA109">
        <v>4011</v>
      </c>
      <c r="AB109" t="s">
        <v>75</v>
      </c>
      <c r="AC109">
        <v>17</v>
      </c>
      <c r="AD109">
        <v>5.45</v>
      </c>
      <c r="AE109">
        <f>AC109*AD109</f>
        <v>92.65</v>
      </c>
      <c r="AF109" s="54" t="str">
        <f>"{ '"&amp;AA$11&amp;"' : '"&amp;AA109&amp;"', '"&amp;AB$11&amp;"' : '"&amp;AB109&amp;"', '"&amp;AC$11&amp;"' : "&amp;AC109&amp;", '"&amp;AD$11&amp;"' : "&amp;AD109&amp;", '"&amp;AE$11&amp;"' : "&amp;AE109&amp;" }"</f>
        <v>{ 'productId' : '4011', 'productName' : 'Sesame Bagel', 'quantity' : 17, 'price' : 5.45, 'subTotal' : 92.65 }</v>
      </c>
      <c r="AG109" s="48">
        <v>44873</v>
      </c>
      <c r="AH109" s="50" t="s">
        <v>740</v>
      </c>
      <c r="AI109" t="s">
        <v>755</v>
      </c>
      <c r="AJ109" s="48">
        <f>AG109</f>
        <v>44873</v>
      </c>
      <c r="AK109" t="s">
        <v>712</v>
      </c>
    </row>
    <row r="110" spans="1:39" s="58" customFormat="1" ht="43.5" hidden="1" x14ac:dyDescent="0.35">
      <c r="A110" s="60" t="s">
        <v>760</v>
      </c>
      <c r="B110" s="60" t="str">
        <f>IF(B109="","","'"&amp;B$11&amp;"' : '"&amp;B109&amp;"', ")</f>
        <v xml:space="preserve">'emailAddress' : 'trinity_gosling@gmail.com', </v>
      </c>
      <c r="C110" s="60" t="str">
        <f>IF(C109="","","'"&amp;C$11&amp;"' : '"&amp;C109&amp;"', ")</f>
        <v xml:space="preserve">'orderId' : '20221108114536', </v>
      </c>
      <c r="D110" s="60" t="str">
        <f>IF(D109="","","'"&amp;D$11&amp;"' : '"&amp;D109&amp;"', ")</f>
        <v xml:space="preserve">'employeeUserName' : 'jbartolata', </v>
      </c>
      <c r="E110" s="60" t="str">
        <f>IF(E109="","","'"&amp;$F$10&amp;"' : { '"&amp;E$11&amp;"' : '"&amp;E109&amp;"' , ")</f>
        <v xml:space="preserve">'deliveryAddress' : { 'dName' : 'Trinity Gosling' , </v>
      </c>
      <c r="F110" s="60" t="str">
        <f>IF(F109="","","'"&amp;F$11&amp;"' : '"&amp;F109&amp;"' , ")</f>
        <v xml:space="preserve">'dStreet' : '3504 Rose Street' , </v>
      </c>
      <c r="G110" s="60" t="str">
        <f>IF(G109="","","'"&amp;G$11&amp;"' : '"&amp;G109&amp;"' , ")</f>
        <v xml:space="preserve">'dUnit' : '71' , </v>
      </c>
      <c r="H110" s="60" t="str">
        <f>IF(H109="","","'"&amp;H$11&amp;"' : '"&amp;H109&amp;"' , ")</f>
        <v xml:space="preserve">'dCity' : 'Regina' , </v>
      </c>
      <c r="I110" s="60" t="str">
        <f>IF(I109="","","'"&amp;I$11&amp;"' : '"&amp;I109&amp;"' , ")</f>
        <v xml:space="preserve">'dProvince' : 'Saskatchewan' , </v>
      </c>
      <c r="J110" s="60" t="str">
        <f>IF(J109="","","'"&amp;J$11&amp;"' : '"&amp;J109&amp;"' , ")</f>
        <v xml:space="preserve">'dZip' : 'S4P 3Y2' , </v>
      </c>
      <c r="K110" s="60" t="str">
        <f>IF(K109="","","'"&amp;K$11&amp;"' : '"&amp;K109&amp;"' } , ")</f>
        <v xml:space="preserve">'dMobileNumber' : '306-569-6952' } , </v>
      </c>
      <c r="L110" s="60" t="str">
        <f>IF(L109="","","'"&amp;$L$10&amp;"' : { '"&amp;L$11&amp;"' : '"&amp;L109&amp;"' , ")</f>
        <v xml:space="preserve">'billingsAddress' : { 'bName' : 'Trinity Gosling' , </v>
      </c>
      <c r="M110" s="60" t="str">
        <f>IF(M109="","","'"&amp;M$11&amp;"' : '"&amp;M109&amp;"' , ")</f>
        <v xml:space="preserve">'bStreet' : '3504 Rose Street' , </v>
      </c>
      <c r="N110" s="60" t="str">
        <f>IF(N109="","","'"&amp;N$11&amp;"' : '"&amp;N109&amp;"' , ")</f>
        <v/>
      </c>
      <c r="O110" s="60" t="str">
        <f>IF(O109="","","'"&amp;O$11&amp;"' : '"&amp;O109&amp;"' , ")</f>
        <v xml:space="preserve">'bCity' : 'Regina' , </v>
      </c>
      <c r="P110" s="60" t="str">
        <f>IF(P109="","","'"&amp;P$11&amp;"' : '"&amp;P109&amp;"' , ")</f>
        <v xml:space="preserve">'bProvince' : 'Saskatchewan' , </v>
      </c>
      <c r="Q110" s="60" t="str">
        <f>IF(Q109="","","'"&amp;Q$11&amp;"' : '"&amp;Q109&amp;"' , ")</f>
        <v xml:space="preserve">'bZip' : 'S4P 3Y2' , </v>
      </c>
      <c r="R110" s="60" t="str">
        <f>IF(R109="","","'"&amp;R$11&amp;"' : '"&amp;R109&amp;"' } , ")</f>
        <v xml:space="preserve">'bMobileNumber' : '306-569-6952' } , </v>
      </c>
      <c r="S110" s="60" t="str">
        <f>IF(S109="","","'"&amp;$S$10&amp;"' : { '"&amp;S$11&amp;"' : '"&amp;S109&amp;"' , ")</f>
        <v xml:space="preserve">'paymentMethod' : { 'paymentType' : 'Credit' , </v>
      </c>
      <c r="T110" s="60" t="str">
        <f>IF(T109="","","'"&amp;T$11&amp;"' : '"&amp;T109&amp;"' , ")</f>
        <v xml:space="preserve">'cardScheme' : 'Mastercard' , </v>
      </c>
      <c r="U110" s="60" t="str">
        <f>IF(U109="","","'"&amp;U$11&amp;"' : '"&amp;U109&amp;"' } , ")</f>
        <v xml:space="preserve">'cardLast4' : '5230' } , </v>
      </c>
      <c r="V110" s="60" t="str">
        <f>IF(V109="","","'"&amp;V$11&amp;"' : "&amp;V109&amp;", ")</f>
        <v xml:space="preserve">'totalQty' : 1, </v>
      </c>
      <c r="W110" s="60" t="str">
        <f>IF(W109="","","'"&amp;W$11&amp;"' : "&amp;W109&amp;", ")</f>
        <v/>
      </c>
      <c r="X110" s="60" t="str">
        <f>IF(X109="","","'"&amp;X$11&amp;"' : "&amp;X109&amp;", ")</f>
        <v xml:space="preserve">'grossTotal' : 92.65, </v>
      </c>
      <c r="Y110" s="60" t="str">
        <f>IF(Y109="","","'"&amp;Y$11&amp;"' : "&amp;Y109&amp;", ")</f>
        <v xml:space="preserve">'tax' : 12.04, </v>
      </c>
      <c r="Z110" s="60" t="str">
        <f>IF(Z109="","","'"&amp;Z$11&amp;"' : "&amp;Z109&amp;", ")</f>
        <v/>
      </c>
      <c r="AA110" s="60"/>
      <c r="AB110" s="60"/>
      <c r="AC110" s="60"/>
      <c r="AD110" s="60"/>
      <c r="AE110" s="60"/>
      <c r="AF110" s="60" t="str">
        <f>$AA$10&amp;" : "&amp;_xlfn.CONCAT("[ ",AF109,"], ")</f>
        <v xml:space="preserve">orderDetails : [ { 'productId' : '4011', 'productName' : 'Sesame Bagel', 'quantity' : 17, 'price' : 5.45, 'subTotal' : 92.65 }], </v>
      </c>
      <c r="AG110" s="60" t="str">
        <f>IF(AG109="","","'"&amp;AG$11&amp;"' : new Date('"&amp;TEXT(AG109,"yyyy-mm-dd")&amp;"'), ")</f>
        <v xml:space="preserve">'orderDate' : new Date('2022-11-08'), </v>
      </c>
      <c r="AH110" s="60"/>
      <c r="AI110" s="60" t="str">
        <f>IF(AI109="","","'"&amp;AI$11&amp;"' : '"&amp;AI109&amp;"', ")</f>
        <v xml:space="preserve">'orderStatus' : 'Delivered', </v>
      </c>
      <c r="AJ110" s="60" t="str">
        <f>IF(AJ109="","","'"&amp;AJ$11&amp;"' : new Date('"&amp;TEXT(AJ109,"yyyy-mm-dd")&amp;"') ")</f>
        <v xml:space="preserve">'statusDate' : new Date('2022-11-08') </v>
      </c>
      <c r="AK110" s="60"/>
      <c r="AL110" s="59"/>
      <c r="AM110" s="58" t="str">
        <f>_xlfn.CONCAT("{ ",B110:AJ110,"} ,")</f>
        <v>{ 'emailAddress' : 'trinity_gosling@gmail.com', 'orderId' : '20221108114536', 'employeeUserName' : 'jbartolata', 'deliveryAddress' : { 'dName' : 'Trinity Gosling' , 'dStreet' : '3504 Rose Street' , 'dUnit' : '71' , 'dCity' : 'Regina' , 'dProvince' : 'Saskatchewan' , 'dZip' : 'S4P 3Y2' , 'dMobileNumber' : '306-569-6952' } , 'billingsAddress' : { 'bName' : 'Trinity Gosling' , 'bStreet' : '3504 Rose Street' , 'bCity' : 'Regina' , 'bProvince' : 'Saskatchewan' , 'bZip' : 'S4P 3Y2' , 'bMobileNumber' : '306-569-6952' } , 'paymentMethod' : { 'paymentType' : 'Credit' , 'cardScheme' : 'Mastercard' , 'cardLast4' : '5230' } , 'totalQty' : 1, 'grossTotal' : 92.65, 'tax' : 12.04, orderDetails : [ { 'productId' : '4011', 'productName' : 'Sesame Bagel', 'quantity' : 17, 'price' : 5.45, 'subTotal' : 92.65 }], 'orderDate' : new Date('2022-11-08'), 'orderStatus' : 'Delivered', 'statusDate' : new Date('2022-11-08') } ,</v>
      </c>
    </row>
    <row r="111" spans="1:39" hidden="1" x14ac:dyDescent="0.35">
      <c r="B111" t="s">
        <v>698</v>
      </c>
      <c r="C111" s="49" t="s">
        <v>741</v>
      </c>
      <c r="D111" t="s">
        <v>680</v>
      </c>
      <c r="E111" t="s">
        <v>315</v>
      </c>
      <c r="F111" t="s">
        <v>403</v>
      </c>
      <c r="G111" t="s">
        <v>601</v>
      </c>
      <c r="H111" t="s">
        <v>432</v>
      </c>
      <c r="I111" t="s">
        <v>26</v>
      </c>
      <c r="J111" t="s">
        <v>466</v>
      </c>
      <c r="K111" t="s">
        <v>491</v>
      </c>
      <c r="L111" t="str">
        <f t="shared" ref="L111:L114" si="116">E111</f>
        <v>Declan Johnson</v>
      </c>
      <c r="M111" t="str">
        <f>VLOOKUP($B111,Customers!$B:$J,4,0)</f>
        <v>1676 Speers Road</v>
      </c>
      <c r="O111" t="str">
        <f>VLOOKUP($B111,Customers!$B:$J,6,0)</f>
        <v>Oakville</v>
      </c>
      <c r="P111" t="str">
        <f>VLOOKUP($B111,Customers!$B:$J,7,0)</f>
        <v>Ontario</v>
      </c>
      <c r="Q111" t="str">
        <f>VLOOKUP($B111,Customers!$B:$J,8,0)</f>
        <v>L6J 3X4</v>
      </c>
      <c r="R111" t="str">
        <f>VLOOKUP($B111,Customers!$B:$J,9,0)</f>
        <v>905-815-1914</v>
      </c>
      <c r="S111" t="str">
        <f>VLOOKUP($B111,Customers!$B:$T,16,0)</f>
        <v>Credit</v>
      </c>
      <c r="T111" t="str">
        <f>VLOOKUP($B111,Customers!$B:$T,18,0)</f>
        <v>Mastercard</v>
      </c>
      <c r="U111" t="str">
        <f>VLOOKUP($B111,Customers!$B:$T,19,0)</f>
        <v>1490</v>
      </c>
      <c r="V111">
        <f ca="1">COUNTIF(C:C,C111)-1</f>
        <v>3</v>
      </c>
      <c r="X111">
        <f t="shared" si="113"/>
        <v>88.27</v>
      </c>
      <c r="Y111">
        <f t="shared" si="114"/>
        <v>11.48</v>
      </c>
      <c r="AA111">
        <v>4012</v>
      </c>
      <c r="AB111" t="s">
        <v>76</v>
      </c>
      <c r="AC111">
        <v>13</v>
      </c>
      <c r="AD111">
        <v>6.79</v>
      </c>
      <c r="AE111">
        <f>AC111*AD111</f>
        <v>88.27</v>
      </c>
      <c r="AF111" s="54" t="str">
        <f>"{ '"&amp;AA$11&amp;"' : '"&amp;AA111&amp;"', '"&amp;AB$11&amp;"' : '"&amp;AB111&amp;"', '"&amp;AC$11&amp;"' : "&amp;AC111&amp;", '"&amp;AD$11&amp;"' : "&amp;AD111&amp;", '"&amp;AE$11&amp;"' : "&amp;AE111&amp;" },"</f>
        <v>{ 'productId' : '4012', 'productName' : 'Empanada', 'quantity' : 13, 'price' : 6.79, 'subTotal' : 88.27 },</v>
      </c>
      <c r="AG111" s="48">
        <v>44873</v>
      </c>
      <c r="AH111" s="50" t="s">
        <v>731</v>
      </c>
      <c r="AI111" t="s">
        <v>755</v>
      </c>
      <c r="AJ111" s="48">
        <f>AG111</f>
        <v>44873</v>
      </c>
      <c r="AK111" t="s">
        <v>693</v>
      </c>
    </row>
    <row r="112" spans="1:39" hidden="1" x14ac:dyDescent="0.35">
      <c r="B112" t="s">
        <v>698</v>
      </c>
      <c r="C112" t="s">
        <v>741</v>
      </c>
      <c r="D112" t="s">
        <v>680</v>
      </c>
      <c r="E112" t="s">
        <v>315</v>
      </c>
      <c r="F112" t="s">
        <v>403</v>
      </c>
      <c r="G112" t="s">
        <v>601</v>
      </c>
      <c r="H112" t="s">
        <v>432</v>
      </c>
      <c r="I112" t="s">
        <v>26</v>
      </c>
      <c r="J112" t="s">
        <v>466</v>
      </c>
      <c r="K112" t="s">
        <v>491</v>
      </c>
      <c r="L112" t="str">
        <f t="shared" si="116"/>
        <v>Declan Johnson</v>
      </c>
      <c r="M112" t="str">
        <f>VLOOKUP($B112,Customers!$B:$J,4,0)</f>
        <v>1676 Speers Road</v>
      </c>
      <c r="O112" t="str">
        <f>VLOOKUP($B112,Customers!$B:$J,6,0)</f>
        <v>Oakville</v>
      </c>
      <c r="P112" t="str">
        <f>VLOOKUP($B112,Customers!$B:$J,7,0)</f>
        <v>Ontario</v>
      </c>
      <c r="Q112" t="str">
        <f>VLOOKUP($B112,Customers!$B:$J,8,0)</f>
        <v>L6J 3X4</v>
      </c>
      <c r="R112" t="str">
        <f>VLOOKUP($B112,Customers!$B:$J,9,0)</f>
        <v>905-815-1914</v>
      </c>
      <c r="S112" t="str">
        <f>VLOOKUP($B112,Customers!$B:$T,16,0)</f>
        <v>Credit</v>
      </c>
      <c r="T112" t="str">
        <f>VLOOKUP($B112,Customers!$B:$T,18,0)</f>
        <v>Mastercard</v>
      </c>
      <c r="U112" t="str">
        <f>VLOOKUP($B112,Customers!$B:$T,19,0)</f>
        <v>1490</v>
      </c>
      <c r="V112">
        <f ca="1">COUNTIF(C:C,C112)-1</f>
        <v>3</v>
      </c>
      <c r="X112">
        <f t="shared" si="113"/>
        <v>50.61</v>
      </c>
      <c r="Y112">
        <f t="shared" si="114"/>
        <v>6.58</v>
      </c>
      <c r="AA112">
        <v>4016</v>
      </c>
      <c r="AB112" t="s">
        <v>83</v>
      </c>
      <c r="AC112">
        <v>7</v>
      </c>
      <c r="AD112">
        <v>7.23</v>
      </c>
      <c r="AE112">
        <f>AC112*AD112</f>
        <v>50.61</v>
      </c>
      <c r="AF112" s="54" t="str">
        <f>"{ '"&amp;AA$11&amp;"' : '"&amp;AA112&amp;"', '"&amp;AB$11&amp;"' : '"&amp;AB112&amp;"', '"&amp;AC$11&amp;"' : "&amp;AC112&amp;", '"&amp;AD$11&amp;"' : "&amp;AD112&amp;", '"&amp;AE$11&amp;"' : "&amp;AE112&amp;" },"</f>
        <v>{ 'productId' : '4016', 'productName' : 'Chocolate Chip Bagel', 'quantity' : 7, 'price' : 7.23, 'subTotal' : 50.61 },</v>
      </c>
      <c r="AG112" s="48">
        <v>44873</v>
      </c>
      <c r="AH112" s="48" t="str">
        <f t="shared" ref="AH112:AH113" si="117">AH111</f>
        <v>111648</v>
      </c>
      <c r="AI112" t="str">
        <f t="shared" ref="AI112:AJ113" si="118">AI111</f>
        <v>Delivered</v>
      </c>
      <c r="AJ112" s="48">
        <f t="shared" si="118"/>
        <v>44873</v>
      </c>
    </row>
    <row r="113" spans="1:39" hidden="1" x14ac:dyDescent="0.35">
      <c r="B113" t="s">
        <v>698</v>
      </c>
      <c r="C113" t="s">
        <v>741</v>
      </c>
      <c r="D113" t="s">
        <v>680</v>
      </c>
      <c r="E113" t="s">
        <v>315</v>
      </c>
      <c r="F113" t="s">
        <v>403</v>
      </c>
      <c r="G113" t="s">
        <v>601</v>
      </c>
      <c r="H113" t="s">
        <v>432</v>
      </c>
      <c r="I113" t="s">
        <v>26</v>
      </c>
      <c r="J113" t="s">
        <v>466</v>
      </c>
      <c r="K113" t="s">
        <v>491</v>
      </c>
      <c r="L113" t="str">
        <f t="shared" si="116"/>
        <v>Declan Johnson</v>
      </c>
      <c r="M113" t="str">
        <f>VLOOKUP($B113,Customers!$B:$J,4,0)</f>
        <v>1676 Speers Road</v>
      </c>
      <c r="O113" t="str">
        <f>VLOOKUP($B113,Customers!$B:$J,6,0)</f>
        <v>Oakville</v>
      </c>
      <c r="P113" t="str">
        <f>VLOOKUP($B113,Customers!$B:$J,7,0)</f>
        <v>Ontario</v>
      </c>
      <c r="Q113" t="str">
        <f>VLOOKUP($B113,Customers!$B:$J,8,0)</f>
        <v>L6J 3X4</v>
      </c>
      <c r="R113" t="str">
        <f>VLOOKUP($B113,Customers!$B:$J,9,0)</f>
        <v>905-815-1914</v>
      </c>
      <c r="S113" t="str">
        <f>VLOOKUP($B113,Customers!$B:$T,16,0)</f>
        <v>Credit</v>
      </c>
      <c r="T113" t="str">
        <f>VLOOKUP($B113,Customers!$B:$T,18,0)</f>
        <v>Mastercard</v>
      </c>
      <c r="U113" t="str">
        <f>VLOOKUP($B113,Customers!$B:$T,19,0)</f>
        <v>1490</v>
      </c>
      <c r="V113">
        <f ca="1">COUNTIF(C:C,C113)-1</f>
        <v>3</v>
      </c>
      <c r="X113">
        <f t="shared" si="113"/>
        <v>41.93</v>
      </c>
      <c r="Y113">
        <f t="shared" si="114"/>
        <v>5.45</v>
      </c>
      <c r="AA113">
        <v>4005</v>
      </c>
      <c r="AB113" t="s">
        <v>69</v>
      </c>
      <c r="AC113">
        <v>7</v>
      </c>
      <c r="AD113">
        <v>5.99</v>
      </c>
      <c r="AE113">
        <f>AC113*AD113</f>
        <v>41.93</v>
      </c>
      <c r="AF113" s="54" t="str">
        <f>"{ '"&amp;AA$11&amp;"' : '"&amp;AA113&amp;"', '"&amp;AB$11&amp;"' : '"&amp;AB113&amp;"', '"&amp;AC$11&amp;"' : "&amp;AC113&amp;", '"&amp;AD$11&amp;"' : "&amp;AD113&amp;", '"&amp;AE$11&amp;"' : "&amp;AE113&amp;" }"</f>
        <v>{ 'productId' : '4005', 'productName' : 'Bear Claw', 'quantity' : 7, 'price' : 5.99, 'subTotal' : 41.93 }</v>
      </c>
      <c r="AG113" s="48">
        <v>44873</v>
      </c>
      <c r="AH113" s="48" t="str">
        <f t="shared" si="117"/>
        <v>111648</v>
      </c>
      <c r="AI113" t="str">
        <f t="shared" si="118"/>
        <v>Delivered</v>
      </c>
      <c r="AJ113" s="48">
        <f t="shared" si="118"/>
        <v>44873</v>
      </c>
    </row>
    <row r="114" spans="1:39" hidden="1" x14ac:dyDescent="0.35">
      <c r="A114" t="s">
        <v>759</v>
      </c>
      <c r="B114" t="s">
        <v>698</v>
      </c>
      <c r="C114" t="s">
        <v>741</v>
      </c>
      <c r="D114" t="s">
        <v>680</v>
      </c>
      <c r="E114" t="s">
        <v>315</v>
      </c>
      <c r="F114" t="s">
        <v>403</v>
      </c>
      <c r="G114" t="s">
        <v>601</v>
      </c>
      <c r="H114" t="s">
        <v>432</v>
      </c>
      <c r="I114" t="s">
        <v>26</v>
      </c>
      <c r="J114" t="s">
        <v>466</v>
      </c>
      <c r="K114" t="s">
        <v>491</v>
      </c>
      <c r="L114" t="str">
        <f t="shared" si="116"/>
        <v>Declan Johnson</v>
      </c>
      <c r="M114" t="str">
        <f>VLOOKUP($B114,Customers!$B:$J,4,0)</f>
        <v>1676 Speers Road</v>
      </c>
      <c r="O114" t="str">
        <f>VLOOKUP($B114,Customers!$B:$J,6,0)</f>
        <v>Oakville</v>
      </c>
      <c r="P114" t="str">
        <f>VLOOKUP($B114,Customers!$B:$J,7,0)</f>
        <v>Ontario</v>
      </c>
      <c r="Q114" t="str">
        <f>VLOOKUP($B114,Customers!$B:$J,8,0)</f>
        <v>L6J 3X4</v>
      </c>
      <c r="R114" t="str">
        <f>VLOOKUP($B114,Customers!$B:$J,9,0)</f>
        <v>905-815-1914</v>
      </c>
      <c r="S114" t="str">
        <f>VLOOKUP($B114,Customers!$B:$T,16,0)</f>
        <v>Credit</v>
      </c>
      <c r="T114" t="str">
        <f>VLOOKUP($B114,Customers!$B:$T,18,0)</f>
        <v>Mastercard</v>
      </c>
      <c r="U114" t="str">
        <f>VLOOKUP($B114,Customers!$B:$T,19,0)</f>
        <v>1490</v>
      </c>
      <c r="V114">
        <f ca="1">COUNTIF(C:C,C114)-1</f>
        <v>3</v>
      </c>
      <c r="W114">
        <f>SUM(X114:Z114)</f>
        <v>320.77</v>
      </c>
      <c r="X114">
        <f>SUM(X107:X113)</f>
        <v>279.45</v>
      </c>
      <c r="Y114">
        <f>SUM(Y107:Y113)</f>
        <v>36.33</v>
      </c>
      <c r="Z114">
        <v>4.99</v>
      </c>
      <c r="AF114" s="54"/>
      <c r="AG114" s="48">
        <f>AG113</f>
        <v>44873</v>
      </c>
      <c r="AH114" s="48"/>
      <c r="AI114" t="str">
        <f t="shared" ref="AI114:AJ114" si="119">AI113</f>
        <v>Delivered</v>
      </c>
      <c r="AJ114" s="48">
        <f t="shared" si="119"/>
        <v>44873</v>
      </c>
    </row>
    <row r="115" spans="1:39" s="58" customFormat="1" ht="43.5" hidden="1" x14ac:dyDescent="0.35">
      <c r="A115" s="60" t="s">
        <v>760</v>
      </c>
      <c r="B115" s="60" t="str">
        <f>IF(B114="","","'"&amp;B$11&amp;"' : '"&amp;B114&amp;"', ")</f>
        <v xml:space="preserve">'emailAddress' : 'johnsondeclan@gmail.com', </v>
      </c>
      <c r="C115" s="60" t="str">
        <f>IF(C114="","","'"&amp;C$11&amp;"' : '"&amp;C114&amp;"', ")</f>
        <v xml:space="preserve">'orderId' : '20221108111648', </v>
      </c>
      <c r="D115" s="60" t="str">
        <f>IF(D114="","","'"&amp;D$11&amp;"' : '"&amp;D114&amp;"', ")</f>
        <v xml:space="preserve">'employeeUserName' : 'lzapanta', </v>
      </c>
      <c r="E115" s="60" t="str">
        <f>IF(E114="","","'"&amp;$F$10&amp;"' : { '"&amp;E$11&amp;"' : '"&amp;E114&amp;"' , ")</f>
        <v xml:space="preserve">'deliveryAddress' : { 'dName' : 'Declan Johnson' , </v>
      </c>
      <c r="F115" s="60" t="str">
        <f>IF(F114="","","'"&amp;F$11&amp;"' : '"&amp;F114&amp;"' , ")</f>
        <v xml:space="preserve">'dStreet' : '1676 Speers Road' , </v>
      </c>
      <c r="G115" s="60" t="str">
        <f>IF(G114="","","'"&amp;G$11&amp;"' : '"&amp;G114&amp;"' , ")</f>
        <v xml:space="preserve">'dUnit' : '71' , </v>
      </c>
      <c r="H115" s="60" t="str">
        <f>IF(H114="","","'"&amp;H$11&amp;"' : '"&amp;H114&amp;"' , ")</f>
        <v xml:space="preserve">'dCity' : 'Oakville' , </v>
      </c>
      <c r="I115" s="60" t="str">
        <f>IF(I114="","","'"&amp;I$11&amp;"' : '"&amp;I114&amp;"' , ")</f>
        <v xml:space="preserve">'dProvince' : 'Ontario' , </v>
      </c>
      <c r="J115" s="60" t="str">
        <f>IF(J114="","","'"&amp;J$11&amp;"' : '"&amp;J114&amp;"' , ")</f>
        <v xml:space="preserve">'dZip' : 'L6J 3X4' , </v>
      </c>
      <c r="K115" s="60" t="str">
        <f>IF(K114="","","'"&amp;K$11&amp;"' : '"&amp;K114&amp;"' } , ")</f>
        <v xml:space="preserve">'dMobileNumber' : '905-815-1914' } , </v>
      </c>
      <c r="L115" s="60" t="str">
        <f>IF(L114="","","'"&amp;$L$10&amp;"' : { '"&amp;L$11&amp;"' : '"&amp;L114&amp;"' , ")</f>
        <v xml:space="preserve">'billingsAddress' : { 'bName' : 'Declan Johnson' , </v>
      </c>
      <c r="M115" s="60" t="str">
        <f>IF(M114="","","'"&amp;M$11&amp;"' : '"&amp;M114&amp;"' , ")</f>
        <v xml:space="preserve">'bStreet' : '1676 Speers Road' , </v>
      </c>
      <c r="N115" s="60" t="str">
        <f>IF(N114="","","'"&amp;N$11&amp;"' : '"&amp;N114&amp;"' , ")</f>
        <v/>
      </c>
      <c r="O115" s="60" t="str">
        <f>IF(O114="","","'"&amp;O$11&amp;"' : '"&amp;O114&amp;"' , ")</f>
        <v xml:space="preserve">'bCity' : 'Oakville' , </v>
      </c>
      <c r="P115" s="60" t="str">
        <f>IF(P114="","","'"&amp;P$11&amp;"' : '"&amp;P114&amp;"' , ")</f>
        <v xml:space="preserve">'bProvince' : 'Ontario' , </v>
      </c>
      <c r="Q115" s="60" t="str">
        <f>IF(Q114="","","'"&amp;Q$11&amp;"' : '"&amp;Q114&amp;"' , ")</f>
        <v xml:space="preserve">'bZip' : 'L6J 3X4' , </v>
      </c>
      <c r="R115" s="60" t="str">
        <f>IF(R114="","","'"&amp;R$11&amp;"' : '"&amp;R114&amp;"' } , ")</f>
        <v xml:space="preserve">'bMobileNumber' : '905-815-1914' } , </v>
      </c>
      <c r="S115" s="60" t="str">
        <f>IF(S114="","","'"&amp;$S$10&amp;"' : { '"&amp;S$11&amp;"' : '"&amp;S114&amp;"' , ")</f>
        <v xml:space="preserve">'paymentMethod' : { 'paymentType' : 'Credit' , </v>
      </c>
      <c r="T115" s="60" t="str">
        <f>IF(T114="","","'"&amp;T$11&amp;"' : '"&amp;T114&amp;"' , ")</f>
        <v xml:space="preserve">'cardScheme' : 'Mastercard' , </v>
      </c>
      <c r="U115" s="60" t="str">
        <f>IF(U114="","","'"&amp;U$11&amp;"' : '"&amp;U114&amp;"' } , ")</f>
        <v xml:space="preserve">'cardLast4' : '1490' } , </v>
      </c>
      <c r="V115" s="60" t="str">
        <f ca="1">IF(V114="","","'"&amp;V$11&amp;"' : "&amp;V114&amp;", ")</f>
        <v xml:space="preserve">'totalQty' : 3, </v>
      </c>
      <c r="W115" s="60" t="str">
        <f>IF(W114="","","'"&amp;W$11&amp;"' : "&amp;W114&amp;", ")</f>
        <v xml:space="preserve">'orderTotal' : 320.77, </v>
      </c>
      <c r="X115" s="60" t="str">
        <f>IF(X114="","","'"&amp;X$11&amp;"' : "&amp;X114&amp;", ")</f>
        <v xml:space="preserve">'grossTotal' : 279.45, </v>
      </c>
      <c r="Y115" s="60" t="str">
        <f>IF(Y114="","","'"&amp;Y$11&amp;"' : "&amp;Y114&amp;", ")</f>
        <v xml:space="preserve">'tax' : 36.33, </v>
      </c>
      <c r="Z115" s="60" t="str">
        <f>IF(Z114="","","'"&amp;Z$11&amp;"' : "&amp;Z114&amp;", ")</f>
        <v xml:space="preserve">'deliveryFee' : 4.99, </v>
      </c>
      <c r="AA115" s="60"/>
      <c r="AB115" s="60"/>
      <c r="AC115" s="60"/>
      <c r="AD115" s="60"/>
      <c r="AE115" s="60"/>
      <c r="AF115" s="60" t="str">
        <f>$AA$10&amp;" : "&amp;_xlfn.CONCAT("[ ",AF111:AF113,"], ")</f>
        <v xml:space="preserve">orderDetails : [ { 'productId' : '4012', 'productName' : 'Empanada', 'quantity' : 13, 'price' : 6.79, 'subTotal' : 88.27 },{ 'productId' : '4016', 'productName' : 'Chocolate Chip Bagel', 'quantity' : 7, 'price' : 7.23, 'subTotal' : 50.61 },{ 'productId' : '4005', 'productName' : 'Bear Claw', 'quantity' : 7, 'price' : 5.99, 'subTotal' : 41.93 }], </v>
      </c>
      <c r="AG115" s="60" t="str">
        <f>IF(AG114="","","'"&amp;AG$11&amp;"' : new Date('"&amp;TEXT(AG114,"yyyy-mm-dd")&amp;"'), ")</f>
        <v xml:space="preserve">'orderDate' : new Date('2022-11-08'), </v>
      </c>
      <c r="AH115" s="60"/>
      <c r="AI115" s="60" t="str">
        <f>IF(AI114="","","'"&amp;AI$11&amp;"' : '"&amp;AI114&amp;"', ")</f>
        <v xml:space="preserve">'orderStatus' : 'Delivered', </v>
      </c>
      <c r="AJ115" s="60" t="str">
        <f>IF(AJ114="","","'"&amp;AJ$11&amp;"' : new Date('"&amp;TEXT(AJ114,"yyyy-mm-dd")&amp;"') ")</f>
        <v xml:space="preserve">'statusDate' : new Date('2022-11-08') </v>
      </c>
      <c r="AK115" s="60"/>
      <c r="AL115" s="59"/>
      <c r="AM115" s="58" t="str">
        <f ca="1">_xlfn.CONCAT("{ ",B115:AJ115,"} ,")</f>
        <v>{ 'emailAddress' : 'johnsondeclan@gmail.com', 'orderId' : '20221108111648', 'employeeUserName' : 'lzapanta', 'deliveryAddress' : { 'dName' : 'Declan Johnson' , 'dStreet' : '1676 Speers Road' , 'dUnit' : '71' , 'dCity' : 'Oakville' , 'dProvince' : 'Ontario' , 'dZip' : 'L6J 3X4' , 'dMobileNumber' : '905-815-1914' } , 'billingsAddress' : { 'bName' : 'Declan Johnson' , 'bStreet' : '1676 Speers Road' , 'bCity' : 'Oakville' , 'bProvince' : 'Ontario' , 'bZip' : 'L6J 3X4' , 'bMobileNumber' : '905-815-1914' } , 'paymentMethod' : { 'paymentType' : 'Credit' , 'cardScheme' : 'Mastercard' , 'cardLast4' : '1490' } , 'totalQty' : 3, 'orderTotal' : 320.77, 'grossTotal' : 279.45, 'tax' : 36.33, 'deliveryFee' : 4.99, orderDetails : [ { 'productId' : '4012', 'productName' : 'Empanada', 'quantity' : 13, 'price' : 6.79, 'subTotal' : 88.27 },{ 'productId' : '4016', 'productName' : 'Chocolate Chip Bagel', 'quantity' : 7, 'price' : 7.23, 'subTotal' : 50.61 },{ 'productId' : '4005', 'productName' : 'Bear Claw', 'quantity' : 7, 'price' : 5.99, 'subTotal' : 41.93 }], 'orderDate' : new Date('2022-11-08'), 'orderStatus' : 'Delivered', 'statusDate' : new Date('2022-11-08') } ,</v>
      </c>
    </row>
    <row r="116" spans="1:39" hidden="1" x14ac:dyDescent="0.35">
      <c r="B116" t="s">
        <v>727</v>
      </c>
      <c r="C116" s="49" t="str">
        <f>TEXT(AG116,"yyyymmdd")&amp;AH116</f>
        <v>20221108114537</v>
      </c>
      <c r="D116" t="s">
        <v>681</v>
      </c>
      <c r="E116" t="s">
        <v>334</v>
      </c>
      <c r="F116" t="s">
        <v>414</v>
      </c>
      <c r="G116" t="s">
        <v>571</v>
      </c>
      <c r="H116" t="s">
        <v>438</v>
      </c>
      <c r="I116" t="s">
        <v>26</v>
      </c>
      <c r="J116" t="s">
        <v>472</v>
      </c>
      <c r="K116" t="s">
        <v>502</v>
      </c>
      <c r="L116" t="str">
        <f t="shared" ref="L116:L119" si="120">E116</f>
        <v>Ivy Clarkson</v>
      </c>
      <c r="M116" t="str">
        <f>VLOOKUP($B116,Customers!$B:$J,4,0)</f>
        <v>1028 Garafraxa St</v>
      </c>
      <c r="N116" t="str">
        <f>VLOOKUP($B116,Customers!$B:$J,5,0)</f>
        <v>312</v>
      </c>
      <c r="O116" t="str">
        <f>VLOOKUP($B116,Customers!$B:$J,6,0)</f>
        <v>Tara</v>
      </c>
      <c r="P116" t="str">
        <f>VLOOKUP($B116,Customers!$B:$J,7,0)</f>
        <v>Ontario</v>
      </c>
      <c r="Q116" t="str">
        <f>VLOOKUP($B116,Customers!$B:$J,8,0)</f>
        <v>N0H 2N0</v>
      </c>
      <c r="R116" t="str">
        <f>VLOOKUP($B116,Customers!$B:$J,9,0)</f>
        <v>519-934-6315</v>
      </c>
      <c r="S116" t="str">
        <f>VLOOKUP($B116,Customers!$B:$T,16,0)</f>
        <v>Credit</v>
      </c>
      <c r="T116" t="str">
        <f>VLOOKUP($B116,Customers!$B:$T,18,0)</f>
        <v>Visa</v>
      </c>
      <c r="U116" t="str">
        <f>VLOOKUP($B116,Customers!$B:$T,19,0)</f>
        <v>1551</v>
      </c>
      <c r="V116">
        <f ca="1">COUNTIF(C:C,C116)-1</f>
        <v>3</v>
      </c>
      <c r="X116">
        <f t="shared" ref="X116:X118" si="121">AC116*AD116</f>
        <v>107.58</v>
      </c>
      <c r="Y116">
        <f t="shared" ref="Y116:Y118" si="122">ROUND(X116*13%,2)</f>
        <v>13.99</v>
      </c>
      <c r="AA116">
        <v>4014</v>
      </c>
      <c r="AB116" t="s">
        <v>81</v>
      </c>
      <c r="AC116">
        <v>22</v>
      </c>
      <c r="AD116">
        <v>4.8899999999999997</v>
      </c>
      <c r="AE116">
        <f>AC116*AD116</f>
        <v>107.58</v>
      </c>
      <c r="AF116" s="54" t="str">
        <f>"{ '"&amp;AA$11&amp;"' : '"&amp;AA116&amp;"', '"&amp;AB$11&amp;"' : '"&amp;AB116&amp;"', '"&amp;AC$11&amp;"' : "&amp;AC116&amp;", '"&amp;AD$11&amp;"' : "&amp;AD116&amp;", '"&amp;AE$11&amp;"' : "&amp;AE116&amp;" },"</f>
        <v>{ 'productId' : '4014', 'productName' : 'Pan de Coco', 'quantity' : 22, 'price' : 4.89, 'subTotal' : 107.58 },</v>
      </c>
      <c r="AG116" s="48">
        <v>44873</v>
      </c>
      <c r="AH116" s="61" t="s">
        <v>763</v>
      </c>
      <c r="AI116" t="s">
        <v>755</v>
      </c>
      <c r="AJ116" s="48">
        <f>AG116</f>
        <v>44873</v>
      </c>
      <c r="AK116" t="s">
        <v>698</v>
      </c>
    </row>
    <row r="117" spans="1:39" hidden="1" x14ac:dyDescent="0.35">
      <c r="B117" t="s">
        <v>727</v>
      </c>
      <c r="C117" t="str">
        <f>C116</f>
        <v>20221108114537</v>
      </c>
      <c r="D117" t="s">
        <v>681</v>
      </c>
      <c r="E117" t="s">
        <v>334</v>
      </c>
      <c r="F117" t="s">
        <v>414</v>
      </c>
      <c r="G117" t="s">
        <v>571</v>
      </c>
      <c r="H117" t="s">
        <v>438</v>
      </c>
      <c r="I117" t="s">
        <v>26</v>
      </c>
      <c r="J117" t="s">
        <v>472</v>
      </c>
      <c r="K117" t="s">
        <v>502</v>
      </c>
      <c r="L117" t="str">
        <f t="shared" si="120"/>
        <v>Ivy Clarkson</v>
      </c>
      <c r="M117" t="str">
        <f>VLOOKUP($B117,Customers!$B:$J,4,0)</f>
        <v>1028 Garafraxa St</v>
      </c>
      <c r="N117" t="str">
        <f>VLOOKUP($B117,Customers!$B:$J,5,0)</f>
        <v>312</v>
      </c>
      <c r="O117" t="str">
        <f>VLOOKUP($B117,Customers!$B:$J,6,0)</f>
        <v>Tara</v>
      </c>
      <c r="P117" t="str">
        <f>VLOOKUP($B117,Customers!$B:$J,7,0)</f>
        <v>Ontario</v>
      </c>
      <c r="Q117" t="str">
        <f>VLOOKUP($B117,Customers!$B:$J,8,0)</f>
        <v>N0H 2N0</v>
      </c>
      <c r="R117" t="str">
        <f>VLOOKUP($B117,Customers!$B:$J,9,0)</f>
        <v>519-934-6315</v>
      </c>
      <c r="S117" t="str">
        <f>VLOOKUP($B117,Customers!$B:$T,16,0)</f>
        <v>Credit</v>
      </c>
      <c r="T117" t="str">
        <f>VLOOKUP($B117,Customers!$B:$T,18,0)</f>
        <v>Visa</v>
      </c>
      <c r="U117" t="str">
        <f>VLOOKUP($B117,Customers!$B:$T,19,0)</f>
        <v>1551</v>
      </c>
      <c r="V117">
        <f ca="1">COUNTIF(C:C,C117)-1</f>
        <v>3</v>
      </c>
      <c r="X117">
        <f t="shared" si="121"/>
        <v>4.8899999999999997</v>
      </c>
      <c r="Y117">
        <f t="shared" si="122"/>
        <v>0.64</v>
      </c>
      <c r="AA117">
        <v>4014</v>
      </c>
      <c r="AB117" t="s">
        <v>81</v>
      </c>
      <c r="AC117">
        <v>1</v>
      </c>
      <c r="AD117">
        <v>4.8899999999999997</v>
      </c>
      <c r="AE117">
        <f>AC117*AD117</f>
        <v>4.8899999999999997</v>
      </c>
      <c r="AF117" s="54" t="str">
        <f>"{ '"&amp;AA$11&amp;"' : '"&amp;AA117&amp;"', '"&amp;AB$11&amp;"' : '"&amp;AB117&amp;"', '"&amp;AC$11&amp;"' : "&amp;AC117&amp;", '"&amp;AD$11&amp;"' : "&amp;AD117&amp;", '"&amp;AE$11&amp;"' : "&amp;AE117&amp;" },"</f>
        <v>{ 'productId' : '4014', 'productName' : 'Pan de Coco', 'quantity' : 1, 'price' : 4.89, 'subTotal' : 4.89 },</v>
      </c>
      <c r="AG117" s="48">
        <v>44873</v>
      </c>
      <c r="AH117" s="48" t="str">
        <f t="shared" ref="AH117:AH118" si="123">AH116</f>
        <v>114537</v>
      </c>
      <c r="AI117" t="str">
        <f t="shared" ref="AI117:AJ118" si="124">AI116</f>
        <v>Delivered</v>
      </c>
      <c r="AJ117" s="48">
        <f t="shared" si="124"/>
        <v>44873</v>
      </c>
    </row>
    <row r="118" spans="1:39" hidden="1" x14ac:dyDescent="0.35">
      <c r="B118" t="s">
        <v>727</v>
      </c>
      <c r="C118" t="str">
        <f t="shared" ref="C118:C119" si="125">C117</f>
        <v>20221108114537</v>
      </c>
      <c r="D118" t="s">
        <v>681</v>
      </c>
      <c r="E118" t="s">
        <v>334</v>
      </c>
      <c r="F118" t="s">
        <v>414</v>
      </c>
      <c r="G118" t="s">
        <v>571</v>
      </c>
      <c r="H118" t="s">
        <v>438</v>
      </c>
      <c r="I118" t="s">
        <v>26</v>
      </c>
      <c r="J118" t="s">
        <v>472</v>
      </c>
      <c r="K118" t="s">
        <v>502</v>
      </c>
      <c r="L118" t="str">
        <f t="shared" si="120"/>
        <v>Ivy Clarkson</v>
      </c>
      <c r="M118" t="str">
        <f>VLOOKUP($B118,Customers!$B:$J,4,0)</f>
        <v>1028 Garafraxa St</v>
      </c>
      <c r="N118" t="str">
        <f>VLOOKUP($B118,Customers!$B:$J,5,0)</f>
        <v>312</v>
      </c>
      <c r="O118" t="str">
        <f>VLOOKUP($B118,Customers!$B:$J,6,0)</f>
        <v>Tara</v>
      </c>
      <c r="P118" t="str">
        <f>VLOOKUP($B118,Customers!$B:$J,7,0)</f>
        <v>Ontario</v>
      </c>
      <c r="Q118" t="str">
        <f>VLOOKUP($B118,Customers!$B:$J,8,0)</f>
        <v>N0H 2N0</v>
      </c>
      <c r="R118" t="str">
        <f>VLOOKUP($B118,Customers!$B:$J,9,0)</f>
        <v>519-934-6315</v>
      </c>
      <c r="S118" t="str">
        <f>VLOOKUP($B118,Customers!$B:$T,16,0)</f>
        <v>Credit</v>
      </c>
      <c r="T118" t="str">
        <f>VLOOKUP($B118,Customers!$B:$T,18,0)</f>
        <v>Visa</v>
      </c>
      <c r="U118" t="str">
        <f>VLOOKUP($B118,Customers!$B:$T,19,0)</f>
        <v>1551</v>
      </c>
      <c r="V118">
        <f ca="1">COUNTIF(C:C,C118)-1</f>
        <v>3</v>
      </c>
      <c r="X118">
        <f t="shared" si="121"/>
        <v>112.47</v>
      </c>
      <c r="Y118">
        <f t="shared" si="122"/>
        <v>14.62</v>
      </c>
      <c r="AA118">
        <v>4014</v>
      </c>
      <c r="AB118" t="s">
        <v>81</v>
      </c>
      <c r="AC118">
        <v>23</v>
      </c>
      <c r="AD118">
        <v>4.8899999999999997</v>
      </c>
      <c r="AE118">
        <f>AC118*AD118</f>
        <v>112.47</v>
      </c>
      <c r="AF118" s="54" t="str">
        <f>"{ '"&amp;AA$11&amp;"' : '"&amp;AA118&amp;"', '"&amp;AB$11&amp;"' : '"&amp;AB118&amp;"', '"&amp;AC$11&amp;"' : "&amp;AC118&amp;", '"&amp;AD$11&amp;"' : "&amp;AD118&amp;", '"&amp;AE$11&amp;"' : "&amp;AE118&amp;" }"</f>
        <v>{ 'productId' : '4014', 'productName' : 'Pan de Coco', 'quantity' : 23, 'price' : 4.89, 'subTotal' : 112.47 }</v>
      </c>
      <c r="AG118" s="48">
        <v>44873</v>
      </c>
      <c r="AH118" s="48" t="str">
        <f t="shared" si="123"/>
        <v>114537</v>
      </c>
      <c r="AI118" t="str">
        <f t="shared" si="124"/>
        <v>Delivered</v>
      </c>
      <c r="AJ118" s="48">
        <f t="shared" si="124"/>
        <v>44873</v>
      </c>
    </row>
    <row r="119" spans="1:39" hidden="1" x14ac:dyDescent="0.35">
      <c r="A119" t="s">
        <v>759</v>
      </c>
      <c r="B119" t="s">
        <v>727</v>
      </c>
      <c r="C119" t="str">
        <f t="shared" si="125"/>
        <v>20221108114537</v>
      </c>
      <c r="D119" t="s">
        <v>681</v>
      </c>
      <c r="E119" t="s">
        <v>334</v>
      </c>
      <c r="F119" t="s">
        <v>414</v>
      </c>
      <c r="G119" t="s">
        <v>571</v>
      </c>
      <c r="H119" t="s">
        <v>438</v>
      </c>
      <c r="I119" t="s">
        <v>26</v>
      </c>
      <c r="J119" t="s">
        <v>472</v>
      </c>
      <c r="K119" t="s">
        <v>502</v>
      </c>
      <c r="L119" t="str">
        <f t="shared" si="120"/>
        <v>Ivy Clarkson</v>
      </c>
      <c r="M119" t="str">
        <f>VLOOKUP($B119,Customers!$B:$J,4,0)</f>
        <v>1028 Garafraxa St</v>
      </c>
      <c r="N119" t="str">
        <f>VLOOKUP($B119,Customers!$B:$J,5,0)</f>
        <v>312</v>
      </c>
      <c r="O119" t="str">
        <f>VLOOKUP($B119,Customers!$B:$J,6,0)</f>
        <v>Tara</v>
      </c>
      <c r="P119" t="str">
        <f>VLOOKUP($B119,Customers!$B:$J,7,0)</f>
        <v>Ontario</v>
      </c>
      <c r="Q119" t="str">
        <f>VLOOKUP($B119,Customers!$B:$J,8,0)</f>
        <v>N0H 2N0</v>
      </c>
      <c r="R119" t="str">
        <f>VLOOKUP($B119,Customers!$B:$J,9,0)</f>
        <v>519-934-6315</v>
      </c>
      <c r="S119" t="str">
        <f>VLOOKUP($B119,Customers!$B:$T,16,0)</f>
        <v>Credit</v>
      </c>
      <c r="T119" t="str">
        <f>VLOOKUP($B119,Customers!$B:$T,18,0)</f>
        <v>Visa</v>
      </c>
      <c r="U119" t="str">
        <f>VLOOKUP($B119,Customers!$B:$T,19,0)</f>
        <v>1551</v>
      </c>
      <c r="V119">
        <f ca="1">COUNTIF(C:C,C119)-1</f>
        <v>3</v>
      </c>
      <c r="W119">
        <f>SUM(X119:Z119)</f>
        <v>259.18</v>
      </c>
      <c r="X119">
        <f>SUM(X116:X118)</f>
        <v>224.94</v>
      </c>
      <c r="Y119">
        <f>SUM(Y116:Y118)</f>
        <v>29.25</v>
      </c>
      <c r="Z119">
        <v>4.99</v>
      </c>
      <c r="AF119" s="54"/>
      <c r="AG119" s="48">
        <f>AG118</f>
        <v>44873</v>
      </c>
      <c r="AH119" s="48"/>
      <c r="AI119" t="str">
        <f t="shared" ref="AI119:AJ119" si="126">AI118</f>
        <v>Delivered</v>
      </c>
      <c r="AJ119" s="48">
        <f t="shared" si="126"/>
        <v>44873</v>
      </c>
    </row>
    <row r="120" spans="1:39" s="58" customFormat="1" ht="43.5" hidden="1" x14ac:dyDescent="0.35">
      <c r="A120" s="60" t="s">
        <v>760</v>
      </c>
      <c r="B120" s="60" t="str">
        <f>IF(B119="","","'"&amp;B$11&amp;"' : '"&amp;B119&amp;"', ")</f>
        <v xml:space="preserve">'emailAddress' : 'ivyclarkson@gmail.com', </v>
      </c>
      <c r="C120" s="60" t="str">
        <f>IF(C119="","","'"&amp;C$11&amp;"' : '"&amp;C119&amp;"', ")</f>
        <v xml:space="preserve">'orderId' : '20221108114537', </v>
      </c>
      <c r="D120" s="60" t="str">
        <f>IF(D119="","","'"&amp;D$11&amp;"' : '"&amp;D119&amp;"', ")</f>
        <v xml:space="preserve">'employeeUserName' : 'jbartolata', </v>
      </c>
      <c r="E120" s="60" t="str">
        <f>IF(E119="","","'"&amp;$F$10&amp;"' : { '"&amp;E$11&amp;"' : '"&amp;E119&amp;"' , ")</f>
        <v xml:space="preserve">'deliveryAddress' : { 'dName' : 'Ivy Clarkson' , </v>
      </c>
      <c r="F120" s="60" t="str">
        <f>IF(F119="","","'"&amp;F$11&amp;"' : '"&amp;F119&amp;"' , ")</f>
        <v xml:space="preserve">'dStreet' : '1028 Garafraxa St' , </v>
      </c>
      <c r="G120" s="60" t="str">
        <f>IF(G119="","","'"&amp;G$11&amp;"' : '"&amp;G119&amp;"' , ")</f>
        <v xml:space="preserve">'dUnit' : '312' , </v>
      </c>
      <c r="H120" s="60" t="str">
        <f>IF(H119="","","'"&amp;H$11&amp;"' : '"&amp;H119&amp;"' , ")</f>
        <v xml:space="preserve">'dCity' : 'Tara' , </v>
      </c>
      <c r="I120" s="60" t="str">
        <f>IF(I119="","","'"&amp;I$11&amp;"' : '"&amp;I119&amp;"' , ")</f>
        <v xml:space="preserve">'dProvince' : 'Ontario' , </v>
      </c>
      <c r="J120" s="60" t="str">
        <f>IF(J119="","","'"&amp;J$11&amp;"' : '"&amp;J119&amp;"' , ")</f>
        <v xml:space="preserve">'dZip' : 'N0H 2N0' , </v>
      </c>
      <c r="K120" s="60" t="str">
        <f>IF(K119="","","'"&amp;K$11&amp;"' : '"&amp;K119&amp;"' } , ")</f>
        <v xml:space="preserve">'dMobileNumber' : '519-934-6315' } , </v>
      </c>
      <c r="L120" s="60" t="str">
        <f>IF(L119="","","'"&amp;$L$10&amp;"' : { '"&amp;L$11&amp;"' : '"&amp;L119&amp;"' , ")</f>
        <v xml:space="preserve">'billingsAddress' : { 'bName' : 'Ivy Clarkson' , </v>
      </c>
      <c r="M120" s="60" t="str">
        <f>IF(M119="","","'"&amp;M$11&amp;"' : '"&amp;M119&amp;"' , ")</f>
        <v xml:space="preserve">'bStreet' : '1028 Garafraxa St' , </v>
      </c>
      <c r="N120" s="60" t="str">
        <f>IF(N119="","","'"&amp;N$11&amp;"' : '"&amp;N119&amp;"' , ")</f>
        <v xml:space="preserve">'bUnit' : '312' , </v>
      </c>
      <c r="O120" s="60" t="str">
        <f>IF(O119="","","'"&amp;O$11&amp;"' : '"&amp;O119&amp;"' , ")</f>
        <v xml:space="preserve">'bCity' : 'Tara' , </v>
      </c>
      <c r="P120" s="60" t="str">
        <f>IF(P119="","","'"&amp;P$11&amp;"' : '"&amp;P119&amp;"' , ")</f>
        <v xml:space="preserve">'bProvince' : 'Ontario' , </v>
      </c>
      <c r="Q120" s="60" t="str">
        <f>IF(Q119="","","'"&amp;Q$11&amp;"' : '"&amp;Q119&amp;"' , ")</f>
        <v xml:space="preserve">'bZip' : 'N0H 2N0' , </v>
      </c>
      <c r="R120" s="60" t="str">
        <f>IF(R119="","","'"&amp;R$11&amp;"' : '"&amp;R119&amp;"' } , ")</f>
        <v xml:space="preserve">'bMobileNumber' : '519-934-6315' } , </v>
      </c>
      <c r="S120" s="60" t="str">
        <f>IF(S119="","","'"&amp;$S$10&amp;"' : { '"&amp;S$11&amp;"' : '"&amp;S119&amp;"' , ")</f>
        <v xml:space="preserve">'paymentMethod' : { 'paymentType' : 'Credit' , </v>
      </c>
      <c r="T120" s="60" t="str">
        <f>IF(T119="","","'"&amp;T$11&amp;"' : '"&amp;T119&amp;"' , ")</f>
        <v xml:space="preserve">'cardScheme' : 'Visa' , </v>
      </c>
      <c r="U120" s="60" t="str">
        <f>IF(U119="","","'"&amp;U$11&amp;"' : '"&amp;U119&amp;"' } , ")</f>
        <v xml:space="preserve">'cardLast4' : '1551' } , </v>
      </c>
      <c r="V120" s="60" t="str">
        <f ca="1">IF(V119="","","'"&amp;V$11&amp;"' : "&amp;V119&amp;", ")</f>
        <v xml:space="preserve">'totalQty' : 3, </v>
      </c>
      <c r="W120" s="60" t="str">
        <f>IF(W119="","","'"&amp;W$11&amp;"' : "&amp;W119&amp;", ")</f>
        <v xml:space="preserve">'orderTotal' : 259.18, </v>
      </c>
      <c r="X120" s="60" t="str">
        <f>IF(X119="","","'"&amp;X$11&amp;"' : "&amp;X119&amp;", ")</f>
        <v xml:space="preserve">'grossTotal' : 224.94, </v>
      </c>
      <c r="Y120" s="60" t="str">
        <f>IF(Y119="","","'"&amp;Y$11&amp;"' : "&amp;Y119&amp;", ")</f>
        <v xml:space="preserve">'tax' : 29.25, </v>
      </c>
      <c r="Z120" s="60" t="str">
        <f>IF(Z119="","","'"&amp;Z$11&amp;"' : "&amp;Z119&amp;", ")</f>
        <v xml:space="preserve">'deliveryFee' : 4.99, </v>
      </c>
      <c r="AA120" s="60"/>
      <c r="AB120" s="60"/>
      <c r="AC120" s="60"/>
      <c r="AD120" s="60"/>
      <c r="AE120" s="60"/>
      <c r="AF120" s="60" t="str">
        <f>$AA$10&amp;" : "&amp;_xlfn.CONCAT("[ ",AF116:AF118,"], ")</f>
        <v xml:space="preserve">orderDetails : [ { 'productId' : '4014', 'productName' : 'Pan de Coco', 'quantity' : 22, 'price' : 4.89, 'subTotal' : 107.58 },{ 'productId' : '4014', 'productName' : 'Pan de Coco', 'quantity' : 1, 'price' : 4.89, 'subTotal' : 4.89 },{ 'productId' : '4014', 'productName' : 'Pan de Coco', 'quantity' : 23, 'price' : 4.89, 'subTotal' : 112.47 }], </v>
      </c>
      <c r="AG120" s="60" t="str">
        <f>IF(AG119="","","'"&amp;AG$11&amp;"' : new Date('"&amp;TEXT(AG119,"yyyy-mm-dd")&amp;"'), ")</f>
        <v xml:space="preserve">'orderDate' : new Date('2022-11-08'), </v>
      </c>
      <c r="AH120" s="60"/>
      <c r="AI120" s="60" t="str">
        <f>IF(AI119="","","'"&amp;AI$11&amp;"' : '"&amp;AI119&amp;"', ")</f>
        <v xml:space="preserve">'orderStatus' : 'Delivered', </v>
      </c>
      <c r="AJ120" s="60" t="str">
        <f>IF(AJ119="","","'"&amp;AJ$11&amp;"' : new Date('"&amp;TEXT(AJ119,"yyyy-mm-dd")&amp;"') ")</f>
        <v xml:space="preserve">'statusDate' : new Date('2022-11-08') </v>
      </c>
      <c r="AK120" s="60"/>
      <c r="AL120" s="59"/>
      <c r="AM120" s="58" t="str">
        <f ca="1">_xlfn.CONCAT("{ ",B120:AJ120,"} ,")</f>
        <v>{ 'emailAddress' : 'ivyclarkson@gmail.com', 'orderId' : '20221108114537', 'employeeUserName' : 'jbartolata', 'deliveryAddress' : { 'dName' : 'Ivy Clarkson' , 'dStreet' : '1028 Garafraxa St' , 'dUnit' : '312' , 'dCity' : 'Tara' , 'dProvince' : 'Ontario' , 'dZip' : 'N0H 2N0' , 'dMobileNumber' : '519-934-6315' } , 'billingsAddress' : { 'bName' : 'Ivy Clarkson' , 'bStreet' : '1028 Garafraxa St' , 'bUnit' : '312' , 'bCity' : 'Tara' , 'bProvince' : 'Ontario' , 'bZip' : 'N0H 2N0' , 'bMobileNumber' : '519-934-6315' } , 'paymentMethod' : { 'paymentType' : 'Credit' , 'cardScheme' : 'Visa' , 'cardLast4' : '1551' } , 'totalQty' : 3, 'orderTotal' : 259.18, 'grossTotal' : 224.94, 'tax' : 29.25, 'deliveryFee' : 4.99, orderDetails : [ { 'productId' : '4014', 'productName' : 'Pan de Coco', 'quantity' : 22, 'price' : 4.89, 'subTotal' : 107.58 },{ 'productId' : '4014', 'productName' : 'Pan de Coco', 'quantity' : 1, 'price' : 4.89, 'subTotal' : 4.89 },{ 'productId' : '4014', 'productName' : 'Pan de Coco', 'quantity' : 23, 'price' : 4.89, 'subTotal' : 112.47 }], 'orderDate' : new Date('2022-11-08'), 'orderStatus' : 'Delivered', 'statusDate' : new Date('2022-11-08') } ,</v>
      </c>
    </row>
    <row r="121" spans="1:39" hidden="1" x14ac:dyDescent="0.35">
      <c r="B121" t="s">
        <v>732</v>
      </c>
      <c r="C121" s="49" t="s">
        <v>742</v>
      </c>
      <c r="D121" t="s">
        <v>680</v>
      </c>
      <c r="E121" t="s">
        <v>332</v>
      </c>
      <c r="F121" t="s">
        <v>416</v>
      </c>
      <c r="G121" t="s">
        <v>573</v>
      </c>
      <c r="H121" t="s">
        <v>440</v>
      </c>
      <c r="I121" t="s">
        <v>453</v>
      </c>
      <c r="J121" t="s">
        <v>474</v>
      </c>
      <c r="K121" t="s">
        <v>504</v>
      </c>
      <c r="L121" t="str">
        <f t="shared" ref="L121:L124" si="127">E121</f>
        <v>Octavia Boyd</v>
      </c>
      <c r="M121" t="str">
        <f>VLOOKUP($B121,Customers!$B:$J,4,0)</f>
        <v>2179 Côte Joyeuse</v>
      </c>
      <c r="N121" t="str">
        <f>VLOOKUP($B121,Customers!$B:$J,5,0)</f>
        <v>314</v>
      </c>
      <c r="O121" t="str">
        <f>VLOOKUP($B121,Customers!$B:$J,6,0)</f>
        <v>L'etape</v>
      </c>
      <c r="P121" t="str">
        <f>VLOOKUP($B121,Customers!$B:$J,7,0)</f>
        <v>Quebec</v>
      </c>
      <c r="Q121" t="str">
        <f>VLOOKUP($B121,Customers!$B:$J,8,0)</f>
        <v>H0H 0H0</v>
      </c>
      <c r="R121" t="str">
        <f>VLOOKUP($B121,Customers!$B:$J,9,0)</f>
        <v>418-859-5959</v>
      </c>
      <c r="S121" t="str">
        <f>VLOOKUP($B121,Customers!$B:$T,16,0)</f>
        <v>Credit</v>
      </c>
      <c r="T121" t="str">
        <f>VLOOKUP($B121,Customers!$B:$T,18,0)</f>
        <v>Mastercard</v>
      </c>
      <c r="U121" t="str">
        <f>VLOOKUP($B121,Customers!$B:$T,19,0)</f>
        <v>5941</v>
      </c>
      <c r="V121">
        <f ca="1">COUNTIF(C:C,C121)-1</f>
        <v>3</v>
      </c>
      <c r="X121">
        <f t="shared" ref="X121:X123" si="128">AC121*AD121</f>
        <v>96.75</v>
      </c>
      <c r="Y121">
        <f t="shared" ref="Y121:Y123" si="129">ROUND(X121*13%,2)</f>
        <v>12.58</v>
      </c>
      <c r="AA121">
        <v>4008</v>
      </c>
      <c r="AB121" t="s">
        <v>72</v>
      </c>
      <c r="AC121">
        <v>15</v>
      </c>
      <c r="AD121">
        <v>6.45</v>
      </c>
      <c r="AE121">
        <f>AC121*AD121</f>
        <v>96.75</v>
      </c>
      <c r="AF121" s="54" t="str">
        <f>"{ '"&amp;AA$11&amp;"' : '"&amp;AA121&amp;"', '"&amp;AB$11&amp;"' : '"&amp;AB121&amp;"', '"&amp;AC$11&amp;"' : "&amp;AC121&amp;", '"&amp;AD$11&amp;"' : "&amp;AD121&amp;", '"&amp;AE$11&amp;"' : "&amp;AE121&amp;" },"</f>
        <v>{ 'productId' : '4008', 'productName' : 'Vanilla Cinnamon Roll', 'quantity' : 15, 'price' : 6.45, 'subTotal' : 96.75 },</v>
      </c>
      <c r="AG121" s="48">
        <v>44874</v>
      </c>
      <c r="AH121" s="50" t="s">
        <v>743</v>
      </c>
      <c r="AI121" t="s">
        <v>755</v>
      </c>
      <c r="AJ121" s="48">
        <f>AG121</f>
        <v>44874</v>
      </c>
      <c r="AK121" t="s">
        <v>715</v>
      </c>
    </row>
    <row r="122" spans="1:39" hidden="1" x14ac:dyDescent="0.35">
      <c r="B122" t="s">
        <v>732</v>
      </c>
      <c r="C122" t="s">
        <v>742</v>
      </c>
      <c r="D122" t="s">
        <v>680</v>
      </c>
      <c r="E122" t="s">
        <v>332</v>
      </c>
      <c r="F122" t="s">
        <v>416</v>
      </c>
      <c r="G122" t="s">
        <v>573</v>
      </c>
      <c r="H122" t="s">
        <v>440</v>
      </c>
      <c r="I122" t="s">
        <v>453</v>
      </c>
      <c r="J122" t="s">
        <v>474</v>
      </c>
      <c r="K122" t="s">
        <v>504</v>
      </c>
      <c r="L122" t="str">
        <f t="shared" si="127"/>
        <v>Octavia Boyd</v>
      </c>
      <c r="M122" t="str">
        <f>VLOOKUP($B122,Customers!$B:$J,4,0)</f>
        <v>2179 Côte Joyeuse</v>
      </c>
      <c r="N122" t="str">
        <f>VLOOKUP($B122,Customers!$B:$J,5,0)</f>
        <v>314</v>
      </c>
      <c r="O122" t="str">
        <f>VLOOKUP($B122,Customers!$B:$J,6,0)</f>
        <v>L'etape</v>
      </c>
      <c r="P122" t="str">
        <f>VLOOKUP($B122,Customers!$B:$J,7,0)</f>
        <v>Quebec</v>
      </c>
      <c r="Q122" t="str">
        <f>VLOOKUP($B122,Customers!$B:$J,8,0)</f>
        <v>H0H 0H0</v>
      </c>
      <c r="R122" t="str">
        <f>VLOOKUP($B122,Customers!$B:$J,9,0)</f>
        <v>418-859-5959</v>
      </c>
      <c r="S122" t="str">
        <f>VLOOKUP($B122,Customers!$B:$T,16,0)</f>
        <v>Credit</v>
      </c>
      <c r="T122" t="str">
        <f>VLOOKUP($B122,Customers!$B:$T,18,0)</f>
        <v>Mastercard</v>
      </c>
      <c r="U122" t="str">
        <f>VLOOKUP($B122,Customers!$B:$T,19,0)</f>
        <v>5941</v>
      </c>
      <c r="V122">
        <f ca="1">COUNTIF(C:C,C122)-1</f>
        <v>3</v>
      </c>
      <c r="X122">
        <f t="shared" si="128"/>
        <v>10.9</v>
      </c>
      <c r="Y122">
        <f t="shared" si="129"/>
        <v>1.42</v>
      </c>
      <c r="AA122">
        <v>4011</v>
      </c>
      <c r="AB122" t="s">
        <v>75</v>
      </c>
      <c r="AC122">
        <v>2</v>
      </c>
      <c r="AD122">
        <v>5.45</v>
      </c>
      <c r="AE122">
        <f>AC122*AD122</f>
        <v>10.9</v>
      </c>
      <c r="AF122" s="54" t="str">
        <f>"{ '"&amp;AA$11&amp;"' : '"&amp;AA122&amp;"', '"&amp;AB$11&amp;"' : '"&amp;AB122&amp;"', '"&amp;AC$11&amp;"' : "&amp;AC122&amp;", '"&amp;AD$11&amp;"' : "&amp;AD122&amp;", '"&amp;AE$11&amp;"' : "&amp;AE122&amp;" },"</f>
        <v>{ 'productId' : '4011', 'productName' : 'Sesame Bagel', 'quantity' : 2, 'price' : 5.45, 'subTotal' : 10.9 },</v>
      </c>
      <c r="AG122" s="48">
        <v>44874</v>
      </c>
      <c r="AH122" s="48" t="str">
        <f t="shared" ref="AH122:AH123" si="130">AH121</f>
        <v>093600</v>
      </c>
      <c r="AI122" t="str">
        <f t="shared" ref="AI122:AJ123" si="131">AI121</f>
        <v>Delivered</v>
      </c>
      <c r="AJ122" s="48">
        <f t="shared" si="131"/>
        <v>44874</v>
      </c>
    </row>
    <row r="123" spans="1:39" hidden="1" x14ac:dyDescent="0.35">
      <c r="B123" t="s">
        <v>732</v>
      </c>
      <c r="C123" t="s">
        <v>742</v>
      </c>
      <c r="D123" t="s">
        <v>680</v>
      </c>
      <c r="E123" t="s">
        <v>332</v>
      </c>
      <c r="F123" t="s">
        <v>416</v>
      </c>
      <c r="G123" t="s">
        <v>573</v>
      </c>
      <c r="H123" t="s">
        <v>440</v>
      </c>
      <c r="I123" t="s">
        <v>453</v>
      </c>
      <c r="J123" t="s">
        <v>474</v>
      </c>
      <c r="K123" t="s">
        <v>504</v>
      </c>
      <c r="L123" t="str">
        <f t="shared" si="127"/>
        <v>Octavia Boyd</v>
      </c>
      <c r="M123" t="str">
        <f>VLOOKUP($B123,Customers!$B:$J,4,0)</f>
        <v>2179 Côte Joyeuse</v>
      </c>
      <c r="N123" t="str">
        <f>VLOOKUP($B123,Customers!$B:$J,5,0)</f>
        <v>314</v>
      </c>
      <c r="O123" t="str">
        <f>VLOOKUP($B123,Customers!$B:$J,6,0)</f>
        <v>L'etape</v>
      </c>
      <c r="P123" t="str">
        <f>VLOOKUP($B123,Customers!$B:$J,7,0)</f>
        <v>Quebec</v>
      </c>
      <c r="Q123" t="str">
        <f>VLOOKUP($B123,Customers!$B:$J,8,0)</f>
        <v>H0H 0H0</v>
      </c>
      <c r="R123" t="str">
        <f>VLOOKUP($B123,Customers!$B:$J,9,0)</f>
        <v>418-859-5959</v>
      </c>
      <c r="S123" t="str">
        <f>VLOOKUP($B123,Customers!$B:$T,16,0)</f>
        <v>Credit</v>
      </c>
      <c r="T123" t="str">
        <f>VLOOKUP($B123,Customers!$B:$T,18,0)</f>
        <v>Mastercard</v>
      </c>
      <c r="U123" t="str">
        <f>VLOOKUP($B123,Customers!$B:$T,19,0)</f>
        <v>5941</v>
      </c>
      <c r="V123">
        <f ca="1">COUNTIF(C:C,C123)-1</f>
        <v>3</v>
      </c>
      <c r="X123">
        <f t="shared" si="128"/>
        <v>135.45000000000002</v>
      </c>
      <c r="Y123">
        <f t="shared" si="129"/>
        <v>17.61</v>
      </c>
      <c r="AA123">
        <v>4019</v>
      </c>
      <c r="AB123" t="s">
        <v>86</v>
      </c>
      <c r="AC123">
        <v>21</v>
      </c>
      <c r="AD123">
        <v>6.45</v>
      </c>
      <c r="AE123">
        <f>AC123*AD123</f>
        <v>135.45000000000002</v>
      </c>
      <c r="AF123" s="54" t="str">
        <f>"{ '"&amp;AA$11&amp;"' : '"&amp;AA123&amp;"', '"&amp;AB$11&amp;"' : '"&amp;AB123&amp;"', '"&amp;AC$11&amp;"' : "&amp;AC123&amp;", '"&amp;AD$11&amp;"' : "&amp;AD123&amp;", '"&amp;AE$11&amp;"' : "&amp;AE123&amp;" }"</f>
        <v>{ 'productId' : '4019', 'productName' : 'Cinnammon Swirl and Raisen Bagel', 'quantity' : 21, 'price' : 6.45, 'subTotal' : 135.45 }</v>
      </c>
      <c r="AG123" s="48">
        <v>44874</v>
      </c>
      <c r="AH123" s="48" t="str">
        <f t="shared" si="130"/>
        <v>093600</v>
      </c>
      <c r="AI123" t="str">
        <f t="shared" si="131"/>
        <v>Delivered</v>
      </c>
      <c r="AJ123" s="48">
        <f t="shared" si="131"/>
        <v>44874</v>
      </c>
    </row>
    <row r="124" spans="1:39" hidden="1" x14ac:dyDescent="0.35">
      <c r="A124" t="s">
        <v>759</v>
      </c>
      <c r="B124" t="s">
        <v>732</v>
      </c>
      <c r="C124" t="s">
        <v>742</v>
      </c>
      <c r="D124" t="s">
        <v>680</v>
      </c>
      <c r="E124" t="s">
        <v>332</v>
      </c>
      <c r="F124" t="s">
        <v>416</v>
      </c>
      <c r="G124" t="s">
        <v>573</v>
      </c>
      <c r="H124" t="s">
        <v>440</v>
      </c>
      <c r="I124" t="s">
        <v>453</v>
      </c>
      <c r="J124" t="s">
        <v>474</v>
      </c>
      <c r="K124" t="s">
        <v>504</v>
      </c>
      <c r="L124" t="str">
        <f t="shared" si="127"/>
        <v>Octavia Boyd</v>
      </c>
      <c r="M124" t="str">
        <f>VLOOKUP($B124,Customers!$B:$J,4,0)</f>
        <v>2179 Côte Joyeuse</v>
      </c>
      <c r="N124" t="str">
        <f>VLOOKUP($B124,Customers!$B:$J,5,0)</f>
        <v>314</v>
      </c>
      <c r="O124" t="str">
        <f>VLOOKUP($B124,Customers!$B:$J,6,0)</f>
        <v>L'etape</v>
      </c>
      <c r="P124" t="str">
        <f>VLOOKUP($B124,Customers!$B:$J,7,0)</f>
        <v>Quebec</v>
      </c>
      <c r="Q124" t="str">
        <f>VLOOKUP($B124,Customers!$B:$J,8,0)</f>
        <v>H0H 0H0</v>
      </c>
      <c r="R124" t="str">
        <f>VLOOKUP($B124,Customers!$B:$J,9,0)</f>
        <v>418-859-5959</v>
      </c>
      <c r="S124" t="str">
        <f>VLOOKUP($B124,Customers!$B:$T,16,0)</f>
        <v>Credit</v>
      </c>
      <c r="T124" t="str">
        <f>VLOOKUP($B124,Customers!$B:$T,18,0)</f>
        <v>Mastercard</v>
      </c>
      <c r="U124" t="str">
        <f>VLOOKUP($B124,Customers!$B:$T,19,0)</f>
        <v>5941</v>
      </c>
      <c r="V124">
        <f ca="1">COUNTIF(C:C,C124)-1</f>
        <v>3</v>
      </c>
      <c r="W124">
        <f>SUM(X124:Z124)</f>
        <v>279.70000000000005</v>
      </c>
      <c r="X124">
        <f>SUM(X121:X123)</f>
        <v>243.10000000000002</v>
      </c>
      <c r="Y124">
        <f>SUM(Y121:Y123)</f>
        <v>31.61</v>
      </c>
      <c r="Z124">
        <v>4.99</v>
      </c>
      <c r="AF124" s="54"/>
      <c r="AG124" s="48">
        <f>AG123</f>
        <v>44874</v>
      </c>
      <c r="AH124" s="48"/>
      <c r="AI124" t="str">
        <f t="shared" ref="AI124:AJ124" si="132">AI123</f>
        <v>Delivered</v>
      </c>
      <c r="AJ124" s="48">
        <f t="shared" si="132"/>
        <v>44874</v>
      </c>
    </row>
    <row r="125" spans="1:39" s="58" customFormat="1" ht="43.5" hidden="1" x14ac:dyDescent="0.35">
      <c r="A125" s="60" t="s">
        <v>760</v>
      </c>
      <c r="B125" s="60" t="str">
        <f>IF(B124="","","'"&amp;B$11&amp;"' : '"&amp;B124&amp;"', ")</f>
        <v xml:space="preserve">'emailAddress' : 'octaviaboyd@gmail.com', </v>
      </c>
      <c r="C125" s="60" t="str">
        <f>IF(C124="","","'"&amp;C$11&amp;"' : '"&amp;C124&amp;"', ")</f>
        <v xml:space="preserve">'orderId' : '20221109093600', </v>
      </c>
      <c r="D125" s="60" t="str">
        <f>IF(D124="","","'"&amp;D$11&amp;"' : '"&amp;D124&amp;"', ")</f>
        <v xml:space="preserve">'employeeUserName' : 'lzapanta', </v>
      </c>
      <c r="E125" s="60" t="str">
        <f>IF(E124="","","'"&amp;$F$10&amp;"' : { '"&amp;E$11&amp;"' : '"&amp;E124&amp;"' , ")</f>
        <v xml:space="preserve">'deliveryAddress' : { 'dName' : 'Octavia Boyd' , </v>
      </c>
      <c r="F125" s="60" t="str">
        <f>IF(F124="","","'"&amp;F$11&amp;"' : '"&amp;F124&amp;"' , ")</f>
        <v xml:space="preserve">'dStreet' : '2179 Côte Joyeuse' , </v>
      </c>
      <c r="G125" s="60" t="str">
        <f>IF(G124="","","'"&amp;G$11&amp;"' : '"&amp;G124&amp;"' , ")</f>
        <v xml:space="preserve">'dUnit' : '314' , </v>
      </c>
      <c r="H125" s="60" t="str">
        <f>IF(H124="","","'"&amp;H$11&amp;"' : '"&amp;H124&amp;"' , ")</f>
        <v xml:space="preserve">'dCity' : 'L'etape' , </v>
      </c>
      <c r="I125" s="60" t="str">
        <f>IF(I124="","","'"&amp;I$11&amp;"' : '"&amp;I124&amp;"' , ")</f>
        <v xml:space="preserve">'dProvince' : 'Quebec' , </v>
      </c>
      <c r="J125" s="60" t="str">
        <f>IF(J124="","","'"&amp;J$11&amp;"' : '"&amp;J124&amp;"' , ")</f>
        <v xml:space="preserve">'dZip' : 'H0H 0H0' , </v>
      </c>
      <c r="K125" s="60" t="str">
        <f>IF(K124="","","'"&amp;K$11&amp;"' : '"&amp;K124&amp;"' } , ")</f>
        <v xml:space="preserve">'dMobileNumber' : '418-859-5959' } , </v>
      </c>
      <c r="L125" s="60" t="str">
        <f>IF(L124="","","'"&amp;$L$10&amp;"' : { '"&amp;L$11&amp;"' : '"&amp;L124&amp;"' , ")</f>
        <v xml:space="preserve">'billingsAddress' : { 'bName' : 'Octavia Boyd' , </v>
      </c>
      <c r="M125" s="60" t="str">
        <f>IF(M124="","","'"&amp;M$11&amp;"' : '"&amp;M124&amp;"' , ")</f>
        <v xml:space="preserve">'bStreet' : '2179 Côte Joyeuse' , </v>
      </c>
      <c r="N125" s="60" t="str">
        <f>IF(N124="","","'"&amp;N$11&amp;"' : '"&amp;N124&amp;"' , ")</f>
        <v xml:space="preserve">'bUnit' : '314' , </v>
      </c>
      <c r="O125" s="60" t="str">
        <f>IF(O124="","","'"&amp;O$11&amp;"' : '"&amp;O124&amp;"' , ")</f>
        <v xml:space="preserve">'bCity' : 'L'etape' , </v>
      </c>
      <c r="P125" s="60" t="str">
        <f>IF(P124="","","'"&amp;P$11&amp;"' : '"&amp;P124&amp;"' , ")</f>
        <v xml:space="preserve">'bProvince' : 'Quebec' , </v>
      </c>
      <c r="Q125" s="60" t="str">
        <f>IF(Q124="","","'"&amp;Q$11&amp;"' : '"&amp;Q124&amp;"' , ")</f>
        <v xml:space="preserve">'bZip' : 'H0H 0H0' , </v>
      </c>
      <c r="R125" s="60" t="str">
        <f>IF(R124="","","'"&amp;R$11&amp;"' : '"&amp;R124&amp;"' } , ")</f>
        <v xml:space="preserve">'bMobileNumber' : '418-859-5959' } , </v>
      </c>
      <c r="S125" s="60" t="str">
        <f>IF(S124="","","'"&amp;$S$10&amp;"' : { '"&amp;S$11&amp;"' : '"&amp;S124&amp;"' , ")</f>
        <v xml:space="preserve">'paymentMethod' : { 'paymentType' : 'Credit' , </v>
      </c>
      <c r="T125" s="60" t="str">
        <f>IF(T124="","","'"&amp;T$11&amp;"' : '"&amp;T124&amp;"' , ")</f>
        <v xml:space="preserve">'cardScheme' : 'Mastercard' , </v>
      </c>
      <c r="U125" s="60" t="str">
        <f>IF(U124="","","'"&amp;U$11&amp;"' : '"&amp;U124&amp;"' } , ")</f>
        <v xml:space="preserve">'cardLast4' : '5941' } , </v>
      </c>
      <c r="V125" s="60" t="str">
        <f ca="1">IF(V124="","","'"&amp;V$11&amp;"' : "&amp;V124&amp;", ")</f>
        <v xml:space="preserve">'totalQty' : 3, </v>
      </c>
      <c r="W125" s="60" t="str">
        <f>IF(W124="","","'"&amp;W$11&amp;"' : "&amp;W124&amp;", ")</f>
        <v xml:space="preserve">'orderTotal' : 279.7, </v>
      </c>
      <c r="X125" s="60" t="str">
        <f>IF(X124="","","'"&amp;X$11&amp;"' : "&amp;X124&amp;", ")</f>
        <v xml:space="preserve">'grossTotal' : 243.1, </v>
      </c>
      <c r="Y125" s="60" t="str">
        <f>IF(Y124="","","'"&amp;Y$11&amp;"' : "&amp;Y124&amp;", ")</f>
        <v xml:space="preserve">'tax' : 31.61, </v>
      </c>
      <c r="Z125" s="60" t="str">
        <f>IF(Z124="","","'"&amp;Z$11&amp;"' : "&amp;Z124&amp;", ")</f>
        <v xml:space="preserve">'deliveryFee' : 4.99, </v>
      </c>
      <c r="AA125" s="60"/>
      <c r="AB125" s="60"/>
      <c r="AC125" s="60"/>
      <c r="AD125" s="60"/>
      <c r="AE125" s="60"/>
      <c r="AF125" s="60" t="str">
        <f>$AA$10&amp;" : "&amp;_xlfn.CONCAT("[ ",AF121:AF123,"], ")</f>
        <v xml:space="preserve">orderDetails : [ { 'productId' : '4008', 'productName' : 'Vanilla Cinnamon Roll', 'quantity' : 15, 'price' : 6.45, 'subTotal' : 96.75 },{ 'productId' : '4011', 'productName' : 'Sesame Bagel', 'quantity' : 2, 'price' : 5.45, 'subTotal' : 10.9 },{ 'productId' : '4019', 'productName' : 'Cinnammon Swirl and Raisen Bagel', 'quantity' : 21, 'price' : 6.45, 'subTotal' : 135.45 }], </v>
      </c>
      <c r="AG125" s="60" t="str">
        <f>IF(AG124="","","'"&amp;AG$11&amp;"' : new Date('"&amp;TEXT(AG124,"yyyy-mm-dd")&amp;"'), ")</f>
        <v xml:space="preserve">'orderDate' : new Date('2022-11-09'), </v>
      </c>
      <c r="AH125" s="60"/>
      <c r="AI125" s="60" t="str">
        <f>IF(AI124="","","'"&amp;AI$11&amp;"' : '"&amp;AI124&amp;"', ")</f>
        <v xml:space="preserve">'orderStatus' : 'Delivered', </v>
      </c>
      <c r="AJ125" s="60" t="str">
        <f>IF(AJ124="","","'"&amp;AJ$11&amp;"' : new Date('"&amp;TEXT(AJ124,"yyyy-mm-dd")&amp;"') ")</f>
        <v xml:space="preserve">'statusDate' : new Date('2022-11-09') </v>
      </c>
      <c r="AK125" s="60"/>
      <c r="AL125" s="59"/>
      <c r="AM125" s="58" t="str">
        <f ca="1">_xlfn.CONCAT("{ ",B125:AJ125,"} ,")</f>
        <v>{ 'emailAddress' : 'octaviaboyd@gmail.com', 'orderId' : '20221109093600', 'employeeUserName' : 'lzapanta', 'deliveryAddress' : { 'dName' : 'Octavia Boyd' , 'dStreet' : '2179 Côte Joyeuse' , 'dUnit' : '314' , 'dCity' : 'L'etape' , 'dProvince' : 'Quebec' , 'dZip' : 'H0H 0H0' , 'dMobileNumber' : '418-859-5959' } , 'billingsAddress' : { 'bName' : 'Octavia Boyd' , 'bStreet' : '2179 Côte Joyeuse' , 'bUnit' : '314' , 'bCity' : 'L'etape' , 'bProvince' : 'Quebec' , 'bZip' : 'H0H 0H0' , 'bMobileNumber' : '418-859-5959' } , 'paymentMethod' : { 'paymentType' : 'Credit' , 'cardScheme' : 'Mastercard' , 'cardLast4' : '5941' } , 'totalQty' : 3, 'orderTotal' : 279.7, 'grossTotal' : 243.1, 'tax' : 31.61, 'deliveryFee' : 4.99, orderDetails : [ { 'productId' : '4008', 'productName' : 'Vanilla Cinnamon Roll', 'quantity' : 15, 'price' : 6.45, 'subTotal' : 96.75 },{ 'productId' : '4011', 'productName' : 'Sesame Bagel', 'quantity' : 2, 'price' : 5.45, 'subTotal' : 10.9 },{ 'productId' : '4019', 'productName' : 'Cinnammon Swirl and Raisen Bagel', 'quantity' : 21, 'price' : 6.45, 'subTotal' : 135.45 }], 'orderDate' : new Date('2022-11-09'), 'orderStatus' : 'Delivered', 'statusDate' : new Date('2022-11-09') } ,</v>
      </c>
    </row>
    <row r="126" spans="1:39" hidden="1" x14ac:dyDescent="0.35">
      <c r="B126" t="s">
        <v>686</v>
      </c>
      <c r="C126" s="49" t="s">
        <v>744</v>
      </c>
      <c r="D126" t="s">
        <v>681</v>
      </c>
      <c r="E126" t="s">
        <v>336</v>
      </c>
      <c r="F126" t="s">
        <v>400</v>
      </c>
      <c r="G126" t="s">
        <v>573</v>
      </c>
      <c r="H126" t="s">
        <v>429</v>
      </c>
      <c r="I126" t="s">
        <v>454</v>
      </c>
      <c r="J126" t="s">
        <v>463</v>
      </c>
      <c r="K126" t="s">
        <v>488</v>
      </c>
      <c r="L126" t="str">
        <f t="shared" ref="L126:L128" si="133">E126</f>
        <v>Trinity Gosling</v>
      </c>
      <c r="M126" t="str">
        <f>VLOOKUP($B126,Customers!$B:$J,4,0)</f>
        <v>3504 Rose Street</v>
      </c>
      <c r="O126" t="str">
        <f>VLOOKUP($B126,Customers!$B:$J,6,0)</f>
        <v>Regina</v>
      </c>
      <c r="P126" t="str">
        <f>VLOOKUP($B126,Customers!$B:$J,7,0)</f>
        <v>Saskatchewan</v>
      </c>
      <c r="Q126" t="str">
        <f>VLOOKUP($B126,Customers!$B:$J,8,0)</f>
        <v>S4P 3Y2</v>
      </c>
      <c r="R126" t="str">
        <f>VLOOKUP($B126,Customers!$B:$J,9,0)</f>
        <v>306-569-6952</v>
      </c>
      <c r="S126" t="str">
        <f>VLOOKUP($B126,Customers!$B:$T,16,0)</f>
        <v>Credit</v>
      </c>
      <c r="T126" t="str">
        <f>VLOOKUP($B126,Customers!$B:$T,18,0)</f>
        <v>Mastercard</v>
      </c>
      <c r="U126" t="str">
        <f>VLOOKUP($B126,Customers!$B:$T,19,0)</f>
        <v>5230</v>
      </c>
      <c r="V126">
        <f ca="1">COUNTIF(C:C,C126)-1</f>
        <v>2</v>
      </c>
      <c r="X126">
        <f t="shared" ref="X126:X127" si="134">AC126*AD126</f>
        <v>6.45</v>
      </c>
      <c r="Y126">
        <f t="shared" ref="Y126:Y127" si="135">ROUND(X126*13%,2)</f>
        <v>0.84</v>
      </c>
      <c r="AA126">
        <v>4008</v>
      </c>
      <c r="AB126" t="s">
        <v>72</v>
      </c>
      <c r="AC126">
        <v>1</v>
      </c>
      <c r="AD126">
        <v>6.45</v>
      </c>
      <c r="AE126">
        <f>AC126*AD126</f>
        <v>6.45</v>
      </c>
      <c r="AF126" s="54" t="str">
        <f>"{ '"&amp;AA$11&amp;"' : '"&amp;AA126&amp;"', '"&amp;AB$11&amp;"' : '"&amp;AB126&amp;"', '"&amp;AC$11&amp;"' : "&amp;AC126&amp;", '"&amp;AD$11&amp;"' : "&amp;AD126&amp;", '"&amp;AE$11&amp;"' : "&amp;AE126&amp;" },"</f>
        <v>{ 'productId' : '4008', 'productName' : 'Vanilla Cinnamon Roll', 'quantity' : 1, 'price' : 6.45, 'subTotal' : 6.45 },</v>
      </c>
      <c r="AG126" s="48">
        <v>44874</v>
      </c>
      <c r="AH126" s="50" t="s">
        <v>745</v>
      </c>
      <c r="AI126" t="s">
        <v>755</v>
      </c>
      <c r="AJ126" s="48">
        <f>AG126</f>
        <v>44874</v>
      </c>
      <c r="AK126" t="s">
        <v>723</v>
      </c>
    </row>
    <row r="127" spans="1:39" hidden="1" x14ac:dyDescent="0.35">
      <c r="B127" t="s">
        <v>686</v>
      </c>
      <c r="C127" t="s">
        <v>744</v>
      </c>
      <c r="D127" t="s">
        <v>681</v>
      </c>
      <c r="E127" t="s">
        <v>336</v>
      </c>
      <c r="F127" t="s">
        <v>400</v>
      </c>
      <c r="G127" t="s">
        <v>573</v>
      </c>
      <c r="H127" t="s">
        <v>429</v>
      </c>
      <c r="I127" t="s">
        <v>454</v>
      </c>
      <c r="J127" t="s">
        <v>463</v>
      </c>
      <c r="K127" t="s">
        <v>488</v>
      </c>
      <c r="L127" t="str">
        <f t="shared" si="133"/>
        <v>Trinity Gosling</v>
      </c>
      <c r="M127" t="str">
        <f>VLOOKUP($B127,Customers!$B:$J,4,0)</f>
        <v>3504 Rose Street</v>
      </c>
      <c r="O127" t="str">
        <f>VLOOKUP($B127,Customers!$B:$J,6,0)</f>
        <v>Regina</v>
      </c>
      <c r="P127" t="str">
        <f>VLOOKUP($B127,Customers!$B:$J,7,0)</f>
        <v>Saskatchewan</v>
      </c>
      <c r="Q127" t="str">
        <f>VLOOKUP($B127,Customers!$B:$J,8,0)</f>
        <v>S4P 3Y2</v>
      </c>
      <c r="R127" t="str">
        <f>VLOOKUP($B127,Customers!$B:$J,9,0)</f>
        <v>306-569-6952</v>
      </c>
      <c r="S127" t="str">
        <f>VLOOKUP($B127,Customers!$B:$T,16,0)</f>
        <v>Credit</v>
      </c>
      <c r="T127" t="str">
        <f>VLOOKUP($B127,Customers!$B:$T,18,0)</f>
        <v>Mastercard</v>
      </c>
      <c r="U127" t="str">
        <f>VLOOKUP($B127,Customers!$B:$T,19,0)</f>
        <v>5230</v>
      </c>
      <c r="V127">
        <f ca="1">COUNTIF(C:C,C127)-1</f>
        <v>2</v>
      </c>
      <c r="X127">
        <f t="shared" si="134"/>
        <v>77.87</v>
      </c>
      <c r="Y127">
        <f t="shared" si="135"/>
        <v>10.119999999999999</v>
      </c>
      <c r="AA127">
        <v>4005</v>
      </c>
      <c r="AB127" t="s">
        <v>69</v>
      </c>
      <c r="AC127">
        <v>13</v>
      </c>
      <c r="AD127">
        <v>5.99</v>
      </c>
      <c r="AE127">
        <f>AC127*AD127</f>
        <v>77.87</v>
      </c>
      <c r="AF127" s="54" t="str">
        <f>"{ '"&amp;AA$11&amp;"' : '"&amp;AA127&amp;"', '"&amp;AB$11&amp;"' : '"&amp;AB127&amp;"', '"&amp;AC$11&amp;"' : "&amp;AC127&amp;", '"&amp;AD$11&amp;"' : "&amp;AD127&amp;", '"&amp;AE$11&amp;"' : "&amp;AE127&amp;" }"</f>
        <v>{ 'productId' : '4005', 'productName' : 'Bear Claw', 'quantity' : 13, 'price' : 5.99, 'subTotal' : 77.87 }</v>
      </c>
      <c r="AG127" s="48">
        <v>44874</v>
      </c>
      <c r="AH127" s="48" t="str">
        <f>AH126</f>
        <v>095024</v>
      </c>
      <c r="AI127" t="str">
        <f t="shared" ref="AI127:AJ127" si="136">AI126</f>
        <v>Delivered</v>
      </c>
      <c r="AJ127" s="48">
        <f t="shared" si="136"/>
        <v>44874</v>
      </c>
    </row>
    <row r="128" spans="1:39" hidden="1" x14ac:dyDescent="0.35">
      <c r="A128" t="s">
        <v>759</v>
      </c>
      <c r="B128" t="s">
        <v>686</v>
      </c>
      <c r="C128" t="s">
        <v>744</v>
      </c>
      <c r="D128" t="s">
        <v>681</v>
      </c>
      <c r="E128" t="s">
        <v>336</v>
      </c>
      <c r="F128" t="s">
        <v>400</v>
      </c>
      <c r="G128" t="s">
        <v>573</v>
      </c>
      <c r="H128" t="s">
        <v>429</v>
      </c>
      <c r="I128" t="s">
        <v>454</v>
      </c>
      <c r="J128" t="s">
        <v>463</v>
      </c>
      <c r="K128" t="s">
        <v>488</v>
      </c>
      <c r="L128" t="str">
        <f t="shared" si="133"/>
        <v>Trinity Gosling</v>
      </c>
      <c r="M128" t="str">
        <f>VLOOKUP($B128,Customers!$B:$J,4,0)</f>
        <v>3504 Rose Street</v>
      </c>
      <c r="O128" t="str">
        <f>VLOOKUP($B128,Customers!$B:$J,6,0)</f>
        <v>Regina</v>
      </c>
      <c r="P128" t="str">
        <f>VLOOKUP($B128,Customers!$B:$J,7,0)</f>
        <v>Saskatchewan</v>
      </c>
      <c r="Q128" t="str">
        <f>VLOOKUP($B128,Customers!$B:$J,8,0)</f>
        <v>S4P 3Y2</v>
      </c>
      <c r="R128" t="str">
        <f>VLOOKUP($B128,Customers!$B:$J,9,0)</f>
        <v>306-569-6952</v>
      </c>
      <c r="S128" t="str">
        <f>VLOOKUP($B128,Customers!$B:$T,16,0)</f>
        <v>Credit</v>
      </c>
      <c r="T128" t="str">
        <f>VLOOKUP($B128,Customers!$B:$T,18,0)</f>
        <v>Mastercard</v>
      </c>
      <c r="U128" t="str">
        <f>VLOOKUP($B128,Customers!$B:$T,19,0)</f>
        <v>5230</v>
      </c>
      <c r="V128">
        <f ca="1">COUNTIF(C:C,C128)-1</f>
        <v>2</v>
      </c>
      <c r="W128">
        <f>SUM(X128:Z128)</f>
        <v>100.27</v>
      </c>
      <c r="X128">
        <f>SUM(X126:X127)</f>
        <v>84.320000000000007</v>
      </c>
      <c r="Y128">
        <f>SUM(Y126:Y127)</f>
        <v>10.959999999999999</v>
      </c>
      <c r="Z128">
        <v>4.99</v>
      </c>
      <c r="AF128" s="54"/>
      <c r="AG128" s="48">
        <f>AG127</f>
        <v>44874</v>
      </c>
      <c r="AH128" s="48"/>
      <c r="AI128" t="str">
        <f t="shared" ref="AI128:AJ128" si="137">AI127</f>
        <v>Delivered</v>
      </c>
      <c r="AJ128" s="48">
        <f t="shared" si="137"/>
        <v>44874</v>
      </c>
    </row>
    <row r="129" spans="1:39" s="58" customFormat="1" ht="43.5" hidden="1" x14ac:dyDescent="0.35">
      <c r="A129" s="60" t="s">
        <v>760</v>
      </c>
      <c r="B129" s="60" t="str">
        <f>IF(B128="","","'"&amp;B$11&amp;"' : '"&amp;B128&amp;"', ")</f>
        <v xml:space="preserve">'emailAddress' : 'trinity_gosling@gmail.com', </v>
      </c>
      <c r="C129" s="60" t="str">
        <f>IF(C128="","","'"&amp;C$11&amp;"' : '"&amp;C128&amp;"', ")</f>
        <v xml:space="preserve">'orderId' : '20221109095024', </v>
      </c>
      <c r="D129" s="60" t="str">
        <f>IF(D128="","","'"&amp;D$11&amp;"' : '"&amp;D128&amp;"', ")</f>
        <v xml:space="preserve">'employeeUserName' : 'jbartolata', </v>
      </c>
      <c r="E129" s="60" t="str">
        <f>IF(E128="","","'"&amp;$F$10&amp;"' : { '"&amp;E$11&amp;"' : '"&amp;E128&amp;"' , ")</f>
        <v xml:space="preserve">'deliveryAddress' : { 'dName' : 'Trinity Gosling' , </v>
      </c>
      <c r="F129" s="60" t="str">
        <f>IF(F128="","","'"&amp;F$11&amp;"' : '"&amp;F128&amp;"' , ")</f>
        <v xml:space="preserve">'dStreet' : '3504 Rose Street' , </v>
      </c>
      <c r="G129" s="60" t="str">
        <f>IF(G128="","","'"&amp;G$11&amp;"' : '"&amp;G128&amp;"' , ")</f>
        <v xml:space="preserve">'dUnit' : '314' , </v>
      </c>
      <c r="H129" s="60" t="str">
        <f>IF(H128="","","'"&amp;H$11&amp;"' : '"&amp;H128&amp;"' , ")</f>
        <v xml:space="preserve">'dCity' : 'Regina' , </v>
      </c>
      <c r="I129" s="60" t="str">
        <f>IF(I128="","","'"&amp;I$11&amp;"' : '"&amp;I128&amp;"' , ")</f>
        <v xml:space="preserve">'dProvince' : 'Saskatchewan' , </v>
      </c>
      <c r="J129" s="60" t="str">
        <f>IF(J128="","","'"&amp;J$11&amp;"' : '"&amp;J128&amp;"' , ")</f>
        <v xml:space="preserve">'dZip' : 'S4P 3Y2' , </v>
      </c>
      <c r="K129" s="60" t="str">
        <f>IF(K128="","","'"&amp;K$11&amp;"' : '"&amp;K128&amp;"' } , ")</f>
        <v xml:space="preserve">'dMobileNumber' : '306-569-6952' } , </v>
      </c>
      <c r="L129" s="60" t="str">
        <f>IF(L128="","","'"&amp;$L$10&amp;"' : { '"&amp;L$11&amp;"' : '"&amp;L128&amp;"' , ")</f>
        <v xml:space="preserve">'billingsAddress' : { 'bName' : 'Trinity Gosling' , </v>
      </c>
      <c r="M129" s="60" t="str">
        <f>IF(M128="","","'"&amp;M$11&amp;"' : '"&amp;M128&amp;"' , ")</f>
        <v xml:space="preserve">'bStreet' : '3504 Rose Street' , </v>
      </c>
      <c r="N129" s="60" t="str">
        <f>IF(N128="","","'"&amp;N$11&amp;"' : '"&amp;N128&amp;"' , ")</f>
        <v/>
      </c>
      <c r="O129" s="60" t="str">
        <f>IF(O128="","","'"&amp;O$11&amp;"' : '"&amp;O128&amp;"' , ")</f>
        <v xml:space="preserve">'bCity' : 'Regina' , </v>
      </c>
      <c r="P129" s="60" t="str">
        <f>IF(P128="","","'"&amp;P$11&amp;"' : '"&amp;P128&amp;"' , ")</f>
        <v xml:space="preserve">'bProvince' : 'Saskatchewan' , </v>
      </c>
      <c r="Q129" s="60" t="str">
        <f>IF(Q128="","","'"&amp;Q$11&amp;"' : '"&amp;Q128&amp;"' , ")</f>
        <v xml:space="preserve">'bZip' : 'S4P 3Y2' , </v>
      </c>
      <c r="R129" s="60" t="str">
        <f>IF(R128="","","'"&amp;R$11&amp;"' : '"&amp;R128&amp;"' } , ")</f>
        <v xml:space="preserve">'bMobileNumber' : '306-569-6952' } , </v>
      </c>
      <c r="S129" s="60" t="str">
        <f>IF(S128="","","'"&amp;$S$10&amp;"' : { '"&amp;S$11&amp;"' : '"&amp;S128&amp;"' , ")</f>
        <v xml:space="preserve">'paymentMethod' : { 'paymentType' : 'Credit' , </v>
      </c>
      <c r="T129" s="60" t="str">
        <f>IF(T128="","","'"&amp;T$11&amp;"' : '"&amp;T128&amp;"' , ")</f>
        <v xml:space="preserve">'cardScheme' : 'Mastercard' , </v>
      </c>
      <c r="U129" s="60" t="str">
        <f>IF(U128="","","'"&amp;U$11&amp;"' : '"&amp;U128&amp;"' } , ")</f>
        <v xml:space="preserve">'cardLast4' : '5230' } , </v>
      </c>
      <c r="V129" s="60" t="str">
        <f ca="1">IF(V128="","","'"&amp;V$11&amp;"' : "&amp;V128&amp;", ")</f>
        <v xml:space="preserve">'totalQty' : 2, </v>
      </c>
      <c r="W129" s="60" t="str">
        <f>IF(W128="","","'"&amp;W$11&amp;"' : "&amp;W128&amp;", ")</f>
        <v xml:space="preserve">'orderTotal' : 100.27, </v>
      </c>
      <c r="X129" s="60" t="str">
        <f>IF(X128="","","'"&amp;X$11&amp;"' : "&amp;X128&amp;", ")</f>
        <v xml:space="preserve">'grossTotal' : 84.32, </v>
      </c>
      <c r="Y129" s="60" t="str">
        <f>IF(Y128="","","'"&amp;Y$11&amp;"' : "&amp;Y128&amp;", ")</f>
        <v xml:space="preserve">'tax' : 10.96, </v>
      </c>
      <c r="Z129" s="60" t="str">
        <f>IF(Z128="","","'"&amp;Z$11&amp;"' : "&amp;Z128&amp;", ")</f>
        <v xml:space="preserve">'deliveryFee' : 4.99, </v>
      </c>
      <c r="AA129" s="60"/>
      <c r="AB129" s="60"/>
      <c r="AC129" s="60"/>
      <c r="AD129" s="60"/>
      <c r="AE129" s="60"/>
      <c r="AF129" s="60" t="str">
        <f>$AA$10&amp;" : "&amp;_xlfn.CONCAT("[ ",AF126:AF127,"], ")</f>
        <v xml:space="preserve">orderDetails : [ { 'productId' : '4008', 'productName' : 'Vanilla Cinnamon Roll', 'quantity' : 1, 'price' : 6.45, 'subTotal' : 6.45 },{ 'productId' : '4005', 'productName' : 'Bear Claw', 'quantity' : 13, 'price' : 5.99, 'subTotal' : 77.87 }], </v>
      </c>
      <c r="AG129" s="60" t="str">
        <f>IF(AG128="","","'"&amp;AG$11&amp;"' : new Date('"&amp;TEXT(AG128,"yyyy-mm-dd")&amp;"'), ")</f>
        <v xml:space="preserve">'orderDate' : new Date('2022-11-09'), </v>
      </c>
      <c r="AH129" s="60"/>
      <c r="AI129" s="60" t="str">
        <f>IF(AI128="","","'"&amp;AI$11&amp;"' : '"&amp;AI128&amp;"', ")</f>
        <v xml:space="preserve">'orderStatus' : 'Delivered', </v>
      </c>
      <c r="AJ129" s="60" t="str">
        <f>IF(AJ128="","","'"&amp;AJ$11&amp;"' : new Date('"&amp;TEXT(AJ128,"yyyy-mm-dd")&amp;"') ")</f>
        <v xml:space="preserve">'statusDate' : new Date('2022-11-09') </v>
      </c>
      <c r="AK129" s="60"/>
      <c r="AL129" s="59"/>
      <c r="AM129" s="58" t="str">
        <f ca="1">_xlfn.CONCAT("{ ",B129:AJ129,"} ,")</f>
        <v>{ 'emailAddress' : 'trinity_gosling@gmail.com', 'orderId' : '20221109095024', 'employeeUserName' : 'jbartolata', 'deliveryAddress' : { 'dName' : 'Trinity Gosling' , 'dStreet' : '3504 Rose Street' , 'dUnit' : '314' , 'dCity' : 'Regina' , 'dProvince' : 'Saskatchewan' , 'dZip' : 'S4P 3Y2' , 'dMobileNumber' : '306-569-6952' } , 'billingsAddress' : { 'bName' : 'Trinity Gosling' , 'bStreet' : '3504 Rose Street' , 'bCity' : 'Regina' , 'bProvince' : 'Saskatchewan' , 'bZip' : 'S4P 3Y2' , 'bMobileNumber' : '306-569-6952' } , 'paymentMethod' : { 'paymentType' : 'Credit' , 'cardScheme' : 'Mastercard' , 'cardLast4' : '5230' } , 'totalQty' : 2, 'orderTotal' : 100.27, 'grossTotal' : 84.32, 'tax' : 10.96, 'deliveryFee' : 4.99, orderDetails : [ { 'productId' : '4008', 'productName' : 'Vanilla Cinnamon Roll', 'quantity' : 1, 'price' : 6.45, 'subTotal' : 6.45 },{ 'productId' : '4005', 'productName' : 'Bear Claw', 'quantity' : 13, 'price' : 5.99, 'subTotal' : 77.87 }], 'orderDate' : new Date('2022-11-09'), 'orderStatus' : 'Delivered', 'statusDate' : new Date('2022-11-09') } ,</v>
      </c>
    </row>
    <row r="130" spans="1:39" hidden="1" x14ac:dyDescent="0.35">
      <c r="B130" t="s">
        <v>689</v>
      </c>
      <c r="C130" s="49" t="s">
        <v>746</v>
      </c>
      <c r="D130" t="s">
        <v>681</v>
      </c>
      <c r="E130" t="s">
        <v>325</v>
      </c>
      <c r="F130" t="s">
        <v>587</v>
      </c>
      <c r="G130" t="s">
        <v>606</v>
      </c>
      <c r="H130" t="s">
        <v>432</v>
      </c>
      <c r="I130" t="s">
        <v>26</v>
      </c>
      <c r="J130" t="s">
        <v>616</v>
      </c>
      <c r="K130" t="s">
        <v>628</v>
      </c>
      <c r="L130" t="str">
        <f t="shared" ref="L130:L133" si="138">E130</f>
        <v>Penelope Piers</v>
      </c>
      <c r="M130" t="str">
        <f>VLOOKUP($B130,Customers!$B:$J,4,0)</f>
        <v>1228 A Avenue</v>
      </c>
      <c r="O130" t="str">
        <f>VLOOKUP($B130,Customers!$B:$J,6,0)</f>
        <v>Edmonton</v>
      </c>
      <c r="P130" t="str">
        <f>VLOOKUP($B130,Customers!$B:$J,7,0)</f>
        <v>Alberta</v>
      </c>
      <c r="Q130" t="str">
        <f>VLOOKUP($B130,Customers!$B:$J,8,0)</f>
        <v>T5J 0K7</v>
      </c>
      <c r="R130" t="str">
        <f>VLOOKUP($B130,Customers!$B:$J,9,0)</f>
        <v>780-917-8428</v>
      </c>
      <c r="S130" t="str">
        <f>VLOOKUP($B130,Customers!$B:$T,16,0)</f>
        <v>Debit</v>
      </c>
      <c r="T130" t="str">
        <f>VLOOKUP($B130,Customers!$B:$T,18,0)</f>
        <v>Visa</v>
      </c>
      <c r="U130" t="str">
        <f>VLOOKUP($B130,Customers!$B:$T,19,0)</f>
        <v>2990</v>
      </c>
      <c r="V130">
        <f ca="1">COUNTIF(C:C,C130)-1</f>
        <v>3</v>
      </c>
      <c r="X130">
        <f t="shared" ref="X130:X132" si="139">AC130*AD130</f>
        <v>162.96</v>
      </c>
      <c r="Y130">
        <f t="shared" ref="Y130:Y132" si="140">ROUND(X130*13%,2)</f>
        <v>21.18</v>
      </c>
      <c r="AA130">
        <v>4012</v>
      </c>
      <c r="AB130" t="s">
        <v>76</v>
      </c>
      <c r="AC130">
        <v>24</v>
      </c>
      <c r="AD130">
        <v>6.79</v>
      </c>
      <c r="AE130">
        <f>AC130*AD130</f>
        <v>162.96</v>
      </c>
      <c r="AF130" s="54" t="str">
        <f>"{ '"&amp;AA$11&amp;"' : '"&amp;AA130&amp;"', '"&amp;AB$11&amp;"' : '"&amp;AB130&amp;"', '"&amp;AC$11&amp;"' : "&amp;AC130&amp;", '"&amp;AD$11&amp;"' : "&amp;AD130&amp;", '"&amp;AE$11&amp;"' : "&amp;AE130&amp;" },"</f>
        <v>{ 'productId' : '4012', 'productName' : 'Empanada', 'quantity' : 24, 'price' : 6.79, 'subTotal' : 162.96 },</v>
      </c>
      <c r="AG130" s="48">
        <v>44875</v>
      </c>
      <c r="AH130" s="50" t="s">
        <v>688</v>
      </c>
      <c r="AI130" t="s">
        <v>755</v>
      </c>
      <c r="AJ130" s="48">
        <f>AG130</f>
        <v>44875</v>
      </c>
      <c r="AK130" t="s">
        <v>747</v>
      </c>
    </row>
    <row r="131" spans="1:39" hidden="1" x14ac:dyDescent="0.35">
      <c r="B131" t="s">
        <v>689</v>
      </c>
      <c r="C131" t="s">
        <v>746</v>
      </c>
      <c r="D131" t="s">
        <v>681</v>
      </c>
      <c r="E131" t="s">
        <v>325</v>
      </c>
      <c r="F131" t="s">
        <v>587</v>
      </c>
      <c r="G131" t="s">
        <v>606</v>
      </c>
      <c r="H131" t="s">
        <v>432</v>
      </c>
      <c r="I131" t="s">
        <v>26</v>
      </c>
      <c r="J131" t="s">
        <v>616</v>
      </c>
      <c r="K131" t="s">
        <v>628</v>
      </c>
      <c r="L131" t="str">
        <f t="shared" si="138"/>
        <v>Penelope Piers</v>
      </c>
      <c r="M131" t="str">
        <f>VLOOKUP($B131,Customers!$B:$J,4,0)</f>
        <v>1228 A Avenue</v>
      </c>
      <c r="O131" t="str">
        <f>VLOOKUP($B131,Customers!$B:$J,6,0)</f>
        <v>Edmonton</v>
      </c>
      <c r="P131" t="str">
        <f>VLOOKUP($B131,Customers!$B:$J,7,0)</f>
        <v>Alberta</v>
      </c>
      <c r="Q131" t="str">
        <f>VLOOKUP($B131,Customers!$B:$J,8,0)</f>
        <v>T5J 0K7</v>
      </c>
      <c r="R131" t="str">
        <f>VLOOKUP($B131,Customers!$B:$J,9,0)</f>
        <v>780-917-8428</v>
      </c>
      <c r="S131" t="str">
        <f>VLOOKUP($B131,Customers!$B:$T,16,0)</f>
        <v>Debit</v>
      </c>
      <c r="T131" t="str">
        <f>VLOOKUP($B131,Customers!$B:$T,18,0)</f>
        <v>Visa</v>
      </c>
      <c r="U131" t="str">
        <f>VLOOKUP($B131,Customers!$B:$T,19,0)</f>
        <v>2990</v>
      </c>
      <c r="V131">
        <f ca="1">COUNTIF(C:C,C131)-1</f>
        <v>3</v>
      </c>
      <c r="X131">
        <f t="shared" si="139"/>
        <v>84.83</v>
      </c>
      <c r="Y131">
        <f t="shared" si="140"/>
        <v>11.03</v>
      </c>
      <c r="AA131">
        <v>5002</v>
      </c>
      <c r="AB131" t="s">
        <v>92</v>
      </c>
      <c r="AC131">
        <v>17</v>
      </c>
      <c r="AD131">
        <v>4.99</v>
      </c>
      <c r="AE131">
        <f>AC131*AD131</f>
        <v>84.83</v>
      </c>
      <c r="AF131" s="54" t="str">
        <f>"{ '"&amp;AA$11&amp;"' : '"&amp;AA131&amp;"', '"&amp;AB$11&amp;"' : '"&amp;AB131&amp;"', '"&amp;AC$11&amp;"' : "&amp;AC131&amp;", '"&amp;AD$11&amp;"' : "&amp;AD131&amp;", '"&amp;AE$11&amp;"' : "&amp;AE131&amp;" },"</f>
        <v>{ 'productId' : '5002', 'productName' : 'Greek Yougurt with mixed Berries', 'quantity' : 17, 'price' : 4.99, 'subTotal' : 84.83 },</v>
      </c>
      <c r="AG131" s="48">
        <v>44875</v>
      </c>
      <c r="AH131" s="48" t="str">
        <f t="shared" ref="AH131:AH132" si="141">AH130</f>
        <v>104800</v>
      </c>
      <c r="AI131" t="str">
        <f t="shared" ref="AI131:AJ132" si="142">AI130</f>
        <v>Delivered</v>
      </c>
      <c r="AJ131" s="48">
        <f t="shared" si="142"/>
        <v>44875</v>
      </c>
    </row>
    <row r="132" spans="1:39" hidden="1" x14ac:dyDescent="0.35">
      <c r="B132" t="s">
        <v>689</v>
      </c>
      <c r="C132" t="s">
        <v>746</v>
      </c>
      <c r="D132" t="s">
        <v>681</v>
      </c>
      <c r="E132" t="s">
        <v>325</v>
      </c>
      <c r="F132" t="s">
        <v>587</v>
      </c>
      <c r="G132" t="s">
        <v>606</v>
      </c>
      <c r="H132" t="s">
        <v>432</v>
      </c>
      <c r="I132" t="s">
        <v>26</v>
      </c>
      <c r="J132" t="s">
        <v>616</v>
      </c>
      <c r="K132" t="s">
        <v>628</v>
      </c>
      <c r="L132" t="str">
        <f t="shared" si="138"/>
        <v>Penelope Piers</v>
      </c>
      <c r="M132" t="str">
        <f>VLOOKUP($B132,Customers!$B:$J,4,0)</f>
        <v>1228 A Avenue</v>
      </c>
      <c r="O132" t="str">
        <f>VLOOKUP($B132,Customers!$B:$J,6,0)</f>
        <v>Edmonton</v>
      </c>
      <c r="P132" t="str">
        <f>VLOOKUP($B132,Customers!$B:$J,7,0)</f>
        <v>Alberta</v>
      </c>
      <c r="Q132" t="str">
        <f>VLOOKUP($B132,Customers!$B:$J,8,0)</f>
        <v>T5J 0K7</v>
      </c>
      <c r="R132" t="str">
        <f>VLOOKUP($B132,Customers!$B:$J,9,0)</f>
        <v>780-917-8428</v>
      </c>
      <c r="S132" t="str">
        <f>VLOOKUP($B132,Customers!$B:$T,16,0)</f>
        <v>Debit</v>
      </c>
      <c r="T132" t="str">
        <f>VLOOKUP($B132,Customers!$B:$T,18,0)</f>
        <v>Visa</v>
      </c>
      <c r="U132" t="str">
        <f>VLOOKUP($B132,Customers!$B:$T,19,0)</f>
        <v>2990</v>
      </c>
      <c r="V132">
        <f ca="1">COUNTIF(C:C,C132)-1</f>
        <v>3</v>
      </c>
      <c r="X132">
        <f t="shared" si="139"/>
        <v>94.5</v>
      </c>
      <c r="Y132">
        <f t="shared" si="140"/>
        <v>12.29</v>
      </c>
      <c r="AA132">
        <v>4020</v>
      </c>
      <c r="AB132" t="s">
        <v>87</v>
      </c>
      <c r="AC132">
        <v>14</v>
      </c>
      <c r="AD132">
        <v>6.75</v>
      </c>
      <c r="AE132">
        <f>AC132*AD132</f>
        <v>94.5</v>
      </c>
      <c r="AF132" s="54" t="str">
        <f>"{ '"&amp;AA$11&amp;"' : '"&amp;AA132&amp;"', '"&amp;AB$11&amp;"' : '"&amp;AB132&amp;"', '"&amp;AC$11&amp;"' : "&amp;AC132&amp;", '"&amp;AD$11&amp;"' : "&amp;AD132&amp;", '"&amp;AE$11&amp;"' : "&amp;AE132&amp;" }"</f>
        <v>{ 'productId' : '4020', 'productName' : 'Cherry Vanilla Bagel', 'quantity' : 14, 'price' : 6.75, 'subTotal' : 94.5 }</v>
      </c>
      <c r="AG132" s="48">
        <v>44875</v>
      </c>
      <c r="AH132" s="48" t="str">
        <f t="shared" si="141"/>
        <v>104800</v>
      </c>
      <c r="AI132" t="str">
        <f t="shared" si="142"/>
        <v>Delivered</v>
      </c>
      <c r="AJ132" s="48">
        <f t="shared" si="142"/>
        <v>44875</v>
      </c>
    </row>
    <row r="133" spans="1:39" hidden="1" x14ac:dyDescent="0.35">
      <c r="A133" t="s">
        <v>759</v>
      </c>
      <c r="B133" t="s">
        <v>689</v>
      </c>
      <c r="C133" t="s">
        <v>746</v>
      </c>
      <c r="D133" t="s">
        <v>681</v>
      </c>
      <c r="E133" t="s">
        <v>325</v>
      </c>
      <c r="F133" t="s">
        <v>587</v>
      </c>
      <c r="G133" t="s">
        <v>606</v>
      </c>
      <c r="H133" t="s">
        <v>432</v>
      </c>
      <c r="I133" t="s">
        <v>26</v>
      </c>
      <c r="J133" t="s">
        <v>616</v>
      </c>
      <c r="K133" t="s">
        <v>628</v>
      </c>
      <c r="L133" t="str">
        <f t="shared" si="138"/>
        <v>Penelope Piers</v>
      </c>
      <c r="M133" t="str">
        <f>VLOOKUP($B133,Customers!$B:$J,4,0)</f>
        <v>1228 A Avenue</v>
      </c>
      <c r="O133" t="str">
        <f>VLOOKUP($B133,Customers!$B:$J,6,0)</f>
        <v>Edmonton</v>
      </c>
      <c r="P133" t="str">
        <f>VLOOKUP($B133,Customers!$B:$J,7,0)</f>
        <v>Alberta</v>
      </c>
      <c r="Q133" t="str">
        <f>VLOOKUP($B133,Customers!$B:$J,8,0)</f>
        <v>T5J 0K7</v>
      </c>
      <c r="R133" t="str">
        <f>VLOOKUP($B133,Customers!$B:$J,9,0)</f>
        <v>780-917-8428</v>
      </c>
      <c r="S133" t="str">
        <f>VLOOKUP($B133,Customers!$B:$T,16,0)</f>
        <v>Debit</v>
      </c>
      <c r="T133" t="str">
        <f>VLOOKUP($B133,Customers!$B:$T,18,0)</f>
        <v>Visa</v>
      </c>
      <c r="U133" t="str">
        <f>VLOOKUP($B133,Customers!$B:$T,19,0)</f>
        <v>2990</v>
      </c>
      <c r="V133">
        <f ca="1">COUNTIF(C:C,C133)-1</f>
        <v>3</v>
      </c>
      <c r="W133">
        <f>SUM(X133:Z133)</f>
        <v>391.78000000000003</v>
      </c>
      <c r="X133">
        <f>SUM(X130:X132)</f>
        <v>342.29</v>
      </c>
      <c r="Y133">
        <f>SUM(Y130:Y132)</f>
        <v>44.5</v>
      </c>
      <c r="Z133">
        <v>4.99</v>
      </c>
      <c r="AF133" s="54"/>
      <c r="AG133" s="48">
        <f>AG132</f>
        <v>44875</v>
      </c>
      <c r="AH133" s="48"/>
      <c r="AI133" t="str">
        <f t="shared" ref="AI133:AJ133" si="143">AI132</f>
        <v>Delivered</v>
      </c>
      <c r="AJ133" s="48">
        <f t="shared" si="143"/>
        <v>44875</v>
      </c>
    </row>
    <row r="134" spans="1:39" s="58" customFormat="1" ht="43.5" hidden="1" x14ac:dyDescent="0.35">
      <c r="A134" s="60" t="s">
        <v>760</v>
      </c>
      <c r="B134" s="60" t="str">
        <f>IF(B133="","","'"&amp;B$11&amp;"' : '"&amp;B133&amp;"', ")</f>
        <v xml:space="preserve">'emailAddress' : 'penelope_piers@gmail.com', </v>
      </c>
      <c r="C134" s="60" t="str">
        <f>IF(C133="","","'"&amp;C$11&amp;"' : '"&amp;C133&amp;"', ")</f>
        <v xml:space="preserve">'orderId' : '20221110104800', </v>
      </c>
      <c r="D134" s="60" t="str">
        <f>IF(D133="","","'"&amp;D$11&amp;"' : '"&amp;D133&amp;"', ")</f>
        <v xml:space="preserve">'employeeUserName' : 'jbartolata', </v>
      </c>
      <c r="E134" s="60" t="str">
        <f>IF(E133="","","'"&amp;$F$10&amp;"' : { '"&amp;E$11&amp;"' : '"&amp;E133&amp;"' , ")</f>
        <v xml:space="preserve">'deliveryAddress' : { 'dName' : 'Penelope Piers' , </v>
      </c>
      <c r="F134" s="60" t="str">
        <f>IF(F133="","","'"&amp;F$11&amp;"' : '"&amp;F133&amp;"' , ")</f>
        <v xml:space="preserve">'dStreet' : '3050 Speers Road' , </v>
      </c>
      <c r="G134" s="60" t="str">
        <f>IF(G133="","","'"&amp;G$11&amp;"' : '"&amp;G133&amp;"' , ")</f>
        <v xml:space="preserve">'dUnit' : '86' , </v>
      </c>
      <c r="H134" s="60" t="str">
        <f>IF(H133="","","'"&amp;H$11&amp;"' : '"&amp;H133&amp;"' , ")</f>
        <v xml:space="preserve">'dCity' : 'Oakville' , </v>
      </c>
      <c r="I134" s="60" t="str">
        <f>IF(I133="","","'"&amp;I$11&amp;"' : '"&amp;I133&amp;"' , ")</f>
        <v xml:space="preserve">'dProvince' : 'Ontario' , </v>
      </c>
      <c r="J134" s="60" t="str">
        <f>IF(J133="","","'"&amp;J$11&amp;"' : '"&amp;J133&amp;"' , ")</f>
        <v xml:space="preserve">'dZip' : 'L6H 3H5' , </v>
      </c>
      <c r="K134" s="60" t="str">
        <f>IF(K133="","","'"&amp;K$11&amp;"' : '"&amp;K133&amp;"' } , ")</f>
        <v xml:space="preserve">'dMobileNumber' : '905-467-2429' } , </v>
      </c>
      <c r="L134" s="60" t="str">
        <f>IF(L133="","","'"&amp;$L$10&amp;"' : { '"&amp;L$11&amp;"' : '"&amp;L133&amp;"' , ")</f>
        <v xml:space="preserve">'billingsAddress' : { 'bName' : 'Penelope Piers' , </v>
      </c>
      <c r="M134" s="60" t="str">
        <f>IF(M133="","","'"&amp;M$11&amp;"' : '"&amp;M133&amp;"' , ")</f>
        <v xml:space="preserve">'bStreet' : '1228 A Avenue' , </v>
      </c>
      <c r="N134" s="60" t="str">
        <f>IF(N133="","","'"&amp;N$11&amp;"' : '"&amp;N133&amp;"' , ")</f>
        <v/>
      </c>
      <c r="O134" s="60" t="str">
        <f>IF(O133="","","'"&amp;O$11&amp;"' : '"&amp;O133&amp;"' , ")</f>
        <v xml:space="preserve">'bCity' : 'Edmonton' , </v>
      </c>
      <c r="P134" s="60" t="str">
        <f>IF(P133="","","'"&amp;P$11&amp;"' : '"&amp;P133&amp;"' , ")</f>
        <v xml:space="preserve">'bProvince' : 'Alberta' , </v>
      </c>
      <c r="Q134" s="60" t="str">
        <f>IF(Q133="","","'"&amp;Q$11&amp;"' : '"&amp;Q133&amp;"' , ")</f>
        <v xml:space="preserve">'bZip' : 'T5J 0K7' , </v>
      </c>
      <c r="R134" s="60" t="str">
        <f>IF(R133="","","'"&amp;R$11&amp;"' : '"&amp;R133&amp;"' } , ")</f>
        <v xml:space="preserve">'bMobileNumber' : '780-917-8428' } , </v>
      </c>
      <c r="S134" s="60" t="str">
        <f>IF(S133="","","'"&amp;$S$10&amp;"' : { '"&amp;S$11&amp;"' : '"&amp;S133&amp;"' , ")</f>
        <v xml:space="preserve">'paymentMethod' : { 'paymentType' : 'Debit' , </v>
      </c>
      <c r="T134" s="60" t="str">
        <f>IF(T133="","","'"&amp;T$11&amp;"' : '"&amp;T133&amp;"' , ")</f>
        <v xml:space="preserve">'cardScheme' : 'Visa' , </v>
      </c>
      <c r="U134" s="60" t="str">
        <f>IF(U133="","","'"&amp;U$11&amp;"' : '"&amp;U133&amp;"' } , ")</f>
        <v xml:space="preserve">'cardLast4' : '2990' } , </v>
      </c>
      <c r="V134" s="60" t="str">
        <f ca="1">IF(V133="","","'"&amp;V$11&amp;"' : "&amp;V133&amp;", ")</f>
        <v xml:space="preserve">'totalQty' : 3, </v>
      </c>
      <c r="W134" s="60" t="str">
        <f>IF(W133="","","'"&amp;W$11&amp;"' : "&amp;W133&amp;", ")</f>
        <v xml:space="preserve">'orderTotal' : 391.78, </v>
      </c>
      <c r="X134" s="60" t="str">
        <f>IF(X133="","","'"&amp;X$11&amp;"' : "&amp;X133&amp;", ")</f>
        <v xml:space="preserve">'grossTotal' : 342.29, </v>
      </c>
      <c r="Y134" s="60" t="str">
        <f>IF(Y133="","","'"&amp;Y$11&amp;"' : "&amp;Y133&amp;", ")</f>
        <v xml:space="preserve">'tax' : 44.5, </v>
      </c>
      <c r="Z134" s="60" t="str">
        <f>IF(Z133="","","'"&amp;Z$11&amp;"' : "&amp;Z133&amp;", ")</f>
        <v xml:space="preserve">'deliveryFee' : 4.99, </v>
      </c>
      <c r="AA134" s="60"/>
      <c r="AB134" s="60"/>
      <c r="AC134" s="60"/>
      <c r="AD134" s="60"/>
      <c r="AE134" s="60"/>
      <c r="AF134" s="60" t="str">
        <f>$AA$10&amp;" : "&amp;_xlfn.CONCAT("[ ",AF130:AF132,"], ")</f>
        <v xml:space="preserve">orderDetails : [ { 'productId' : '4012', 'productName' : 'Empanada', 'quantity' : 24, 'price' : 6.79, 'subTotal' : 162.96 },{ 'productId' : '5002', 'productName' : 'Greek Yougurt with mixed Berries', 'quantity' : 17, 'price' : 4.99, 'subTotal' : 84.83 },{ 'productId' : '4020', 'productName' : 'Cherry Vanilla Bagel', 'quantity' : 14, 'price' : 6.75, 'subTotal' : 94.5 }], </v>
      </c>
      <c r="AG134" s="60" t="str">
        <f>IF(AG133="","","'"&amp;AG$11&amp;"' : new Date('"&amp;TEXT(AG133,"yyyy-mm-dd")&amp;"'), ")</f>
        <v xml:space="preserve">'orderDate' : new Date('2022-11-10'), </v>
      </c>
      <c r="AH134" s="60"/>
      <c r="AI134" s="60" t="str">
        <f>IF(AI133="","","'"&amp;AI$11&amp;"' : '"&amp;AI133&amp;"', ")</f>
        <v xml:space="preserve">'orderStatus' : 'Delivered', </v>
      </c>
      <c r="AJ134" s="60" t="str">
        <f>IF(AJ133="","","'"&amp;AJ$11&amp;"' : new Date('"&amp;TEXT(AJ133,"yyyy-mm-dd")&amp;"') ")</f>
        <v xml:space="preserve">'statusDate' : new Date('2022-11-10') </v>
      </c>
      <c r="AK134" s="60"/>
      <c r="AL134" s="59"/>
      <c r="AM134" s="58" t="str">
        <f ca="1">_xlfn.CONCAT("{ ",B134:AJ134,"} ,")</f>
        <v>{ 'emailAddress' : 'penelope_piers@gmail.com', 'orderId' : '20221110104800', 'employeeUserName' : 'jbartolata', 'deliveryAddress' : { 'dName' : 'Penelope Piers' , 'dStreet' : '3050 Speers Road' , 'dUnit' : '86' , 'dCity' : 'Oakville' , 'dProvince' : 'Ontario' , 'dZip' : 'L6H 3H5' , 'dMobileNumber' : '905-467-2429' } , 'billingsAddress' : { 'bName' : 'Penelope Piers' , 'bStreet' : '1228 A Avenue' , 'bCity' : 'Edmonton' , 'bProvince' : 'Alberta' , 'bZip' : 'T5J 0K7' , 'bMobileNumber' : '780-917-8428' } , 'paymentMethod' : { 'paymentType' : 'Debit' , 'cardScheme' : 'Visa' , 'cardLast4' : '2990' } , 'totalQty' : 3, 'orderTotal' : 391.78, 'grossTotal' : 342.29, 'tax' : 44.5, 'deliveryFee' : 4.99, orderDetails : [ { 'productId' : '4012', 'productName' : 'Empanada', 'quantity' : 24, 'price' : 6.79, 'subTotal' : 162.96 },{ 'productId' : '5002', 'productName' : 'Greek Yougurt with mixed Berries', 'quantity' : 17, 'price' : 4.99, 'subTotal' : 84.83 },{ 'productId' : '4020', 'productName' : 'Cherry Vanilla Bagel', 'quantity' : 14, 'price' : 6.75, 'subTotal' : 94.5 }], 'orderDate' : new Date('2022-11-10'), 'orderStatus' : 'Delivered', 'statusDate' : new Date('2022-11-10') } ,</v>
      </c>
    </row>
    <row r="135" spans="1:39" hidden="1" x14ac:dyDescent="0.35">
      <c r="B135" t="s">
        <v>748</v>
      </c>
      <c r="C135" s="49" t="s">
        <v>749</v>
      </c>
      <c r="D135" t="s">
        <v>681</v>
      </c>
      <c r="E135" t="s">
        <v>331</v>
      </c>
      <c r="F135" t="s">
        <v>405</v>
      </c>
      <c r="G135" t="s">
        <v>606</v>
      </c>
      <c r="H135" t="s">
        <v>434</v>
      </c>
      <c r="I135" t="s">
        <v>454</v>
      </c>
      <c r="J135" t="s">
        <v>463</v>
      </c>
      <c r="K135" t="s">
        <v>493</v>
      </c>
      <c r="L135" t="str">
        <f t="shared" ref="L135:L137" si="144">E135</f>
        <v>Ariana Evans</v>
      </c>
      <c r="M135" t="str">
        <f>VLOOKUP($B135,Customers!$B:$J,4,0)</f>
        <v>1188 St. John Street</v>
      </c>
      <c r="O135" t="str">
        <f>VLOOKUP($B135,Customers!$B:$J,6,0)</f>
        <v>Big River</v>
      </c>
      <c r="P135" t="str">
        <f>VLOOKUP($B135,Customers!$B:$J,7,0)</f>
        <v>Saskatchewan</v>
      </c>
      <c r="Q135" t="str">
        <f>VLOOKUP($B135,Customers!$B:$J,8,0)</f>
        <v>S4P 3Y2</v>
      </c>
      <c r="R135" t="str">
        <f>VLOOKUP($B135,Customers!$B:$J,9,0)</f>
        <v>306-469-8013</v>
      </c>
      <c r="S135" t="str">
        <f>VLOOKUP($B135,Customers!$B:$T,16,0)</f>
        <v>Credit</v>
      </c>
      <c r="T135" t="str">
        <f>VLOOKUP($B135,Customers!$B:$T,18,0)</f>
        <v>Visa</v>
      </c>
      <c r="U135" t="str">
        <f>VLOOKUP($B135,Customers!$B:$T,19,0)</f>
        <v>1330</v>
      </c>
      <c r="V135">
        <f ca="1">COUNTIF(C:C,C135)-1</f>
        <v>2</v>
      </c>
      <c r="X135">
        <f t="shared" ref="X135:X136" si="145">AC135*AD135</f>
        <v>77.87</v>
      </c>
      <c r="Y135">
        <f t="shared" ref="Y135:Y136" si="146">ROUND(X135*13%,2)</f>
        <v>10.119999999999999</v>
      </c>
      <c r="AA135">
        <v>4005</v>
      </c>
      <c r="AB135" t="s">
        <v>69</v>
      </c>
      <c r="AC135">
        <v>13</v>
      </c>
      <c r="AD135">
        <v>5.99</v>
      </c>
      <c r="AE135">
        <f>AC135*AD135</f>
        <v>77.87</v>
      </c>
      <c r="AF135" s="54" t="str">
        <f>"{ '"&amp;AA$11&amp;"' : '"&amp;AA135&amp;"', '"&amp;AB$11&amp;"' : '"&amp;AB135&amp;"', '"&amp;AC$11&amp;"' : "&amp;AC135&amp;", '"&amp;AD$11&amp;"' : "&amp;AD135&amp;", '"&amp;AE$11&amp;"' : "&amp;AE135&amp;" },"</f>
        <v>{ 'productId' : '4005', 'productName' : 'Bear Claw', 'quantity' : 13, 'price' : 5.99, 'subTotal' : 77.87 },</v>
      </c>
      <c r="AG135" s="48">
        <v>44875</v>
      </c>
      <c r="AH135" s="50" t="s">
        <v>714</v>
      </c>
      <c r="AI135" t="s">
        <v>755</v>
      </c>
      <c r="AJ135" s="48">
        <f>AG135</f>
        <v>44875</v>
      </c>
      <c r="AK135" t="s">
        <v>750</v>
      </c>
    </row>
    <row r="136" spans="1:39" hidden="1" x14ac:dyDescent="0.35">
      <c r="B136" t="s">
        <v>748</v>
      </c>
      <c r="C136" t="s">
        <v>749</v>
      </c>
      <c r="D136" t="s">
        <v>681</v>
      </c>
      <c r="E136" t="s">
        <v>331</v>
      </c>
      <c r="F136" t="s">
        <v>405</v>
      </c>
      <c r="G136" t="s">
        <v>606</v>
      </c>
      <c r="H136" t="s">
        <v>434</v>
      </c>
      <c r="I136" t="s">
        <v>454</v>
      </c>
      <c r="J136" t="s">
        <v>463</v>
      </c>
      <c r="K136" t="s">
        <v>493</v>
      </c>
      <c r="L136" t="str">
        <f t="shared" si="144"/>
        <v>Ariana Evans</v>
      </c>
      <c r="M136" t="str">
        <f>VLOOKUP($B136,Customers!$B:$J,4,0)</f>
        <v>1188 St. John Street</v>
      </c>
      <c r="O136" t="str">
        <f>VLOOKUP($B136,Customers!$B:$J,6,0)</f>
        <v>Big River</v>
      </c>
      <c r="P136" t="str">
        <f>VLOOKUP($B136,Customers!$B:$J,7,0)</f>
        <v>Saskatchewan</v>
      </c>
      <c r="Q136" t="str">
        <f>VLOOKUP($B136,Customers!$B:$J,8,0)</f>
        <v>S4P 3Y2</v>
      </c>
      <c r="R136" t="str">
        <f>VLOOKUP($B136,Customers!$B:$J,9,0)</f>
        <v>306-469-8013</v>
      </c>
      <c r="S136" t="str">
        <f>VLOOKUP($B136,Customers!$B:$T,16,0)</f>
        <v>Credit</v>
      </c>
      <c r="T136" t="str">
        <f>VLOOKUP($B136,Customers!$B:$T,18,0)</f>
        <v>Visa</v>
      </c>
      <c r="U136" t="str">
        <f>VLOOKUP($B136,Customers!$B:$T,19,0)</f>
        <v>1330</v>
      </c>
      <c r="V136">
        <f ca="1">COUNTIF(C:C,C136)-1</f>
        <v>2</v>
      </c>
      <c r="X136">
        <f t="shared" si="145"/>
        <v>64.5</v>
      </c>
      <c r="Y136">
        <f t="shared" si="146"/>
        <v>8.39</v>
      </c>
      <c r="AA136">
        <v>4008</v>
      </c>
      <c r="AB136" t="s">
        <v>72</v>
      </c>
      <c r="AC136">
        <v>10</v>
      </c>
      <c r="AD136">
        <v>6.45</v>
      </c>
      <c r="AE136">
        <f>AC136*AD136</f>
        <v>64.5</v>
      </c>
      <c r="AF136" s="54" t="str">
        <f>"{ '"&amp;AA$11&amp;"' : '"&amp;AA136&amp;"', '"&amp;AB$11&amp;"' : '"&amp;AB136&amp;"', '"&amp;AC$11&amp;"' : "&amp;AC136&amp;", '"&amp;AD$11&amp;"' : "&amp;AD136&amp;", '"&amp;AE$11&amp;"' : "&amp;AE136&amp;" }"</f>
        <v>{ 'productId' : '4008', 'productName' : 'Vanilla Cinnamon Roll', 'quantity' : 10, 'price' : 6.45, 'subTotal' : 64.5 }</v>
      </c>
      <c r="AG136" s="48">
        <v>44875</v>
      </c>
      <c r="AH136" s="48" t="str">
        <f>AH135</f>
        <v>085248</v>
      </c>
      <c r="AI136" t="str">
        <f t="shared" ref="AI136:AJ136" si="147">AI135</f>
        <v>Delivered</v>
      </c>
      <c r="AJ136" s="48">
        <f t="shared" si="147"/>
        <v>44875</v>
      </c>
    </row>
    <row r="137" spans="1:39" hidden="1" x14ac:dyDescent="0.35">
      <c r="A137" t="s">
        <v>759</v>
      </c>
      <c r="B137" t="s">
        <v>748</v>
      </c>
      <c r="C137" t="s">
        <v>749</v>
      </c>
      <c r="D137" t="s">
        <v>681</v>
      </c>
      <c r="E137" t="s">
        <v>331</v>
      </c>
      <c r="F137" t="s">
        <v>405</v>
      </c>
      <c r="G137" t="s">
        <v>606</v>
      </c>
      <c r="H137" t="s">
        <v>434</v>
      </c>
      <c r="I137" t="s">
        <v>454</v>
      </c>
      <c r="J137" t="s">
        <v>463</v>
      </c>
      <c r="K137" t="s">
        <v>493</v>
      </c>
      <c r="L137" t="str">
        <f t="shared" si="144"/>
        <v>Ariana Evans</v>
      </c>
      <c r="M137" t="str">
        <f>VLOOKUP($B137,Customers!$B:$J,4,0)</f>
        <v>1188 St. John Street</v>
      </c>
      <c r="O137" t="str">
        <f>VLOOKUP($B137,Customers!$B:$J,6,0)</f>
        <v>Big River</v>
      </c>
      <c r="P137" t="str">
        <f>VLOOKUP($B137,Customers!$B:$J,7,0)</f>
        <v>Saskatchewan</v>
      </c>
      <c r="Q137" t="str">
        <f>VLOOKUP($B137,Customers!$B:$J,8,0)</f>
        <v>S4P 3Y2</v>
      </c>
      <c r="R137" t="str">
        <f>VLOOKUP($B137,Customers!$B:$J,9,0)</f>
        <v>306-469-8013</v>
      </c>
      <c r="S137" t="str">
        <f>VLOOKUP($B137,Customers!$B:$T,16,0)</f>
        <v>Credit</v>
      </c>
      <c r="T137" t="str">
        <f>VLOOKUP($B137,Customers!$B:$T,18,0)</f>
        <v>Visa</v>
      </c>
      <c r="U137" t="str">
        <f>VLOOKUP($B137,Customers!$B:$T,19,0)</f>
        <v>1330</v>
      </c>
      <c r="V137">
        <f ca="1">COUNTIF(C:C,C137)-1</f>
        <v>2</v>
      </c>
      <c r="W137">
        <f>SUM(X137:Z137)</f>
        <v>165.87</v>
      </c>
      <c r="X137">
        <f>SUM(X135:X136)</f>
        <v>142.37</v>
      </c>
      <c r="Y137">
        <f>SUM(Y135:Y136)</f>
        <v>18.509999999999998</v>
      </c>
      <c r="Z137">
        <v>4.99</v>
      </c>
      <c r="AF137" s="54"/>
      <c r="AG137" s="48">
        <f>AG136</f>
        <v>44875</v>
      </c>
      <c r="AH137" s="48"/>
      <c r="AI137" t="str">
        <f t="shared" ref="AI137:AJ137" si="148">AI136</f>
        <v>Delivered</v>
      </c>
      <c r="AJ137" s="48">
        <f t="shared" si="148"/>
        <v>44875</v>
      </c>
    </row>
    <row r="138" spans="1:39" s="58" customFormat="1" ht="43.5" hidden="1" x14ac:dyDescent="0.35">
      <c r="A138" s="60" t="s">
        <v>760</v>
      </c>
      <c r="B138" s="60" t="str">
        <f>IF(B137="","","'"&amp;B$11&amp;"' : '"&amp;B137&amp;"', ")</f>
        <v xml:space="preserve">'emailAddress' : 'evansariana@gmail.com', </v>
      </c>
      <c r="C138" s="60" t="str">
        <f>IF(C137="","","'"&amp;C$11&amp;"' : '"&amp;C137&amp;"', ")</f>
        <v xml:space="preserve">'orderId' : '20221110085248', </v>
      </c>
      <c r="D138" s="60" t="str">
        <f>IF(D137="","","'"&amp;D$11&amp;"' : '"&amp;D137&amp;"', ")</f>
        <v xml:space="preserve">'employeeUserName' : 'jbartolata', </v>
      </c>
      <c r="E138" s="60" t="str">
        <f>IF(E137="","","'"&amp;$F$10&amp;"' : { '"&amp;E$11&amp;"' : '"&amp;E137&amp;"' , ")</f>
        <v xml:space="preserve">'deliveryAddress' : { 'dName' : 'Ariana Evans' , </v>
      </c>
      <c r="F138" s="60" t="str">
        <f>IF(F137="","","'"&amp;F$11&amp;"' : '"&amp;F137&amp;"' , ")</f>
        <v xml:space="preserve">'dStreet' : '1188 St. John Street' , </v>
      </c>
      <c r="G138" s="60" t="str">
        <f>IF(G137="","","'"&amp;G$11&amp;"' : '"&amp;G137&amp;"' , ")</f>
        <v xml:space="preserve">'dUnit' : '86' , </v>
      </c>
      <c r="H138" s="60" t="str">
        <f>IF(H137="","","'"&amp;H$11&amp;"' : '"&amp;H137&amp;"' , ")</f>
        <v xml:space="preserve">'dCity' : 'Big River' , </v>
      </c>
      <c r="I138" s="60" t="str">
        <f>IF(I137="","","'"&amp;I$11&amp;"' : '"&amp;I137&amp;"' , ")</f>
        <v xml:space="preserve">'dProvince' : 'Saskatchewan' , </v>
      </c>
      <c r="J138" s="60" t="str">
        <f>IF(J137="","","'"&amp;J$11&amp;"' : '"&amp;J137&amp;"' , ")</f>
        <v xml:space="preserve">'dZip' : 'S4P 3Y2' , </v>
      </c>
      <c r="K138" s="60" t="str">
        <f>IF(K137="","","'"&amp;K$11&amp;"' : '"&amp;K137&amp;"' } , ")</f>
        <v xml:space="preserve">'dMobileNumber' : '306-469-8013' } , </v>
      </c>
      <c r="L138" s="60" t="str">
        <f>IF(L137="","","'"&amp;$L$10&amp;"' : { '"&amp;L$11&amp;"' : '"&amp;L137&amp;"' , ")</f>
        <v xml:space="preserve">'billingsAddress' : { 'bName' : 'Ariana Evans' , </v>
      </c>
      <c r="M138" s="60" t="str">
        <f>IF(M137="","","'"&amp;M$11&amp;"' : '"&amp;M137&amp;"' , ")</f>
        <v xml:space="preserve">'bStreet' : '1188 St. John Street' , </v>
      </c>
      <c r="N138" s="60" t="str">
        <f>IF(N137="","","'"&amp;N$11&amp;"' : '"&amp;N137&amp;"' , ")</f>
        <v/>
      </c>
      <c r="O138" s="60" t="str">
        <f>IF(O137="","","'"&amp;O$11&amp;"' : '"&amp;O137&amp;"' , ")</f>
        <v xml:space="preserve">'bCity' : 'Big River' , </v>
      </c>
      <c r="P138" s="60" t="str">
        <f>IF(P137="","","'"&amp;P$11&amp;"' : '"&amp;P137&amp;"' , ")</f>
        <v xml:space="preserve">'bProvince' : 'Saskatchewan' , </v>
      </c>
      <c r="Q138" s="60" t="str">
        <f>IF(Q137="","","'"&amp;Q$11&amp;"' : '"&amp;Q137&amp;"' , ")</f>
        <v xml:space="preserve">'bZip' : 'S4P 3Y2' , </v>
      </c>
      <c r="R138" s="60" t="str">
        <f>IF(R137="","","'"&amp;R$11&amp;"' : '"&amp;R137&amp;"' } , ")</f>
        <v xml:space="preserve">'bMobileNumber' : '306-469-8013' } , </v>
      </c>
      <c r="S138" s="60" t="str">
        <f>IF(S137="","","'"&amp;$S$10&amp;"' : { '"&amp;S$11&amp;"' : '"&amp;S137&amp;"' , ")</f>
        <v xml:space="preserve">'paymentMethod' : { 'paymentType' : 'Credit' , </v>
      </c>
      <c r="T138" s="60" t="str">
        <f>IF(T137="","","'"&amp;T$11&amp;"' : '"&amp;T137&amp;"' , ")</f>
        <v xml:space="preserve">'cardScheme' : 'Visa' , </v>
      </c>
      <c r="U138" s="60" t="str">
        <f>IF(U137="","","'"&amp;U$11&amp;"' : '"&amp;U137&amp;"' } , ")</f>
        <v xml:space="preserve">'cardLast4' : '1330' } , </v>
      </c>
      <c r="V138" s="60" t="str">
        <f ca="1">IF(V137="","","'"&amp;V$11&amp;"' : "&amp;V137&amp;", ")</f>
        <v xml:space="preserve">'totalQty' : 2, </v>
      </c>
      <c r="W138" s="60" t="str">
        <f>IF(W137="","","'"&amp;W$11&amp;"' : "&amp;W137&amp;", ")</f>
        <v xml:space="preserve">'orderTotal' : 165.87, </v>
      </c>
      <c r="X138" s="60" t="str">
        <f>IF(X137="","","'"&amp;X$11&amp;"' : "&amp;X137&amp;", ")</f>
        <v xml:space="preserve">'grossTotal' : 142.37, </v>
      </c>
      <c r="Y138" s="60" t="str">
        <f>IF(Y137="","","'"&amp;Y$11&amp;"' : "&amp;Y137&amp;", ")</f>
        <v xml:space="preserve">'tax' : 18.51, </v>
      </c>
      <c r="Z138" s="60" t="str">
        <f>IF(Z137="","","'"&amp;Z$11&amp;"' : "&amp;Z137&amp;", ")</f>
        <v xml:space="preserve">'deliveryFee' : 4.99, </v>
      </c>
      <c r="AA138" s="60"/>
      <c r="AB138" s="60"/>
      <c r="AC138" s="60"/>
      <c r="AD138" s="60"/>
      <c r="AE138" s="60"/>
      <c r="AF138" s="60" t="str">
        <f>$AA$10&amp;" : "&amp;_xlfn.CONCAT("[ ",AF135:AF136,"], ")</f>
        <v xml:space="preserve">orderDetails : [ { 'productId' : '4005', 'productName' : 'Bear Claw', 'quantity' : 13, 'price' : 5.99, 'subTotal' : 77.87 },{ 'productId' : '4008', 'productName' : 'Vanilla Cinnamon Roll', 'quantity' : 10, 'price' : 6.45, 'subTotal' : 64.5 }], </v>
      </c>
      <c r="AG138" s="60" t="str">
        <f>IF(AG137="","","'"&amp;AG$11&amp;"' : new Date('"&amp;TEXT(AG137,"yyyy-mm-dd")&amp;"'), ")</f>
        <v xml:space="preserve">'orderDate' : new Date('2022-11-10'), </v>
      </c>
      <c r="AH138" s="60"/>
      <c r="AI138" s="60" t="str">
        <f>IF(AI137="","","'"&amp;AI$11&amp;"' : '"&amp;AI137&amp;"', ")</f>
        <v xml:space="preserve">'orderStatus' : 'Delivered', </v>
      </c>
      <c r="AJ138" s="60" t="str">
        <f>IF(AJ137="","","'"&amp;AJ$11&amp;"' : new Date('"&amp;TEXT(AJ137,"yyyy-mm-dd")&amp;"') ")</f>
        <v xml:space="preserve">'statusDate' : new Date('2022-11-10') </v>
      </c>
      <c r="AK138" s="60"/>
      <c r="AL138" s="59"/>
      <c r="AM138" s="58" t="str">
        <f ca="1">_xlfn.CONCAT("{ ",B138:AJ138,"} ,")</f>
        <v>{ 'emailAddress' : 'evansariana@gmail.com', 'orderId' : '20221110085248', 'employeeUserName' : 'jbartolata', 'deliveryAddress' : { 'dName' : 'Ariana Evans' , 'dStreet' : '1188 St. John Street' , 'dUnit' : '86' , 'dCity' : 'Big River' , 'dProvince' : 'Saskatchewan' , 'dZip' : 'S4P 3Y2' , 'dMobileNumber' : '306-469-8013' } , 'billingsAddress' : { 'bName' : 'Ariana Evans' , 'bStreet' : '1188 St. John Street' , 'bCity' : 'Big River' , 'bProvince' : 'Saskatchewan' , 'bZip' : 'S4P 3Y2' , 'bMobileNumber' : '306-469-8013' } , 'paymentMethod' : { 'paymentType' : 'Credit' , 'cardScheme' : 'Visa' , 'cardLast4' : '1330' } , 'totalQty' : 2, 'orderTotal' : 165.87, 'grossTotal' : 142.37, 'tax' : 18.51, 'deliveryFee' : 4.99, orderDetails : [ { 'productId' : '4005', 'productName' : 'Bear Claw', 'quantity' : 13, 'price' : 5.99, 'subTotal' : 77.87 },{ 'productId' : '4008', 'productName' : 'Vanilla Cinnamon Roll', 'quantity' : 10, 'price' : 6.45, 'subTotal' : 64.5 }], 'orderDate' : new Date('2022-11-10'), 'orderStatus' : 'Delivered', 'statusDate' : new Date('2022-11-10') } ,</v>
      </c>
    </row>
    <row r="139" spans="1:39" hidden="1" x14ac:dyDescent="0.35">
      <c r="B139" t="s">
        <v>712</v>
      </c>
      <c r="C139" s="49" t="s">
        <v>751</v>
      </c>
      <c r="D139" t="s">
        <v>680</v>
      </c>
      <c r="E139" t="s">
        <v>340</v>
      </c>
      <c r="F139" t="s">
        <v>406</v>
      </c>
      <c r="G139" t="s">
        <v>606</v>
      </c>
      <c r="H139" t="s">
        <v>431</v>
      </c>
      <c r="I139" t="s">
        <v>26</v>
      </c>
      <c r="J139" t="s">
        <v>467</v>
      </c>
      <c r="K139" t="s">
        <v>494</v>
      </c>
      <c r="L139" t="str">
        <f t="shared" ref="L139:L142" si="149">E139</f>
        <v>Scarlett David</v>
      </c>
      <c r="M139" t="str">
        <f>VLOOKUP($B139,Customers!$B:$J,4,0)</f>
        <v>1220 Tycos Dr</v>
      </c>
      <c r="O139" t="str">
        <f>VLOOKUP($B139,Customers!$B:$J,6,0)</f>
        <v>Toronto</v>
      </c>
      <c r="P139" t="str">
        <f>VLOOKUP($B139,Customers!$B:$J,7,0)</f>
        <v>Ontario</v>
      </c>
      <c r="Q139" t="str">
        <f>VLOOKUP($B139,Customers!$B:$J,8,0)</f>
        <v>M5T 1T4</v>
      </c>
      <c r="R139" t="str">
        <f>VLOOKUP($B139,Customers!$B:$J,9,0)</f>
        <v>416-595-0997</v>
      </c>
      <c r="S139" t="str">
        <f>VLOOKUP($B139,Customers!$B:$T,16,0)</f>
        <v>Debit</v>
      </c>
      <c r="T139" t="str">
        <f>VLOOKUP($B139,Customers!$B:$T,18,0)</f>
        <v>Visa</v>
      </c>
      <c r="U139" t="str">
        <f>VLOOKUP($B139,Customers!$B:$T,19,0)</f>
        <v>9741</v>
      </c>
      <c r="V139">
        <f ca="1">COUNTIF(C:C,C139)-1</f>
        <v>3</v>
      </c>
      <c r="X139">
        <f t="shared" ref="X139:X141" si="150">AC139*AD139</f>
        <v>114.77000000000001</v>
      </c>
      <c r="Y139">
        <f t="shared" ref="Y139:Y141" si="151">ROUND(X139*13%,2)</f>
        <v>14.92</v>
      </c>
      <c r="AA139">
        <v>4001</v>
      </c>
      <c r="AB139" t="s">
        <v>63</v>
      </c>
      <c r="AC139">
        <v>23</v>
      </c>
      <c r="AD139">
        <v>4.99</v>
      </c>
      <c r="AE139">
        <f>AC139*AD139</f>
        <v>114.77000000000001</v>
      </c>
      <c r="AF139" s="54" t="str">
        <f>"{ '"&amp;AA$11&amp;"' : '"&amp;AA139&amp;"', '"&amp;AB$11&amp;"' : '"&amp;AB139&amp;"', '"&amp;AC$11&amp;"' : "&amp;AC139&amp;", '"&amp;AD$11&amp;"' : "&amp;AD139&amp;", '"&amp;AE$11&amp;"' : "&amp;AE139&amp;" },"</f>
        <v>{ 'productId' : '4001', 'productName' : 'Plain Bagel', 'quantity' : 23, 'price' : 4.99, 'subTotal' : 114.77 },</v>
      </c>
      <c r="AG139" s="48">
        <v>44876</v>
      </c>
      <c r="AH139" s="50" t="s">
        <v>731</v>
      </c>
      <c r="AI139" t="s">
        <v>676</v>
      </c>
      <c r="AJ139" s="48">
        <f>AG139</f>
        <v>44876</v>
      </c>
      <c r="AK139" t="s">
        <v>725</v>
      </c>
    </row>
    <row r="140" spans="1:39" hidden="1" x14ac:dyDescent="0.35">
      <c r="B140" t="s">
        <v>712</v>
      </c>
      <c r="C140" t="s">
        <v>751</v>
      </c>
      <c r="D140" t="s">
        <v>680</v>
      </c>
      <c r="E140" t="s">
        <v>340</v>
      </c>
      <c r="F140" t="s">
        <v>406</v>
      </c>
      <c r="G140" t="s">
        <v>606</v>
      </c>
      <c r="H140" t="s">
        <v>431</v>
      </c>
      <c r="I140" t="s">
        <v>26</v>
      </c>
      <c r="J140" t="s">
        <v>467</v>
      </c>
      <c r="K140" t="s">
        <v>494</v>
      </c>
      <c r="L140" t="str">
        <f t="shared" si="149"/>
        <v>Scarlett David</v>
      </c>
      <c r="M140" t="str">
        <f>VLOOKUP($B140,Customers!$B:$J,4,0)</f>
        <v>1220 Tycos Dr</v>
      </c>
      <c r="O140" t="str">
        <f>VLOOKUP($B140,Customers!$B:$J,6,0)</f>
        <v>Toronto</v>
      </c>
      <c r="P140" t="str">
        <f>VLOOKUP($B140,Customers!$B:$J,7,0)</f>
        <v>Ontario</v>
      </c>
      <c r="Q140" t="str">
        <f>VLOOKUP($B140,Customers!$B:$J,8,0)</f>
        <v>M5T 1T4</v>
      </c>
      <c r="R140" t="str">
        <f>VLOOKUP($B140,Customers!$B:$J,9,0)</f>
        <v>416-595-0997</v>
      </c>
      <c r="S140" t="str">
        <f>VLOOKUP($B140,Customers!$B:$T,16,0)</f>
        <v>Debit</v>
      </c>
      <c r="T140" t="str">
        <f>VLOOKUP($B140,Customers!$B:$T,18,0)</f>
        <v>Visa</v>
      </c>
      <c r="U140" t="str">
        <f>VLOOKUP($B140,Customers!$B:$T,19,0)</f>
        <v>9741</v>
      </c>
      <c r="V140">
        <f ca="1">COUNTIF(C:C,C140)-1</f>
        <v>3</v>
      </c>
      <c r="X140">
        <f t="shared" si="150"/>
        <v>125.21</v>
      </c>
      <c r="Y140">
        <f t="shared" si="151"/>
        <v>16.28</v>
      </c>
      <c r="AA140">
        <v>4015</v>
      </c>
      <c r="AB140" t="s">
        <v>82</v>
      </c>
      <c r="AC140">
        <v>19</v>
      </c>
      <c r="AD140">
        <v>6.59</v>
      </c>
      <c r="AE140">
        <f>AC140*AD140</f>
        <v>125.21</v>
      </c>
      <c r="AF140" s="54" t="str">
        <f>"{ '"&amp;AA$11&amp;"' : '"&amp;AA140&amp;"', '"&amp;AB$11&amp;"' : '"&amp;AB140&amp;"', '"&amp;AC$11&amp;"' : "&amp;AC140&amp;", '"&amp;AD$11&amp;"' : "&amp;AD140&amp;", '"&amp;AE$11&amp;"' : "&amp;AE140&amp;" },"</f>
        <v>{ 'productId' : '4015', 'productName' : 'Sprouted Grain Flat Bagel', 'quantity' : 19, 'price' : 6.59, 'subTotal' : 125.21 },</v>
      </c>
      <c r="AG140" s="48">
        <v>44876</v>
      </c>
      <c r="AH140" s="48" t="str">
        <f t="shared" ref="AH140:AH141" si="152">AH139</f>
        <v>111648</v>
      </c>
      <c r="AI140" t="str">
        <f t="shared" ref="AI140:AJ141" si="153">AI139</f>
        <v>In Process</v>
      </c>
      <c r="AJ140" s="48">
        <f t="shared" si="153"/>
        <v>44876</v>
      </c>
    </row>
    <row r="141" spans="1:39" hidden="1" x14ac:dyDescent="0.35">
      <c r="B141" t="s">
        <v>712</v>
      </c>
      <c r="C141" t="s">
        <v>751</v>
      </c>
      <c r="D141" t="s">
        <v>680</v>
      </c>
      <c r="E141" t="s">
        <v>340</v>
      </c>
      <c r="F141" t="s">
        <v>406</v>
      </c>
      <c r="G141" t="s">
        <v>606</v>
      </c>
      <c r="H141" t="s">
        <v>431</v>
      </c>
      <c r="I141" t="s">
        <v>26</v>
      </c>
      <c r="J141" t="s">
        <v>467</v>
      </c>
      <c r="K141" t="s">
        <v>494</v>
      </c>
      <c r="L141" t="str">
        <f t="shared" si="149"/>
        <v>Scarlett David</v>
      </c>
      <c r="M141" t="str">
        <f>VLOOKUP($B141,Customers!$B:$J,4,0)</f>
        <v>1220 Tycos Dr</v>
      </c>
      <c r="O141" t="str">
        <f>VLOOKUP($B141,Customers!$B:$J,6,0)</f>
        <v>Toronto</v>
      </c>
      <c r="P141" t="str">
        <f>VLOOKUP($B141,Customers!$B:$J,7,0)</f>
        <v>Ontario</v>
      </c>
      <c r="Q141" t="str">
        <f>VLOOKUP($B141,Customers!$B:$J,8,0)</f>
        <v>M5T 1T4</v>
      </c>
      <c r="R141" t="str">
        <f>VLOOKUP($B141,Customers!$B:$J,9,0)</f>
        <v>416-595-0997</v>
      </c>
      <c r="S141" t="str">
        <f>VLOOKUP($B141,Customers!$B:$T,16,0)</f>
        <v>Debit</v>
      </c>
      <c r="T141" t="str">
        <f>VLOOKUP($B141,Customers!$B:$T,18,0)</f>
        <v>Visa</v>
      </c>
      <c r="U141" t="str">
        <f>VLOOKUP($B141,Customers!$B:$T,19,0)</f>
        <v>9741</v>
      </c>
      <c r="V141">
        <f ca="1">COUNTIF(C:C,C141)-1</f>
        <v>3</v>
      </c>
      <c r="X141">
        <f t="shared" si="150"/>
        <v>143.75</v>
      </c>
      <c r="Y141">
        <f t="shared" si="151"/>
        <v>18.690000000000001</v>
      </c>
      <c r="AA141">
        <v>4003</v>
      </c>
      <c r="AB141" t="s">
        <v>67</v>
      </c>
      <c r="AC141">
        <v>23</v>
      </c>
      <c r="AD141">
        <v>6.25</v>
      </c>
      <c r="AE141">
        <f>AC141*AD141</f>
        <v>143.75</v>
      </c>
      <c r="AF141" s="54" t="str">
        <f>"{ '"&amp;AA$11&amp;"' : '"&amp;AA141&amp;"', '"&amp;AB$11&amp;"' : '"&amp;AB141&amp;"', '"&amp;AC$11&amp;"' : "&amp;AC141&amp;", '"&amp;AD$11&amp;"' : "&amp;AD141&amp;", '"&amp;AE$11&amp;"' : "&amp;AE141&amp;" }"</f>
        <v>{ 'productId' : '4003', 'productName' : 'Cinnamon Crunch Bagel', 'quantity' : 23, 'price' : 6.25, 'subTotal' : 143.75 }</v>
      </c>
      <c r="AG141" s="48">
        <v>44876</v>
      </c>
      <c r="AH141" s="48" t="str">
        <f t="shared" si="152"/>
        <v>111648</v>
      </c>
      <c r="AI141" t="str">
        <f t="shared" si="153"/>
        <v>In Process</v>
      </c>
      <c r="AJ141" s="48">
        <f t="shared" si="153"/>
        <v>44876</v>
      </c>
    </row>
    <row r="142" spans="1:39" hidden="1" x14ac:dyDescent="0.35">
      <c r="A142" t="s">
        <v>759</v>
      </c>
      <c r="B142" t="s">
        <v>712</v>
      </c>
      <c r="C142" t="s">
        <v>751</v>
      </c>
      <c r="D142" t="s">
        <v>680</v>
      </c>
      <c r="E142" t="s">
        <v>340</v>
      </c>
      <c r="F142" t="s">
        <v>406</v>
      </c>
      <c r="G142" t="s">
        <v>606</v>
      </c>
      <c r="H142" t="s">
        <v>431</v>
      </c>
      <c r="I142" t="s">
        <v>26</v>
      </c>
      <c r="J142" t="s">
        <v>467</v>
      </c>
      <c r="K142" t="s">
        <v>494</v>
      </c>
      <c r="L142" t="str">
        <f t="shared" si="149"/>
        <v>Scarlett David</v>
      </c>
      <c r="M142" t="str">
        <f>VLOOKUP($B142,Customers!$B:$J,4,0)</f>
        <v>1220 Tycos Dr</v>
      </c>
      <c r="O142" t="str">
        <f>VLOOKUP($B142,Customers!$B:$J,6,0)</f>
        <v>Toronto</v>
      </c>
      <c r="P142" t="str">
        <f>VLOOKUP($B142,Customers!$B:$J,7,0)</f>
        <v>Ontario</v>
      </c>
      <c r="Q142" t="str">
        <f>VLOOKUP($B142,Customers!$B:$J,8,0)</f>
        <v>M5T 1T4</v>
      </c>
      <c r="R142" t="str">
        <f>VLOOKUP($B142,Customers!$B:$J,9,0)</f>
        <v>416-595-0997</v>
      </c>
      <c r="S142" t="str">
        <f>VLOOKUP($B142,Customers!$B:$T,16,0)</f>
        <v>Debit</v>
      </c>
      <c r="T142" t="str">
        <f>VLOOKUP($B142,Customers!$B:$T,18,0)</f>
        <v>Visa</v>
      </c>
      <c r="U142" t="str">
        <f>VLOOKUP($B142,Customers!$B:$T,19,0)</f>
        <v>9741</v>
      </c>
      <c r="V142">
        <f ca="1">COUNTIF(C:C,C142)-1</f>
        <v>3</v>
      </c>
      <c r="W142">
        <f>SUM(X142:Z142)</f>
        <v>438.61</v>
      </c>
      <c r="X142">
        <f>SUM(X139:X141)</f>
        <v>383.73</v>
      </c>
      <c r="Y142">
        <f>SUM(Y139:Y141)</f>
        <v>49.89</v>
      </c>
      <c r="Z142">
        <v>4.99</v>
      </c>
      <c r="AF142" s="54"/>
      <c r="AG142" s="48">
        <f>AG141</f>
        <v>44876</v>
      </c>
      <c r="AH142" s="48"/>
      <c r="AI142" t="str">
        <f t="shared" ref="AI142:AJ142" si="154">AI141</f>
        <v>In Process</v>
      </c>
      <c r="AJ142" s="48">
        <f t="shared" si="154"/>
        <v>44876</v>
      </c>
    </row>
    <row r="143" spans="1:39" s="58" customFormat="1" ht="43.5" hidden="1" x14ac:dyDescent="0.35">
      <c r="A143" s="60" t="s">
        <v>760</v>
      </c>
      <c r="B143" s="60" t="str">
        <f>IF(B142="","","'"&amp;B$11&amp;"' : '"&amp;B142&amp;"', ")</f>
        <v xml:space="preserve">'emailAddress' : 'davidscarlett@gmail.com', </v>
      </c>
      <c r="C143" s="60" t="str">
        <f>IF(C142="","","'"&amp;C$11&amp;"' : '"&amp;C142&amp;"', ")</f>
        <v xml:space="preserve">'orderId' : '20221111111648', </v>
      </c>
      <c r="D143" s="60" t="str">
        <f>IF(D142="","","'"&amp;D$11&amp;"' : '"&amp;D142&amp;"', ")</f>
        <v xml:space="preserve">'employeeUserName' : 'lzapanta', </v>
      </c>
      <c r="E143" s="60" t="str">
        <f>IF(E142="","","'"&amp;$F$10&amp;"' : { '"&amp;E$11&amp;"' : '"&amp;E142&amp;"' , ")</f>
        <v xml:space="preserve">'deliveryAddress' : { 'dName' : 'Scarlett David' , </v>
      </c>
      <c r="F143" s="60" t="str">
        <f>IF(F142="","","'"&amp;F$11&amp;"' : '"&amp;F142&amp;"' , ")</f>
        <v xml:space="preserve">'dStreet' : '1220 Tycos Dr' , </v>
      </c>
      <c r="G143" s="60" t="str">
        <f>IF(G142="","","'"&amp;G$11&amp;"' : '"&amp;G142&amp;"' , ")</f>
        <v xml:space="preserve">'dUnit' : '86' , </v>
      </c>
      <c r="H143" s="60" t="str">
        <f>IF(H142="","","'"&amp;H$11&amp;"' : '"&amp;H142&amp;"' , ")</f>
        <v xml:space="preserve">'dCity' : 'Toronto' , </v>
      </c>
      <c r="I143" s="60" t="str">
        <f>IF(I142="","","'"&amp;I$11&amp;"' : '"&amp;I142&amp;"' , ")</f>
        <v xml:space="preserve">'dProvince' : 'Ontario' , </v>
      </c>
      <c r="J143" s="60" t="str">
        <f>IF(J142="","","'"&amp;J$11&amp;"' : '"&amp;J142&amp;"' , ")</f>
        <v xml:space="preserve">'dZip' : 'M5T 1T4' , </v>
      </c>
      <c r="K143" s="60" t="str">
        <f>IF(K142="","","'"&amp;K$11&amp;"' : '"&amp;K142&amp;"' } , ")</f>
        <v xml:space="preserve">'dMobileNumber' : '416-595-0997' } , </v>
      </c>
      <c r="L143" s="60" t="str">
        <f>IF(L142="","","'"&amp;$L$10&amp;"' : { '"&amp;L$11&amp;"' : '"&amp;L142&amp;"' , ")</f>
        <v xml:space="preserve">'billingsAddress' : { 'bName' : 'Scarlett David' , </v>
      </c>
      <c r="M143" s="60" t="str">
        <f>IF(M142="","","'"&amp;M$11&amp;"' : '"&amp;M142&amp;"' , ")</f>
        <v xml:space="preserve">'bStreet' : '1220 Tycos Dr' , </v>
      </c>
      <c r="N143" s="60" t="str">
        <f>IF(N142="","","'"&amp;N$11&amp;"' : '"&amp;N142&amp;"' , ")</f>
        <v/>
      </c>
      <c r="O143" s="60" t="str">
        <f>IF(O142="","","'"&amp;O$11&amp;"' : '"&amp;O142&amp;"' , ")</f>
        <v xml:space="preserve">'bCity' : 'Toronto' , </v>
      </c>
      <c r="P143" s="60" t="str">
        <f>IF(P142="","","'"&amp;P$11&amp;"' : '"&amp;P142&amp;"' , ")</f>
        <v xml:space="preserve">'bProvince' : 'Ontario' , </v>
      </c>
      <c r="Q143" s="60" t="str">
        <f>IF(Q142="","","'"&amp;Q$11&amp;"' : '"&amp;Q142&amp;"' , ")</f>
        <v xml:space="preserve">'bZip' : 'M5T 1T4' , </v>
      </c>
      <c r="R143" s="60" t="str">
        <f>IF(R142="","","'"&amp;R$11&amp;"' : '"&amp;R142&amp;"' } , ")</f>
        <v xml:space="preserve">'bMobileNumber' : '416-595-0997' } , </v>
      </c>
      <c r="S143" s="60" t="str">
        <f>IF(S142="","","'"&amp;$S$10&amp;"' : { '"&amp;S$11&amp;"' : '"&amp;S142&amp;"' , ")</f>
        <v xml:space="preserve">'paymentMethod' : { 'paymentType' : 'Debit' , </v>
      </c>
      <c r="T143" s="60" t="str">
        <f>IF(T142="","","'"&amp;T$11&amp;"' : '"&amp;T142&amp;"' , ")</f>
        <v xml:space="preserve">'cardScheme' : 'Visa' , </v>
      </c>
      <c r="U143" s="60" t="str">
        <f>IF(U142="","","'"&amp;U$11&amp;"' : '"&amp;U142&amp;"' } , ")</f>
        <v xml:space="preserve">'cardLast4' : '9741' } , </v>
      </c>
      <c r="V143" s="60" t="str">
        <f ca="1">IF(V142="","","'"&amp;V$11&amp;"' : "&amp;V142&amp;", ")</f>
        <v xml:space="preserve">'totalQty' : 3, </v>
      </c>
      <c r="W143" s="60" t="str">
        <f>IF(W142="","","'"&amp;W$11&amp;"' : "&amp;W142&amp;", ")</f>
        <v xml:space="preserve">'orderTotal' : 438.61, </v>
      </c>
      <c r="X143" s="60" t="str">
        <f>IF(X142="","","'"&amp;X$11&amp;"' : "&amp;X142&amp;", ")</f>
        <v xml:space="preserve">'grossTotal' : 383.73, </v>
      </c>
      <c r="Y143" s="60" t="str">
        <f>IF(Y142="","","'"&amp;Y$11&amp;"' : "&amp;Y142&amp;", ")</f>
        <v xml:space="preserve">'tax' : 49.89, </v>
      </c>
      <c r="Z143" s="60" t="str">
        <f>IF(Z142="","","'"&amp;Z$11&amp;"' : "&amp;Z142&amp;", ")</f>
        <v xml:space="preserve">'deliveryFee' : 4.99, </v>
      </c>
      <c r="AA143" s="60"/>
      <c r="AB143" s="60"/>
      <c r="AC143" s="60"/>
      <c r="AD143" s="60"/>
      <c r="AE143" s="60"/>
      <c r="AF143" s="60" t="str">
        <f>$AA$10&amp;" : "&amp;_xlfn.CONCAT("[ ",AF139:AF141,"], ")</f>
        <v xml:space="preserve">orderDetails : [ { 'productId' : '4001', 'productName' : 'Plain Bagel', 'quantity' : 23, 'price' : 4.99, 'subTotal' : 114.77 },{ 'productId' : '4015', 'productName' : 'Sprouted Grain Flat Bagel', 'quantity' : 19, 'price' : 6.59, 'subTotal' : 125.21 },{ 'productId' : '4003', 'productName' : 'Cinnamon Crunch Bagel', 'quantity' : 23, 'price' : 6.25, 'subTotal' : 143.75 }], </v>
      </c>
      <c r="AG143" s="60" t="str">
        <f>IF(AG142="","","'"&amp;AG$11&amp;"' : new Date('"&amp;TEXT(AG142,"yyyy-mm-dd")&amp;"'), ")</f>
        <v xml:space="preserve">'orderDate' : new Date('2022-11-11'), </v>
      </c>
      <c r="AH143" s="60"/>
      <c r="AI143" s="60" t="str">
        <f>IF(AI142="","","'"&amp;AI$11&amp;"' : '"&amp;AI142&amp;"', ")</f>
        <v xml:space="preserve">'orderStatus' : 'In Process', </v>
      </c>
      <c r="AJ143" s="60" t="str">
        <f>IF(AJ142="","","'"&amp;AJ$11&amp;"' : new Date('"&amp;TEXT(AJ142,"yyyy-mm-dd")&amp;"') ")</f>
        <v xml:space="preserve">'statusDate' : new Date('2022-11-11') </v>
      </c>
      <c r="AK143" s="60"/>
      <c r="AL143" s="59"/>
      <c r="AM143" s="58" t="str">
        <f ca="1">_xlfn.CONCAT("{ ",B143:AJ143,"} ,")</f>
        <v>{ 'emailAddress' : 'davidscarlett@gmail.com', 'orderId' : '20221111111648', 'employeeUserName' : 'lzapanta', 'deliveryAddress' : { 'dName' : 'Scarlett David' , 'dStreet' : '1220 Tycos Dr' , 'dUnit' : '86' , 'dCity' : 'Toronto' , 'dProvince' : 'Ontario' , 'dZip' : 'M5T 1T4' , 'dMobileNumber' : '416-595-0997' } , 'billingsAddress' : { 'bName' : 'Scarlett David' , 'bStreet' : '1220 Tycos Dr' , 'bCity' : 'Toronto' , 'bProvince' : 'Ontario' , 'bZip' : 'M5T 1T4' , 'bMobileNumber' : '416-595-0997' } , 'paymentMethod' : { 'paymentType' : 'Debit' , 'cardScheme' : 'Visa' , 'cardLast4' : '9741' } , 'totalQty' : 3, 'orderTotal' : 438.61, 'grossTotal' : 383.73, 'tax' : 49.89, 'deliveryFee' : 4.99, orderDetails : [ { 'productId' : '4001', 'productName' : 'Plain Bagel', 'quantity' : 23, 'price' : 4.99, 'subTotal' : 114.77 },{ 'productId' : '4015', 'productName' : 'Sprouted Grain Flat Bagel', 'quantity' : 19, 'price' : 6.59, 'subTotal' : 125.21 },{ 'productId' : '4003', 'productName' : 'Cinnamon Crunch Bagel', 'quantity' : 23, 'price' : 6.25, 'subTotal' : 143.75 }], 'orderDate' : new Date('2022-11-11'), 'orderStatus' : 'In Process', 'statusDate' : new Date('2022-11-11') } ,</v>
      </c>
    </row>
    <row r="144" spans="1:39" hidden="1" x14ac:dyDescent="0.35">
      <c r="B144" t="s">
        <v>750</v>
      </c>
      <c r="C144" s="49" t="s">
        <v>752</v>
      </c>
      <c r="D144" t="s">
        <v>682</v>
      </c>
      <c r="E144" t="s">
        <v>337</v>
      </c>
      <c r="F144" t="s">
        <v>590</v>
      </c>
      <c r="G144" t="s">
        <v>609</v>
      </c>
      <c r="H144" t="s">
        <v>598</v>
      </c>
      <c r="I144" t="s">
        <v>453</v>
      </c>
      <c r="J144" t="s">
        <v>619</v>
      </c>
      <c r="K144" t="s">
        <v>631</v>
      </c>
      <c r="L144" t="str">
        <f t="shared" ref="L144:L147" si="155">E144</f>
        <v>Brielle Olson</v>
      </c>
      <c r="M144" t="str">
        <f>VLOOKUP($B144,Customers!$B:$J,4,0)</f>
        <v>625 40th Street</v>
      </c>
      <c r="N144" t="str">
        <f>VLOOKUP($B144,Customers!$B:$J,5,0)</f>
        <v>218</v>
      </c>
      <c r="O144" t="str">
        <f>VLOOKUP($B144,Customers!$B:$J,6,0)</f>
        <v>Calgary</v>
      </c>
      <c r="P144" t="str">
        <f>VLOOKUP($B144,Customers!$B:$J,7,0)</f>
        <v>Alberta</v>
      </c>
      <c r="Q144" t="str">
        <f>VLOOKUP($B144,Customers!$B:$J,8,0)</f>
        <v>T2N 2A7</v>
      </c>
      <c r="R144" t="str">
        <f>VLOOKUP($B144,Customers!$B:$J,9,0)</f>
        <v>403-283-1490</v>
      </c>
      <c r="S144" t="str">
        <f>VLOOKUP($B144,Customers!$B:$T,16,0)</f>
        <v>Debit</v>
      </c>
      <c r="T144" t="str">
        <f>VLOOKUP($B144,Customers!$B:$T,18,0)</f>
        <v>Visa</v>
      </c>
      <c r="U144" t="str">
        <f>VLOOKUP($B144,Customers!$B:$T,19,0)</f>
        <v>7481</v>
      </c>
      <c r="V144">
        <f ca="1">COUNTIF(C:C,C144)-1</f>
        <v>3</v>
      </c>
      <c r="X144">
        <f t="shared" ref="X144:X146" si="156">AC144*AD144</f>
        <v>60.72</v>
      </c>
      <c r="Y144">
        <f t="shared" ref="Y144:Y146" si="157">ROUND(X144*13%,2)</f>
        <v>7.89</v>
      </c>
      <c r="AA144">
        <v>4009</v>
      </c>
      <c r="AB144" t="s">
        <v>73</v>
      </c>
      <c r="AC144">
        <v>8</v>
      </c>
      <c r="AD144">
        <v>7.59</v>
      </c>
      <c r="AE144">
        <f>AC144*AD144</f>
        <v>60.72</v>
      </c>
      <c r="AF144" s="54" t="str">
        <f>"{ '"&amp;AA$11&amp;"' : '"&amp;AA144&amp;"', '"&amp;AB$11&amp;"' : '"&amp;AB144&amp;"', '"&amp;AC$11&amp;"' : "&amp;AC144&amp;", '"&amp;AD$11&amp;"' : "&amp;AD144&amp;", '"&amp;AE$11&amp;"' : "&amp;AE144&amp;" },"</f>
        <v>{ 'productId' : '4009', 'productName' : 'Pecan Braid', 'quantity' : 8, 'price' : 7.59, 'subTotal' : 60.72 },</v>
      </c>
      <c r="AG144" s="48">
        <v>44876</v>
      </c>
      <c r="AH144" s="50" t="s">
        <v>692</v>
      </c>
      <c r="AI144" t="s">
        <v>677</v>
      </c>
      <c r="AJ144" s="48">
        <f>AG144</f>
        <v>44876</v>
      </c>
      <c r="AK144" t="s">
        <v>718</v>
      </c>
    </row>
    <row r="145" spans="1:39" hidden="1" x14ac:dyDescent="0.35">
      <c r="B145" t="s">
        <v>750</v>
      </c>
      <c r="C145" t="s">
        <v>752</v>
      </c>
      <c r="D145" t="s">
        <v>682</v>
      </c>
      <c r="E145" t="s">
        <v>337</v>
      </c>
      <c r="F145" t="s">
        <v>590</v>
      </c>
      <c r="G145" t="s">
        <v>609</v>
      </c>
      <c r="H145" t="s">
        <v>598</v>
      </c>
      <c r="I145" t="s">
        <v>453</v>
      </c>
      <c r="J145" t="s">
        <v>619</v>
      </c>
      <c r="K145" t="s">
        <v>631</v>
      </c>
      <c r="L145" t="str">
        <f t="shared" si="155"/>
        <v>Brielle Olson</v>
      </c>
      <c r="M145" t="str">
        <f>VLOOKUP($B145,Customers!$B:$J,4,0)</f>
        <v>625 40th Street</v>
      </c>
      <c r="N145" t="str">
        <f>VLOOKUP($B145,Customers!$B:$J,5,0)</f>
        <v>218</v>
      </c>
      <c r="O145" t="str">
        <f>VLOOKUP($B145,Customers!$B:$J,6,0)</f>
        <v>Calgary</v>
      </c>
      <c r="P145" t="str">
        <f>VLOOKUP($B145,Customers!$B:$J,7,0)</f>
        <v>Alberta</v>
      </c>
      <c r="Q145" t="str">
        <f>VLOOKUP($B145,Customers!$B:$J,8,0)</f>
        <v>T2N 2A7</v>
      </c>
      <c r="R145" t="str">
        <f>VLOOKUP($B145,Customers!$B:$J,9,0)</f>
        <v>403-283-1490</v>
      </c>
      <c r="S145" t="str">
        <f>VLOOKUP($B145,Customers!$B:$T,16,0)</f>
        <v>Debit</v>
      </c>
      <c r="T145" t="str">
        <f>VLOOKUP($B145,Customers!$B:$T,18,0)</f>
        <v>Visa</v>
      </c>
      <c r="U145" t="str">
        <f>VLOOKUP($B145,Customers!$B:$T,19,0)</f>
        <v>7481</v>
      </c>
      <c r="V145">
        <f ca="1">COUNTIF(C:C,C145)-1</f>
        <v>3</v>
      </c>
      <c r="X145">
        <f t="shared" si="156"/>
        <v>74.69</v>
      </c>
      <c r="Y145">
        <f t="shared" si="157"/>
        <v>9.7100000000000009</v>
      </c>
      <c r="AA145">
        <v>4012</v>
      </c>
      <c r="AB145" t="s">
        <v>76</v>
      </c>
      <c r="AC145">
        <v>11</v>
      </c>
      <c r="AD145">
        <v>6.79</v>
      </c>
      <c r="AE145">
        <f>AC145*AD145</f>
        <v>74.69</v>
      </c>
      <c r="AF145" s="54" t="str">
        <f>"{ '"&amp;AA$11&amp;"' : '"&amp;AA145&amp;"', '"&amp;AB$11&amp;"' : '"&amp;AB145&amp;"', '"&amp;AC$11&amp;"' : "&amp;AC145&amp;", '"&amp;AD$11&amp;"' : "&amp;AD145&amp;", '"&amp;AE$11&amp;"' : "&amp;AE145&amp;" },"</f>
        <v>{ 'productId' : '4012', 'productName' : 'Empanada', 'quantity' : 11, 'price' : 6.79, 'subTotal' : 74.69 },</v>
      </c>
      <c r="AG145" s="48">
        <v>44876</v>
      </c>
      <c r="AH145" s="48" t="str">
        <f t="shared" ref="AH145:AH146" si="158">AH144</f>
        <v>103336</v>
      </c>
      <c r="AI145" t="str">
        <f t="shared" ref="AI145:AJ146" si="159">AI144</f>
        <v>Confirmed</v>
      </c>
      <c r="AJ145" s="48">
        <f t="shared" si="159"/>
        <v>44876</v>
      </c>
    </row>
    <row r="146" spans="1:39" hidden="1" x14ac:dyDescent="0.35">
      <c r="B146" t="s">
        <v>750</v>
      </c>
      <c r="C146" t="s">
        <v>752</v>
      </c>
      <c r="D146" t="s">
        <v>682</v>
      </c>
      <c r="E146" t="s">
        <v>337</v>
      </c>
      <c r="F146" t="s">
        <v>590</v>
      </c>
      <c r="G146" t="s">
        <v>609</v>
      </c>
      <c r="H146" t="s">
        <v>598</v>
      </c>
      <c r="I146" t="s">
        <v>453</v>
      </c>
      <c r="J146" t="s">
        <v>619</v>
      </c>
      <c r="K146" t="s">
        <v>631</v>
      </c>
      <c r="L146" t="str">
        <f t="shared" si="155"/>
        <v>Brielle Olson</v>
      </c>
      <c r="M146" t="str">
        <f>VLOOKUP($B146,Customers!$B:$J,4,0)</f>
        <v>625 40th Street</v>
      </c>
      <c r="N146" t="str">
        <f>VLOOKUP($B146,Customers!$B:$J,5,0)</f>
        <v>218</v>
      </c>
      <c r="O146" t="str">
        <f>VLOOKUP($B146,Customers!$B:$J,6,0)</f>
        <v>Calgary</v>
      </c>
      <c r="P146" t="str">
        <f>VLOOKUP($B146,Customers!$B:$J,7,0)</f>
        <v>Alberta</v>
      </c>
      <c r="Q146" t="str">
        <f>VLOOKUP($B146,Customers!$B:$J,8,0)</f>
        <v>T2N 2A7</v>
      </c>
      <c r="R146" t="str">
        <f>VLOOKUP($B146,Customers!$B:$J,9,0)</f>
        <v>403-283-1490</v>
      </c>
      <c r="S146" t="str">
        <f>VLOOKUP($B146,Customers!$B:$T,16,0)</f>
        <v>Debit</v>
      </c>
      <c r="T146" t="str">
        <f>VLOOKUP($B146,Customers!$B:$T,18,0)</f>
        <v>Visa</v>
      </c>
      <c r="U146" t="str">
        <f>VLOOKUP($B146,Customers!$B:$T,19,0)</f>
        <v>7481</v>
      </c>
      <c r="V146">
        <f ca="1">COUNTIF(C:C,C146)-1</f>
        <v>3</v>
      </c>
      <c r="X146">
        <f t="shared" si="156"/>
        <v>93.33</v>
      </c>
      <c r="Y146">
        <f t="shared" si="157"/>
        <v>12.13</v>
      </c>
      <c r="AA146">
        <v>4007</v>
      </c>
      <c r="AB146" t="s">
        <v>71</v>
      </c>
      <c r="AC146">
        <v>17</v>
      </c>
      <c r="AD146">
        <v>5.49</v>
      </c>
      <c r="AE146">
        <f>AC146*AD146</f>
        <v>93.33</v>
      </c>
      <c r="AF146" s="54" t="str">
        <f>"{ '"&amp;AA$11&amp;"' : '"&amp;AA146&amp;"', '"&amp;AB$11&amp;"' : '"&amp;AB146&amp;"', '"&amp;AC$11&amp;"' : "&amp;AC146&amp;", '"&amp;AD$11&amp;"' : "&amp;AD146&amp;", '"&amp;AE$11&amp;"' : "&amp;AE146&amp;" }"</f>
        <v>{ 'productId' : '4007', 'productName' : 'Orange Scone', 'quantity' : 17, 'price' : 5.49, 'subTotal' : 93.33 }</v>
      </c>
      <c r="AG146" s="48">
        <v>44876</v>
      </c>
      <c r="AH146" s="48" t="str">
        <f t="shared" si="158"/>
        <v>103336</v>
      </c>
      <c r="AI146" t="str">
        <f t="shared" si="159"/>
        <v>Confirmed</v>
      </c>
      <c r="AJ146" s="48">
        <f t="shared" si="159"/>
        <v>44876</v>
      </c>
    </row>
    <row r="147" spans="1:39" hidden="1" x14ac:dyDescent="0.35">
      <c r="A147" t="s">
        <v>759</v>
      </c>
      <c r="B147" t="s">
        <v>750</v>
      </c>
      <c r="C147" t="s">
        <v>752</v>
      </c>
      <c r="D147" t="s">
        <v>682</v>
      </c>
      <c r="E147" t="s">
        <v>337</v>
      </c>
      <c r="F147" t="s">
        <v>590</v>
      </c>
      <c r="G147" t="s">
        <v>609</v>
      </c>
      <c r="H147" t="s">
        <v>598</v>
      </c>
      <c r="I147" t="s">
        <v>453</v>
      </c>
      <c r="J147" t="s">
        <v>619</v>
      </c>
      <c r="K147" t="s">
        <v>631</v>
      </c>
      <c r="L147" t="str">
        <f t="shared" si="155"/>
        <v>Brielle Olson</v>
      </c>
      <c r="M147" t="str">
        <f>VLOOKUP($B147,Customers!$B:$J,4,0)</f>
        <v>625 40th Street</v>
      </c>
      <c r="N147" t="str">
        <f>VLOOKUP($B147,Customers!$B:$J,5,0)</f>
        <v>218</v>
      </c>
      <c r="O147" t="str">
        <f>VLOOKUP($B147,Customers!$B:$J,6,0)</f>
        <v>Calgary</v>
      </c>
      <c r="P147" t="str">
        <f>VLOOKUP($B147,Customers!$B:$J,7,0)</f>
        <v>Alberta</v>
      </c>
      <c r="Q147" t="str">
        <f>VLOOKUP($B147,Customers!$B:$J,8,0)</f>
        <v>T2N 2A7</v>
      </c>
      <c r="R147" t="str">
        <f>VLOOKUP($B147,Customers!$B:$J,9,0)</f>
        <v>403-283-1490</v>
      </c>
      <c r="S147" t="str">
        <f>VLOOKUP($B147,Customers!$B:$T,16,0)</f>
        <v>Debit</v>
      </c>
      <c r="T147" t="str">
        <f>VLOOKUP($B147,Customers!$B:$T,18,0)</f>
        <v>Visa</v>
      </c>
      <c r="U147" t="str">
        <f>VLOOKUP($B147,Customers!$B:$T,19,0)</f>
        <v>7481</v>
      </c>
      <c r="V147">
        <f ca="1">COUNTIF(C:C,C147)-1</f>
        <v>3</v>
      </c>
      <c r="W147">
        <f>SUM(X147:Z147)</f>
        <v>263.46000000000004</v>
      </c>
      <c r="X147">
        <f>SUM(X144:X146)</f>
        <v>228.74</v>
      </c>
      <c r="Y147">
        <f>SUM(Y144:Y146)</f>
        <v>29.730000000000004</v>
      </c>
      <c r="Z147">
        <v>4.99</v>
      </c>
      <c r="AF147" s="54"/>
      <c r="AG147" s="48">
        <f>AG146</f>
        <v>44876</v>
      </c>
      <c r="AH147" s="48"/>
      <c r="AI147" t="str">
        <f t="shared" ref="AI147:AJ147" si="160">AI146</f>
        <v>Confirmed</v>
      </c>
      <c r="AJ147" s="48">
        <f t="shared" si="160"/>
        <v>44876</v>
      </c>
    </row>
    <row r="148" spans="1:39" s="58" customFormat="1" ht="43.5" hidden="1" x14ac:dyDescent="0.35">
      <c r="A148" s="60" t="s">
        <v>760</v>
      </c>
      <c r="B148" s="60" t="str">
        <f>IF(B147="","","'"&amp;B$11&amp;"' : '"&amp;B147&amp;"', ")</f>
        <v xml:space="preserve">'emailAddress' : 'olsonbrielle@gmail.com', </v>
      </c>
      <c r="C148" s="60" t="str">
        <f>IF(C147="","","'"&amp;C$11&amp;"' : '"&amp;C147&amp;"', ")</f>
        <v xml:space="preserve">'orderId' : '20221111103336', </v>
      </c>
      <c r="D148" s="60" t="str">
        <f>IF(D147="","","'"&amp;D$11&amp;"' : '"&amp;D147&amp;"', ")</f>
        <v xml:space="preserve">'employeeUserName' : 'mjones', </v>
      </c>
      <c r="E148" s="60" t="str">
        <f>IF(E147="","","'"&amp;$F$10&amp;"' : { '"&amp;E$11&amp;"' : '"&amp;E147&amp;"' , ")</f>
        <v xml:space="preserve">'deliveryAddress' : { 'dName' : 'Brielle Olson' , </v>
      </c>
      <c r="F148" s="60" t="str">
        <f>IF(F147="","","'"&amp;F$11&amp;"' : '"&amp;F147&amp;"' , ")</f>
        <v xml:space="preserve">'dStreet' : '2665 rue Parc' , </v>
      </c>
      <c r="G148" s="60" t="str">
        <f>IF(G147="","","'"&amp;G$11&amp;"' : '"&amp;G147&amp;"' , ")</f>
        <v xml:space="preserve">'dUnit' : '19' , </v>
      </c>
      <c r="H148" s="60" t="str">
        <f>IF(H147="","","'"&amp;H$11&amp;"' : '"&amp;H147&amp;"' , ")</f>
        <v xml:space="preserve">'dCity' : 'St Cyrille De Wendover' , </v>
      </c>
      <c r="I148" s="60" t="str">
        <f>IF(I147="","","'"&amp;I$11&amp;"' : '"&amp;I147&amp;"' , ")</f>
        <v xml:space="preserve">'dProvince' : 'Quebec' , </v>
      </c>
      <c r="J148" s="60" t="str">
        <f>IF(J147="","","'"&amp;J$11&amp;"' : '"&amp;J147&amp;"' , ")</f>
        <v xml:space="preserve">'dZip' : 'J1Z 1E1' , </v>
      </c>
      <c r="K148" s="60" t="str">
        <f>IF(K147="","","'"&amp;K$11&amp;"' : '"&amp;K147&amp;"' } , ")</f>
        <v xml:space="preserve">'dMobileNumber' : '819-397-4174' } , </v>
      </c>
      <c r="L148" s="60" t="str">
        <f>IF(L147="","","'"&amp;$L$10&amp;"' : { '"&amp;L$11&amp;"' : '"&amp;L147&amp;"' , ")</f>
        <v xml:space="preserve">'billingsAddress' : { 'bName' : 'Brielle Olson' , </v>
      </c>
      <c r="M148" s="60" t="str">
        <f>IF(M147="","","'"&amp;M$11&amp;"' : '"&amp;M147&amp;"' , ")</f>
        <v xml:space="preserve">'bStreet' : '625 40th Street' , </v>
      </c>
      <c r="N148" s="60" t="str">
        <f>IF(N147="","","'"&amp;N$11&amp;"' : '"&amp;N147&amp;"' , ")</f>
        <v xml:space="preserve">'bUnit' : '218' , </v>
      </c>
      <c r="O148" s="60" t="str">
        <f>IF(O147="","","'"&amp;O$11&amp;"' : '"&amp;O147&amp;"' , ")</f>
        <v xml:space="preserve">'bCity' : 'Calgary' , </v>
      </c>
      <c r="P148" s="60" t="str">
        <f>IF(P147="","","'"&amp;P$11&amp;"' : '"&amp;P147&amp;"' , ")</f>
        <v xml:space="preserve">'bProvince' : 'Alberta' , </v>
      </c>
      <c r="Q148" s="60" t="str">
        <f>IF(Q147="","","'"&amp;Q$11&amp;"' : '"&amp;Q147&amp;"' , ")</f>
        <v xml:space="preserve">'bZip' : 'T2N 2A7' , </v>
      </c>
      <c r="R148" s="60" t="str">
        <f>IF(R147="","","'"&amp;R$11&amp;"' : '"&amp;R147&amp;"' } , ")</f>
        <v xml:space="preserve">'bMobileNumber' : '403-283-1490' } , </v>
      </c>
      <c r="S148" s="60" t="str">
        <f>IF(S147="","","'"&amp;$S$10&amp;"' : { '"&amp;S$11&amp;"' : '"&amp;S147&amp;"' , ")</f>
        <v xml:space="preserve">'paymentMethod' : { 'paymentType' : 'Debit' , </v>
      </c>
      <c r="T148" s="60" t="str">
        <f>IF(T147="","","'"&amp;T$11&amp;"' : '"&amp;T147&amp;"' , ")</f>
        <v xml:space="preserve">'cardScheme' : 'Visa' , </v>
      </c>
      <c r="U148" s="60" t="str">
        <f>IF(U147="","","'"&amp;U$11&amp;"' : '"&amp;U147&amp;"' } , ")</f>
        <v xml:space="preserve">'cardLast4' : '7481' } , </v>
      </c>
      <c r="V148" s="60" t="str">
        <f ca="1">IF(V147="","","'"&amp;V$11&amp;"' : "&amp;V147&amp;", ")</f>
        <v xml:space="preserve">'totalQty' : 3, </v>
      </c>
      <c r="W148" s="60" t="str">
        <f>IF(W147="","","'"&amp;W$11&amp;"' : "&amp;W147&amp;", ")</f>
        <v xml:space="preserve">'orderTotal' : 263.46, </v>
      </c>
      <c r="X148" s="60" t="str">
        <f>IF(X147="","","'"&amp;X$11&amp;"' : "&amp;X147&amp;", ")</f>
        <v xml:space="preserve">'grossTotal' : 228.74, </v>
      </c>
      <c r="Y148" s="60" t="str">
        <f>IF(Y147="","","'"&amp;Y$11&amp;"' : "&amp;Y147&amp;", ")</f>
        <v xml:space="preserve">'tax' : 29.73, </v>
      </c>
      <c r="Z148" s="60" t="str">
        <f>IF(Z147="","","'"&amp;Z$11&amp;"' : "&amp;Z147&amp;", ")</f>
        <v xml:space="preserve">'deliveryFee' : 4.99, </v>
      </c>
      <c r="AA148" s="60"/>
      <c r="AB148" s="60"/>
      <c r="AC148" s="60"/>
      <c r="AD148" s="60"/>
      <c r="AE148" s="60"/>
      <c r="AF148" s="60" t="str">
        <f>$AA$10&amp;" : "&amp;_xlfn.CONCAT("[ ",AF144:AF146,"], ")</f>
        <v xml:space="preserve">orderDetails : [ { 'productId' : '4009', 'productName' : 'Pecan Braid', 'quantity' : 8, 'price' : 7.59, 'subTotal' : 60.72 },{ 'productId' : '4012', 'productName' : 'Empanada', 'quantity' : 11, 'price' : 6.79, 'subTotal' : 74.69 },{ 'productId' : '4007', 'productName' : 'Orange Scone', 'quantity' : 17, 'price' : 5.49, 'subTotal' : 93.33 }], </v>
      </c>
      <c r="AG148" s="60" t="str">
        <f>IF(AG147="","","'"&amp;AG$11&amp;"' : new Date('"&amp;TEXT(AG147,"yyyy-mm-dd")&amp;"'), ")</f>
        <v xml:space="preserve">'orderDate' : new Date('2022-11-11'), </v>
      </c>
      <c r="AH148" s="60"/>
      <c r="AI148" s="60" t="str">
        <f>IF(AI147="","","'"&amp;AI$11&amp;"' : '"&amp;AI147&amp;"', ")</f>
        <v xml:space="preserve">'orderStatus' : 'Confirmed', </v>
      </c>
      <c r="AJ148" s="60" t="str">
        <f>IF(AJ147="","","'"&amp;AJ$11&amp;"' : new Date('"&amp;TEXT(AJ147,"yyyy-mm-dd")&amp;"') ")</f>
        <v xml:space="preserve">'statusDate' : new Date('2022-11-11') </v>
      </c>
      <c r="AK148" s="60"/>
      <c r="AL148" s="59"/>
      <c r="AM148" s="58" t="str">
        <f ca="1">_xlfn.CONCAT("{ ",B148:AJ148,"} ,")</f>
        <v>{ 'emailAddress' : 'olsonbrielle@gmail.com', 'orderId' : '20221111103336', 'employeeUserName' : 'mjones', 'deliveryAddress' : { 'dName' : 'Brielle Olson' , 'dStreet' : '2665 rue Parc' , 'dUnit' : '19' , 'dCity' : 'St Cyrille De Wendover' , 'dProvince' : 'Quebec' , 'dZip' : 'J1Z 1E1' , 'dMobileNumber' : '819-397-4174' } , 'billingsAddress' : { 'bName' : 'Brielle Olson' , 'bStreet' : '625 40th Street' , 'bUnit' : '218' , 'bCity' : 'Calgary' , 'bProvince' : 'Alberta' , 'bZip' : 'T2N 2A7' , 'bMobileNumber' : '403-283-1490' } , 'paymentMethod' : { 'paymentType' : 'Debit' , 'cardScheme' : 'Visa' , 'cardLast4' : '7481' } , 'totalQty' : 3, 'orderTotal' : 263.46, 'grossTotal' : 228.74, 'tax' : 29.73, 'deliveryFee' : 4.99, orderDetails : [ { 'productId' : '4009', 'productName' : 'Pecan Braid', 'quantity' : 8, 'price' : 7.59, 'subTotal' : 60.72 },{ 'productId' : '4012', 'productName' : 'Empanada', 'quantity' : 11, 'price' : 6.79, 'subTotal' : 74.69 },{ 'productId' : '4007', 'productName' : 'Orange Scone', 'quantity' : 17, 'price' : 5.49, 'subTotal' : 93.33 }], 'orderDate' : new Date('2022-11-11'), 'orderStatus' : 'Confirmed', 'statusDate' : new Date('2022-11-11') } ,</v>
      </c>
    </row>
    <row r="149" spans="1:39" hidden="1" x14ac:dyDescent="0.35">
      <c r="B149" t="s">
        <v>735</v>
      </c>
      <c r="C149" s="49" t="s">
        <v>753</v>
      </c>
      <c r="D149" t="s">
        <v>682</v>
      </c>
      <c r="E149" t="s">
        <v>328</v>
      </c>
      <c r="F149" t="s">
        <v>584</v>
      </c>
      <c r="G149" t="s">
        <v>603</v>
      </c>
      <c r="H149" t="s">
        <v>441</v>
      </c>
      <c r="I149" t="s">
        <v>26</v>
      </c>
      <c r="J149" t="s">
        <v>613</v>
      </c>
      <c r="K149" t="s">
        <v>625</v>
      </c>
      <c r="L149" t="str">
        <f t="shared" ref="L149:L151" si="161">E149</f>
        <v>Sawyer Oliver</v>
      </c>
      <c r="M149" t="str">
        <f>VLOOKUP($B149,Customers!$B:$J,4,0)</f>
        <v>2963 Pine Street</v>
      </c>
      <c r="O149" t="str">
        <f>VLOOKUP($B149,Customers!$B:$J,6,0)</f>
        <v>Nisku</v>
      </c>
      <c r="P149" t="str">
        <f>VLOOKUP($B149,Customers!$B:$J,7,0)</f>
        <v>Alberta</v>
      </c>
      <c r="Q149" t="str">
        <f>VLOOKUP($B149,Customers!$B:$J,8,0)</f>
        <v>T0C 2G0</v>
      </c>
      <c r="R149" t="str">
        <f>VLOOKUP($B149,Customers!$B:$J,9,0)</f>
        <v>780-955-0637</v>
      </c>
      <c r="S149" t="str">
        <f>VLOOKUP($B149,Customers!$B:$T,16,0)</f>
        <v>Debit</v>
      </c>
      <c r="T149" t="str">
        <f>VLOOKUP($B149,Customers!$B:$T,18,0)</f>
        <v>Mastercard</v>
      </c>
      <c r="U149" t="str">
        <f>VLOOKUP($B149,Customers!$B:$T,19,0)</f>
        <v>5161</v>
      </c>
      <c r="V149">
        <f ca="1">COUNTIF(C:C,C149)-1</f>
        <v>2</v>
      </c>
      <c r="X149">
        <f t="shared" ref="X149:X150" si="162">AC149*AD149</f>
        <v>130.05000000000001</v>
      </c>
      <c r="Y149">
        <f t="shared" ref="Y149" si="163">ROUND(X149*13%,2)</f>
        <v>16.91</v>
      </c>
      <c r="AA149">
        <v>4006</v>
      </c>
      <c r="AB149" t="s">
        <v>70</v>
      </c>
      <c r="AC149">
        <v>17</v>
      </c>
      <c r="AD149">
        <v>7.65</v>
      </c>
      <c r="AE149">
        <f>AC149*AD149</f>
        <v>130.05000000000001</v>
      </c>
      <c r="AF149" s="54" t="str">
        <f>"{ '"&amp;AA$11&amp;"' : '"&amp;AA149&amp;"', '"&amp;AB$11&amp;"' : '"&amp;AB149&amp;"', '"&amp;AC$11&amp;"' : "&amp;AC149&amp;", '"&amp;AD$11&amp;"' : "&amp;AD149&amp;", '"&amp;AE$11&amp;"' : "&amp;AE149&amp;" },"</f>
        <v>{ 'productId' : '4006', 'productName' : 'Chocolate Croissant', 'quantity' : 17, 'price' : 7.65, 'subTotal' : 130.05 },</v>
      </c>
      <c r="AG149" s="48">
        <v>44876</v>
      </c>
      <c r="AH149" s="50" t="s">
        <v>720</v>
      </c>
      <c r="AI149" t="s">
        <v>754</v>
      </c>
      <c r="AJ149" s="48">
        <f>AG149</f>
        <v>44876</v>
      </c>
      <c r="AK149" t="s">
        <v>712</v>
      </c>
    </row>
    <row r="150" spans="1:39" hidden="1" x14ac:dyDescent="0.35">
      <c r="B150" t="s">
        <v>735</v>
      </c>
      <c r="C150" t="s">
        <v>753</v>
      </c>
      <c r="D150" t="s">
        <v>682</v>
      </c>
      <c r="E150" t="s">
        <v>328</v>
      </c>
      <c r="F150" t="s">
        <v>584</v>
      </c>
      <c r="G150" t="s">
        <v>603</v>
      </c>
      <c r="H150" t="s">
        <v>441</v>
      </c>
      <c r="I150" t="s">
        <v>26</v>
      </c>
      <c r="J150" t="s">
        <v>613</v>
      </c>
      <c r="K150" t="s">
        <v>625</v>
      </c>
      <c r="L150" t="str">
        <f t="shared" si="161"/>
        <v>Sawyer Oliver</v>
      </c>
      <c r="M150" t="str">
        <f>VLOOKUP($B150,Customers!$B:$J,4,0)</f>
        <v>2963 Pine Street</v>
      </c>
      <c r="O150" t="str">
        <f>VLOOKUP($B150,Customers!$B:$J,6,0)</f>
        <v>Nisku</v>
      </c>
      <c r="P150" t="str">
        <f>VLOOKUP($B150,Customers!$B:$J,7,0)</f>
        <v>Alberta</v>
      </c>
      <c r="Q150" t="str">
        <f>VLOOKUP($B150,Customers!$B:$J,8,0)</f>
        <v>T0C 2G0</v>
      </c>
      <c r="R150" t="str">
        <f>VLOOKUP($B150,Customers!$B:$J,9,0)</f>
        <v>780-955-0637</v>
      </c>
      <c r="S150" t="str">
        <f>VLOOKUP($B150,Customers!$B:$T,16,0)</f>
        <v>Debit</v>
      </c>
      <c r="T150" t="str">
        <f>VLOOKUP($B150,Customers!$B:$T,18,0)</f>
        <v>Mastercard</v>
      </c>
      <c r="U150" t="str">
        <f>VLOOKUP($B150,Customers!$B:$T,19,0)</f>
        <v>5161</v>
      </c>
      <c r="V150">
        <f ca="1">COUNTIF(C:C,C150)-1</f>
        <v>2</v>
      </c>
      <c r="X150">
        <f t="shared" si="162"/>
        <v>73.45</v>
      </c>
      <c r="Y150">
        <f>ROUND(X150*13%,2)</f>
        <v>9.5500000000000007</v>
      </c>
      <c r="AA150">
        <v>4017</v>
      </c>
      <c r="AB150" t="s">
        <v>84</v>
      </c>
      <c r="AC150">
        <v>13</v>
      </c>
      <c r="AD150">
        <v>5.65</v>
      </c>
      <c r="AE150">
        <f>AC150*AD150</f>
        <v>73.45</v>
      </c>
      <c r="AF150" s="54" t="str">
        <f>"{ '"&amp;AA$11&amp;"' : '"&amp;AA150&amp;"', '"&amp;AB$11&amp;"' : '"&amp;AB150&amp;"', '"&amp;AC$11&amp;"' : "&amp;AC150&amp;", '"&amp;AD$11&amp;"' : "&amp;AD150&amp;", '"&amp;AE$11&amp;"' : "&amp;AE150&amp;" }"</f>
        <v>{ 'productId' : '4017', 'productName' : 'Malunggay Bread', 'quantity' : 13, 'price' : 5.65, 'subTotal' : 73.45 }</v>
      </c>
      <c r="AG150" s="48">
        <v>44876</v>
      </c>
      <c r="AH150" s="48" t="str">
        <f>AH149</f>
        <v>120000</v>
      </c>
      <c r="AI150" t="str">
        <f t="shared" ref="AI150:AJ150" si="164">AI149</f>
        <v>Order Placed</v>
      </c>
      <c r="AJ150" s="48">
        <f t="shared" si="164"/>
        <v>44876</v>
      </c>
    </row>
    <row r="151" spans="1:39" hidden="1" x14ac:dyDescent="0.35">
      <c r="A151" t="s">
        <v>759</v>
      </c>
      <c r="B151" t="s">
        <v>735</v>
      </c>
      <c r="C151" t="s">
        <v>753</v>
      </c>
      <c r="D151" t="s">
        <v>682</v>
      </c>
      <c r="E151" t="s">
        <v>328</v>
      </c>
      <c r="F151" t="s">
        <v>584</v>
      </c>
      <c r="G151" t="s">
        <v>603</v>
      </c>
      <c r="H151" t="s">
        <v>441</v>
      </c>
      <c r="I151" t="s">
        <v>26</v>
      </c>
      <c r="J151" t="s">
        <v>613</v>
      </c>
      <c r="K151" t="s">
        <v>625</v>
      </c>
      <c r="L151" t="str">
        <f t="shared" si="161"/>
        <v>Sawyer Oliver</v>
      </c>
      <c r="M151" t="str">
        <f>VLOOKUP($B151,Customers!$B:$J,4,0)</f>
        <v>2963 Pine Street</v>
      </c>
      <c r="O151" t="str">
        <f>VLOOKUP($B151,Customers!$B:$J,6,0)</f>
        <v>Nisku</v>
      </c>
      <c r="P151" t="str">
        <f>VLOOKUP($B151,Customers!$B:$J,7,0)</f>
        <v>Alberta</v>
      </c>
      <c r="Q151" t="str">
        <f>VLOOKUP($B151,Customers!$B:$J,8,0)</f>
        <v>T0C 2G0</v>
      </c>
      <c r="R151" t="str">
        <f>VLOOKUP($B151,Customers!$B:$J,9,0)</f>
        <v>780-955-0637</v>
      </c>
      <c r="S151" t="str">
        <f>VLOOKUP($B151,Customers!$B:$T,16,0)</f>
        <v>Debit</v>
      </c>
      <c r="T151" t="str">
        <f>VLOOKUP($B151,Customers!$B:$T,18,0)</f>
        <v>Mastercard</v>
      </c>
      <c r="U151" t="str">
        <f>VLOOKUP($B151,Customers!$B:$T,19,0)</f>
        <v>5161</v>
      </c>
      <c r="V151">
        <f ca="1">COUNTIF(C:C,C151)-1</f>
        <v>2</v>
      </c>
      <c r="W151">
        <f>SUM(X151:Z151)</f>
        <v>234.95000000000002</v>
      </c>
      <c r="X151">
        <f>SUM(X149:X150)</f>
        <v>203.5</v>
      </c>
      <c r="Y151">
        <f>SUM(Y149:Y150)</f>
        <v>26.46</v>
      </c>
      <c r="Z151">
        <v>4.99</v>
      </c>
      <c r="AF151" s="54"/>
      <c r="AG151" s="48">
        <f>AG150</f>
        <v>44876</v>
      </c>
      <c r="AH151" s="48"/>
      <c r="AI151" t="str">
        <f t="shared" ref="AI151:AJ151" si="165">AI150</f>
        <v>Order Placed</v>
      </c>
      <c r="AJ151" s="48">
        <f t="shared" si="165"/>
        <v>44876</v>
      </c>
    </row>
    <row r="152" spans="1:39" s="58" customFormat="1" ht="43.5" hidden="1" x14ac:dyDescent="0.35">
      <c r="A152" s="60" t="s">
        <v>760</v>
      </c>
      <c r="B152" s="60" t="str">
        <f>IF(B151="","","'"&amp;B$11&amp;"' : '"&amp;B151&amp;"', ")</f>
        <v xml:space="preserve">'emailAddress' : 'sawyer_oliver@gmail.com', </v>
      </c>
      <c r="C152" s="60" t="str">
        <f>IF(C151="","","'"&amp;C$11&amp;"' : '"&amp;C151&amp;"', ")</f>
        <v xml:space="preserve">'orderId' : '20221111120000', </v>
      </c>
      <c r="D152" s="60" t="str">
        <f>IF(D151="","","'"&amp;D$11&amp;"' : '"&amp;D151&amp;"', ")</f>
        <v xml:space="preserve">'employeeUserName' : 'mjones', </v>
      </c>
      <c r="E152" s="60" t="str">
        <f>IF(E151="","","'"&amp;$F$10&amp;"' : { '"&amp;E$11&amp;"' : '"&amp;E151&amp;"' , ")</f>
        <v xml:space="preserve">'deliveryAddress' : { 'dName' : 'Sawyer Oliver' , </v>
      </c>
      <c r="F152" s="60" t="str">
        <f>IF(F151="","","'"&amp;F$11&amp;"' : '"&amp;F151&amp;"' , ")</f>
        <v xml:space="preserve">'dStreet' : '674 Montreal Road' , </v>
      </c>
      <c r="G152" s="60" t="str">
        <f>IF(G151="","","'"&amp;G$11&amp;"' : '"&amp;G151&amp;"' , ")</f>
        <v xml:space="preserve">'dUnit' : '13' , </v>
      </c>
      <c r="H152" s="60" t="str">
        <f>IF(H151="","","'"&amp;H$11&amp;"' : '"&amp;H151&amp;"' , ")</f>
        <v xml:space="preserve">'dCity' : 'Ottawa' , </v>
      </c>
      <c r="I152" s="60" t="str">
        <f>IF(I151="","","'"&amp;I$11&amp;"' : '"&amp;I151&amp;"' , ")</f>
        <v xml:space="preserve">'dProvince' : 'Ontario' , </v>
      </c>
      <c r="J152" s="60" t="str">
        <f>IF(J151="","","'"&amp;J$11&amp;"' : '"&amp;J151&amp;"' , ")</f>
        <v xml:space="preserve">'dZip' : 'K1L 6C7' , </v>
      </c>
      <c r="K152" s="60" t="str">
        <f>IF(K151="","","'"&amp;K$11&amp;"' : '"&amp;K151&amp;"' } , ")</f>
        <v xml:space="preserve">'dMobileNumber' : '613-744-0751' } , </v>
      </c>
      <c r="L152" s="60" t="str">
        <f>IF(L151="","","'"&amp;$L$10&amp;"' : { '"&amp;L$11&amp;"' : '"&amp;L151&amp;"' , ")</f>
        <v xml:space="preserve">'billingsAddress' : { 'bName' : 'Sawyer Oliver' , </v>
      </c>
      <c r="M152" s="60" t="str">
        <f>IF(M151="","","'"&amp;M$11&amp;"' : '"&amp;M151&amp;"' , ")</f>
        <v xml:space="preserve">'bStreet' : '2963 Pine Street' , </v>
      </c>
      <c r="N152" s="60" t="str">
        <f>IF(N151="","","'"&amp;N$11&amp;"' : '"&amp;N151&amp;"' , ")</f>
        <v/>
      </c>
      <c r="O152" s="60" t="str">
        <f>IF(O151="","","'"&amp;O$11&amp;"' : '"&amp;O151&amp;"' , ")</f>
        <v xml:space="preserve">'bCity' : 'Nisku' , </v>
      </c>
      <c r="P152" s="60" t="str">
        <f>IF(P151="","","'"&amp;P$11&amp;"' : '"&amp;P151&amp;"' , ")</f>
        <v xml:space="preserve">'bProvince' : 'Alberta' , </v>
      </c>
      <c r="Q152" s="60" t="str">
        <f>IF(Q151="","","'"&amp;Q$11&amp;"' : '"&amp;Q151&amp;"' , ")</f>
        <v xml:space="preserve">'bZip' : 'T0C 2G0' , </v>
      </c>
      <c r="R152" s="60" t="str">
        <f>IF(R151="","","'"&amp;R$11&amp;"' : '"&amp;R151&amp;"' } , ")</f>
        <v xml:space="preserve">'bMobileNumber' : '780-955-0637' } , </v>
      </c>
      <c r="S152" s="60" t="str">
        <f>IF(S151="","","'"&amp;$S$10&amp;"' : { '"&amp;S$11&amp;"' : '"&amp;S151&amp;"' , ")</f>
        <v xml:space="preserve">'paymentMethod' : { 'paymentType' : 'Debit' , </v>
      </c>
      <c r="T152" s="60" t="str">
        <f>IF(T151="","","'"&amp;T$11&amp;"' : '"&amp;T151&amp;"' , ")</f>
        <v xml:space="preserve">'cardScheme' : 'Mastercard' , </v>
      </c>
      <c r="U152" s="60" t="str">
        <f>IF(U151="","","'"&amp;U$11&amp;"' : '"&amp;U151&amp;"' } , ")</f>
        <v xml:space="preserve">'cardLast4' : '5161' } , </v>
      </c>
      <c r="V152" s="60" t="str">
        <f ca="1">IF(V151="","","'"&amp;V$11&amp;"' : "&amp;V151&amp;", ")</f>
        <v xml:space="preserve">'totalQty' : 2, </v>
      </c>
      <c r="W152" s="60" t="str">
        <f>IF(W151="","","'"&amp;W$11&amp;"' : "&amp;W151&amp;", ")</f>
        <v xml:space="preserve">'orderTotal' : 234.95, </v>
      </c>
      <c r="X152" s="60" t="str">
        <f>IF(X151="","","'"&amp;X$11&amp;"' : "&amp;X151&amp;", ")</f>
        <v xml:space="preserve">'grossTotal' : 203.5, </v>
      </c>
      <c r="Y152" s="60" t="str">
        <f>IF(Y151="","","'"&amp;Y$11&amp;"' : "&amp;Y151&amp;", ")</f>
        <v xml:space="preserve">'tax' : 26.46, </v>
      </c>
      <c r="Z152" s="60" t="str">
        <f>IF(Z151="","","'"&amp;Z$11&amp;"' : "&amp;Z151&amp;", ")</f>
        <v xml:space="preserve">'deliveryFee' : 4.99, </v>
      </c>
      <c r="AA152" s="60"/>
      <c r="AB152" s="60"/>
      <c r="AC152" s="60"/>
      <c r="AD152" s="60"/>
      <c r="AE152" s="60"/>
      <c r="AF152" s="60" t="str">
        <f>$AA$10&amp;" : "&amp;_xlfn.CONCAT("[ ",AF149:AF150,"], ")</f>
        <v xml:space="preserve">orderDetails : [ { 'productId' : '4006', 'productName' : 'Chocolate Croissant', 'quantity' : 17, 'price' : 7.65, 'subTotal' : 130.05 },{ 'productId' : '4017', 'productName' : 'Malunggay Bread', 'quantity' : 13, 'price' : 5.65, 'subTotal' : 73.45 }], </v>
      </c>
      <c r="AG152" s="60" t="str">
        <f>IF(AG151="","","'"&amp;AG$11&amp;"' : new Date('"&amp;TEXT(AG151,"yyyy-mm-dd")&amp;"'), ")</f>
        <v xml:space="preserve">'orderDate' : new Date('2022-11-11'), </v>
      </c>
      <c r="AH152" s="60"/>
      <c r="AI152" s="60" t="str">
        <f>IF(AI151="","","'"&amp;AI$11&amp;"' : '"&amp;AI151&amp;"', ")</f>
        <v xml:space="preserve">'orderStatus' : 'Order Placed', </v>
      </c>
      <c r="AJ152" s="60" t="str">
        <f>IF(AJ151="","","'"&amp;AJ$11&amp;"' : new Date('"&amp;TEXT(AJ151,"yyyy-mm-dd")&amp;"') ")</f>
        <v xml:space="preserve">'statusDate' : new Date('2022-11-11') </v>
      </c>
      <c r="AK152" s="60"/>
      <c r="AL152" s="59"/>
      <c r="AM152" s="58" t="str">
        <f ca="1">_xlfn.CONCAT("{ ",B152:AJ152,"} ,")</f>
        <v>{ 'emailAddress' : 'sawyer_oliver@gmail.com', 'orderId' : '20221111120000', 'employeeUserName' : 'mjones', 'deliveryAddress' : { 'dName' : 'Sawyer Oliver' , 'dStreet' : '674 Montreal Road' , 'dUnit' : '13' , 'dCity' : 'Ottawa' , 'dProvince' : 'Ontario' , 'dZip' : 'K1L 6C7' , 'dMobileNumber' : '613-744-0751' } , 'billingsAddress' : { 'bName' : 'Sawyer Oliver' , 'bStreet' : '2963 Pine Street' , 'bCity' : 'Nisku' , 'bProvince' : 'Alberta' , 'bZip' : 'T0C 2G0' , 'bMobileNumber' : '780-955-0637' } , 'paymentMethod' : { 'paymentType' : 'Debit' , 'cardScheme' : 'Mastercard' , 'cardLast4' : '5161' } , 'totalQty' : 2, 'orderTotal' : 234.95, 'grossTotal' : 203.5, 'tax' : 26.46, 'deliveryFee' : 4.99, orderDetails : [ { 'productId' : '4006', 'productName' : 'Chocolate Croissant', 'quantity' : 17, 'price' : 7.65, 'subTotal' : 130.05 },{ 'productId' : '4017', 'productName' : 'Malunggay Bread', 'quantity' : 13, 'price' : 5.65, 'subTotal' : 73.45 }], 'orderDate' : new Date('2022-11-11'), 'orderStatus' : 'Order Placed', 'statusDate' : new Date('2022-11-11') } ,</v>
      </c>
    </row>
    <row r="153" spans="1:39" hidden="1" x14ac:dyDescent="0.35">
      <c r="B153" s="40" t="str">
        <f ca="1">VLOOKUP(RANDBETWEEN(1,30),Customers!$A$4:$B$33,2,0)</f>
        <v>mccoycharlie@gmail.com</v>
      </c>
      <c r="C153" s="40" t="str">
        <f ca="1">TEXT(AG153,"yyyymmdd")&amp;AH153</f>
        <v>20221111085248</v>
      </c>
      <c r="D153" s="40" t="str">
        <f ca="1">VLOOKUP(RANDBETWEEN(1,3),Employees!$A$3:$C$5,2,0)</f>
        <v>mjones</v>
      </c>
      <c r="E153" s="40" t="str">
        <f ca="1">INDEX(Customers!C:C,MATCH(B153,Customers!B:B,0))&amp;" "&amp;INDEX(Customers!D:D,MATCH(B153,Customers!B:B,0))</f>
        <v>Charlie McCoy</v>
      </c>
      <c r="F153" s="40" t="str">
        <f ca="1">INDEX(Customers!K:K,MATCH(B153,Customers!B:B,0))</f>
        <v>1165 Duke Street</v>
      </c>
      <c r="G153" s="40" t="str">
        <f ca="1">INDEX(Customers!L:L,MATCH(B153,Customers!B:B,0))</f>
        <v>110</v>
      </c>
      <c r="H153" s="40" t="str">
        <f ca="1">INDEX(Customers!M:M,MATCH(B153,Customers!B:B,0))</f>
        <v>Montreal</v>
      </c>
      <c r="I153" s="40" t="str">
        <f ca="1">INDEX(Customers!N:N,MATCH(B153,Customers!B:B,0))</f>
        <v>Quebec</v>
      </c>
      <c r="J153" s="40" t="str">
        <f ca="1">INDEX(Customers!O:O,MATCH(B153,Customers!B:B,0))</f>
        <v>H3C 5K4</v>
      </c>
      <c r="K153" s="40" t="str">
        <f ca="1">INDEX(Customers!P:P,MATCH(B153,Customers!B:B,0))</f>
        <v>514-229-9713</v>
      </c>
      <c r="L153" s="40" t="str">
        <f t="shared" ref="L153" ca="1" si="166">E153</f>
        <v>Charlie McCoy</v>
      </c>
      <c r="M153" s="40" t="str">
        <f ca="1">VLOOKUP($B153,Customers!$B:$J,4,0)</f>
        <v>1266 rue Ontario Ouest</v>
      </c>
      <c r="N153" s="40" t="str">
        <f ca="1">VLOOKUP($B153,Customers!$B:$J,5,0)</f>
        <v>319</v>
      </c>
      <c r="O153" s="40" t="str">
        <f ca="1">VLOOKUP($B153,Customers!$B:$J,6,0)</f>
        <v>Montreal</v>
      </c>
      <c r="P153" s="40" t="str">
        <f ca="1">VLOOKUP($B153,Customers!$B:$J,7,0)</f>
        <v>Quebec</v>
      </c>
      <c r="Q153" s="40" t="str">
        <f ca="1">VLOOKUP($B153,Customers!$B:$J,8,0)</f>
        <v>H2X 1Y8</v>
      </c>
      <c r="R153" s="40" t="str">
        <f ca="1">VLOOKUP($B153,Customers!$B:$J,9,0)</f>
        <v>514-982-1624</v>
      </c>
      <c r="S153" s="40" t="str">
        <f ca="1">VLOOKUP($B153,Customers!$B:$T,16,0)</f>
        <v>Debit</v>
      </c>
      <c r="T153" s="40" t="str">
        <f ca="1">VLOOKUP($B153,Customers!$B:$T,18,0)</f>
        <v>Mastercard</v>
      </c>
      <c r="U153" s="40" t="str">
        <f ca="1">VLOOKUP($B153,Customers!$B:$T,19,0)</f>
        <v>1351</v>
      </c>
      <c r="V153" s="40"/>
      <c r="W153" s="40"/>
      <c r="X153" s="40"/>
      <c r="Y153" s="40"/>
      <c r="Z153" s="40"/>
      <c r="AA153" s="40" t="e">
        <f ca="1">VLOOKUP(RANDBETWEEN(1,23),#REF!,2,0)</f>
        <v>#REF!</v>
      </c>
      <c r="AB153" s="40" t="e">
        <f ca="1">VLOOKUP(AA153,#REF!,2,0)</f>
        <v>#REF!</v>
      </c>
      <c r="AC153" s="40">
        <f ca="1">RANDBETWEEN(1,24)</f>
        <v>23</v>
      </c>
      <c r="AD153" s="40" t="e">
        <f ca="1">VLOOKUP(AA153,#REF!,5,0)</f>
        <v>#REF!</v>
      </c>
      <c r="AF153" s="52" t="str">
        <f>$AA$10&amp;" : "&amp;_xlfn.CONCAT("[ ",,"], ")</f>
        <v xml:space="preserve">orderDetails : [ ], </v>
      </c>
      <c r="AG153" s="52">
        <f>AG150</f>
        <v>44876</v>
      </c>
      <c r="AH153" s="53" t="str">
        <f ca="1">TEXT(RANDBETWEEN(34,50)/100, "HHMMSS")</f>
        <v>085248</v>
      </c>
      <c r="AK153" s="40" t="str">
        <f ca="1">VLOOKUP(RANDBETWEEN(1,30),Customers!$A$4:$B$33,2,0)</f>
        <v>bethanynevin@gmail.com</v>
      </c>
      <c r="AL153" s="57"/>
    </row>
  </sheetData>
  <autoFilter ref="A11:AM153" xr:uid="{33029A2F-5336-4B24-AA80-A5C3CBC080E8}">
    <filterColumn colId="32">
      <filters>
        <dateGroupItem year="2022" month="11" day="4" dateTimeGrouping="day"/>
      </filters>
    </filterColumn>
  </autoFilter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E5C0E-7CAC-416A-9F81-6A7BFA343713}">
  <dimension ref="B2:N42"/>
  <sheetViews>
    <sheetView workbookViewId="0">
      <selection activeCell="B36" sqref="B36"/>
    </sheetView>
  </sheetViews>
  <sheetFormatPr defaultRowHeight="14.5" x14ac:dyDescent="0.35"/>
  <cols>
    <col min="2" max="2" width="9" bestFit="1" customWidth="1"/>
    <col min="3" max="3" width="12.26953125" bestFit="1" customWidth="1"/>
    <col min="4" max="4" width="17" bestFit="1" customWidth="1"/>
    <col min="5" max="5" width="14.81640625" bestFit="1" customWidth="1"/>
    <col min="6" max="6" width="4.90625" bestFit="1" customWidth="1"/>
    <col min="7" max="7" width="9" bestFit="1" customWidth="1"/>
    <col min="8" max="8" width="11.54296875" bestFit="1" customWidth="1"/>
    <col min="9" max="9" width="9.81640625" bestFit="1" customWidth="1"/>
    <col min="10" max="10" width="7.7265625" bestFit="1" customWidth="1"/>
    <col min="11" max="11" width="9.1796875" bestFit="1" customWidth="1"/>
    <col min="12" max="12" width="8.54296875" bestFit="1" customWidth="1"/>
  </cols>
  <sheetData>
    <row r="2" spans="2:14" x14ac:dyDescent="0.35">
      <c r="H2" t="s">
        <v>127</v>
      </c>
      <c r="I2" t="s">
        <v>127</v>
      </c>
      <c r="J2" t="s">
        <v>127</v>
      </c>
      <c r="K2" t="s">
        <v>127</v>
      </c>
    </row>
    <row r="3" spans="2:14" x14ac:dyDescent="0.35">
      <c r="B3" t="s">
        <v>106</v>
      </c>
      <c r="C3" t="s">
        <v>111</v>
      </c>
      <c r="D3" t="s">
        <v>113</v>
      </c>
      <c r="E3" t="s">
        <v>117</v>
      </c>
      <c r="F3" t="s">
        <v>121</v>
      </c>
      <c r="G3" t="s">
        <v>123</v>
      </c>
      <c r="H3" t="s">
        <v>128</v>
      </c>
      <c r="I3" t="s">
        <v>130</v>
      </c>
      <c r="J3" t="s">
        <v>124</v>
      </c>
      <c r="K3" t="s">
        <v>766</v>
      </c>
      <c r="L3" t="s">
        <v>146</v>
      </c>
      <c r="N3" t="s">
        <v>127</v>
      </c>
    </row>
    <row r="4" spans="2:14" x14ac:dyDescent="0.35">
      <c r="B4" t="s">
        <v>106</v>
      </c>
      <c r="C4" t="s">
        <v>111</v>
      </c>
      <c r="D4" t="s">
        <v>113</v>
      </c>
      <c r="E4" t="s">
        <v>117</v>
      </c>
      <c r="F4" t="s">
        <v>121</v>
      </c>
      <c r="G4" t="s">
        <v>123</v>
      </c>
      <c r="H4" t="s">
        <v>146</v>
      </c>
      <c r="I4" t="str">
        <f>RIGHT(N4,1)</f>
        <v>,</v>
      </c>
      <c r="N4" t="s">
        <v>774</v>
      </c>
    </row>
    <row r="5" spans="2:14" x14ac:dyDescent="0.35">
      <c r="B5">
        <v>4001</v>
      </c>
      <c r="C5" t="s">
        <v>63</v>
      </c>
      <c r="D5" t="s">
        <v>64</v>
      </c>
      <c r="E5" t="s">
        <v>62</v>
      </c>
      <c r="F5">
        <v>4.99</v>
      </c>
      <c r="G5">
        <v>26</v>
      </c>
      <c r="H5">
        <v>1</v>
      </c>
      <c r="I5" t="str">
        <f>RIGHT(N5,1)</f>
        <v>]</v>
      </c>
      <c r="N5" t="s">
        <v>775</v>
      </c>
    </row>
    <row r="6" spans="2:14" x14ac:dyDescent="0.35">
      <c r="I6" t="str">
        <f>RIGHT(N6,1)</f>
        <v>,</v>
      </c>
      <c r="N6" t="s">
        <v>776</v>
      </c>
    </row>
    <row r="7" spans="2:14" x14ac:dyDescent="0.35">
      <c r="B7">
        <v>4002</v>
      </c>
      <c r="C7" t="s">
        <v>66</v>
      </c>
      <c r="D7" t="s">
        <v>64</v>
      </c>
      <c r="E7" t="s">
        <v>62</v>
      </c>
      <c r="F7">
        <v>5.99</v>
      </c>
      <c r="G7">
        <v>15</v>
      </c>
      <c r="H7">
        <v>1</v>
      </c>
      <c r="I7" t="str">
        <f>RIGHT(N7,1)</f>
        <v>]</v>
      </c>
      <c r="N7" t="s">
        <v>777</v>
      </c>
    </row>
    <row r="8" spans="2:14" x14ac:dyDescent="0.35">
      <c r="I8" t="str">
        <f>RIGHT(N8,1)</f>
        <v>,</v>
      </c>
      <c r="N8" t="s">
        <v>778</v>
      </c>
    </row>
    <row r="9" spans="2:14" x14ac:dyDescent="0.35">
      <c r="B9">
        <v>4003</v>
      </c>
      <c r="C9" t="s">
        <v>67</v>
      </c>
      <c r="D9" t="s">
        <v>64</v>
      </c>
      <c r="E9" t="s">
        <v>62</v>
      </c>
      <c r="F9">
        <v>6.25</v>
      </c>
      <c r="G9">
        <v>13</v>
      </c>
      <c r="H9">
        <v>1</v>
      </c>
      <c r="I9" t="str">
        <f>RIGHT(N9,1)</f>
        <v>]</v>
      </c>
      <c r="N9" t="s">
        <v>777</v>
      </c>
    </row>
    <row r="10" spans="2:14" x14ac:dyDescent="0.35">
      <c r="I10" t="str">
        <f>RIGHT(N10,1)</f>
        <v>,</v>
      </c>
      <c r="N10" t="s">
        <v>774</v>
      </c>
    </row>
    <row r="11" spans="2:14" x14ac:dyDescent="0.35">
      <c r="B11">
        <v>4004</v>
      </c>
      <c r="C11" t="s">
        <v>68</v>
      </c>
      <c r="D11" t="s">
        <v>64</v>
      </c>
      <c r="E11" t="s">
        <v>62</v>
      </c>
      <c r="F11">
        <v>7.49</v>
      </c>
      <c r="G11">
        <v>26</v>
      </c>
      <c r="H11">
        <v>1</v>
      </c>
      <c r="I11" t="str">
        <f>RIGHT(N11,1)</f>
        <v>]</v>
      </c>
      <c r="N11" t="s">
        <v>775</v>
      </c>
    </row>
    <row r="12" spans="2:14" x14ac:dyDescent="0.35">
      <c r="I12" t="str">
        <f>RIGHT(N12,1)</f>
        <v>,</v>
      </c>
      <c r="N12" t="s">
        <v>778</v>
      </c>
    </row>
    <row r="13" spans="2:14" x14ac:dyDescent="0.35">
      <c r="B13">
        <v>4005</v>
      </c>
      <c r="C13" t="s">
        <v>69</v>
      </c>
      <c r="D13" t="s">
        <v>64</v>
      </c>
      <c r="E13" t="s">
        <v>62</v>
      </c>
      <c r="F13">
        <v>5.99</v>
      </c>
      <c r="G13">
        <v>13</v>
      </c>
      <c r="H13">
        <v>1</v>
      </c>
      <c r="I13" t="str">
        <f>RIGHT(N13,1)</f>
        <v>]</v>
      </c>
      <c r="N13" t="s">
        <v>777</v>
      </c>
    </row>
    <row r="14" spans="2:14" x14ac:dyDescent="0.35">
      <c r="I14" t="str">
        <f>RIGHT(N14,1)</f>
        <v>,</v>
      </c>
      <c r="N14" t="s">
        <v>779</v>
      </c>
    </row>
    <row r="15" spans="2:14" x14ac:dyDescent="0.35">
      <c r="B15">
        <v>4006</v>
      </c>
      <c r="C15" t="s">
        <v>70</v>
      </c>
      <c r="D15" t="s">
        <v>64</v>
      </c>
      <c r="E15" t="s">
        <v>62</v>
      </c>
      <c r="F15">
        <v>7.65</v>
      </c>
      <c r="G15">
        <v>28</v>
      </c>
      <c r="H15">
        <v>1</v>
      </c>
      <c r="I15" t="str">
        <f>RIGHT(N15,1)</f>
        <v>]</v>
      </c>
      <c r="N15" t="s">
        <v>775</v>
      </c>
    </row>
    <row r="16" spans="2:14" x14ac:dyDescent="0.35">
      <c r="I16" t="str">
        <f>RIGHT(N16,1)</f>
        <v>,</v>
      </c>
      <c r="N16" t="s">
        <v>778</v>
      </c>
    </row>
    <row r="17" spans="2:14" x14ac:dyDescent="0.35">
      <c r="B17">
        <v>4007</v>
      </c>
      <c r="C17" t="s">
        <v>71</v>
      </c>
      <c r="D17" t="s">
        <v>64</v>
      </c>
      <c r="E17" t="s">
        <v>62</v>
      </c>
      <c r="F17">
        <v>5.49</v>
      </c>
      <c r="G17">
        <v>13</v>
      </c>
      <c r="H17">
        <v>1</v>
      </c>
      <c r="I17" t="str">
        <f>RIGHT(N17,1)</f>
        <v>]</v>
      </c>
      <c r="N17" t="s">
        <v>777</v>
      </c>
    </row>
    <row r="18" spans="2:14" x14ac:dyDescent="0.35">
      <c r="I18" t="str">
        <f>RIGHT(N18,1)</f>
        <v>,</v>
      </c>
      <c r="N18" t="s">
        <v>776</v>
      </c>
    </row>
    <row r="19" spans="2:14" x14ac:dyDescent="0.35">
      <c r="B19">
        <v>4008</v>
      </c>
      <c r="C19" t="s">
        <v>72</v>
      </c>
      <c r="D19" t="s">
        <v>64</v>
      </c>
      <c r="E19" t="s">
        <v>62</v>
      </c>
      <c r="F19">
        <v>6.45</v>
      </c>
      <c r="G19">
        <v>15</v>
      </c>
      <c r="H19">
        <v>1</v>
      </c>
      <c r="I19" t="str">
        <f>RIGHT(N19,1)</f>
        <v>]</v>
      </c>
      <c r="N19" t="s">
        <v>777</v>
      </c>
    </row>
    <row r="20" spans="2:14" x14ac:dyDescent="0.35">
      <c r="I20" t="str">
        <f>RIGHT(N20,1)</f>
        <v>,</v>
      </c>
      <c r="N20" t="s">
        <v>780</v>
      </c>
    </row>
    <row r="21" spans="2:14" x14ac:dyDescent="0.35">
      <c r="B21">
        <v>4009</v>
      </c>
      <c r="C21" t="s">
        <v>73</v>
      </c>
      <c r="D21" t="s">
        <v>64</v>
      </c>
      <c r="E21" t="s">
        <v>62</v>
      </c>
      <c r="F21">
        <v>7.59</v>
      </c>
      <c r="G21">
        <v>16</v>
      </c>
      <c r="H21">
        <v>1</v>
      </c>
      <c r="I21" t="str">
        <f>RIGHT(N21,1)</f>
        <v>]</v>
      </c>
      <c r="N21" t="s">
        <v>777</v>
      </c>
    </row>
    <row r="22" spans="2:14" x14ac:dyDescent="0.35">
      <c r="I22" t="str">
        <f>RIGHT(N22,1)</f>
        <v>,</v>
      </c>
      <c r="N22" t="s">
        <v>781</v>
      </c>
    </row>
    <row r="23" spans="2:14" x14ac:dyDescent="0.35">
      <c r="B23">
        <v>4010</v>
      </c>
      <c r="C23" t="s">
        <v>74</v>
      </c>
      <c r="D23" t="s">
        <v>64</v>
      </c>
      <c r="E23" t="s">
        <v>62</v>
      </c>
      <c r="F23">
        <v>8.35</v>
      </c>
      <c r="G23">
        <v>27</v>
      </c>
      <c r="H23">
        <v>1</v>
      </c>
      <c r="I23" t="str">
        <f>RIGHT(N23,1)</f>
        <v>]</v>
      </c>
      <c r="N23" t="s">
        <v>775</v>
      </c>
    </row>
    <row r="24" spans="2:14" x14ac:dyDescent="0.35">
      <c r="I24" t="str">
        <f>RIGHT(N24,1)</f>
        <v>,</v>
      </c>
      <c r="N24" t="s">
        <v>776</v>
      </c>
    </row>
    <row r="25" spans="2:14" x14ac:dyDescent="0.35">
      <c r="B25">
        <v>4011</v>
      </c>
      <c r="C25" t="s">
        <v>75</v>
      </c>
      <c r="D25" t="s">
        <v>64</v>
      </c>
      <c r="E25" t="s">
        <v>62</v>
      </c>
      <c r="F25">
        <v>5.45</v>
      </c>
      <c r="G25">
        <v>15</v>
      </c>
      <c r="H25">
        <v>1</v>
      </c>
      <c r="I25" t="str">
        <f>RIGHT(N25,1)</f>
        <v>]</v>
      </c>
      <c r="N25" t="s">
        <v>777</v>
      </c>
    </row>
    <row r="26" spans="2:14" x14ac:dyDescent="0.35">
      <c r="B26">
        <v>4012</v>
      </c>
      <c r="C26" t="s">
        <v>76</v>
      </c>
      <c r="D26" t="s">
        <v>64</v>
      </c>
      <c r="E26" t="s">
        <v>62</v>
      </c>
      <c r="F26">
        <v>6.79</v>
      </c>
      <c r="G26">
        <v>10</v>
      </c>
      <c r="H26">
        <v>1</v>
      </c>
      <c r="I26" t="str">
        <f t="shared" ref="I26:I38" si="0">RIGHT(N26,1)</f>
        <v>]</v>
      </c>
      <c r="N26" t="s">
        <v>767</v>
      </c>
    </row>
    <row r="27" spans="2:14" x14ac:dyDescent="0.35">
      <c r="B27">
        <v>4013</v>
      </c>
      <c r="C27" t="s">
        <v>79</v>
      </c>
      <c r="D27" t="s">
        <v>80</v>
      </c>
      <c r="E27" t="s">
        <v>78</v>
      </c>
      <c r="F27">
        <v>4.99</v>
      </c>
      <c r="G27">
        <v>20</v>
      </c>
      <c r="H27">
        <v>1</v>
      </c>
      <c r="I27" t="str">
        <f t="shared" si="0"/>
        <v>]</v>
      </c>
      <c r="N27" t="s">
        <v>768</v>
      </c>
    </row>
    <row r="28" spans="2:14" x14ac:dyDescent="0.35">
      <c r="B28">
        <v>4014</v>
      </c>
      <c r="C28" t="s">
        <v>81</v>
      </c>
      <c r="D28" t="s">
        <v>80</v>
      </c>
      <c r="E28" t="s">
        <v>78</v>
      </c>
      <c r="F28">
        <v>4.8899999999999997</v>
      </c>
      <c r="G28">
        <v>6</v>
      </c>
      <c r="H28">
        <v>1</v>
      </c>
      <c r="I28" t="str">
        <f t="shared" si="0"/>
        <v>]</v>
      </c>
      <c r="N28" t="s">
        <v>769</v>
      </c>
    </row>
    <row r="29" spans="2:14" x14ac:dyDescent="0.35">
      <c r="I29" t="str">
        <f t="shared" si="0"/>
        <v>,</v>
      </c>
      <c r="N29" t="s">
        <v>778</v>
      </c>
    </row>
    <row r="30" spans="2:14" x14ac:dyDescent="0.35">
      <c r="B30">
        <v>4015</v>
      </c>
      <c r="C30" t="s">
        <v>82</v>
      </c>
      <c r="D30" t="s">
        <v>64</v>
      </c>
      <c r="E30" t="s">
        <v>62</v>
      </c>
      <c r="F30">
        <v>6.59</v>
      </c>
      <c r="G30">
        <v>13</v>
      </c>
      <c r="H30">
        <v>1</v>
      </c>
      <c r="I30" t="str">
        <f t="shared" si="0"/>
        <v>]</v>
      </c>
      <c r="N30" t="s">
        <v>777</v>
      </c>
    </row>
    <row r="31" spans="2:14" x14ac:dyDescent="0.35">
      <c r="I31" t="str">
        <f t="shared" si="0"/>
        <v>,</v>
      </c>
      <c r="N31" t="s">
        <v>782</v>
      </c>
    </row>
    <row r="32" spans="2:14" x14ac:dyDescent="0.35">
      <c r="B32">
        <v>4016</v>
      </c>
      <c r="C32" t="s">
        <v>83</v>
      </c>
      <c r="D32" t="s">
        <v>64</v>
      </c>
      <c r="E32" t="s">
        <v>62</v>
      </c>
      <c r="F32">
        <v>7.23</v>
      </c>
      <c r="G32">
        <v>17</v>
      </c>
      <c r="H32">
        <v>1</v>
      </c>
      <c r="I32" t="str">
        <f t="shared" si="0"/>
        <v>]</v>
      </c>
      <c r="N32" t="s">
        <v>777</v>
      </c>
    </row>
    <row r="33" spans="2:14" x14ac:dyDescent="0.35">
      <c r="I33" t="str">
        <f t="shared" si="0"/>
        <v>,</v>
      </c>
      <c r="N33" t="s">
        <v>782</v>
      </c>
    </row>
    <row r="34" spans="2:14" x14ac:dyDescent="0.35">
      <c r="B34">
        <v>4017</v>
      </c>
      <c r="C34" t="s">
        <v>84</v>
      </c>
      <c r="D34" t="s">
        <v>80</v>
      </c>
      <c r="E34" t="s">
        <v>78</v>
      </c>
      <c r="F34">
        <v>5.65</v>
      </c>
      <c r="G34">
        <v>17</v>
      </c>
      <c r="H34">
        <v>1</v>
      </c>
      <c r="I34" t="str">
        <f t="shared" si="0"/>
        <v>]</v>
      </c>
      <c r="N34" t="s">
        <v>777</v>
      </c>
    </row>
    <row r="35" spans="2:14" x14ac:dyDescent="0.35">
      <c r="I35" t="str">
        <f t="shared" si="0"/>
        <v>,</v>
      </c>
      <c r="N35" t="s">
        <v>783</v>
      </c>
    </row>
    <row r="36" spans="2:14" x14ac:dyDescent="0.35">
      <c r="B36">
        <v>4018</v>
      </c>
      <c r="C36" t="s">
        <v>85</v>
      </c>
      <c r="D36" t="s">
        <v>80</v>
      </c>
      <c r="E36" t="s">
        <v>78</v>
      </c>
      <c r="F36">
        <v>5.99</v>
      </c>
      <c r="G36">
        <v>14</v>
      </c>
      <c r="H36">
        <v>1</v>
      </c>
      <c r="I36" t="str">
        <f t="shared" si="0"/>
        <v>]</v>
      </c>
      <c r="N36" t="s">
        <v>777</v>
      </c>
    </row>
    <row r="37" spans="2:14" x14ac:dyDescent="0.35">
      <c r="B37">
        <v>4019</v>
      </c>
      <c r="C37" t="s">
        <v>86</v>
      </c>
      <c r="D37" t="s">
        <v>64</v>
      </c>
      <c r="E37" t="s">
        <v>62</v>
      </c>
      <c r="F37">
        <v>6.45</v>
      </c>
      <c r="G37">
        <v>18</v>
      </c>
      <c r="H37">
        <v>1</v>
      </c>
      <c r="I37" t="str">
        <f t="shared" si="0"/>
        <v>,</v>
      </c>
      <c r="N37" t="s">
        <v>784</v>
      </c>
    </row>
    <row r="38" spans="2:14" x14ac:dyDescent="0.35">
      <c r="B38">
        <v>4020</v>
      </c>
      <c r="C38" t="s">
        <v>87</v>
      </c>
      <c r="D38" t="s">
        <v>64</v>
      </c>
      <c r="E38" t="s">
        <v>62</v>
      </c>
      <c r="F38">
        <v>6.75</v>
      </c>
      <c r="G38">
        <v>11</v>
      </c>
      <c r="H38">
        <v>1</v>
      </c>
      <c r="I38" t="str">
        <f t="shared" si="0"/>
        <v>]</v>
      </c>
      <c r="N38" t="s">
        <v>777</v>
      </c>
    </row>
    <row r="39" spans="2:14" x14ac:dyDescent="0.35">
      <c r="B39">
        <v>5001</v>
      </c>
      <c r="C39" t="s">
        <v>89</v>
      </c>
      <c r="D39" t="s">
        <v>90</v>
      </c>
      <c r="E39" t="s">
        <v>88</v>
      </c>
      <c r="F39">
        <v>3.99</v>
      </c>
      <c r="G39">
        <v>39</v>
      </c>
      <c r="H39">
        <v>1</v>
      </c>
      <c r="N39" t="s">
        <v>770</v>
      </c>
    </row>
    <row r="40" spans="2:14" x14ac:dyDescent="0.35">
      <c r="B40">
        <v>5002</v>
      </c>
      <c r="C40" t="s">
        <v>92</v>
      </c>
      <c r="D40" t="s">
        <v>93</v>
      </c>
      <c r="E40" t="s">
        <v>88</v>
      </c>
      <c r="F40">
        <v>4.99</v>
      </c>
      <c r="G40">
        <v>11</v>
      </c>
      <c r="H40">
        <v>1</v>
      </c>
      <c r="N40" t="s">
        <v>771</v>
      </c>
    </row>
    <row r="41" spans="2:14" x14ac:dyDescent="0.35">
      <c r="B41">
        <v>5003</v>
      </c>
      <c r="C41" t="s">
        <v>94</v>
      </c>
      <c r="D41" t="s">
        <v>95</v>
      </c>
      <c r="E41" t="s">
        <v>88</v>
      </c>
      <c r="F41">
        <v>3.99</v>
      </c>
      <c r="G41">
        <v>25</v>
      </c>
      <c r="H41">
        <v>1</v>
      </c>
      <c r="N41" t="s">
        <v>772</v>
      </c>
    </row>
    <row r="42" spans="2:14" x14ac:dyDescent="0.35">
      <c r="N42" t="s">
        <v>773</v>
      </c>
    </row>
  </sheetData>
  <conditionalFormatting sqref="I4:I38">
    <cfRule type="cellIs" dxfId="0" priority="1" operator="equal">
      <formula>"]"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05E7-34E1-4273-A297-31817CF02F97}">
  <sheetPr filterMode="1"/>
  <dimension ref="A1:Y27"/>
  <sheetViews>
    <sheetView topLeftCell="R1" zoomScale="85" zoomScaleNormal="85" workbookViewId="0">
      <selection activeCell="Y4" sqref="Y4:Y25"/>
    </sheetView>
  </sheetViews>
  <sheetFormatPr defaultRowHeight="14.5" x14ac:dyDescent="0.35"/>
  <cols>
    <col min="3" max="3" width="30.36328125" bestFit="1" customWidth="1"/>
    <col min="4" max="4" width="30.36328125" customWidth="1"/>
    <col min="5" max="5" width="9" bestFit="1" customWidth="1"/>
    <col min="6" max="6" width="30.36328125" bestFit="1" customWidth="1"/>
    <col min="7" max="8" width="16" bestFit="1" customWidth="1"/>
    <col min="9" max="9" width="12.08984375" bestFit="1" customWidth="1"/>
    <col min="10" max="10" width="5.7265625" customWidth="1"/>
    <col min="11" max="11" width="54.08984375" bestFit="1" customWidth="1"/>
    <col min="12" max="12" width="26.453125" bestFit="1" customWidth="1"/>
    <col min="13" max="14" width="10.6328125" bestFit="1" customWidth="1"/>
    <col min="15" max="15" width="2.6328125" style="42" customWidth="1"/>
    <col min="16" max="16" width="18.81640625" bestFit="1" customWidth="1"/>
    <col min="17" max="17" width="18.81640625" customWidth="1"/>
    <col min="18" max="18" width="42.6328125" bestFit="1" customWidth="1"/>
    <col min="19" max="19" width="26.6328125" bestFit="1" customWidth="1"/>
    <col min="20" max="20" width="17.90625" bestFit="1" customWidth="1"/>
    <col min="21" max="21" width="12.08984375" bestFit="1" customWidth="1"/>
    <col min="22" max="22" width="20.6328125" customWidth="1"/>
    <col min="23" max="23" width="39.08984375" bestFit="1" customWidth="1"/>
    <col min="24" max="24" width="2.6328125" style="42" customWidth="1"/>
    <col min="25" max="25" width="23.6328125" bestFit="1" customWidth="1"/>
  </cols>
  <sheetData>
    <row r="1" spans="1:25" ht="15.5" x14ac:dyDescent="0.35">
      <c r="A1" s="56" t="s">
        <v>786</v>
      </c>
    </row>
    <row r="2" spans="1:25" x14ac:dyDescent="0.35">
      <c r="G2" t="s">
        <v>114</v>
      </c>
      <c r="H2" t="s">
        <v>114</v>
      </c>
      <c r="I2" t="s">
        <v>114</v>
      </c>
      <c r="J2" t="s">
        <v>114</v>
      </c>
      <c r="K2" t="s">
        <v>114</v>
      </c>
      <c r="L2" t="s">
        <v>114</v>
      </c>
      <c r="R2" t="s">
        <v>114</v>
      </c>
      <c r="S2" t="s">
        <v>114</v>
      </c>
      <c r="T2" t="s">
        <v>114</v>
      </c>
      <c r="U2" t="s">
        <v>114</v>
      </c>
      <c r="V2" t="s">
        <v>114</v>
      </c>
      <c r="W2" t="s">
        <v>114</v>
      </c>
    </row>
    <row r="3" spans="1:25" x14ac:dyDescent="0.35">
      <c r="B3" t="s">
        <v>639</v>
      </c>
      <c r="C3" t="s">
        <v>639</v>
      </c>
      <c r="D3" t="s">
        <v>797</v>
      </c>
      <c r="E3" t="s">
        <v>106</v>
      </c>
      <c r="F3" t="s">
        <v>111</v>
      </c>
      <c r="G3" t="s">
        <v>817</v>
      </c>
      <c r="H3" t="s">
        <v>107</v>
      </c>
      <c r="I3" t="s">
        <v>785</v>
      </c>
      <c r="J3" t="s">
        <v>154</v>
      </c>
      <c r="K3" t="s">
        <v>122</v>
      </c>
      <c r="L3" t="s">
        <v>673</v>
      </c>
      <c r="M3" t="s">
        <v>152</v>
      </c>
      <c r="N3" t="s">
        <v>153</v>
      </c>
      <c r="P3" t="s">
        <v>106</v>
      </c>
      <c r="Q3" t="s">
        <v>111</v>
      </c>
      <c r="R3" t="s">
        <v>817</v>
      </c>
      <c r="S3" t="s">
        <v>107</v>
      </c>
      <c r="T3" t="s">
        <v>785</v>
      </c>
      <c r="U3" t="s">
        <v>154</v>
      </c>
      <c r="V3" t="s">
        <v>122</v>
      </c>
      <c r="W3" t="s">
        <v>673</v>
      </c>
      <c r="Y3" s="44" t="s">
        <v>670</v>
      </c>
    </row>
    <row r="4" spans="1:25" x14ac:dyDescent="0.35">
      <c r="B4" t="s">
        <v>755</v>
      </c>
      <c r="C4" t="s">
        <v>63</v>
      </c>
      <c r="D4" t="s">
        <v>798</v>
      </c>
      <c r="E4">
        <v>4001</v>
      </c>
      <c r="F4" t="s">
        <v>63</v>
      </c>
      <c r="G4" t="str">
        <f>TEXT(I4,"yyyymmdd")&amp;D4</f>
        <v>20221109022400</v>
      </c>
      <c r="H4" t="s">
        <v>687</v>
      </c>
      <c r="I4" s="48">
        <v>44874</v>
      </c>
      <c r="J4">
        <v>3</v>
      </c>
      <c r="K4" t="s">
        <v>795</v>
      </c>
      <c r="L4" t="s">
        <v>686</v>
      </c>
      <c r="P4" t="str">
        <f>IF(E4="","","'"&amp;P$3&amp;"' : '"&amp;E4&amp;"', ")</f>
        <v xml:space="preserve">'productId' : '4001', </v>
      </c>
      <c r="Q4" t="str">
        <f>IF(F4="","","'"&amp;Q$3&amp;"' : '"&amp;F4&amp;"', ")</f>
        <v xml:space="preserve">'productName' : 'Plain Bagel', </v>
      </c>
      <c r="R4" t="str">
        <f>IF(G4="","","'"&amp;R$2&amp;"' : [ { '"&amp;R$3&amp;"' : '"&amp;G4&amp;"', ")</f>
        <v xml:space="preserve">'reviewDetails' : [ { 'reviewId' : '20221109022400', </v>
      </c>
      <c r="S4" t="str">
        <f>IF(H4="","","'"&amp;S$3&amp;"' : '"&amp;H4&amp;"', ")</f>
        <v xml:space="preserve">'orderId' : '20221101104800', </v>
      </c>
      <c r="T4" t="str">
        <f>IF(I4="","","'"&amp;T$3&amp;"' : new Date('"&amp;TEXT(I4,"yyyy-mm-dd")&amp;"'), ")</f>
        <v xml:space="preserve">'postDate' : new Date('2022-11-09'), </v>
      </c>
      <c r="U4" t="str">
        <f>IF(J4="","","'"&amp;U$3&amp;"' : "&amp;J4&amp;", ")</f>
        <v xml:space="preserve">'rating' : 3, </v>
      </c>
      <c r="V4" t="str">
        <f>IF(K4="","","'"&amp;V$3&amp;"' : '"&amp;K4&amp;"', ")</f>
        <v xml:space="preserve">'reviewText' : 'so so', </v>
      </c>
      <c r="W4" t="str">
        <f>IF(L4="","","'"&amp;W$3&amp;"' : '"&amp;L4&amp;"'} ] ")</f>
        <v xml:space="preserve">'emailAddress' : 'trinity_gosling@gmail.com'} ] </v>
      </c>
      <c r="Y4" t="str">
        <f>_xlfn.CONCAT("db.reviews.insertOne({ ",P4:W4,"} ); ")&amp;"db.reviews.updateOne({productId : '"&amp;E4&amp;"'},{'$inc' : {totalRatings : "&amp;J4&amp;", ratingCount : 1 }});"</f>
        <v>db.reviews.insertOne({ 'productId' : '4001', 'productName' : 'Plain Bagel', 'reviewDetails' : [ { 'reviewId' : '20221109022400', 'orderId' : '20221101104800', 'postDate' : new Date('2022-11-09'), 'rating' : 3, 'reviewText' : 'so so', 'emailAddress' : 'trinity_gosling@gmail.com'} ] } ); db.reviews.updateOne({productId : '4001'},{'$inc' : {totalRatings : 3, ratingCount : 1 }});</v>
      </c>
    </row>
    <row r="5" spans="1:25" x14ac:dyDescent="0.35">
      <c r="B5" t="s">
        <v>755</v>
      </c>
      <c r="C5" t="s">
        <v>66</v>
      </c>
      <c r="D5" t="s">
        <v>799</v>
      </c>
      <c r="E5">
        <v>4002</v>
      </c>
      <c r="F5" t="s">
        <v>66</v>
      </c>
      <c r="G5" t="str">
        <f>TEXT(I5,"yyyymmdd")&amp;D5</f>
        <v>20221106051648</v>
      </c>
      <c r="H5" t="s">
        <v>699</v>
      </c>
      <c r="I5" s="48">
        <v>44871</v>
      </c>
      <c r="J5">
        <v>3</v>
      </c>
      <c r="L5" t="s">
        <v>698</v>
      </c>
      <c r="P5" t="str">
        <f t="shared" ref="P5:P27" si="0">IF(E5="","","'"&amp;P$3&amp;"' : '"&amp;E5&amp;"', ")</f>
        <v xml:space="preserve">'productId' : '4002', </v>
      </c>
      <c r="Q5" t="str">
        <f t="shared" ref="Q5:Q10" si="1">IF(F5="","","'"&amp;Q$3&amp;"' : '"&amp;F5&amp;"', ")</f>
        <v xml:space="preserve">'productName' : 'Asiago Cheese Bagel', </v>
      </c>
      <c r="R5" t="str">
        <f t="shared" ref="R5:R27" si="2">IF(G5="","","'"&amp;R$2&amp;"' : [ { '"&amp;R$3&amp;"' : '"&amp;G5&amp;"', ")</f>
        <v xml:space="preserve">'reviewDetails' : [ { 'reviewId' : '20221106051648', </v>
      </c>
      <c r="S5" t="str">
        <f t="shared" ref="S5:S27" si="3">IF(H5="","","'"&amp;S$3&amp;"' : '"&amp;H5&amp;"', ")</f>
        <v xml:space="preserve">'orderId' : '20221102092136', </v>
      </c>
      <c r="T5" t="str">
        <f t="shared" ref="T5:T27" si="4">IF(I5="","","'"&amp;T$3&amp;"' : new Date('"&amp;TEXT(I5,"yyyy-mm-dd")&amp;"'), ")</f>
        <v xml:space="preserve">'postDate' : new Date('2022-11-06'), </v>
      </c>
      <c r="U5" t="str">
        <f t="shared" ref="U5:U27" si="5">IF(J5="","","'"&amp;U$3&amp;"' : "&amp;J5&amp;", ")</f>
        <v xml:space="preserve">'rating' : 3, </v>
      </c>
      <c r="V5" t="str">
        <f t="shared" ref="V5:V27" si="6">IF(K5="","","'"&amp;V$3&amp;"' : '"&amp;K5&amp;"', ")</f>
        <v/>
      </c>
      <c r="W5" t="str">
        <f t="shared" ref="W5:W27" si="7">IF(L5="","","'"&amp;W$3&amp;"' : '"&amp;L5&amp;"'} ] ")</f>
        <v xml:space="preserve">'emailAddress' : 'johnsondeclan@gmail.com'} ] </v>
      </c>
      <c r="Y5" t="str">
        <f t="shared" ref="Y5:Y10" si="8">_xlfn.CONCAT("db.reviews.insertOne({ ",P5:W5,"} ); ")&amp;"db.reviews.updateOne({productId : '"&amp;E5&amp;"'},{'$inc' : {totalRatings : "&amp;J5&amp;", ratingCount : 1 }});"</f>
        <v>db.reviews.insertOne({ 'productId' : '4002', 'productName' : 'Asiago Cheese Bagel', 'reviewDetails' : [ { 'reviewId' : '20221106051648', 'orderId' : '20221102092136', 'postDate' : new Date('2022-11-06'), 'rating' : 3, 'emailAddress' : 'johnsondeclan@gmail.com'} ] } ); db.reviews.updateOne({productId : '4002'},{'$inc' : {totalRatings : 3, ratingCount : 1 }});</v>
      </c>
    </row>
    <row r="6" spans="1:25" x14ac:dyDescent="0.35">
      <c r="B6" t="s">
        <v>755</v>
      </c>
      <c r="C6" t="s">
        <v>67</v>
      </c>
      <c r="D6" t="s">
        <v>800</v>
      </c>
      <c r="E6">
        <v>4003</v>
      </c>
      <c r="F6" t="s">
        <v>67</v>
      </c>
      <c r="G6" t="str">
        <f>TEXT(I6,"yyyymmdd")&amp;D6</f>
        <v>20221115195512</v>
      </c>
      <c r="H6" t="s">
        <v>728</v>
      </c>
      <c r="I6" s="48">
        <v>44880</v>
      </c>
      <c r="J6">
        <v>5</v>
      </c>
      <c r="K6" t="s">
        <v>789</v>
      </c>
      <c r="L6" t="s">
        <v>709</v>
      </c>
      <c r="P6" t="str">
        <f t="shared" si="0"/>
        <v xml:space="preserve">'productId' : '4003', </v>
      </c>
      <c r="Q6" t="str">
        <f t="shared" si="1"/>
        <v xml:space="preserve">'productName' : 'Cinnamon Crunch Bagel', </v>
      </c>
      <c r="R6" t="str">
        <f t="shared" si="2"/>
        <v xml:space="preserve">'reviewDetails' : [ { 'reviewId' : '20221115195512', </v>
      </c>
      <c r="S6" t="str">
        <f t="shared" si="3"/>
        <v xml:space="preserve">'orderId' : '20221105090712', </v>
      </c>
      <c r="T6" t="str">
        <f t="shared" si="4"/>
        <v xml:space="preserve">'postDate' : new Date('2022-11-15'), </v>
      </c>
      <c r="U6" t="str">
        <f t="shared" si="5"/>
        <v xml:space="preserve">'rating' : 5, </v>
      </c>
      <c r="V6" t="str">
        <f t="shared" si="6"/>
        <v xml:space="preserve">'reviewText' : 'So glad that this place is open! I live for their everythin bagel.', </v>
      </c>
      <c r="W6" t="str">
        <f t="shared" si="7"/>
        <v xml:space="preserve">'emailAddress' : 'donovanmarkle@gmail.com'} ] </v>
      </c>
      <c r="Y6" t="str">
        <f t="shared" si="8"/>
        <v>db.reviews.insertOne({ 'productId' : '4003', 'productName' : 'Cinnamon Crunch Bagel', 'reviewDetails' : [ { 'reviewId' : '20221115195512', 'orderId' : '20221105090712', 'postDate' : new Date('2022-11-15'), 'rating' : 5, 'reviewText' : 'So glad that this place is open! I live for their everythin bagel.', 'emailAddress' : 'donovanmarkle@gmail.com'} ] } ); db.reviews.updateOne({productId : '4003'},{'$inc' : {totalRatings : 5, ratingCount : 1 }});</v>
      </c>
    </row>
    <row r="7" spans="1:25" x14ac:dyDescent="0.35">
      <c r="B7" t="s">
        <v>755</v>
      </c>
      <c r="C7" t="s">
        <v>68</v>
      </c>
      <c r="D7" t="s">
        <v>801</v>
      </c>
      <c r="E7">
        <v>4004</v>
      </c>
      <c r="F7" t="s">
        <v>68</v>
      </c>
      <c r="G7" t="str">
        <f>TEXT(I7,"yyyymmdd")&amp;D7</f>
        <v>20221106200936</v>
      </c>
      <c r="H7" t="s">
        <v>713</v>
      </c>
      <c r="I7" s="48">
        <v>44871</v>
      </c>
      <c r="J7">
        <v>4</v>
      </c>
      <c r="L7" t="s">
        <v>712</v>
      </c>
      <c r="P7" t="str">
        <f t="shared" si="0"/>
        <v xml:space="preserve">'productId' : '4004', </v>
      </c>
      <c r="Q7" t="str">
        <f t="shared" si="1"/>
        <v xml:space="preserve">'productName' : 'Everything Bagel', </v>
      </c>
      <c r="R7" t="str">
        <f t="shared" si="2"/>
        <v xml:space="preserve">'reviewDetails' : [ { 'reviewId' : '20221106200936', </v>
      </c>
      <c r="S7" t="str">
        <f t="shared" si="3"/>
        <v xml:space="preserve">'orderId' : '20221103085248', </v>
      </c>
      <c r="T7" t="str">
        <f t="shared" si="4"/>
        <v xml:space="preserve">'postDate' : new Date('2022-11-06'), </v>
      </c>
      <c r="U7" t="str">
        <f t="shared" si="5"/>
        <v xml:space="preserve">'rating' : 4, </v>
      </c>
      <c r="V7" t="str">
        <f t="shared" si="6"/>
        <v/>
      </c>
      <c r="W7" t="str">
        <f t="shared" si="7"/>
        <v xml:space="preserve">'emailAddress' : 'davidscarlett@gmail.com'} ] </v>
      </c>
      <c r="Y7" t="str">
        <f t="shared" si="8"/>
        <v>db.reviews.insertOne({ 'productId' : '4004', 'productName' : 'Everything Bagel', 'reviewDetails' : [ { 'reviewId' : '20221106200936', 'orderId' : '20221103085248', 'postDate' : new Date('2022-11-06'), 'rating' : 4, 'emailAddress' : 'davidscarlett@gmail.com'} ] } ); db.reviews.updateOne({productId : '4004'},{'$inc' : {totalRatings : 4, ratingCount : 1 }});</v>
      </c>
    </row>
    <row r="8" spans="1:25" x14ac:dyDescent="0.35">
      <c r="B8" t="s">
        <v>755</v>
      </c>
      <c r="C8" t="s">
        <v>69</v>
      </c>
      <c r="D8" t="s">
        <v>802</v>
      </c>
      <c r="E8">
        <v>4005</v>
      </c>
      <c r="F8" t="s">
        <v>69</v>
      </c>
      <c r="G8" t="str">
        <f>TEXT(I8,"yyyymmdd")&amp;D8</f>
        <v>20221107124312</v>
      </c>
      <c r="H8" t="s">
        <v>695</v>
      </c>
      <c r="I8" s="48">
        <v>44872</v>
      </c>
      <c r="J8">
        <v>4</v>
      </c>
      <c r="L8" t="s">
        <v>694</v>
      </c>
      <c r="P8" t="str">
        <f t="shared" si="0"/>
        <v xml:space="preserve">'productId' : '4005', </v>
      </c>
      <c r="Q8" t="str">
        <f t="shared" si="1"/>
        <v xml:space="preserve">'productName' : 'Bear Claw', </v>
      </c>
      <c r="R8" t="str">
        <f t="shared" si="2"/>
        <v xml:space="preserve">'reviewDetails' : [ { 'reviewId' : '20221107124312', </v>
      </c>
      <c r="S8" t="str">
        <f t="shared" si="3"/>
        <v xml:space="preserve">'orderId' : '20221101100448', </v>
      </c>
      <c r="T8" t="str">
        <f t="shared" si="4"/>
        <v xml:space="preserve">'postDate' : new Date('2022-11-07'), </v>
      </c>
      <c r="U8" t="str">
        <f t="shared" si="5"/>
        <v xml:space="preserve">'rating' : 4, </v>
      </c>
      <c r="V8" t="str">
        <f t="shared" si="6"/>
        <v/>
      </c>
      <c r="W8" t="str">
        <f t="shared" si="7"/>
        <v xml:space="preserve">'emailAddress' : 'norah_fessenden@gmail.com'} ] </v>
      </c>
      <c r="Y8" t="str">
        <f t="shared" si="8"/>
        <v>db.reviews.insertOne({ 'productId' : '4005', 'productName' : 'Bear Claw', 'reviewDetails' : [ { 'reviewId' : '20221107124312', 'orderId' : '20221101100448', 'postDate' : new Date('2022-11-07'), 'rating' : 4, 'emailAddress' : 'norah_fessenden@gmail.com'} ] } ); db.reviews.updateOne({productId : '4005'},{'$inc' : {totalRatings : 4, ratingCount : 1 }});</v>
      </c>
    </row>
    <row r="9" spans="1:25" x14ac:dyDescent="0.35">
      <c r="B9" t="s">
        <v>755</v>
      </c>
      <c r="C9" t="s">
        <v>70</v>
      </c>
      <c r="D9" t="s">
        <v>803</v>
      </c>
      <c r="E9">
        <v>4006</v>
      </c>
      <c r="F9" t="s">
        <v>70</v>
      </c>
      <c r="G9" t="str">
        <f>TEXT(I9,"yyyymmdd")&amp;D9</f>
        <v>20221105134048</v>
      </c>
      <c r="H9" t="s">
        <v>684</v>
      </c>
      <c r="I9" s="48">
        <v>44870</v>
      </c>
      <c r="J9">
        <v>5</v>
      </c>
      <c r="K9" t="s">
        <v>787</v>
      </c>
      <c r="L9" t="s">
        <v>683</v>
      </c>
      <c r="P9" t="str">
        <f t="shared" si="0"/>
        <v xml:space="preserve">'productId' : '4006', </v>
      </c>
      <c r="Q9" t="str">
        <f t="shared" si="1"/>
        <v xml:space="preserve">'productName' : 'Chocolate Croissant', </v>
      </c>
      <c r="R9" t="str">
        <f t="shared" si="2"/>
        <v xml:space="preserve">'reviewDetails' : [ { 'reviewId' : '20221105134048', </v>
      </c>
      <c r="S9" t="str">
        <f t="shared" si="3"/>
        <v xml:space="preserve">'orderId' : '20221101101912', </v>
      </c>
      <c r="T9" t="str">
        <f t="shared" si="4"/>
        <v xml:space="preserve">'postDate' : new Date('2022-11-05'), </v>
      </c>
      <c r="U9" t="str">
        <f t="shared" si="5"/>
        <v xml:space="preserve">'rating' : 5, </v>
      </c>
      <c r="V9" t="str">
        <f t="shared" si="6"/>
        <v xml:space="preserve">'reviewText' : 'Go get these. You will not be disappointed as they are the best.', </v>
      </c>
      <c r="W9" t="str">
        <f t="shared" si="7"/>
        <v xml:space="preserve">'emailAddress' : 'jessewilliams@gmail.com'} ] </v>
      </c>
      <c r="Y9" t="str">
        <f t="shared" si="8"/>
        <v>db.reviews.insertOne({ 'productId' : '4006', 'productName' : 'Chocolate Croissant', 'reviewDetails' : [ { 'reviewId' : '20221105134048', 'orderId' : '20221101101912', 'postDate' : new Date('2022-11-05'), 'rating' : 5, 'reviewText' : 'Go get these. You will not be disappointed as they are the best.', 'emailAddress' : 'jessewilliams@gmail.com'} ] } ); db.reviews.updateOne({productId : '4006'},{'$inc' : {totalRatings : 5, ratingCount : 1 }});</v>
      </c>
    </row>
    <row r="10" spans="1:25" x14ac:dyDescent="0.35">
      <c r="B10" t="s">
        <v>755</v>
      </c>
      <c r="C10" t="s">
        <v>71</v>
      </c>
      <c r="D10" t="s">
        <v>804</v>
      </c>
      <c r="E10">
        <v>4007</v>
      </c>
      <c r="F10" t="s">
        <v>71</v>
      </c>
      <c r="G10" t="str">
        <f>TEXT(I10,"yyyymmdd")&amp;D10</f>
        <v>20221109163336</v>
      </c>
      <c r="H10" t="s">
        <v>684</v>
      </c>
      <c r="I10" s="48">
        <v>44874</v>
      </c>
      <c r="J10">
        <v>4</v>
      </c>
      <c r="K10" t="s">
        <v>796</v>
      </c>
      <c r="L10" t="s">
        <v>683</v>
      </c>
      <c r="P10" t="str">
        <f t="shared" si="0"/>
        <v xml:space="preserve">'productId' : '4007', </v>
      </c>
      <c r="Q10" t="str">
        <f t="shared" si="1"/>
        <v xml:space="preserve">'productName' : 'Orange Scone', </v>
      </c>
      <c r="R10" t="str">
        <f t="shared" si="2"/>
        <v xml:space="preserve">'reviewDetails' : [ { 'reviewId' : '20221109163336', </v>
      </c>
      <c r="S10" t="str">
        <f t="shared" si="3"/>
        <v xml:space="preserve">'orderId' : '20221101101912', </v>
      </c>
      <c r="T10" t="str">
        <f t="shared" si="4"/>
        <v xml:space="preserve">'postDate' : new Date('2022-11-09'), </v>
      </c>
      <c r="U10" t="str">
        <f t="shared" si="5"/>
        <v xml:space="preserve">'rating' : 4, </v>
      </c>
      <c r="V10" t="str">
        <f t="shared" si="6"/>
        <v xml:space="preserve">'reviewText' : 'Must visit for scone lovers.', </v>
      </c>
      <c r="W10" t="str">
        <f t="shared" si="7"/>
        <v xml:space="preserve">'emailAddress' : 'jessewilliams@gmail.com'} ] </v>
      </c>
      <c r="Y10" t="str">
        <f t="shared" si="8"/>
        <v>db.reviews.insertOne({ 'productId' : '4007', 'productName' : 'Orange Scone', 'reviewDetails' : [ { 'reviewId' : '20221109163336', 'orderId' : '20221101101912', 'postDate' : new Date('2022-11-09'), 'rating' : 4, 'reviewText' : 'Must visit for scone lovers.', 'emailAddress' : 'jessewilliams@gmail.com'} ] } ); db.reviews.updateOne({productId : '4007'},{'$inc' : {totalRatings : 4, ratingCount : 1 }});</v>
      </c>
    </row>
    <row r="11" spans="1:25" hidden="1" x14ac:dyDescent="0.35">
      <c r="B11" t="s">
        <v>755</v>
      </c>
      <c r="C11" t="s">
        <v>72</v>
      </c>
      <c r="D11" t="s">
        <v>805</v>
      </c>
      <c r="E11">
        <v>4008</v>
      </c>
      <c r="F11" t="s">
        <v>72</v>
      </c>
      <c r="G11" t="str">
        <f>TEXT(I11,"yyyymmdd")&amp;D11</f>
        <v>20221108060000</v>
      </c>
      <c r="H11" t="s">
        <v>702</v>
      </c>
      <c r="I11" s="48">
        <v>44873</v>
      </c>
      <c r="L11" t="s">
        <v>694</v>
      </c>
      <c r="P11" t="str">
        <f t="shared" si="0"/>
        <v xml:space="preserve">'productId' : '4008', </v>
      </c>
      <c r="R11" t="str">
        <f t="shared" si="2"/>
        <v xml:space="preserve">'reviewDetails' : [ { 'reviewId' : '20221108060000', </v>
      </c>
      <c r="S11" t="str">
        <f t="shared" si="3"/>
        <v xml:space="preserve">'orderId' : '20221103080936', </v>
      </c>
      <c r="T11" t="str">
        <f t="shared" si="4"/>
        <v xml:space="preserve">'postDate' : new Date('2022-11-08'), </v>
      </c>
      <c r="U11" t="str">
        <f t="shared" si="5"/>
        <v/>
      </c>
      <c r="V11" t="str">
        <f t="shared" si="6"/>
        <v/>
      </c>
      <c r="W11" t="str">
        <f t="shared" si="7"/>
        <v xml:space="preserve">'emailAddress' : 'norah_fessenden@gmail.com'} ] </v>
      </c>
      <c r="Y11" t="str">
        <f>_xlfn.CONCAT(P11:W11,", ")</f>
        <v xml:space="preserve">'productId' : '4008', 'reviewDetails' : [ { 'reviewId' : '20221108060000', 'orderId' : '20221103080936', 'postDate' : new Date('2022-11-08'), 'emailAddress' : 'norah_fessenden@gmail.com'} ] , </v>
      </c>
    </row>
    <row r="12" spans="1:25" hidden="1" x14ac:dyDescent="0.35">
      <c r="B12" t="s">
        <v>755</v>
      </c>
      <c r="C12" t="s">
        <v>73</v>
      </c>
      <c r="D12" t="s">
        <v>743</v>
      </c>
      <c r="E12">
        <v>4009</v>
      </c>
      <c r="F12" t="s">
        <v>73</v>
      </c>
      <c r="G12" t="str">
        <f>TEXT(I12,"yyyymmdd")&amp;D12</f>
        <v>20221110093600</v>
      </c>
      <c r="H12" t="s">
        <v>695</v>
      </c>
      <c r="I12" s="48">
        <v>44875</v>
      </c>
      <c r="L12" t="s">
        <v>694</v>
      </c>
      <c r="P12" t="str">
        <f t="shared" si="0"/>
        <v xml:space="preserve">'productId' : '4009', </v>
      </c>
      <c r="R12" t="str">
        <f t="shared" si="2"/>
        <v xml:space="preserve">'reviewDetails' : [ { 'reviewId' : '20221110093600', </v>
      </c>
      <c r="S12" t="str">
        <f t="shared" si="3"/>
        <v xml:space="preserve">'orderId' : '20221101100448', </v>
      </c>
      <c r="T12" t="str">
        <f t="shared" si="4"/>
        <v xml:space="preserve">'postDate' : new Date('2022-11-10'), </v>
      </c>
      <c r="U12" t="str">
        <f t="shared" si="5"/>
        <v/>
      </c>
      <c r="V12" t="str">
        <f t="shared" si="6"/>
        <v/>
      </c>
      <c r="W12" t="str">
        <f t="shared" si="7"/>
        <v xml:space="preserve">'emailAddress' : 'norah_fessenden@gmail.com'} ] </v>
      </c>
      <c r="Y12" t="str">
        <f>_xlfn.CONCAT(P12:W12,", ")</f>
        <v xml:space="preserve">'productId' : '4009', 'reviewDetails' : [ { 'reviewId' : '20221110093600', 'orderId' : '20221101100448', 'postDate' : new Date('2022-11-10'), 'emailAddress' : 'norah_fessenden@gmail.com'} ] , </v>
      </c>
    </row>
    <row r="13" spans="1:25" x14ac:dyDescent="0.35">
      <c r="B13" t="s">
        <v>755</v>
      </c>
      <c r="C13" t="s">
        <v>74</v>
      </c>
      <c r="D13" t="s">
        <v>729</v>
      </c>
      <c r="E13">
        <v>4010</v>
      </c>
      <c r="F13" t="s">
        <v>74</v>
      </c>
      <c r="G13" t="str">
        <f>TEXT(I13,"yyyymmdd")&amp;D13</f>
        <v>20221110090712</v>
      </c>
      <c r="H13" t="s">
        <v>716</v>
      </c>
      <c r="I13" s="48">
        <v>44875</v>
      </c>
      <c r="J13">
        <v>4</v>
      </c>
      <c r="K13" t="s">
        <v>790</v>
      </c>
      <c r="L13" t="s">
        <v>715</v>
      </c>
      <c r="P13" t="str">
        <f t="shared" si="0"/>
        <v xml:space="preserve">'productId' : '4010', </v>
      </c>
      <c r="Q13" t="str">
        <f t="shared" ref="Q13:Q14" si="9">IF(F13="","","'"&amp;Q$3&amp;"' : '"&amp;F13&amp;"', ")</f>
        <v xml:space="preserve">'productName' : 'Blueberry Muffin', </v>
      </c>
      <c r="R13" t="str">
        <f t="shared" si="2"/>
        <v xml:space="preserve">'reviewDetails' : [ { 'reviewId' : '20221110090712', </v>
      </c>
      <c r="S13" t="str">
        <f t="shared" si="3"/>
        <v xml:space="preserve">'orderId' : '20221104113112', </v>
      </c>
      <c r="T13" t="str">
        <f t="shared" si="4"/>
        <v xml:space="preserve">'postDate' : new Date('2022-11-10'), </v>
      </c>
      <c r="U13" t="str">
        <f t="shared" si="5"/>
        <v xml:space="preserve">'rating' : 4, </v>
      </c>
      <c r="V13" t="str">
        <f t="shared" si="6"/>
        <v xml:space="preserve">'reviewText' : 'If you want a authentic pastries that are fresh and delicious you have to come here.', </v>
      </c>
      <c r="W13" t="str">
        <f t="shared" si="7"/>
        <v xml:space="preserve">'emailAddress' : 'mccoycharlie@gmail.com'} ] </v>
      </c>
      <c r="Y13" t="str">
        <f t="shared" ref="Y13:Y14" si="10">_xlfn.CONCAT("db.reviews.insertOne({ ",P13:W13,"} ); ")&amp;"db.reviews.updateOne({productId : '"&amp;E13&amp;"'},{'$inc' : {totalRatings : "&amp;J13&amp;", ratingCount : 1 }});"</f>
        <v>db.reviews.insertOne({ 'productId' : '4010', 'productName' : 'Blueberry Muffin', 'reviewDetails' : [ { 'reviewId' : '20221110090712', 'orderId' : '20221104113112', 'postDate' : new Date('2022-11-10'), 'rating' : 4, 'reviewText' : 'If you want a authentic pastries that are fresh and delicious you have to come here.', 'emailAddress' : 'mccoycharlie@gmail.com'} ] } ); db.reviews.updateOne({productId : '4010'},{'$inc' : {totalRatings : 4, ratingCount : 1 }});</v>
      </c>
    </row>
    <row r="14" spans="1:25" x14ac:dyDescent="0.35">
      <c r="B14" t="s">
        <v>755</v>
      </c>
      <c r="C14" t="s">
        <v>75</v>
      </c>
      <c r="D14" t="s">
        <v>806</v>
      </c>
      <c r="E14">
        <v>4011</v>
      </c>
      <c r="F14" t="s">
        <v>75</v>
      </c>
      <c r="G14" t="str">
        <f>TEXT(I14,"yyyymmdd")&amp;D14</f>
        <v>20221114223336</v>
      </c>
      <c r="H14" t="s">
        <v>739</v>
      </c>
      <c r="I14" s="48">
        <v>44879</v>
      </c>
      <c r="J14">
        <v>3</v>
      </c>
      <c r="K14" t="s">
        <v>794</v>
      </c>
      <c r="L14" t="s">
        <v>686</v>
      </c>
      <c r="P14" t="str">
        <f t="shared" si="0"/>
        <v xml:space="preserve">'productId' : '4011', </v>
      </c>
      <c r="Q14" t="str">
        <f t="shared" si="9"/>
        <v xml:space="preserve">'productName' : 'Sesame Bagel', </v>
      </c>
      <c r="R14" t="str">
        <f t="shared" si="2"/>
        <v xml:space="preserve">'reviewDetails' : [ { 'reviewId' : '20221114223336', </v>
      </c>
      <c r="S14" t="str">
        <f t="shared" si="3"/>
        <v xml:space="preserve">'orderId' : '20221108114536', </v>
      </c>
      <c r="T14" t="str">
        <f t="shared" si="4"/>
        <v xml:space="preserve">'postDate' : new Date('2022-11-14'), </v>
      </c>
      <c r="U14" t="str">
        <f t="shared" si="5"/>
        <v xml:space="preserve">'rating' : 3, </v>
      </c>
      <c r="V14" t="str">
        <f t="shared" si="6"/>
        <v xml:space="preserve">'reviewText' : 'good bakery, but when I ordered for in bulk the quality was a bit unacceptable. rest is good for routine.', </v>
      </c>
      <c r="W14" t="str">
        <f t="shared" si="7"/>
        <v xml:space="preserve">'emailAddress' : 'trinity_gosling@gmail.com'} ] </v>
      </c>
      <c r="Y14" t="str">
        <f t="shared" si="10"/>
        <v>db.reviews.insertOne({ 'productId' : '4011', 'productName' : 'Sesame Bagel', 'reviewDetails' : [ { 'reviewId' : '20221114223336', 'orderId' : '20221108114536', 'postDate' : new Date('2022-11-14'), 'rating' : 3, 'reviewText' : 'good bakery, but when I ordered for in bulk the quality was a bit unacceptable. rest is good for routine.', 'emailAddress' : 'trinity_gosling@gmail.com'} ] } ); db.reviews.updateOne({productId : '4011'},{'$inc' : {totalRatings : 3, ratingCount : 1 }});</v>
      </c>
    </row>
    <row r="15" spans="1:25" hidden="1" x14ac:dyDescent="0.35">
      <c r="B15" t="s">
        <v>755</v>
      </c>
      <c r="C15" t="s">
        <v>76</v>
      </c>
      <c r="D15" t="s">
        <v>807</v>
      </c>
      <c r="E15">
        <v>4012</v>
      </c>
      <c r="F15" t="s">
        <v>76</v>
      </c>
      <c r="G15" t="str">
        <f>TEXT(I15,"yyyymmdd")&amp;D15</f>
        <v>20221107072624</v>
      </c>
      <c r="H15" t="s">
        <v>719</v>
      </c>
      <c r="I15" s="48">
        <v>44872</v>
      </c>
      <c r="L15" t="s">
        <v>718</v>
      </c>
      <c r="P15" t="str">
        <f t="shared" si="0"/>
        <v xml:space="preserve">'productId' : '4012', </v>
      </c>
      <c r="R15" t="str">
        <f t="shared" si="2"/>
        <v xml:space="preserve">'reviewDetails' : [ { 'reviewId' : '20221107072624', </v>
      </c>
      <c r="S15" t="str">
        <f t="shared" si="3"/>
        <v xml:space="preserve">'orderId' : '20221104120000', </v>
      </c>
      <c r="T15" t="str">
        <f t="shared" si="4"/>
        <v xml:space="preserve">'postDate' : new Date('2022-11-07'), </v>
      </c>
      <c r="U15" t="str">
        <f t="shared" si="5"/>
        <v/>
      </c>
      <c r="V15" t="str">
        <f t="shared" si="6"/>
        <v/>
      </c>
      <c r="W15" t="str">
        <f t="shared" si="7"/>
        <v xml:space="preserve">'emailAddress' : 'hennessyadelaide@gmail.com'} ] </v>
      </c>
      <c r="Y15" t="str">
        <f>_xlfn.CONCAT(P15:W15,", ")</f>
        <v xml:space="preserve">'productId' : '4012', 'reviewDetails' : [ { 'reviewId' : '20221107072624', 'orderId' : '20221104120000', 'postDate' : new Date('2022-11-07'), 'emailAddress' : 'hennessyadelaide@gmail.com'} ] , </v>
      </c>
    </row>
    <row r="16" spans="1:25" x14ac:dyDescent="0.35">
      <c r="B16" t="s">
        <v>755</v>
      </c>
      <c r="C16" t="s">
        <v>79</v>
      </c>
      <c r="D16" t="s">
        <v>808</v>
      </c>
      <c r="E16">
        <v>4013</v>
      </c>
      <c r="F16" t="s">
        <v>79</v>
      </c>
      <c r="G16" t="str">
        <f>TEXT(I16,"yyyymmdd")&amp;D16</f>
        <v>20221104131200</v>
      </c>
      <c r="H16" t="s">
        <v>695</v>
      </c>
      <c r="I16" s="48">
        <v>44869</v>
      </c>
      <c r="J16">
        <v>4</v>
      </c>
      <c r="K16" t="s">
        <v>791</v>
      </c>
      <c r="L16" t="s">
        <v>694</v>
      </c>
      <c r="P16" t="str">
        <f t="shared" si="0"/>
        <v xml:space="preserve">'productId' : '4013', </v>
      </c>
      <c r="Q16" t="str">
        <f t="shared" ref="Q16:Q17" si="11">IF(F16="","","'"&amp;Q$3&amp;"' : '"&amp;F16&amp;"', ")</f>
        <v xml:space="preserve">'productName' : 'Pandesal', </v>
      </c>
      <c r="R16" t="str">
        <f t="shared" si="2"/>
        <v xml:space="preserve">'reviewDetails' : [ { 'reviewId' : '20221104131200', </v>
      </c>
      <c r="S16" t="str">
        <f t="shared" si="3"/>
        <v xml:space="preserve">'orderId' : '20221101100448', </v>
      </c>
      <c r="T16" t="str">
        <f t="shared" si="4"/>
        <v xml:space="preserve">'postDate' : new Date('2022-11-04'), </v>
      </c>
      <c r="U16" t="str">
        <f t="shared" si="5"/>
        <v xml:space="preserve">'rating' : 4, </v>
      </c>
      <c r="V16" t="str">
        <f t="shared" si="6"/>
        <v xml:space="preserve">'reviewText' : 'The bakeshop in CN. So many fresh options and great service. Love their pandesal. So delicious!', </v>
      </c>
      <c r="W16" t="str">
        <f t="shared" si="7"/>
        <v xml:space="preserve">'emailAddress' : 'norah_fessenden@gmail.com'} ] </v>
      </c>
      <c r="Y16" t="str">
        <f t="shared" ref="Y16:Y17" si="12">_xlfn.CONCAT("db.reviews.insertOne({ ",P16:W16,"} ); ")&amp;"db.reviews.updateOne({productId : '"&amp;E16&amp;"'},{'$inc' : {totalRatings : "&amp;J16&amp;", ratingCount : 1 }});"</f>
        <v>db.reviews.insertOne({ 'productId' : '4013', 'productName' : 'Pandesal', 'reviewDetails' : [ { 'reviewId' : '20221104131200', 'orderId' : '20221101100448', 'postDate' : new Date('2022-11-04'), 'rating' : 4, 'reviewText' : 'The bakeshop in CN. So many fresh options and great service. Love their pandesal. So delicious!', 'emailAddress' : 'norah_fessenden@gmail.com'} ] } ); db.reviews.updateOne({productId : '4013'},{'$inc' : {totalRatings : 4, ratingCount : 1 }});</v>
      </c>
    </row>
    <row r="17" spans="2:25" x14ac:dyDescent="0.35">
      <c r="B17" t="s">
        <v>755</v>
      </c>
      <c r="C17" t="s">
        <v>81</v>
      </c>
      <c r="D17" t="s">
        <v>809</v>
      </c>
      <c r="E17">
        <v>4014</v>
      </c>
      <c r="F17" t="s">
        <v>81</v>
      </c>
      <c r="G17" t="str">
        <f>TEXT(I17,"yyyymmdd")&amp;D17</f>
        <v>20221106234536</v>
      </c>
      <c r="H17" t="s">
        <v>699</v>
      </c>
      <c r="I17" s="48">
        <v>44871</v>
      </c>
      <c r="J17">
        <v>4</v>
      </c>
      <c r="K17" t="s">
        <v>788</v>
      </c>
      <c r="L17" t="s">
        <v>698</v>
      </c>
      <c r="P17" t="str">
        <f t="shared" si="0"/>
        <v xml:space="preserve">'productId' : '4014', </v>
      </c>
      <c r="Q17" t="str">
        <f t="shared" si="11"/>
        <v xml:space="preserve">'productName' : 'Pan de Coco', </v>
      </c>
      <c r="R17" t="str">
        <f t="shared" si="2"/>
        <v xml:space="preserve">'reviewDetails' : [ { 'reviewId' : '20221106234536', </v>
      </c>
      <c r="S17" t="str">
        <f t="shared" si="3"/>
        <v xml:space="preserve">'orderId' : '20221102092136', </v>
      </c>
      <c r="T17" t="str">
        <f t="shared" si="4"/>
        <v xml:space="preserve">'postDate' : new Date('2022-11-06'), </v>
      </c>
      <c r="U17" t="str">
        <f t="shared" si="5"/>
        <v xml:space="preserve">'rating' : 4, </v>
      </c>
      <c r="V17" t="str">
        <f t="shared" si="6"/>
        <v xml:space="preserve">'reviewText' : 'The products are excellent, especially like the pan de coco.', </v>
      </c>
      <c r="W17" t="str">
        <f t="shared" si="7"/>
        <v xml:space="preserve">'emailAddress' : 'johnsondeclan@gmail.com'} ] </v>
      </c>
      <c r="Y17" t="str">
        <f t="shared" si="12"/>
        <v>db.reviews.insertOne({ 'productId' : '4014', 'productName' : 'Pan de Coco', 'reviewDetails' : [ { 'reviewId' : '20221106234536', 'orderId' : '20221102092136', 'postDate' : new Date('2022-11-06'), 'rating' : 4, 'reviewText' : 'The products are excellent, especially like the pan de coco.', 'emailAddress' : 'johnsondeclan@gmail.com'} ] } ); db.reviews.updateOne({productId : '4014'},{'$inc' : {totalRatings : 4, ratingCount : 1 }});</v>
      </c>
    </row>
    <row r="18" spans="2:25" hidden="1" x14ac:dyDescent="0.35">
      <c r="B18" t="s">
        <v>755</v>
      </c>
      <c r="C18" t="s">
        <v>82</v>
      </c>
      <c r="D18" t="s">
        <v>806</v>
      </c>
      <c r="E18">
        <v>4015</v>
      </c>
      <c r="F18" t="s">
        <v>82</v>
      </c>
      <c r="G18" t="str">
        <f>TEXT(I18,"yyyymmdd")&amp;D18</f>
        <v>20221110223336</v>
      </c>
      <c r="H18" t="s">
        <v>684</v>
      </c>
      <c r="I18" s="48">
        <v>44875</v>
      </c>
      <c r="L18" t="s">
        <v>683</v>
      </c>
      <c r="P18" t="str">
        <f t="shared" si="0"/>
        <v xml:space="preserve">'productId' : '4015', </v>
      </c>
      <c r="R18" t="str">
        <f t="shared" si="2"/>
        <v xml:space="preserve">'reviewDetails' : [ { 'reviewId' : '20221110223336', </v>
      </c>
      <c r="S18" t="str">
        <f t="shared" si="3"/>
        <v xml:space="preserve">'orderId' : '20221101101912', </v>
      </c>
      <c r="T18" t="str">
        <f t="shared" si="4"/>
        <v xml:space="preserve">'postDate' : new Date('2022-11-10'), </v>
      </c>
      <c r="U18" t="str">
        <f t="shared" si="5"/>
        <v/>
      </c>
      <c r="V18" t="str">
        <f t="shared" si="6"/>
        <v/>
      </c>
      <c r="W18" t="str">
        <f t="shared" si="7"/>
        <v xml:space="preserve">'emailAddress' : 'jessewilliams@gmail.com'} ] </v>
      </c>
      <c r="Y18" t="str">
        <f>_xlfn.CONCAT(P18:W18,", ")</f>
        <v xml:space="preserve">'productId' : '4015', 'reviewDetails' : [ { 'reviewId' : '20221110223336', 'orderId' : '20221101101912', 'postDate' : new Date('2022-11-10'), 'emailAddress' : 'jessewilliams@gmail.com'} ] , </v>
      </c>
    </row>
    <row r="19" spans="2:25" hidden="1" x14ac:dyDescent="0.35">
      <c r="B19" t="s">
        <v>755</v>
      </c>
      <c r="C19" t="s">
        <v>83</v>
      </c>
      <c r="D19" t="s">
        <v>810</v>
      </c>
      <c r="E19">
        <v>4016</v>
      </c>
      <c r="F19" t="s">
        <v>83</v>
      </c>
      <c r="G19" t="str">
        <f>TEXT(I19,"yyyymmdd")&amp;D19</f>
        <v>20221116015512</v>
      </c>
      <c r="H19" t="s">
        <v>741</v>
      </c>
      <c r="I19" s="48">
        <v>44881</v>
      </c>
      <c r="L19" t="s">
        <v>698</v>
      </c>
      <c r="P19" t="str">
        <f t="shared" si="0"/>
        <v xml:space="preserve">'productId' : '4016', </v>
      </c>
      <c r="R19" t="str">
        <f t="shared" si="2"/>
        <v xml:space="preserve">'reviewDetails' : [ { 'reviewId' : '20221116015512', </v>
      </c>
      <c r="S19" t="str">
        <f t="shared" si="3"/>
        <v xml:space="preserve">'orderId' : '20221108111648', </v>
      </c>
      <c r="T19" t="str">
        <f t="shared" si="4"/>
        <v xml:space="preserve">'postDate' : new Date('2022-11-16'), </v>
      </c>
      <c r="U19" t="str">
        <f t="shared" si="5"/>
        <v/>
      </c>
      <c r="V19" t="str">
        <f t="shared" si="6"/>
        <v/>
      </c>
      <c r="W19" t="str">
        <f t="shared" si="7"/>
        <v xml:space="preserve">'emailAddress' : 'johnsondeclan@gmail.com'} ] </v>
      </c>
      <c r="Y19" t="str">
        <f>_xlfn.CONCAT(P19:W19,", ")</f>
        <v xml:space="preserve">'productId' : '4016', 'reviewDetails' : [ { 'reviewId' : '20221116015512', 'orderId' : '20221108111648', 'postDate' : new Date('2022-11-16'), 'emailAddress' : 'johnsondeclan@gmail.com'} ] , </v>
      </c>
    </row>
    <row r="20" spans="2:25" x14ac:dyDescent="0.35">
      <c r="B20" t="s">
        <v>755</v>
      </c>
      <c r="C20" t="s">
        <v>84</v>
      </c>
      <c r="D20" t="s">
        <v>811</v>
      </c>
      <c r="E20">
        <v>4017</v>
      </c>
      <c r="F20" t="s">
        <v>84</v>
      </c>
      <c r="G20" t="str">
        <f>TEXT(I20,"yyyymmdd")&amp;D20</f>
        <v>20221112062848</v>
      </c>
      <c r="H20" t="s">
        <v>706</v>
      </c>
      <c r="I20" s="48">
        <v>44877</v>
      </c>
      <c r="J20">
        <v>5</v>
      </c>
      <c r="K20" t="s">
        <v>792</v>
      </c>
      <c r="L20" t="s">
        <v>705</v>
      </c>
      <c r="P20" t="str">
        <f t="shared" si="0"/>
        <v xml:space="preserve">'productId' : '4017', </v>
      </c>
      <c r="Q20" t="str">
        <f t="shared" ref="Q20:Q21" si="13">IF(F20="","","'"&amp;Q$3&amp;"' : '"&amp;F20&amp;"', ")</f>
        <v xml:space="preserve">'productName' : 'Malunggay Bread', </v>
      </c>
      <c r="R20" t="str">
        <f t="shared" si="2"/>
        <v xml:space="preserve">'reviewDetails' : [ { 'reviewId' : '20221112062848', </v>
      </c>
      <c r="S20" t="str">
        <f t="shared" si="3"/>
        <v xml:space="preserve">'orderId' : '20221103113112', </v>
      </c>
      <c r="T20" t="str">
        <f t="shared" si="4"/>
        <v xml:space="preserve">'postDate' : new Date('2022-11-12'), </v>
      </c>
      <c r="U20" t="str">
        <f t="shared" si="5"/>
        <v xml:space="preserve">'rating' : 5, </v>
      </c>
      <c r="V20" t="str">
        <f t="shared" si="6"/>
        <v xml:space="preserve">'reviewText' : 'We have been ordering malunggay bread from here since its birth and they are world class bakers I would recommend. ', </v>
      </c>
      <c r="W20" t="str">
        <f t="shared" si="7"/>
        <v xml:space="preserve">'emailAddress' : 'altmancharlotte@gmail.com'} ] </v>
      </c>
      <c r="Y20" t="str">
        <f t="shared" ref="Y20:Y21" si="14">_xlfn.CONCAT("db.reviews.insertOne({ ",P20:W20,"} ); ")&amp;"db.reviews.updateOne({productId : '"&amp;E20&amp;"'},{'$inc' : {totalRatings : "&amp;J20&amp;", ratingCount : 1 }});"</f>
        <v>db.reviews.insertOne({ 'productId' : '4017', 'productName' : 'Malunggay Bread', 'reviewDetails' : [ { 'reviewId' : '20221112062848', 'orderId' : '20221103113112', 'postDate' : new Date('2022-11-12'), 'rating' : 5, 'reviewText' : 'We have been ordering malunggay bread from here since its birth and they are world class bakers I would recommend. ', 'emailAddress' : 'altmancharlotte@gmail.com'} ] } ); db.reviews.updateOne({productId : '4017'},{'$inc' : {totalRatings : 5, ratingCount : 1 }});</v>
      </c>
    </row>
    <row r="21" spans="2:25" x14ac:dyDescent="0.35">
      <c r="B21" t="s">
        <v>755</v>
      </c>
      <c r="C21" t="s">
        <v>85</v>
      </c>
      <c r="D21" t="s">
        <v>812</v>
      </c>
      <c r="E21">
        <v>4018</v>
      </c>
      <c r="F21" t="s">
        <v>85</v>
      </c>
      <c r="G21" t="str">
        <f>TEXT(I21,"yyyymmdd")&amp;D21</f>
        <v>20221113132624</v>
      </c>
      <c r="H21" t="s">
        <v>724</v>
      </c>
      <c r="I21" s="48">
        <v>44878</v>
      </c>
      <c r="J21">
        <v>4</v>
      </c>
      <c r="K21" t="s">
        <v>793</v>
      </c>
      <c r="L21" t="s">
        <v>723</v>
      </c>
      <c r="P21" t="str">
        <f t="shared" si="0"/>
        <v xml:space="preserve">'productId' : '4018', </v>
      </c>
      <c r="Q21" t="str">
        <f t="shared" si="13"/>
        <v xml:space="preserve">'productName' : 'Cheese Bread', </v>
      </c>
      <c r="R21" t="str">
        <f t="shared" si="2"/>
        <v xml:space="preserve">'reviewDetails' : [ { 'reviewId' : '20221113132624', </v>
      </c>
      <c r="S21" t="str">
        <f t="shared" si="3"/>
        <v xml:space="preserve">'orderId' : '20221105104800', </v>
      </c>
      <c r="T21" t="str">
        <f t="shared" si="4"/>
        <v xml:space="preserve">'postDate' : new Date('2022-11-13'), </v>
      </c>
      <c r="U21" t="str">
        <f t="shared" si="5"/>
        <v xml:space="preserve">'rating' : 4, </v>
      </c>
      <c r="V21" t="str">
        <f t="shared" si="6"/>
        <v xml:space="preserve">'reviewText' : 'I like the bread the most. It is soft and yummmmy', </v>
      </c>
      <c r="W21" t="str">
        <f t="shared" si="7"/>
        <v xml:space="preserve">'emailAddress' : 'leo_clarkson@gmail.com'} ] </v>
      </c>
      <c r="Y21" t="str">
        <f t="shared" si="14"/>
        <v>db.reviews.insertOne({ 'productId' : '4018', 'productName' : 'Cheese Bread', 'reviewDetails' : [ { 'reviewId' : '20221113132624', 'orderId' : '20221105104800', 'postDate' : new Date('2022-11-13'), 'rating' : 4, 'reviewText' : 'I like the bread the most. It is soft and yummmmy', 'emailAddress' : 'leo_clarkson@gmail.com'} ] } ); db.reviews.updateOne({productId : '4018'},{'$inc' : {totalRatings : 4, ratingCount : 1 }});</v>
      </c>
    </row>
    <row r="22" spans="2:25" hidden="1" x14ac:dyDescent="0.35">
      <c r="B22" t="s">
        <v>755</v>
      </c>
      <c r="C22" t="s">
        <v>86</v>
      </c>
      <c r="D22" t="s">
        <v>813</v>
      </c>
      <c r="E22">
        <v>4019</v>
      </c>
      <c r="F22" t="s">
        <v>86</v>
      </c>
      <c r="G22" t="str">
        <f>TEXT(I22,"yyyymmdd")&amp;D22</f>
        <v>20221110075512</v>
      </c>
      <c r="H22" t="s">
        <v>706</v>
      </c>
      <c r="I22" s="48">
        <v>44875</v>
      </c>
      <c r="L22" t="s">
        <v>705</v>
      </c>
      <c r="P22" t="str">
        <f t="shared" si="0"/>
        <v xml:space="preserve">'productId' : '4019', </v>
      </c>
      <c r="R22" t="str">
        <f t="shared" si="2"/>
        <v xml:space="preserve">'reviewDetails' : [ { 'reviewId' : '20221110075512', </v>
      </c>
      <c r="S22" t="str">
        <f t="shared" si="3"/>
        <v xml:space="preserve">'orderId' : '20221103113112', </v>
      </c>
      <c r="T22" t="str">
        <f t="shared" si="4"/>
        <v xml:space="preserve">'postDate' : new Date('2022-11-10'), </v>
      </c>
      <c r="U22" t="str">
        <f t="shared" si="5"/>
        <v/>
      </c>
      <c r="V22" t="str">
        <f t="shared" si="6"/>
        <v/>
      </c>
      <c r="W22" t="str">
        <f t="shared" si="7"/>
        <v xml:space="preserve">'emailAddress' : 'altmancharlotte@gmail.com'} ] </v>
      </c>
      <c r="Y22" t="str">
        <f>_xlfn.CONCAT(P22:W22,", ")</f>
        <v xml:space="preserve">'productId' : '4019', 'reviewDetails' : [ { 'reviewId' : '20221110075512', 'orderId' : '20221103113112', 'postDate' : new Date('2022-11-10'), 'emailAddress' : 'altmancharlotte@gmail.com'} ] , </v>
      </c>
    </row>
    <row r="23" spans="2:25" hidden="1" x14ac:dyDescent="0.35">
      <c r="B23" t="s">
        <v>755</v>
      </c>
      <c r="C23" t="s">
        <v>87</v>
      </c>
      <c r="D23" t="s">
        <v>814</v>
      </c>
      <c r="E23">
        <v>4020</v>
      </c>
      <c r="F23" t="s">
        <v>87</v>
      </c>
      <c r="G23" t="str">
        <f>TEXT(I23,"yyyymmdd")&amp;D23</f>
        <v>20221106164800</v>
      </c>
      <c r="H23" t="s">
        <v>706</v>
      </c>
      <c r="I23" s="48">
        <v>44871</v>
      </c>
      <c r="L23" t="s">
        <v>705</v>
      </c>
      <c r="P23" t="str">
        <f t="shared" si="0"/>
        <v xml:space="preserve">'productId' : '4020', </v>
      </c>
      <c r="R23" t="str">
        <f t="shared" si="2"/>
        <v xml:space="preserve">'reviewDetails' : [ { 'reviewId' : '20221106164800', </v>
      </c>
      <c r="S23" t="str">
        <f t="shared" si="3"/>
        <v xml:space="preserve">'orderId' : '20221103113112', </v>
      </c>
      <c r="T23" t="str">
        <f t="shared" si="4"/>
        <v xml:space="preserve">'postDate' : new Date('2022-11-06'), </v>
      </c>
      <c r="U23" t="str">
        <f t="shared" si="5"/>
        <v/>
      </c>
      <c r="V23" t="str">
        <f t="shared" si="6"/>
        <v/>
      </c>
      <c r="W23" t="str">
        <f t="shared" si="7"/>
        <v xml:space="preserve">'emailAddress' : 'altmancharlotte@gmail.com'} ] </v>
      </c>
      <c r="Y23" t="str">
        <f>_xlfn.CONCAT(P23:W23,", ")</f>
        <v xml:space="preserve">'productId' : '4020', 'reviewDetails' : [ { 'reviewId' : '20221106164800', 'orderId' : '20221103113112', 'postDate' : new Date('2022-11-06'), 'emailAddress' : 'altmancharlotte@gmail.com'} ] , </v>
      </c>
    </row>
    <row r="24" spans="2:25" hidden="1" x14ac:dyDescent="0.35">
      <c r="B24" t="s">
        <v>755</v>
      </c>
      <c r="C24" t="s">
        <v>89</v>
      </c>
      <c r="D24" t="s">
        <v>815</v>
      </c>
      <c r="E24">
        <v>5001</v>
      </c>
      <c r="F24" t="s">
        <v>89</v>
      </c>
      <c r="G24" t="str">
        <f>TEXT(I24,"yyyymmdd")&amp;D24</f>
        <v>20221108203824</v>
      </c>
      <c r="H24" t="s">
        <v>691</v>
      </c>
      <c r="I24" s="48">
        <v>44873</v>
      </c>
      <c r="L24" t="s">
        <v>690</v>
      </c>
      <c r="P24" t="str">
        <f t="shared" si="0"/>
        <v xml:space="preserve">'productId' : '5001', </v>
      </c>
      <c r="R24" t="str">
        <f t="shared" si="2"/>
        <v xml:space="preserve">'reviewDetails' : [ { 'reviewId' : '20221108203824', </v>
      </c>
      <c r="S24" t="str">
        <f t="shared" si="3"/>
        <v xml:space="preserve">'orderId' : '20221101103336', </v>
      </c>
      <c r="T24" t="str">
        <f t="shared" si="4"/>
        <v xml:space="preserve">'postDate' : new Date('2022-11-08'), </v>
      </c>
      <c r="U24" t="str">
        <f t="shared" si="5"/>
        <v/>
      </c>
      <c r="V24" t="str">
        <f t="shared" si="6"/>
        <v/>
      </c>
      <c r="W24" t="str">
        <f t="shared" si="7"/>
        <v xml:space="preserve">'emailAddress' : 'boyleannika@gmail.com'} ] </v>
      </c>
      <c r="Y24" t="str">
        <f>_xlfn.CONCAT(P24:W24,", ")</f>
        <v xml:space="preserve">'productId' : '5001', 'reviewDetails' : [ { 'reviewId' : '20221108203824', 'orderId' : '20221101103336', 'postDate' : new Date('2022-11-08'), 'emailAddress' : 'boyleannika@gmail.com'} ] , </v>
      </c>
    </row>
    <row r="25" spans="2:25" x14ac:dyDescent="0.35">
      <c r="B25" t="s">
        <v>755</v>
      </c>
      <c r="C25" t="s">
        <v>92</v>
      </c>
      <c r="D25" t="s">
        <v>816</v>
      </c>
      <c r="E25">
        <v>5002</v>
      </c>
      <c r="F25" t="s">
        <v>92</v>
      </c>
      <c r="G25" t="str">
        <f>TEXT(I25,"yyyymmdd")&amp;D25</f>
        <v>20221105004312</v>
      </c>
      <c r="H25" t="s">
        <v>695</v>
      </c>
      <c r="I25" s="48">
        <v>44870</v>
      </c>
      <c r="J25">
        <v>3</v>
      </c>
      <c r="L25" t="s">
        <v>694</v>
      </c>
      <c r="P25" t="str">
        <f t="shared" si="0"/>
        <v xml:space="preserve">'productId' : '5002', </v>
      </c>
      <c r="Q25" t="str">
        <f>IF(F25="","","'"&amp;Q$3&amp;"' : '"&amp;F25&amp;"', ")</f>
        <v xml:space="preserve">'productName' : 'Greek Yougurt with mixed Berries', </v>
      </c>
      <c r="R25" t="str">
        <f t="shared" si="2"/>
        <v xml:space="preserve">'reviewDetails' : [ { 'reviewId' : '20221105004312', </v>
      </c>
      <c r="S25" t="str">
        <f t="shared" si="3"/>
        <v xml:space="preserve">'orderId' : '20221101100448', </v>
      </c>
      <c r="T25" t="str">
        <f t="shared" si="4"/>
        <v xml:space="preserve">'postDate' : new Date('2022-11-05'), </v>
      </c>
      <c r="U25" t="str">
        <f t="shared" si="5"/>
        <v xml:space="preserve">'rating' : 3, </v>
      </c>
      <c r="V25" t="str">
        <f t="shared" si="6"/>
        <v/>
      </c>
      <c r="W25" t="str">
        <f t="shared" si="7"/>
        <v xml:space="preserve">'emailAddress' : 'norah_fessenden@gmail.com'} ] </v>
      </c>
      <c r="Y25" t="str">
        <f>_xlfn.CONCAT("db.reviews.insertOne({ ",P25:W25,"} ); ")&amp;"db.reviews.updateOne({productId : '"&amp;E25&amp;"'},{'$inc' : {totalRatings : "&amp;J25&amp;", ratingCount : 1 }});"</f>
        <v>db.reviews.insertOne({ 'productId' : '5002', 'productName' : 'Greek Yougurt with mixed Berries', 'reviewDetails' : [ { 'reviewId' : '20221105004312', 'orderId' : '20221101100448', 'postDate' : new Date('2022-11-05'), 'rating' : 3, 'emailAddress' : 'norah_fessenden@gmail.com'} ] } ); db.reviews.updateOne({productId : '5002'},{'$inc' : {totalRatings : 3, ratingCount : 1 }});</v>
      </c>
    </row>
    <row r="26" spans="2:25" hidden="1" x14ac:dyDescent="0.35">
      <c r="B26" t="s">
        <v>755</v>
      </c>
      <c r="C26" t="s">
        <v>94</v>
      </c>
      <c r="D26" t="s">
        <v>798</v>
      </c>
      <c r="E26">
        <v>5003</v>
      </c>
      <c r="F26" t="s">
        <v>94</v>
      </c>
      <c r="G26" t="str">
        <f>TEXT(I26,"yyyymmdd")&amp;D26</f>
        <v>20221105022400</v>
      </c>
      <c r="H26" t="s">
        <v>687</v>
      </c>
      <c r="I26" s="48">
        <v>44870</v>
      </c>
      <c r="L26" t="s">
        <v>686</v>
      </c>
      <c r="P26" t="str">
        <f t="shared" si="0"/>
        <v xml:space="preserve">'productId' : '5003', </v>
      </c>
      <c r="R26" t="str">
        <f t="shared" si="2"/>
        <v xml:space="preserve">'reviewDetails' : [ { 'reviewId' : '20221105022400', </v>
      </c>
      <c r="S26" t="str">
        <f t="shared" si="3"/>
        <v xml:space="preserve">'orderId' : '20221101104800', </v>
      </c>
      <c r="T26" t="str">
        <f t="shared" si="4"/>
        <v xml:space="preserve">'postDate' : new Date('2022-11-05'), </v>
      </c>
      <c r="U26" t="str">
        <f t="shared" si="5"/>
        <v/>
      </c>
      <c r="V26" t="str">
        <f t="shared" si="6"/>
        <v/>
      </c>
      <c r="W26" t="str">
        <f t="shared" si="7"/>
        <v xml:space="preserve">'emailAddress' : 'trinity_gosling@gmail.com'} ] </v>
      </c>
      <c r="Y26" t="str">
        <f>_xlfn.CONCAT(P26:W26,", ")</f>
        <v xml:space="preserve">'productId' : '5003', 'reviewDetails' : [ { 'reviewId' : '20221105022400', 'orderId' : '20221101104800', 'postDate' : new Date('2022-11-05'), 'emailAddress' : 'trinity_gosling@gmail.com'} ] , </v>
      </c>
    </row>
    <row r="27" spans="2:25" hidden="1" x14ac:dyDescent="0.35">
      <c r="B27" s="40" t="e">
        <f ca="1">INDEX(Orders!AI:AI,MATCH(E28,Orders!AA:AA,0))</f>
        <v>#N/A</v>
      </c>
      <c r="C27" s="40" t="str">
        <f>VLOOKUP(E27,Orders!AA:AB,2,0)</f>
        <v>Plain Bagel</v>
      </c>
      <c r="D27" s="40" t="str">
        <f t="shared" ref="D27" ca="1" si="15">TEXT(RANDBETWEEN(1,99)/100, "HHMMSS")</f>
        <v>043336</v>
      </c>
      <c r="E27">
        <v>4001</v>
      </c>
      <c r="F27" s="40" t="str">
        <f>VLOOKUP(E27,Products!B:C,2,0)</f>
        <v>Plain Bagel</v>
      </c>
      <c r="G27" s="40" t="str">
        <f ca="1">TEXT(I27,"yyyymmdd")&amp;D27</f>
        <v>20221107043336</v>
      </c>
      <c r="H27" s="40" t="str">
        <f>INDEX(Orders!C:C,MATCH(E27,Orders!AA:AA,0))</f>
        <v>20221101104800</v>
      </c>
      <c r="I27" s="52">
        <f t="shared" ref="I27" ca="1" si="16">DATE(LEFT(H27,4),MID(H27,5,2),MID(H27,7,2))+RANDBETWEEN(3,10)</f>
        <v>44872</v>
      </c>
      <c r="L27" s="40" t="str">
        <f>INDEX(Orders!B:B,MATCH(E27,Orders!AA:AA,0))</f>
        <v>trinity_gosling@gmail.com</v>
      </c>
      <c r="P27" s="40" t="str">
        <f t="shared" si="0"/>
        <v xml:space="preserve">'productId' : '4001', </v>
      </c>
      <c r="Q27" s="40" t="str">
        <f>IF(F27="","","'"&amp;Q$3&amp;"' : '"&amp;F27&amp;"', ")</f>
        <v xml:space="preserve">'productName' : 'Plain Bagel', </v>
      </c>
      <c r="R27" s="40" t="str">
        <f t="shared" ca="1" si="2"/>
        <v xml:space="preserve">'reviewDetails' : [ { 'reviewId' : '20221107043336', </v>
      </c>
      <c r="S27" s="40" t="str">
        <f t="shared" si="3"/>
        <v xml:space="preserve">'orderId' : '20221101104800', </v>
      </c>
      <c r="T27" s="40" t="str">
        <f t="shared" ca="1" si="4"/>
        <v xml:space="preserve">'postDate' : new Date('2022-11-07'), </v>
      </c>
      <c r="U27" s="40" t="str">
        <f t="shared" si="5"/>
        <v/>
      </c>
      <c r="V27" s="40" t="str">
        <f t="shared" si="6"/>
        <v/>
      </c>
      <c r="W27" s="40" t="str">
        <f t="shared" si="7"/>
        <v xml:space="preserve">'emailAddress' : 'trinity_gosling@gmail.com'} ] </v>
      </c>
      <c r="X27" s="57"/>
      <c r="Y27" s="40"/>
    </row>
  </sheetData>
  <autoFilter ref="A3:Y27" xr:uid="{C4AF05E7-34E1-4273-A297-31817CF02F97}">
    <filterColumn colId="9">
      <customFilters>
        <customFilter operator="notEqual" val=" "/>
      </custom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CA63-E4B9-4AF9-B23A-3C5185BBCD3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9F91-AC86-43BC-8548-F0078DD84E0F}">
  <sheetPr filterMode="1"/>
  <dimension ref="A1:J214"/>
  <sheetViews>
    <sheetView showGridLines="0" zoomScale="85" zoomScaleNormal="85" workbookViewId="0"/>
  </sheetViews>
  <sheetFormatPr defaultRowHeight="14.5" x14ac:dyDescent="0.35"/>
  <cols>
    <col min="1" max="1" width="27.90625" bestFit="1" customWidth="1"/>
    <col min="2" max="2" width="17.7265625" bestFit="1" customWidth="1"/>
    <col min="3" max="3" width="23.81640625" bestFit="1" customWidth="1"/>
    <col min="4" max="6" width="2.6328125" customWidth="1"/>
    <col min="8" max="8" width="25.1796875" bestFit="1" customWidth="1"/>
    <col min="9" max="9" width="17.7265625" bestFit="1" customWidth="1"/>
    <col min="10" max="10" width="20" bestFit="1" customWidth="1"/>
  </cols>
  <sheetData>
    <row r="1" spans="1:10" x14ac:dyDescent="0.35">
      <c r="A1" s="9" t="s">
        <v>285</v>
      </c>
    </row>
    <row r="2" spans="1:10" x14ac:dyDescent="0.35">
      <c r="A2" s="9" t="s">
        <v>281</v>
      </c>
    </row>
    <row r="3" spans="1:10" x14ac:dyDescent="0.35">
      <c r="A3" s="38"/>
    </row>
    <row r="4" spans="1:10" x14ac:dyDescent="0.35">
      <c r="A4" s="12" t="s">
        <v>355</v>
      </c>
      <c r="B4" s="12" t="s">
        <v>310</v>
      </c>
      <c r="C4" s="12" t="s">
        <v>311</v>
      </c>
      <c r="D4" s="12"/>
      <c r="E4" s="12"/>
      <c r="F4" s="12"/>
      <c r="H4" s="12" t="s">
        <v>356</v>
      </c>
      <c r="I4" s="12" t="s">
        <v>310</v>
      </c>
      <c r="J4" s="12" t="s">
        <v>311</v>
      </c>
    </row>
    <row r="5" spans="1:10" hidden="1" x14ac:dyDescent="0.35">
      <c r="A5" s="34" t="s">
        <v>194</v>
      </c>
      <c r="B5" t="str">
        <f>LEFT(A5,FIND(":",A5)-1)</f>
        <v>Street</v>
      </c>
      <c r="C5" t="str">
        <f>TRIM(MID(A5,FIND(":",A5)+3,200))</f>
        <v>2267 184th Street</v>
      </c>
      <c r="H5" s="34" t="s">
        <v>348</v>
      </c>
      <c r="I5" t="str">
        <f>LEFT(H5,FIND(":",H5)-1)</f>
        <v>Street</v>
      </c>
      <c r="J5" t="str">
        <f t="shared" ref="J5:J68" si="0">TRIM(MID(H5,FIND(":",H5)+3,200))</f>
        <v>1958 Weir Crescent</v>
      </c>
    </row>
    <row r="6" spans="1:10" hidden="1" x14ac:dyDescent="0.35">
      <c r="A6" s="34" t="s">
        <v>195</v>
      </c>
      <c r="B6" t="str">
        <f t="shared" ref="B6:B69" si="1">LEFT(A6,FIND(":",A6)-1)</f>
        <v>City</v>
      </c>
      <c r="C6" t="str">
        <f t="shared" ref="C6:C69" si="2">TRIM(MID(A6,FIND(":",A6)+3,200))</f>
        <v>Edmonton</v>
      </c>
      <c r="H6" s="34" t="s">
        <v>205</v>
      </c>
      <c r="I6" t="str">
        <f t="shared" ref="I6:I69" si="3">LEFT(H6,FIND(":",H6)-1)</f>
        <v>City</v>
      </c>
      <c r="J6" t="str">
        <f t="shared" si="0"/>
        <v>Toronto</v>
      </c>
    </row>
    <row r="7" spans="1:10" hidden="1" x14ac:dyDescent="0.35">
      <c r="A7" s="34" t="s">
        <v>449</v>
      </c>
      <c r="B7" t="str">
        <f t="shared" si="1"/>
        <v>State/province/area</v>
      </c>
      <c r="C7" t="str">
        <f t="shared" si="2"/>
        <v>Alberta</v>
      </c>
      <c r="H7" s="34" t="s">
        <v>445</v>
      </c>
      <c r="I7" t="str">
        <f t="shared" si="3"/>
        <v>State/province/area</v>
      </c>
      <c r="J7" t="str">
        <f t="shared" si="0"/>
        <v>Ontario</v>
      </c>
    </row>
    <row r="8" spans="1:10" x14ac:dyDescent="0.35">
      <c r="A8" s="34" t="s">
        <v>236</v>
      </c>
      <c r="B8" t="str">
        <f t="shared" si="1"/>
        <v>Phone number</v>
      </c>
      <c r="C8" t="str">
        <f t="shared" si="2"/>
        <v>780-485-2704</v>
      </c>
      <c r="H8" s="34" t="s">
        <v>368</v>
      </c>
      <c r="I8" t="str">
        <f t="shared" si="3"/>
        <v>Phone number</v>
      </c>
      <c r="J8" t="str">
        <f t="shared" si="0"/>
        <v>647-828-4520</v>
      </c>
    </row>
    <row r="9" spans="1:10" hidden="1" x14ac:dyDescent="0.35">
      <c r="A9" s="34" t="s">
        <v>260</v>
      </c>
      <c r="B9" t="str">
        <f t="shared" si="1"/>
        <v>Zip code</v>
      </c>
      <c r="C9" t="str">
        <f t="shared" si="2"/>
        <v>T5J 2R4</v>
      </c>
      <c r="H9" s="34" t="s">
        <v>380</v>
      </c>
      <c r="I9" t="str">
        <f t="shared" si="3"/>
        <v>Zip code</v>
      </c>
      <c r="J9" t="str">
        <f t="shared" si="0"/>
        <v>M1E 3T8</v>
      </c>
    </row>
    <row r="10" spans="1:10" hidden="1" x14ac:dyDescent="0.35">
      <c r="A10" s="34" t="s">
        <v>279</v>
      </c>
      <c r="B10" t="str">
        <f t="shared" si="1"/>
        <v>Country calling code</v>
      </c>
      <c r="C10" t="str">
        <f t="shared" si="2"/>
        <v>+1</v>
      </c>
      <c r="H10" s="34" t="s">
        <v>279</v>
      </c>
      <c r="I10" t="str">
        <f t="shared" si="3"/>
        <v>Country calling code</v>
      </c>
      <c r="J10" t="str">
        <f t="shared" si="0"/>
        <v>+1</v>
      </c>
    </row>
    <row r="11" spans="1:10" hidden="1" x14ac:dyDescent="0.35">
      <c r="A11" s="35" t="s">
        <v>280</v>
      </c>
      <c r="B11" t="str">
        <f t="shared" si="1"/>
        <v>Country</v>
      </c>
      <c r="C11" t="str">
        <f t="shared" si="2"/>
        <v>Canada</v>
      </c>
      <c r="H11" s="35" t="s">
        <v>280</v>
      </c>
      <c r="I11" t="str">
        <f t="shared" si="3"/>
        <v>Country</v>
      </c>
      <c r="J11" t="str">
        <f t="shared" si="0"/>
        <v>Canada</v>
      </c>
    </row>
    <row r="12" spans="1:10" hidden="1" x14ac:dyDescent="0.35">
      <c r="A12" s="34" t="s">
        <v>196</v>
      </c>
      <c r="B12" t="str">
        <f t="shared" si="1"/>
        <v>Street</v>
      </c>
      <c r="C12" t="str">
        <f t="shared" si="2"/>
        <v>1751 Wallbridge Loyalist Rd</v>
      </c>
      <c r="H12" s="34" t="s">
        <v>349</v>
      </c>
      <c r="I12" t="str">
        <f t="shared" si="3"/>
        <v>Street</v>
      </c>
      <c r="J12" t="str">
        <f t="shared" si="0"/>
        <v>694 Yonge Street</v>
      </c>
    </row>
    <row r="13" spans="1:10" hidden="1" x14ac:dyDescent="0.35">
      <c r="A13" s="34" t="s">
        <v>197</v>
      </c>
      <c r="B13" t="str">
        <f t="shared" si="1"/>
        <v>City</v>
      </c>
      <c r="C13" t="str">
        <f t="shared" si="2"/>
        <v>Belleville</v>
      </c>
      <c r="H13" s="34" t="s">
        <v>205</v>
      </c>
      <c r="I13" t="str">
        <f t="shared" si="3"/>
        <v>City</v>
      </c>
      <c r="J13" t="str">
        <f t="shared" si="0"/>
        <v>Toronto</v>
      </c>
    </row>
    <row r="14" spans="1:10" hidden="1" x14ac:dyDescent="0.35">
      <c r="A14" s="34" t="s">
        <v>445</v>
      </c>
      <c r="B14" t="str">
        <f t="shared" si="1"/>
        <v>State/province/area</v>
      </c>
      <c r="C14" t="str">
        <f t="shared" si="2"/>
        <v>Ontario</v>
      </c>
      <c r="H14" s="34" t="s">
        <v>445</v>
      </c>
      <c r="I14" t="str">
        <f t="shared" si="3"/>
        <v>State/province/area</v>
      </c>
      <c r="J14" t="str">
        <f t="shared" si="0"/>
        <v>Ontario</v>
      </c>
    </row>
    <row r="15" spans="1:10" x14ac:dyDescent="0.35">
      <c r="A15" s="34" t="s">
        <v>237</v>
      </c>
      <c r="B15" t="str">
        <f t="shared" si="1"/>
        <v>Phone number</v>
      </c>
      <c r="C15" t="str">
        <f t="shared" si="2"/>
        <v>613-847-5941</v>
      </c>
      <c r="H15" s="34" t="s">
        <v>369</v>
      </c>
      <c r="I15" t="str">
        <f t="shared" si="3"/>
        <v>Phone number</v>
      </c>
      <c r="J15" t="str">
        <f t="shared" si="0"/>
        <v>416-963-8125</v>
      </c>
    </row>
    <row r="16" spans="1:10" hidden="1" x14ac:dyDescent="0.35">
      <c r="A16" s="34" t="s">
        <v>261</v>
      </c>
      <c r="B16" t="str">
        <f t="shared" si="1"/>
        <v>Zip code</v>
      </c>
      <c r="C16" t="str">
        <f t="shared" si="2"/>
        <v>K8N 1L9</v>
      </c>
      <c r="H16" s="34" t="s">
        <v>269</v>
      </c>
      <c r="I16" t="str">
        <f t="shared" si="3"/>
        <v>Zip code</v>
      </c>
      <c r="J16" t="str">
        <f t="shared" si="0"/>
        <v>M4W 1J7</v>
      </c>
    </row>
    <row r="17" spans="1:10" hidden="1" x14ac:dyDescent="0.35">
      <c r="A17" s="34" t="s">
        <v>279</v>
      </c>
      <c r="B17" t="str">
        <f t="shared" si="1"/>
        <v>Country calling code</v>
      </c>
      <c r="C17" t="str">
        <f t="shared" si="2"/>
        <v>+1</v>
      </c>
      <c r="H17" s="34" t="s">
        <v>279</v>
      </c>
      <c r="I17" t="str">
        <f t="shared" si="3"/>
        <v>Country calling code</v>
      </c>
      <c r="J17" t="str">
        <f t="shared" si="0"/>
        <v>+1</v>
      </c>
    </row>
    <row r="18" spans="1:10" hidden="1" x14ac:dyDescent="0.35">
      <c r="A18" s="35" t="s">
        <v>280</v>
      </c>
      <c r="B18" t="str">
        <f t="shared" si="1"/>
        <v>Country</v>
      </c>
      <c r="C18" t="str">
        <f t="shared" si="2"/>
        <v>Canada</v>
      </c>
      <c r="H18" s="35" t="s">
        <v>280</v>
      </c>
      <c r="I18" t="str">
        <f t="shared" si="3"/>
        <v>Country</v>
      </c>
      <c r="J18" t="str">
        <f t="shared" si="0"/>
        <v>Canada</v>
      </c>
    </row>
    <row r="19" spans="1:10" hidden="1" x14ac:dyDescent="0.35">
      <c r="A19" s="34" t="s">
        <v>198</v>
      </c>
      <c r="B19" t="str">
        <f t="shared" si="1"/>
        <v>Street</v>
      </c>
      <c r="C19" t="str">
        <f t="shared" si="2"/>
        <v>2963 Pine Street</v>
      </c>
      <c r="H19" s="34" t="s">
        <v>350</v>
      </c>
      <c r="I19" t="str">
        <f t="shared" si="3"/>
        <v>Street</v>
      </c>
      <c r="J19" t="str">
        <f t="shared" si="0"/>
        <v>674 Montreal Road</v>
      </c>
    </row>
    <row r="20" spans="1:10" hidden="1" x14ac:dyDescent="0.35">
      <c r="A20" s="34" t="s">
        <v>199</v>
      </c>
      <c r="B20" t="str">
        <f t="shared" si="1"/>
        <v>City</v>
      </c>
      <c r="C20" t="str">
        <f t="shared" si="2"/>
        <v>Nisku</v>
      </c>
      <c r="H20" s="34" t="s">
        <v>289</v>
      </c>
      <c r="I20" t="str">
        <f t="shared" si="3"/>
        <v>City</v>
      </c>
      <c r="J20" t="str">
        <f t="shared" si="0"/>
        <v>Ottawa</v>
      </c>
    </row>
    <row r="21" spans="1:10" hidden="1" x14ac:dyDescent="0.35">
      <c r="A21" s="34" t="s">
        <v>449</v>
      </c>
      <c r="B21" t="str">
        <f t="shared" si="1"/>
        <v>State/province/area</v>
      </c>
      <c r="C21" t="str">
        <f t="shared" si="2"/>
        <v>Alberta</v>
      </c>
      <c r="H21" s="34" t="s">
        <v>445</v>
      </c>
      <c r="I21" t="str">
        <f t="shared" si="3"/>
        <v>State/province/area</v>
      </c>
      <c r="J21" t="str">
        <f t="shared" si="0"/>
        <v>Ontario</v>
      </c>
    </row>
    <row r="22" spans="1:10" x14ac:dyDescent="0.35">
      <c r="A22" s="34" t="s">
        <v>238</v>
      </c>
      <c r="B22" t="str">
        <f t="shared" si="1"/>
        <v>Phone number</v>
      </c>
      <c r="C22" t="str">
        <f t="shared" si="2"/>
        <v>780-955-0637</v>
      </c>
      <c r="H22" s="34" t="s">
        <v>370</v>
      </c>
      <c r="I22" t="str">
        <f t="shared" si="3"/>
        <v>Phone number</v>
      </c>
      <c r="J22" t="str">
        <f t="shared" si="0"/>
        <v>613-744-0751</v>
      </c>
    </row>
    <row r="23" spans="1:10" hidden="1" x14ac:dyDescent="0.35">
      <c r="A23" s="34" t="s">
        <v>262</v>
      </c>
      <c r="B23" t="str">
        <f t="shared" si="1"/>
        <v>Zip code</v>
      </c>
      <c r="C23" t="str">
        <f t="shared" si="2"/>
        <v>T0C 2G0</v>
      </c>
      <c r="H23" s="34" t="s">
        <v>381</v>
      </c>
      <c r="I23" t="str">
        <f t="shared" si="3"/>
        <v>Zip code</v>
      </c>
      <c r="J23" t="str">
        <f t="shared" si="0"/>
        <v>K1L 6C7</v>
      </c>
    </row>
    <row r="24" spans="1:10" hidden="1" x14ac:dyDescent="0.35">
      <c r="A24" s="34" t="s">
        <v>279</v>
      </c>
      <c r="B24" t="str">
        <f t="shared" si="1"/>
        <v>Country calling code</v>
      </c>
      <c r="C24" t="str">
        <f t="shared" si="2"/>
        <v>+1</v>
      </c>
      <c r="H24" s="34" t="s">
        <v>279</v>
      </c>
      <c r="I24" t="str">
        <f t="shared" si="3"/>
        <v>Country calling code</v>
      </c>
      <c r="J24" t="str">
        <f t="shared" si="0"/>
        <v>+1</v>
      </c>
    </row>
    <row r="25" spans="1:10" hidden="1" x14ac:dyDescent="0.35">
      <c r="A25" s="35" t="s">
        <v>280</v>
      </c>
      <c r="B25" t="str">
        <f t="shared" si="1"/>
        <v>Country</v>
      </c>
      <c r="C25" t="str">
        <f t="shared" si="2"/>
        <v>Canada</v>
      </c>
      <c r="H25" s="35" t="s">
        <v>280</v>
      </c>
      <c r="I25" t="str">
        <f t="shared" si="3"/>
        <v>Country</v>
      </c>
      <c r="J25" t="str">
        <f t="shared" si="0"/>
        <v>Canada</v>
      </c>
    </row>
    <row r="26" spans="1:10" hidden="1" x14ac:dyDescent="0.35">
      <c r="A26" s="34" t="s">
        <v>200</v>
      </c>
      <c r="B26" t="str">
        <f t="shared" si="1"/>
        <v>Street</v>
      </c>
      <c r="C26" t="str">
        <f t="shared" si="2"/>
        <v>1808 Pope St</v>
      </c>
      <c r="H26" s="34" t="s">
        <v>351</v>
      </c>
      <c r="I26" t="str">
        <f t="shared" si="3"/>
        <v>Street</v>
      </c>
      <c r="J26" t="str">
        <f t="shared" si="0"/>
        <v>832 Nelson Street</v>
      </c>
    </row>
    <row r="27" spans="1:10" hidden="1" x14ac:dyDescent="0.35">
      <c r="A27" s="34" t="s">
        <v>201</v>
      </c>
      <c r="B27" t="str">
        <f t="shared" si="1"/>
        <v>City</v>
      </c>
      <c r="C27" t="str">
        <f t="shared" si="2"/>
        <v>Alberton</v>
      </c>
      <c r="H27" s="34" t="s">
        <v>352</v>
      </c>
      <c r="I27" t="str">
        <f t="shared" si="3"/>
        <v>City</v>
      </c>
      <c r="J27" t="str">
        <f t="shared" si="0"/>
        <v>Cat Lake</v>
      </c>
    </row>
    <row r="28" spans="1:10" hidden="1" x14ac:dyDescent="0.35">
      <c r="A28" s="34" t="s">
        <v>450</v>
      </c>
      <c r="B28" t="str">
        <f t="shared" si="1"/>
        <v>State/province/area</v>
      </c>
      <c r="C28" t="str">
        <f t="shared" si="2"/>
        <v>Prince Edward Island</v>
      </c>
      <c r="H28" s="34" t="s">
        <v>445</v>
      </c>
      <c r="I28" t="str">
        <f t="shared" si="3"/>
        <v>State/province/area</v>
      </c>
      <c r="J28" t="str">
        <f t="shared" si="0"/>
        <v>Ontario</v>
      </c>
    </row>
    <row r="29" spans="1:10" x14ac:dyDescent="0.35">
      <c r="A29" s="34" t="s">
        <v>239</v>
      </c>
      <c r="B29" t="str">
        <f t="shared" si="1"/>
        <v>Phone number</v>
      </c>
      <c r="C29" t="str">
        <f t="shared" si="2"/>
        <v>902-853-1818</v>
      </c>
      <c r="H29" s="34" t="s">
        <v>371</v>
      </c>
      <c r="I29" t="str">
        <f t="shared" si="3"/>
        <v>Phone number</v>
      </c>
      <c r="J29" t="str">
        <f t="shared" si="0"/>
        <v>807-347-1528</v>
      </c>
    </row>
    <row r="30" spans="1:10" hidden="1" x14ac:dyDescent="0.35">
      <c r="A30" s="34" t="s">
        <v>263</v>
      </c>
      <c r="B30" t="str">
        <f t="shared" si="1"/>
        <v>Zip code</v>
      </c>
      <c r="C30" t="str">
        <f t="shared" si="2"/>
        <v>C0B 1K0</v>
      </c>
      <c r="H30" s="34" t="s">
        <v>382</v>
      </c>
      <c r="I30" t="str">
        <f t="shared" si="3"/>
        <v>Zip code</v>
      </c>
      <c r="J30" t="str">
        <f t="shared" si="0"/>
        <v>P0V 1J0</v>
      </c>
    </row>
    <row r="31" spans="1:10" hidden="1" x14ac:dyDescent="0.35">
      <c r="A31" s="34" t="s">
        <v>279</v>
      </c>
      <c r="B31" t="str">
        <f t="shared" si="1"/>
        <v>Country calling code</v>
      </c>
      <c r="C31" t="str">
        <f t="shared" si="2"/>
        <v>+1</v>
      </c>
      <c r="H31" s="34" t="s">
        <v>279</v>
      </c>
      <c r="I31" t="str">
        <f t="shared" si="3"/>
        <v>Country calling code</v>
      </c>
      <c r="J31" t="str">
        <f t="shared" si="0"/>
        <v>+1</v>
      </c>
    </row>
    <row r="32" spans="1:10" hidden="1" x14ac:dyDescent="0.35">
      <c r="A32" s="35" t="s">
        <v>280</v>
      </c>
      <c r="B32" t="str">
        <f t="shared" si="1"/>
        <v>Country</v>
      </c>
      <c r="C32" t="str">
        <f t="shared" si="2"/>
        <v>Canada</v>
      </c>
      <c r="H32" s="35" t="s">
        <v>280</v>
      </c>
      <c r="I32" t="str">
        <f t="shared" si="3"/>
        <v>Country</v>
      </c>
      <c r="J32" t="str">
        <f t="shared" si="0"/>
        <v>Canada</v>
      </c>
    </row>
    <row r="33" spans="1:10" hidden="1" x14ac:dyDescent="0.35">
      <c r="A33" s="34" t="s">
        <v>202</v>
      </c>
      <c r="B33" t="str">
        <f t="shared" si="1"/>
        <v>Street</v>
      </c>
      <c r="C33" t="str">
        <f t="shared" si="2"/>
        <v>4650 rue St-Paul</v>
      </c>
      <c r="H33" s="34" t="s">
        <v>353</v>
      </c>
      <c r="I33" t="str">
        <f t="shared" si="3"/>
        <v>Street</v>
      </c>
      <c r="J33" t="str">
        <f t="shared" si="0"/>
        <v>3818 Merton Street</v>
      </c>
    </row>
    <row r="34" spans="1:10" hidden="1" x14ac:dyDescent="0.35">
      <c r="A34" s="34" t="s">
        <v>203</v>
      </c>
      <c r="B34" t="str">
        <f t="shared" si="1"/>
        <v>City</v>
      </c>
      <c r="C34" t="str">
        <f t="shared" si="2"/>
        <v>Sorel</v>
      </c>
      <c r="H34" s="34" t="s">
        <v>205</v>
      </c>
      <c r="I34" t="str">
        <f t="shared" si="3"/>
        <v>City</v>
      </c>
      <c r="J34" t="str">
        <f t="shared" si="0"/>
        <v>Toronto</v>
      </c>
    </row>
    <row r="35" spans="1:10" hidden="1" x14ac:dyDescent="0.35">
      <c r="A35" s="34" t="s">
        <v>447</v>
      </c>
      <c r="B35" t="str">
        <f t="shared" si="1"/>
        <v>State/province/area</v>
      </c>
      <c r="C35" t="str">
        <f t="shared" si="2"/>
        <v>Quebec</v>
      </c>
      <c r="H35" s="34" t="s">
        <v>445</v>
      </c>
      <c r="I35" t="str">
        <f t="shared" si="3"/>
        <v>State/province/area</v>
      </c>
      <c r="J35" t="str">
        <f t="shared" si="0"/>
        <v>Ontario</v>
      </c>
    </row>
    <row r="36" spans="1:10" x14ac:dyDescent="0.35">
      <c r="A36" s="34" t="s">
        <v>240</v>
      </c>
      <c r="B36" t="str">
        <f t="shared" si="1"/>
        <v>Phone number</v>
      </c>
      <c r="C36" t="str">
        <f t="shared" si="2"/>
        <v>450-881-8290</v>
      </c>
      <c r="H36" s="34" t="s">
        <v>372</v>
      </c>
      <c r="I36" t="str">
        <f t="shared" si="3"/>
        <v>Phone number</v>
      </c>
      <c r="J36" t="str">
        <f t="shared" si="0"/>
        <v>416-527-3767</v>
      </c>
    </row>
    <row r="37" spans="1:10" hidden="1" x14ac:dyDescent="0.35">
      <c r="A37" s="34" t="s">
        <v>264</v>
      </c>
      <c r="B37" t="str">
        <f t="shared" si="1"/>
        <v>Zip code</v>
      </c>
      <c r="C37" t="str">
        <f t="shared" si="2"/>
        <v>J3P 4M9</v>
      </c>
      <c r="H37" s="34" t="s">
        <v>383</v>
      </c>
      <c r="I37" t="str">
        <f t="shared" si="3"/>
        <v>Zip code</v>
      </c>
      <c r="J37" t="str">
        <f t="shared" si="0"/>
        <v>M1L 3K7</v>
      </c>
    </row>
    <row r="38" spans="1:10" hidden="1" x14ac:dyDescent="0.35">
      <c r="A38" s="34" t="s">
        <v>279</v>
      </c>
      <c r="B38" t="str">
        <f t="shared" si="1"/>
        <v>Country calling code</v>
      </c>
      <c r="C38" t="str">
        <f t="shared" si="2"/>
        <v>+1</v>
      </c>
      <c r="H38" s="34" t="s">
        <v>279</v>
      </c>
      <c r="I38" t="str">
        <f t="shared" si="3"/>
        <v>Country calling code</v>
      </c>
      <c r="J38" t="str">
        <f t="shared" si="0"/>
        <v>+1</v>
      </c>
    </row>
    <row r="39" spans="1:10" hidden="1" x14ac:dyDescent="0.35">
      <c r="A39" s="35" t="s">
        <v>280</v>
      </c>
      <c r="B39" t="str">
        <f t="shared" si="1"/>
        <v>Country</v>
      </c>
      <c r="C39" t="str">
        <f t="shared" si="2"/>
        <v>Canada</v>
      </c>
      <c r="H39" s="35" t="s">
        <v>280</v>
      </c>
      <c r="I39" t="str">
        <f t="shared" si="3"/>
        <v>Country</v>
      </c>
      <c r="J39" t="str">
        <f t="shared" si="0"/>
        <v>Canada</v>
      </c>
    </row>
    <row r="40" spans="1:10" hidden="1" x14ac:dyDescent="0.35">
      <c r="A40" s="34" t="s">
        <v>204</v>
      </c>
      <c r="B40" t="str">
        <f t="shared" si="1"/>
        <v>Street</v>
      </c>
      <c r="C40" t="str">
        <f t="shared" si="2"/>
        <v>1228 A Avenue</v>
      </c>
      <c r="H40" s="34" t="s">
        <v>354</v>
      </c>
      <c r="I40" t="str">
        <f t="shared" si="3"/>
        <v>Street</v>
      </c>
      <c r="J40" t="str">
        <f t="shared" si="0"/>
        <v>3050 Speers Road</v>
      </c>
    </row>
    <row r="41" spans="1:10" hidden="1" x14ac:dyDescent="0.35">
      <c r="A41" s="34" t="s">
        <v>195</v>
      </c>
      <c r="B41" t="str">
        <f t="shared" si="1"/>
        <v>City</v>
      </c>
      <c r="C41" t="str">
        <f t="shared" si="2"/>
        <v>Edmonton</v>
      </c>
      <c r="H41" s="34" t="s">
        <v>215</v>
      </c>
      <c r="I41" t="str">
        <f t="shared" si="3"/>
        <v>City</v>
      </c>
      <c r="J41" t="str">
        <f t="shared" si="0"/>
        <v>Oakville</v>
      </c>
    </row>
    <row r="42" spans="1:10" hidden="1" x14ac:dyDescent="0.35">
      <c r="A42" s="34" t="s">
        <v>449</v>
      </c>
      <c r="B42" t="str">
        <f t="shared" si="1"/>
        <v>State/province/area</v>
      </c>
      <c r="C42" t="str">
        <f t="shared" si="2"/>
        <v>Alberta</v>
      </c>
      <c r="H42" s="34" t="s">
        <v>445</v>
      </c>
      <c r="I42" t="str">
        <f t="shared" si="3"/>
        <v>State/province/area</v>
      </c>
      <c r="J42" t="str">
        <f t="shared" si="0"/>
        <v>Ontario</v>
      </c>
    </row>
    <row r="43" spans="1:10" x14ac:dyDescent="0.35">
      <c r="A43" s="34" t="s">
        <v>241</v>
      </c>
      <c r="B43" t="str">
        <f t="shared" si="1"/>
        <v>Phone number</v>
      </c>
      <c r="C43" t="str">
        <f t="shared" si="2"/>
        <v>780-917-8428</v>
      </c>
      <c r="H43" s="34" t="s">
        <v>373</v>
      </c>
      <c r="I43" t="str">
        <f t="shared" si="3"/>
        <v>Phone number</v>
      </c>
      <c r="J43" t="str">
        <f t="shared" si="0"/>
        <v>905-467-2429</v>
      </c>
    </row>
    <row r="44" spans="1:10" hidden="1" x14ac:dyDescent="0.35">
      <c r="A44" s="34" t="s">
        <v>265</v>
      </c>
      <c r="B44" t="str">
        <f t="shared" si="1"/>
        <v>Zip code</v>
      </c>
      <c r="C44" t="str">
        <f t="shared" si="2"/>
        <v>T5J 0K7</v>
      </c>
      <c r="H44" s="34" t="s">
        <v>384</v>
      </c>
      <c r="I44" t="str">
        <f t="shared" si="3"/>
        <v>Zip code</v>
      </c>
      <c r="J44" t="str">
        <f t="shared" si="0"/>
        <v>L6H 3H5</v>
      </c>
    </row>
    <row r="45" spans="1:10" hidden="1" x14ac:dyDescent="0.35">
      <c r="A45" s="34" t="s">
        <v>279</v>
      </c>
      <c r="B45" t="str">
        <f t="shared" si="1"/>
        <v>Country calling code</v>
      </c>
      <c r="C45" t="str">
        <f t="shared" si="2"/>
        <v>+1</v>
      </c>
      <c r="H45" s="34" t="s">
        <v>279</v>
      </c>
      <c r="I45" t="str">
        <f t="shared" si="3"/>
        <v>Country calling code</v>
      </c>
      <c r="J45" t="str">
        <f t="shared" si="0"/>
        <v>+1</v>
      </c>
    </row>
    <row r="46" spans="1:10" hidden="1" x14ac:dyDescent="0.35">
      <c r="A46" s="35" t="s">
        <v>280</v>
      </c>
      <c r="B46" t="str">
        <f t="shared" si="1"/>
        <v>Country</v>
      </c>
      <c r="C46" t="str">
        <f t="shared" si="2"/>
        <v>Canada</v>
      </c>
      <c r="H46" s="35" t="s">
        <v>280</v>
      </c>
      <c r="I46" t="str">
        <f t="shared" si="3"/>
        <v>Country</v>
      </c>
      <c r="J46" t="str">
        <f t="shared" si="0"/>
        <v>Canada</v>
      </c>
    </row>
    <row r="47" spans="1:10" hidden="1" x14ac:dyDescent="0.35">
      <c r="A47" s="36" t="s">
        <v>207</v>
      </c>
      <c r="B47" t="str">
        <f t="shared" si="1"/>
        <v>Street</v>
      </c>
      <c r="C47" t="str">
        <f t="shared" si="2"/>
        <v>1827 Albert Street</v>
      </c>
      <c r="H47" s="34" t="s">
        <v>357</v>
      </c>
      <c r="I47" t="str">
        <f t="shared" si="3"/>
        <v>Street</v>
      </c>
      <c r="J47" t="str">
        <f t="shared" si="0"/>
        <v>3567 Brand Road</v>
      </c>
    </row>
    <row r="48" spans="1:10" hidden="1" x14ac:dyDescent="0.35">
      <c r="A48" s="36" t="s">
        <v>208</v>
      </c>
      <c r="B48" t="str">
        <f t="shared" si="1"/>
        <v>City</v>
      </c>
      <c r="C48" t="str">
        <f t="shared" si="2"/>
        <v>Kitchener</v>
      </c>
      <c r="H48" s="34" t="s">
        <v>358</v>
      </c>
      <c r="I48" t="str">
        <f t="shared" si="3"/>
        <v>City</v>
      </c>
      <c r="J48" t="str">
        <f t="shared" si="0"/>
        <v>Saskatoon</v>
      </c>
    </row>
    <row r="49" spans="1:10" hidden="1" x14ac:dyDescent="0.35">
      <c r="A49" s="36" t="s">
        <v>445</v>
      </c>
      <c r="B49" t="str">
        <f t="shared" si="1"/>
        <v>State/province/area</v>
      </c>
      <c r="C49" t="str">
        <f t="shared" si="2"/>
        <v>Ontario</v>
      </c>
      <c r="H49" s="34" t="s">
        <v>446</v>
      </c>
      <c r="I49" t="str">
        <f t="shared" si="3"/>
        <v>State/province/area</v>
      </c>
      <c r="J49" t="str">
        <f t="shared" si="0"/>
        <v>Saskatchewan</v>
      </c>
    </row>
    <row r="50" spans="1:10" x14ac:dyDescent="0.35">
      <c r="A50" s="36" t="s">
        <v>242</v>
      </c>
      <c r="B50" t="str">
        <f t="shared" si="1"/>
        <v>Phone number</v>
      </c>
      <c r="C50" t="str">
        <f t="shared" si="2"/>
        <v>519-880-5763</v>
      </c>
      <c r="H50" s="34" t="s">
        <v>374</v>
      </c>
      <c r="I50" t="str">
        <f t="shared" si="3"/>
        <v>Phone number</v>
      </c>
      <c r="J50" t="str">
        <f t="shared" si="0"/>
        <v>306-717-8298</v>
      </c>
    </row>
    <row r="51" spans="1:10" hidden="1" x14ac:dyDescent="0.35">
      <c r="A51" s="36" t="s">
        <v>266</v>
      </c>
      <c r="B51" t="str">
        <f t="shared" si="1"/>
        <v>Zip code</v>
      </c>
      <c r="C51" t="str">
        <f t="shared" si="2"/>
        <v>N2L 3V2</v>
      </c>
      <c r="H51" s="34" t="s">
        <v>385</v>
      </c>
      <c r="I51" t="str">
        <f t="shared" si="3"/>
        <v>Zip code</v>
      </c>
      <c r="J51" t="str">
        <f t="shared" si="0"/>
        <v>S7K 1W8</v>
      </c>
    </row>
    <row r="52" spans="1:10" hidden="1" x14ac:dyDescent="0.35">
      <c r="A52" s="36" t="s">
        <v>279</v>
      </c>
      <c r="B52" t="str">
        <f t="shared" si="1"/>
        <v>Country calling code</v>
      </c>
      <c r="C52" t="str">
        <f t="shared" si="2"/>
        <v>+1</v>
      </c>
      <c r="H52" s="34" t="s">
        <v>279</v>
      </c>
      <c r="I52" t="str">
        <f t="shared" si="3"/>
        <v>Country calling code</v>
      </c>
      <c r="J52" t="str">
        <f t="shared" si="0"/>
        <v>+1</v>
      </c>
    </row>
    <row r="53" spans="1:10" hidden="1" x14ac:dyDescent="0.35">
      <c r="A53" s="37" t="s">
        <v>280</v>
      </c>
      <c r="B53" t="str">
        <f t="shared" si="1"/>
        <v>Country</v>
      </c>
      <c r="C53" t="str">
        <f t="shared" si="2"/>
        <v>Canada</v>
      </c>
      <c r="H53" s="35" t="s">
        <v>280</v>
      </c>
      <c r="I53" t="str">
        <f t="shared" si="3"/>
        <v>Country</v>
      </c>
      <c r="J53" t="str">
        <f t="shared" si="0"/>
        <v>Canada</v>
      </c>
    </row>
    <row r="54" spans="1:10" hidden="1" x14ac:dyDescent="0.35">
      <c r="A54" s="36" t="s">
        <v>209</v>
      </c>
      <c r="B54" t="str">
        <f t="shared" si="1"/>
        <v>Street</v>
      </c>
      <c r="C54" t="str">
        <f t="shared" si="2"/>
        <v>3504 Rose Street</v>
      </c>
      <c r="H54" s="34" t="s">
        <v>359</v>
      </c>
      <c r="I54" t="str">
        <f t="shared" si="3"/>
        <v>Street</v>
      </c>
      <c r="J54" t="str">
        <f t="shared" si="0"/>
        <v>4554 chemin Georges</v>
      </c>
    </row>
    <row r="55" spans="1:10" hidden="1" x14ac:dyDescent="0.35">
      <c r="A55" s="36" t="s">
        <v>210</v>
      </c>
      <c r="B55" t="str">
        <f t="shared" si="1"/>
        <v>City</v>
      </c>
      <c r="C55" t="str">
        <f t="shared" si="2"/>
        <v>Regina</v>
      </c>
      <c r="H55" s="34" t="s">
        <v>360</v>
      </c>
      <c r="I55" t="str">
        <f t="shared" si="3"/>
        <v>City</v>
      </c>
      <c r="J55" t="str">
        <f t="shared" si="0"/>
        <v>St Felix De Valois</v>
      </c>
    </row>
    <row r="56" spans="1:10" hidden="1" x14ac:dyDescent="0.35">
      <c r="A56" s="36" t="s">
        <v>446</v>
      </c>
      <c r="B56" t="str">
        <f t="shared" si="1"/>
        <v>State/province/area</v>
      </c>
      <c r="C56" t="str">
        <f t="shared" si="2"/>
        <v>Saskatchewan</v>
      </c>
      <c r="H56" s="34" t="s">
        <v>447</v>
      </c>
      <c r="I56" t="str">
        <f t="shared" si="3"/>
        <v>State/province/area</v>
      </c>
      <c r="J56" t="str">
        <f t="shared" si="0"/>
        <v>Quebec</v>
      </c>
    </row>
    <row r="57" spans="1:10" x14ac:dyDescent="0.35">
      <c r="A57" s="36" t="s">
        <v>243</v>
      </c>
      <c r="B57" t="str">
        <f t="shared" si="1"/>
        <v>Phone number</v>
      </c>
      <c r="C57" t="str">
        <f t="shared" si="2"/>
        <v>306-569-6952</v>
      </c>
      <c r="H57" s="34" t="s">
        <v>375</v>
      </c>
      <c r="I57" t="str">
        <f t="shared" si="3"/>
        <v>Phone number</v>
      </c>
      <c r="J57" t="str">
        <f t="shared" si="0"/>
        <v>450-889-2867</v>
      </c>
    </row>
    <row r="58" spans="1:10" hidden="1" x14ac:dyDescent="0.35">
      <c r="A58" s="36" t="s">
        <v>267</v>
      </c>
      <c r="B58" t="str">
        <f t="shared" si="1"/>
        <v>Zip code</v>
      </c>
      <c r="C58" t="str">
        <f t="shared" si="2"/>
        <v>S4P 3Y2</v>
      </c>
      <c r="H58" s="34" t="s">
        <v>386</v>
      </c>
      <c r="I58" t="str">
        <f t="shared" si="3"/>
        <v>Zip code</v>
      </c>
      <c r="J58" t="str">
        <f t="shared" si="0"/>
        <v>J0K 2M0</v>
      </c>
    </row>
    <row r="59" spans="1:10" hidden="1" x14ac:dyDescent="0.35">
      <c r="A59" s="36" t="s">
        <v>279</v>
      </c>
      <c r="B59" t="str">
        <f t="shared" si="1"/>
        <v>Country calling code</v>
      </c>
      <c r="C59" t="str">
        <f t="shared" si="2"/>
        <v>+1</v>
      </c>
      <c r="H59" s="34" t="s">
        <v>279</v>
      </c>
      <c r="I59" t="str">
        <f t="shared" si="3"/>
        <v>Country calling code</v>
      </c>
      <c r="J59" t="str">
        <f t="shared" si="0"/>
        <v>+1</v>
      </c>
    </row>
    <row r="60" spans="1:10" hidden="1" x14ac:dyDescent="0.35">
      <c r="A60" s="37" t="s">
        <v>280</v>
      </c>
      <c r="B60" t="str">
        <f t="shared" si="1"/>
        <v>Country</v>
      </c>
      <c r="C60" t="str">
        <f t="shared" si="2"/>
        <v>Canada</v>
      </c>
      <c r="H60" s="35" t="s">
        <v>280</v>
      </c>
      <c r="I60" t="str">
        <f t="shared" si="3"/>
        <v>Country</v>
      </c>
      <c r="J60" t="str">
        <f t="shared" si="0"/>
        <v>Canada</v>
      </c>
    </row>
    <row r="61" spans="1:10" hidden="1" x14ac:dyDescent="0.35">
      <c r="A61" s="36" t="s">
        <v>211</v>
      </c>
      <c r="B61" t="str">
        <f t="shared" si="1"/>
        <v>Street</v>
      </c>
      <c r="C61" t="str">
        <f t="shared" si="2"/>
        <v>1364 Bridgeport Rd</v>
      </c>
      <c r="H61" s="34" t="s">
        <v>361</v>
      </c>
      <c r="I61" t="str">
        <f t="shared" si="3"/>
        <v>Street</v>
      </c>
      <c r="J61" t="str">
        <f t="shared" si="0"/>
        <v>2665 rue Parc</v>
      </c>
    </row>
    <row r="62" spans="1:10" hidden="1" x14ac:dyDescent="0.35">
      <c r="A62" s="36" t="s">
        <v>212</v>
      </c>
      <c r="B62" t="str">
        <f t="shared" si="1"/>
        <v>City</v>
      </c>
      <c r="C62" t="str">
        <f t="shared" si="2"/>
        <v>Orangeville</v>
      </c>
      <c r="H62" s="34" t="s">
        <v>362</v>
      </c>
      <c r="I62" t="str">
        <f t="shared" si="3"/>
        <v>City</v>
      </c>
      <c r="J62" t="str">
        <f t="shared" si="0"/>
        <v>St Cyrille De Wendover</v>
      </c>
    </row>
    <row r="63" spans="1:10" hidden="1" x14ac:dyDescent="0.35">
      <c r="A63" s="36" t="s">
        <v>445</v>
      </c>
      <c r="B63" t="str">
        <f t="shared" si="1"/>
        <v>State/province/area</v>
      </c>
      <c r="C63" t="str">
        <f t="shared" si="2"/>
        <v>Ontario</v>
      </c>
      <c r="H63" s="34" t="s">
        <v>447</v>
      </c>
      <c r="I63" t="str">
        <f t="shared" si="3"/>
        <v>State/province/area</v>
      </c>
      <c r="J63" t="str">
        <f t="shared" si="0"/>
        <v>Quebec</v>
      </c>
    </row>
    <row r="64" spans="1:10" x14ac:dyDescent="0.35">
      <c r="A64" s="36" t="s">
        <v>244</v>
      </c>
      <c r="B64" t="str">
        <f t="shared" si="1"/>
        <v>Phone number</v>
      </c>
      <c r="C64" t="str">
        <f t="shared" si="2"/>
        <v>519-215-3537</v>
      </c>
      <c r="H64" s="34" t="s">
        <v>376</v>
      </c>
      <c r="I64" t="str">
        <f t="shared" si="3"/>
        <v>Phone number</v>
      </c>
      <c r="J64" t="str">
        <f t="shared" si="0"/>
        <v>819-397-4174</v>
      </c>
    </row>
    <row r="65" spans="1:10" hidden="1" x14ac:dyDescent="0.35">
      <c r="A65" s="36" t="s">
        <v>268</v>
      </c>
      <c r="B65" t="str">
        <f t="shared" si="1"/>
        <v>Zip code</v>
      </c>
      <c r="C65" t="str">
        <f t="shared" si="2"/>
        <v>L9W 2J9</v>
      </c>
      <c r="H65" s="34" t="s">
        <v>387</v>
      </c>
      <c r="I65" t="str">
        <f t="shared" si="3"/>
        <v>Zip code</v>
      </c>
      <c r="J65" t="str">
        <f t="shared" si="0"/>
        <v>J1Z 1E1</v>
      </c>
    </row>
    <row r="66" spans="1:10" hidden="1" x14ac:dyDescent="0.35">
      <c r="A66" s="36" t="s">
        <v>279</v>
      </c>
      <c r="B66" t="str">
        <f t="shared" si="1"/>
        <v>Country calling code</v>
      </c>
      <c r="C66" t="str">
        <f t="shared" si="2"/>
        <v>+1</v>
      </c>
      <c r="H66" s="34" t="s">
        <v>279</v>
      </c>
      <c r="I66" t="str">
        <f t="shared" si="3"/>
        <v>Country calling code</v>
      </c>
      <c r="J66" t="str">
        <f t="shared" si="0"/>
        <v>+1</v>
      </c>
    </row>
    <row r="67" spans="1:10" hidden="1" x14ac:dyDescent="0.35">
      <c r="A67" s="37" t="s">
        <v>280</v>
      </c>
      <c r="B67" t="str">
        <f t="shared" si="1"/>
        <v>Country</v>
      </c>
      <c r="C67" t="str">
        <f t="shared" si="2"/>
        <v>Canada</v>
      </c>
      <c r="H67" s="35" t="s">
        <v>280</v>
      </c>
      <c r="I67" t="str">
        <f t="shared" si="3"/>
        <v>Country</v>
      </c>
      <c r="J67" t="str">
        <f t="shared" si="0"/>
        <v>Canada</v>
      </c>
    </row>
    <row r="68" spans="1:10" hidden="1" x14ac:dyDescent="0.35">
      <c r="A68" s="36" t="s">
        <v>213</v>
      </c>
      <c r="B68" t="str">
        <f t="shared" si="1"/>
        <v>Street</v>
      </c>
      <c r="C68" t="str">
        <f t="shared" si="2"/>
        <v>3610 Yonge Street</v>
      </c>
      <c r="H68" s="34" t="s">
        <v>363</v>
      </c>
      <c r="I68" t="str">
        <f t="shared" si="3"/>
        <v>Street</v>
      </c>
      <c r="J68" t="str">
        <f t="shared" si="0"/>
        <v>1165 Duke Street</v>
      </c>
    </row>
    <row r="69" spans="1:10" hidden="1" x14ac:dyDescent="0.35">
      <c r="A69" s="36" t="s">
        <v>205</v>
      </c>
      <c r="B69" t="str">
        <f t="shared" si="1"/>
        <v>City</v>
      </c>
      <c r="C69" t="str">
        <f t="shared" si="2"/>
        <v>Toronto</v>
      </c>
      <c r="H69" s="34" t="s">
        <v>206</v>
      </c>
      <c r="I69" t="str">
        <f t="shared" si="3"/>
        <v>City</v>
      </c>
      <c r="J69" t="str">
        <f t="shared" ref="J69:J88" si="4">TRIM(MID(H69,FIND(":",H69)+3,200))</f>
        <v>Montreal</v>
      </c>
    </row>
    <row r="70" spans="1:10" hidden="1" x14ac:dyDescent="0.35">
      <c r="A70" s="36" t="s">
        <v>445</v>
      </c>
      <c r="B70" t="str">
        <f t="shared" ref="B70:B133" si="5">LEFT(A70,FIND(":",A70)-1)</f>
        <v>State/province/area</v>
      </c>
      <c r="C70" t="str">
        <f t="shared" ref="C70:C133" si="6">TRIM(MID(A70,FIND(":",A70)+3,200))</f>
        <v>Ontario</v>
      </c>
      <c r="H70" s="34" t="s">
        <v>447</v>
      </c>
      <c r="I70" t="str">
        <f t="shared" ref="I70:I88" si="7">LEFT(H70,FIND(":",H70)-1)</f>
        <v>State/province/area</v>
      </c>
      <c r="J70" t="str">
        <f t="shared" si="4"/>
        <v>Quebec</v>
      </c>
    </row>
    <row r="71" spans="1:10" x14ac:dyDescent="0.35">
      <c r="A71" s="36" t="s">
        <v>245</v>
      </c>
      <c r="B71" t="str">
        <f t="shared" si="5"/>
        <v>Phone number</v>
      </c>
      <c r="C71" t="str">
        <f t="shared" si="6"/>
        <v>416-962-6864</v>
      </c>
      <c r="H71" s="34" t="s">
        <v>377</v>
      </c>
      <c r="I71" t="str">
        <f t="shared" si="7"/>
        <v>Phone number</v>
      </c>
      <c r="J71" t="str">
        <f t="shared" si="4"/>
        <v>514-229-9713</v>
      </c>
    </row>
    <row r="72" spans="1:10" hidden="1" x14ac:dyDescent="0.35">
      <c r="A72" s="36" t="s">
        <v>269</v>
      </c>
      <c r="B72" t="str">
        <f t="shared" si="5"/>
        <v>Zip code</v>
      </c>
      <c r="C72" t="str">
        <f t="shared" si="6"/>
        <v>M4W 1J7</v>
      </c>
      <c r="H72" s="34" t="s">
        <v>388</v>
      </c>
      <c r="I72" t="str">
        <f t="shared" si="7"/>
        <v>Zip code</v>
      </c>
      <c r="J72" t="str">
        <f t="shared" si="4"/>
        <v>H3C 5K4</v>
      </c>
    </row>
    <row r="73" spans="1:10" hidden="1" x14ac:dyDescent="0.35">
      <c r="A73" s="36" t="s">
        <v>279</v>
      </c>
      <c r="B73" t="str">
        <f t="shared" si="5"/>
        <v>Country calling code</v>
      </c>
      <c r="C73" t="str">
        <f t="shared" si="6"/>
        <v>+1</v>
      </c>
      <c r="H73" s="34" t="s">
        <v>279</v>
      </c>
      <c r="I73" t="str">
        <f t="shared" si="7"/>
        <v>Country calling code</v>
      </c>
      <c r="J73" t="str">
        <f t="shared" si="4"/>
        <v>+1</v>
      </c>
    </row>
    <row r="74" spans="1:10" hidden="1" x14ac:dyDescent="0.35">
      <c r="A74" s="37" t="s">
        <v>280</v>
      </c>
      <c r="B74" t="str">
        <f t="shared" si="5"/>
        <v>Country</v>
      </c>
      <c r="C74" t="str">
        <f t="shared" si="6"/>
        <v>Canada</v>
      </c>
      <c r="H74" s="35" t="s">
        <v>280</v>
      </c>
      <c r="I74" t="str">
        <f t="shared" si="7"/>
        <v>Country</v>
      </c>
      <c r="J74" t="str">
        <f t="shared" si="4"/>
        <v>Canada</v>
      </c>
    </row>
    <row r="75" spans="1:10" hidden="1" x14ac:dyDescent="0.35">
      <c r="A75" s="36" t="s">
        <v>214</v>
      </c>
      <c r="B75" t="str">
        <f t="shared" si="5"/>
        <v>Street</v>
      </c>
      <c r="C75" t="str">
        <f t="shared" si="6"/>
        <v>1676 Speers Road</v>
      </c>
      <c r="H75" s="34" t="s">
        <v>364</v>
      </c>
      <c r="I75" t="str">
        <f t="shared" si="7"/>
        <v>Street</v>
      </c>
      <c r="J75" t="str">
        <f t="shared" si="4"/>
        <v>3238 102nd Avenue</v>
      </c>
    </row>
    <row r="76" spans="1:10" hidden="1" x14ac:dyDescent="0.35">
      <c r="A76" s="36" t="s">
        <v>215</v>
      </c>
      <c r="B76" t="str">
        <f t="shared" si="5"/>
        <v>City</v>
      </c>
      <c r="C76" t="str">
        <f t="shared" si="6"/>
        <v>Oakville</v>
      </c>
      <c r="H76" s="34" t="s">
        <v>365</v>
      </c>
      <c r="I76" t="str">
        <f t="shared" si="7"/>
        <v>City</v>
      </c>
      <c r="J76" t="str">
        <f t="shared" si="4"/>
        <v>Fort St John</v>
      </c>
    </row>
    <row r="77" spans="1:10" hidden="1" x14ac:dyDescent="0.35">
      <c r="A77" s="36" t="s">
        <v>445</v>
      </c>
      <c r="B77" t="str">
        <f t="shared" si="5"/>
        <v>State/province/area</v>
      </c>
      <c r="C77" t="str">
        <f t="shared" si="6"/>
        <v>Ontario</v>
      </c>
      <c r="H77" s="34" t="s">
        <v>448</v>
      </c>
      <c r="I77" t="str">
        <f t="shared" si="7"/>
        <v>State/province/area</v>
      </c>
      <c r="J77" t="str">
        <f t="shared" si="4"/>
        <v>British Columbia</v>
      </c>
    </row>
    <row r="78" spans="1:10" x14ac:dyDescent="0.35">
      <c r="A78" s="36" t="s">
        <v>246</v>
      </c>
      <c r="B78" t="str">
        <f t="shared" si="5"/>
        <v>Phone number</v>
      </c>
      <c r="C78" t="str">
        <f t="shared" si="6"/>
        <v>905-815-1914</v>
      </c>
      <c r="H78" s="34" t="s">
        <v>378</v>
      </c>
      <c r="I78" t="str">
        <f t="shared" si="7"/>
        <v>Phone number</v>
      </c>
      <c r="J78" t="str">
        <f t="shared" si="4"/>
        <v>250-263-5582</v>
      </c>
    </row>
    <row r="79" spans="1:10" hidden="1" x14ac:dyDescent="0.35">
      <c r="A79" s="36" t="s">
        <v>270</v>
      </c>
      <c r="B79" t="str">
        <f t="shared" si="5"/>
        <v>Zip code</v>
      </c>
      <c r="C79" t="str">
        <f t="shared" si="6"/>
        <v>L6J 3X4</v>
      </c>
      <c r="H79" s="34" t="s">
        <v>389</v>
      </c>
      <c r="I79" t="str">
        <f t="shared" si="7"/>
        <v>Zip code</v>
      </c>
      <c r="J79" t="str">
        <f t="shared" si="4"/>
        <v>V1J 3Y7</v>
      </c>
    </row>
    <row r="80" spans="1:10" hidden="1" x14ac:dyDescent="0.35">
      <c r="A80" s="36" t="s">
        <v>279</v>
      </c>
      <c r="B80" t="str">
        <f t="shared" si="5"/>
        <v>Country calling code</v>
      </c>
      <c r="C80" t="str">
        <f t="shared" si="6"/>
        <v>+1</v>
      </c>
      <c r="H80" s="34" t="s">
        <v>279</v>
      </c>
      <c r="I80" t="str">
        <f t="shared" si="7"/>
        <v>Country calling code</v>
      </c>
      <c r="J80" t="str">
        <f t="shared" si="4"/>
        <v>+1</v>
      </c>
    </row>
    <row r="81" spans="1:10" hidden="1" x14ac:dyDescent="0.35">
      <c r="A81" s="37" t="s">
        <v>280</v>
      </c>
      <c r="B81" t="str">
        <f t="shared" si="5"/>
        <v>Country</v>
      </c>
      <c r="C81" t="str">
        <f t="shared" si="6"/>
        <v>Canada</v>
      </c>
      <c r="H81" s="35" t="s">
        <v>280</v>
      </c>
      <c r="I81" t="str">
        <f t="shared" si="7"/>
        <v>Country</v>
      </c>
      <c r="J81" t="str">
        <f t="shared" si="4"/>
        <v>Canada</v>
      </c>
    </row>
    <row r="82" spans="1:10" hidden="1" x14ac:dyDescent="0.35">
      <c r="A82" s="36" t="s">
        <v>216</v>
      </c>
      <c r="B82" t="str">
        <f t="shared" si="5"/>
        <v>Street</v>
      </c>
      <c r="C82" t="str">
        <f t="shared" si="6"/>
        <v>1315 St. John Street</v>
      </c>
      <c r="H82" s="34" t="s">
        <v>366</v>
      </c>
      <c r="I82" t="str">
        <f t="shared" si="7"/>
        <v>Street</v>
      </c>
      <c r="J82" t="str">
        <f t="shared" si="4"/>
        <v>4681 Baker Street</v>
      </c>
    </row>
    <row r="83" spans="1:10" hidden="1" x14ac:dyDescent="0.35">
      <c r="A83" s="36" t="s">
        <v>217</v>
      </c>
      <c r="B83" t="str">
        <f t="shared" si="5"/>
        <v>City</v>
      </c>
      <c r="C83" t="str">
        <f t="shared" si="6"/>
        <v>Davidson</v>
      </c>
      <c r="H83" s="34" t="s">
        <v>367</v>
      </c>
      <c r="I83" t="str">
        <f t="shared" si="7"/>
        <v>City</v>
      </c>
      <c r="J83" t="str">
        <f t="shared" si="4"/>
        <v>London</v>
      </c>
    </row>
    <row r="84" spans="1:10" hidden="1" x14ac:dyDescent="0.35">
      <c r="A84" s="36" t="s">
        <v>446</v>
      </c>
      <c r="B84" t="str">
        <f t="shared" si="5"/>
        <v>State/province/area</v>
      </c>
      <c r="C84" t="str">
        <f t="shared" si="6"/>
        <v>Saskatchewan</v>
      </c>
      <c r="H84" s="34" t="s">
        <v>445</v>
      </c>
      <c r="I84" t="str">
        <f t="shared" si="7"/>
        <v>State/province/area</v>
      </c>
      <c r="J84" t="str">
        <f t="shared" si="4"/>
        <v>Ontario</v>
      </c>
    </row>
    <row r="85" spans="1:10" x14ac:dyDescent="0.35">
      <c r="A85" s="36" t="s">
        <v>247</v>
      </c>
      <c r="B85" t="str">
        <f t="shared" si="5"/>
        <v>Phone number</v>
      </c>
      <c r="C85" t="str">
        <f t="shared" si="6"/>
        <v>306-567-8680</v>
      </c>
      <c r="H85" s="34" t="s">
        <v>379</v>
      </c>
      <c r="I85" t="str">
        <f t="shared" si="7"/>
        <v>Phone number</v>
      </c>
      <c r="J85" t="str">
        <f t="shared" si="4"/>
        <v>519-858-8035</v>
      </c>
    </row>
    <row r="86" spans="1:10" hidden="1" x14ac:dyDescent="0.35">
      <c r="A86" s="36" t="s">
        <v>267</v>
      </c>
      <c r="B86" t="str">
        <f t="shared" si="5"/>
        <v>Zip code</v>
      </c>
      <c r="C86" t="str">
        <f t="shared" si="6"/>
        <v>S4P 3Y2</v>
      </c>
      <c r="H86" s="34" t="s">
        <v>390</v>
      </c>
      <c r="I86" t="str">
        <f t="shared" si="7"/>
        <v>Zip code</v>
      </c>
      <c r="J86" t="str">
        <f t="shared" si="4"/>
        <v>N0N 0N0</v>
      </c>
    </row>
    <row r="87" spans="1:10" hidden="1" x14ac:dyDescent="0.35">
      <c r="A87" s="36" t="s">
        <v>279</v>
      </c>
      <c r="B87" t="str">
        <f t="shared" si="5"/>
        <v>Country calling code</v>
      </c>
      <c r="C87" t="str">
        <f t="shared" si="6"/>
        <v>+1</v>
      </c>
      <c r="H87" s="34" t="s">
        <v>279</v>
      </c>
      <c r="I87" t="str">
        <f t="shared" si="7"/>
        <v>Country calling code</v>
      </c>
      <c r="J87" t="str">
        <f t="shared" si="4"/>
        <v>+1</v>
      </c>
    </row>
    <row r="88" spans="1:10" hidden="1" x14ac:dyDescent="0.35">
      <c r="A88" s="37" t="s">
        <v>280</v>
      </c>
      <c r="B88" t="str">
        <f t="shared" si="5"/>
        <v>Country</v>
      </c>
      <c r="C88" t="str">
        <f t="shared" si="6"/>
        <v>Canada</v>
      </c>
      <c r="H88" s="35" t="s">
        <v>280</v>
      </c>
      <c r="I88" t="str">
        <f t="shared" si="7"/>
        <v>Country</v>
      </c>
      <c r="J88" t="str">
        <f t="shared" si="4"/>
        <v>Canada</v>
      </c>
    </row>
    <row r="89" spans="1:10" x14ac:dyDescent="0.35">
      <c r="A89" s="36" t="s">
        <v>218</v>
      </c>
      <c r="B89" t="str">
        <f t="shared" si="5"/>
        <v>Street</v>
      </c>
      <c r="C89" t="str">
        <f t="shared" si="6"/>
        <v>1188 St. John Street</v>
      </c>
    </row>
    <row r="90" spans="1:10" x14ac:dyDescent="0.35">
      <c r="A90" s="36" t="s">
        <v>219</v>
      </c>
      <c r="B90" t="str">
        <f t="shared" si="5"/>
        <v>City</v>
      </c>
      <c r="C90" t="str">
        <f t="shared" si="6"/>
        <v>Big River</v>
      </c>
    </row>
    <row r="91" spans="1:10" x14ac:dyDescent="0.35">
      <c r="A91" s="36" t="s">
        <v>446</v>
      </c>
      <c r="B91" t="str">
        <f t="shared" si="5"/>
        <v>State/province/area</v>
      </c>
      <c r="C91" t="str">
        <f t="shared" si="6"/>
        <v>Saskatchewan</v>
      </c>
    </row>
    <row r="92" spans="1:10" x14ac:dyDescent="0.35">
      <c r="A92" s="36" t="s">
        <v>248</v>
      </c>
      <c r="B92" t="str">
        <f t="shared" si="5"/>
        <v>Phone number</v>
      </c>
      <c r="C92" t="str">
        <f t="shared" si="6"/>
        <v>306-469-8013</v>
      </c>
    </row>
    <row r="93" spans="1:10" x14ac:dyDescent="0.35">
      <c r="A93" s="36" t="s">
        <v>267</v>
      </c>
      <c r="B93" t="str">
        <f t="shared" si="5"/>
        <v>Zip code</v>
      </c>
      <c r="C93" t="str">
        <f t="shared" si="6"/>
        <v>S4P 3Y2</v>
      </c>
    </row>
    <row r="94" spans="1:10" x14ac:dyDescent="0.35">
      <c r="A94" s="36" t="s">
        <v>279</v>
      </c>
      <c r="B94" t="str">
        <f t="shared" si="5"/>
        <v>Country calling code</v>
      </c>
      <c r="C94" t="str">
        <f t="shared" si="6"/>
        <v>+1</v>
      </c>
    </row>
    <row r="95" spans="1:10" x14ac:dyDescent="0.35">
      <c r="A95" s="37" t="s">
        <v>280</v>
      </c>
      <c r="B95" t="str">
        <f t="shared" si="5"/>
        <v>Country</v>
      </c>
      <c r="C95" t="str">
        <f t="shared" si="6"/>
        <v>Canada</v>
      </c>
    </row>
    <row r="96" spans="1:10" x14ac:dyDescent="0.35">
      <c r="A96" s="36" t="s">
        <v>220</v>
      </c>
      <c r="B96" t="str">
        <f t="shared" si="5"/>
        <v>Street</v>
      </c>
      <c r="C96" t="str">
        <f t="shared" si="6"/>
        <v>1220 Tycos Dr</v>
      </c>
    </row>
    <row r="97" spans="1:3" x14ac:dyDescent="0.35">
      <c r="A97" s="36" t="s">
        <v>205</v>
      </c>
      <c r="B97" t="str">
        <f t="shared" si="5"/>
        <v>City</v>
      </c>
      <c r="C97" t="str">
        <f t="shared" si="6"/>
        <v>Toronto</v>
      </c>
    </row>
    <row r="98" spans="1:3" x14ac:dyDescent="0.35">
      <c r="A98" s="36" t="s">
        <v>445</v>
      </c>
      <c r="B98" t="str">
        <f t="shared" si="5"/>
        <v>State/province/area</v>
      </c>
      <c r="C98" t="str">
        <f t="shared" si="6"/>
        <v>Ontario</v>
      </c>
    </row>
    <row r="99" spans="1:3" x14ac:dyDescent="0.35">
      <c r="A99" s="36" t="s">
        <v>249</v>
      </c>
      <c r="B99" t="str">
        <f t="shared" si="5"/>
        <v>Phone number</v>
      </c>
      <c r="C99" t="str">
        <f t="shared" si="6"/>
        <v>416-595-0997</v>
      </c>
    </row>
    <row r="100" spans="1:3" x14ac:dyDescent="0.35">
      <c r="A100" s="36" t="s">
        <v>271</v>
      </c>
      <c r="B100" t="str">
        <f t="shared" si="5"/>
        <v>Zip code</v>
      </c>
      <c r="C100" t="str">
        <f t="shared" si="6"/>
        <v>M5T 1T4</v>
      </c>
    </row>
    <row r="101" spans="1:3" x14ac:dyDescent="0.35">
      <c r="A101" s="36" t="s">
        <v>279</v>
      </c>
      <c r="B101" t="str">
        <f t="shared" si="5"/>
        <v>Country calling code</v>
      </c>
      <c r="C101" t="str">
        <f t="shared" si="6"/>
        <v>+1</v>
      </c>
    </row>
    <row r="102" spans="1:3" x14ac:dyDescent="0.35">
      <c r="A102" s="37" t="s">
        <v>280</v>
      </c>
      <c r="B102" t="str">
        <f t="shared" si="5"/>
        <v>Country</v>
      </c>
      <c r="C102" t="str">
        <f t="shared" si="6"/>
        <v>Canada</v>
      </c>
    </row>
    <row r="103" spans="1:3" x14ac:dyDescent="0.35">
      <c r="A103" s="36" t="s">
        <v>221</v>
      </c>
      <c r="B103" t="str">
        <f t="shared" si="5"/>
        <v>Street</v>
      </c>
      <c r="C103" t="str">
        <f t="shared" si="6"/>
        <v>1817 Pope St</v>
      </c>
    </row>
    <row r="104" spans="1:3" x14ac:dyDescent="0.35">
      <c r="A104" s="36" t="s">
        <v>201</v>
      </c>
      <c r="B104" t="str">
        <f t="shared" si="5"/>
        <v>City</v>
      </c>
      <c r="C104" t="str">
        <f t="shared" si="6"/>
        <v>Alberton</v>
      </c>
    </row>
    <row r="105" spans="1:3" x14ac:dyDescent="0.35">
      <c r="A105" s="36" t="s">
        <v>450</v>
      </c>
      <c r="B105" t="str">
        <f t="shared" si="5"/>
        <v>State/province/area</v>
      </c>
      <c r="C105" t="str">
        <f t="shared" si="6"/>
        <v>Prince Edward Island</v>
      </c>
    </row>
    <row r="106" spans="1:3" x14ac:dyDescent="0.35">
      <c r="A106" s="36" t="s">
        <v>250</v>
      </c>
      <c r="B106" t="str">
        <f t="shared" si="5"/>
        <v>Phone number</v>
      </c>
      <c r="C106" t="str">
        <f t="shared" si="6"/>
        <v>902-853-7192</v>
      </c>
    </row>
    <row r="107" spans="1:3" x14ac:dyDescent="0.35">
      <c r="A107" s="36" t="s">
        <v>263</v>
      </c>
      <c r="B107" t="str">
        <f t="shared" si="5"/>
        <v>Zip code</v>
      </c>
      <c r="C107" t="str">
        <f t="shared" si="6"/>
        <v>C0B 1K0</v>
      </c>
    </row>
    <row r="108" spans="1:3" x14ac:dyDescent="0.35">
      <c r="A108" s="36" t="s">
        <v>279</v>
      </c>
      <c r="B108" t="str">
        <f t="shared" si="5"/>
        <v>Country calling code</v>
      </c>
      <c r="C108" t="str">
        <f t="shared" si="6"/>
        <v>+1</v>
      </c>
    </row>
    <row r="109" spans="1:3" x14ac:dyDescent="0.35">
      <c r="A109" s="37" t="s">
        <v>280</v>
      </c>
      <c r="B109" t="str">
        <f t="shared" si="5"/>
        <v>Country</v>
      </c>
      <c r="C109" t="str">
        <f t="shared" si="6"/>
        <v>Canada</v>
      </c>
    </row>
    <row r="110" spans="1:3" x14ac:dyDescent="0.35">
      <c r="A110" s="36" t="s">
        <v>222</v>
      </c>
      <c r="B110" t="str">
        <f t="shared" si="5"/>
        <v>Street</v>
      </c>
      <c r="C110" t="str">
        <f t="shared" si="6"/>
        <v>3082 De L'Acadie Boul</v>
      </c>
    </row>
    <row r="111" spans="1:3" x14ac:dyDescent="0.35">
      <c r="A111" s="36" t="s">
        <v>206</v>
      </c>
      <c r="B111" t="str">
        <f t="shared" si="5"/>
        <v>City</v>
      </c>
      <c r="C111" t="str">
        <f t="shared" si="6"/>
        <v>Montreal</v>
      </c>
    </row>
    <row r="112" spans="1:3" x14ac:dyDescent="0.35">
      <c r="A112" s="36" t="s">
        <v>447</v>
      </c>
      <c r="B112" t="str">
        <f t="shared" si="5"/>
        <v>State/province/area</v>
      </c>
      <c r="C112" t="str">
        <f t="shared" si="6"/>
        <v>Quebec</v>
      </c>
    </row>
    <row r="113" spans="1:3" x14ac:dyDescent="0.35">
      <c r="A113" s="36" t="s">
        <v>251</v>
      </c>
      <c r="B113" t="str">
        <f t="shared" si="5"/>
        <v>Phone number</v>
      </c>
      <c r="C113" t="str">
        <f t="shared" si="6"/>
        <v>514-233-5038</v>
      </c>
    </row>
    <row r="114" spans="1:3" x14ac:dyDescent="0.35">
      <c r="A114" s="36" t="s">
        <v>272</v>
      </c>
      <c r="B114" t="str">
        <f t="shared" si="5"/>
        <v>Zip code</v>
      </c>
      <c r="C114" t="str">
        <f t="shared" si="6"/>
        <v>H4N 3C5</v>
      </c>
    </row>
    <row r="115" spans="1:3" x14ac:dyDescent="0.35">
      <c r="A115" s="36" t="s">
        <v>279</v>
      </c>
      <c r="B115" t="str">
        <f t="shared" si="5"/>
        <v>Country calling code</v>
      </c>
      <c r="C115" t="str">
        <f t="shared" si="6"/>
        <v>+1</v>
      </c>
    </row>
    <row r="116" spans="1:3" x14ac:dyDescent="0.35">
      <c r="A116" s="37" t="s">
        <v>280</v>
      </c>
      <c r="B116" t="str">
        <f t="shared" si="5"/>
        <v>Country</v>
      </c>
      <c r="C116" t="str">
        <f t="shared" si="6"/>
        <v>Canada</v>
      </c>
    </row>
    <row r="117" spans="1:3" x14ac:dyDescent="0.35">
      <c r="A117" s="36" t="s">
        <v>223</v>
      </c>
      <c r="B117" t="str">
        <f t="shared" si="5"/>
        <v>Street</v>
      </c>
      <c r="C117" t="str">
        <f t="shared" si="6"/>
        <v>4854 Tycos Dr</v>
      </c>
    </row>
    <row r="118" spans="1:3" x14ac:dyDescent="0.35">
      <c r="A118" s="36" t="s">
        <v>205</v>
      </c>
      <c r="B118" t="str">
        <f t="shared" si="5"/>
        <v>City</v>
      </c>
      <c r="C118" t="str">
        <f t="shared" si="6"/>
        <v>Toronto</v>
      </c>
    </row>
    <row r="119" spans="1:3" x14ac:dyDescent="0.35">
      <c r="A119" s="36" t="s">
        <v>445</v>
      </c>
      <c r="B119" t="str">
        <f t="shared" si="5"/>
        <v>State/province/area</v>
      </c>
      <c r="C119" t="str">
        <f t="shared" si="6"/>
        <v>Ontario</v>
      </c>
    </row>
    <row r="120" spans="1:3" x14ac:dyDescent="0.35">
      <c r="A120" s="36" t="s">
        <v>252</v>
      </c>
      <c r="B120" t="str">
        <f t="shared" si="5"/>
        <v>Phone number</v>
      </c>
      <c r="C120" t="str">
        <f t="shared" si="6"/>
        <v>416-343-8934</v>
      </c>
    </row>
    <row r="121" spans="1:3" x14ac:dyDescent="0.35">
      <c r="A121" s="36" t="s">
        <v>271</v>
      </c>
      <c r="B121" t="str">
        <f t="shared" si="5"/>
        <v>Zip code</v>
      </c>
      <c r="C121" t="str">
        <f t="shared" si="6"/>
        <v>M5T 1T4</v>
      </c>
    </row>
    <row r="122" spans="1:3" x14ac:dyDescent="0.35">
      <c r="A122" s="36" t="s">
        <v>279</v>
      </c>
      <c r="B122" t="str">
        <f t="shared" si="5"/>
        <v>Country calling code</v>
      </c>
      <c r="C122" t="str">
        <f t="shared" si="6"/>
        <v>+1</v>
      </c>
    </row>
    <row r="123" spans="1:3" x14ac:dyDescent="0.35">
      <c r="A123" s="37" t="s">
        <v>280</v>
      </c>
      <c r="B123" t="str">
        <f t="shared" si="5"/>
        <v>Country</v>
      </c>
      <c r="C123" t="str">
        <f t="shared" si="6"/>
        <v>Canada</v>
      </c>
    </row>
    <row r="124" spans="1:3" x14ac:dyDescent="0.35">
      <c r="A124" s="36" t="s">
        <v>224</v>
      </c>
      <c r="B124" t="str">
        <f t="shared" si="5"/>
        <v>Street</v>
      </c>
      <c r="C124" t="str">
        <f t="shared" si="6"/>
        <v>625 40th Street</v>
      </c>
    </row>
    <row r="125" spans="1:3" x14ac:dyDescent="0.35">
      <c r="A125" s="36" t="s">
        <v>225</v>
      </c>
      <c r="B125" t="str">
        <f t="shared" si="5"/>
        <v>City</v>
      </c>
      <c r="C125" t="str">
        <f t="shared" si="6"/>
        <v>Calgary</v>
      </c>
    </row>
    <row r="126" spans="1:3" x14ac:dyDescent="0.35">
      <c r="A126" s="36" t="s">
        <v>449</v>
      </c>
      <c r="B126" t="str">
        <f t="shared" si="5"/>
        <v>State/province/area</v>
      </c>
      <c r="C126" t="str">
        <f t="shared" si="6"/>
        <v>Alberta</v>
      </c>
    </row>
    <row r="127" spans="1:3" x14ac:dyDescent="0.35">
      <c r="A127" s="36" t="s">
        <v>253</v>
      </c>
      <c r="B127" t="str">
        <f t="shared" si="5"/>
        <v>Phone number</v>
      </c>
      <c r="C127" t="str">
        <f t="shared" si="6"/>
        <v>403-283-1490</v>
      </c>
    </row>
    <row r="128" spans="1:3" x14ac:dyDescent="0.35">
      <c r="A128" s="36" t="s">
        <v>273</v>
      </c>
      <c r="B128" t="str">
        <f t="shared" si="5"/>
        <v>Zip code</v>
      </c>
      <c r="C128" t="str">
        <f t="shared" si="6"/>
        <v>T2N 2A7</v>
      </c>
    </row>
    <row r="129" spans="1:3" x14ac:dyDescent="0.35">
      <c r="A129" s="36" t="s">
        <v>279</v>
      </c>
      <c r="B129" t="str">
        <f t="shared" si="5"/>
        <v>Country calling code</v>
      </c>
      <c r="C129" t="str">
        <f t="shared" si="6"/>
        <v>+1</v>
      </c>
    </row>
    <row r="130" spans="1:3" x14ac:dyDescent="0.35">
      <c r="A130" s="37" t="s">
        <v>280</v>
      </c>
      <c r="B130" t="str">
        <f t="shared" si="5"/>
        <v>Country</v>
      </c>
      <c r="C130" t="str">
        <f t="shared" si="6"/>
        <v>Canada</v>
      </c>
    </row>
    <row r="131" spans="1:3" x14ac:dyDescent="0.35">
      <c r="A131" s="36" t="s">
        <v>226</v>
      </c>
      <c r="B131" t="str">
        <f t="shared" si="5"/>
        <v>Street</v>
      </c>
      <c r="C131" t="str">
        <f t="shared" si="6"/>
        <v>1266 rue Ontario Ouest</v>
      </c>
    </row>
    <row r="132" spans="1:3" x14ac:dyDescent="0.35">
      <c r="A132" s="36" t="s">
        <v>206</v>
      </c>
      <c r="B132" t="str">
        <f t="shared" si="5"/>
        <v>City</v>
      </c>
      <c r="C132" t="str">
        <f t="shared" si="6"/>
        <v>Montreal</v>
      </c>
    </row>
    <row r="133" spans="1:3" x14ac:dyDescent="0.35">
      <c r="A133" s="36" t="s">
        <v>447</v>
      </c>
      <c r="B133" t="str">
        <f t="shared" si="5"/>
        <v>State/province/area</v>
      </c>
      <c r="C133" t="str">
        <f t="shared" si="6"/>
        <v>Quebec</v>
      </c>
    </row>
    <row r="134" spans="1:3" x14ac:dyDescent="0.35">
      <c r="A134" s="36" t="s">
        <v>254</v>
      </c>
      <c r="B134" t="str">
        <f t="shared" ref="B134:B197" si="8">LEFT(A134,FIND(":",A134)-1)</f>
        <v>Phone number</v>
      </c>
      <c r="C134" t="str">
        <f t="shared" ref="C134:C197" si="9">TRIM(MID(A134,FIND(":",A134)+3,200))</f>
        <v>514-982-1624</v>
      </c>
    </row>
    <row r="135" spans="1:3" x14ac:dyDescent="0.35">
      <c r="A135" s="36" t="s">
        <v>274</v>
      </c>
      <c r="B135" t="str">
        <f t="shared" si="8"/>
        <v>Zip code</v>
      </c>
      <c r="C135" t="str">
        <f t="shared" si="9"/>
        <v>H2X 1Y8</v>
      </c>
    </row>
    <row r="136" spans="1:3" x14ac:dyDescent="0.35">
      <c r="A136" s="36" t="s">
        <v>279</v>
      </c>
      <c r="B136" t="str">
        <f t="shared" si="8"/>
        <v>Country calling code</v>
      </c>
      <c r="C136" t="str">
        <f t="shared" si="9"/>
        <v>+1</v>
      </c>
    </row>
    <row r="137" spans="1:3" x14ac:dyDescent="0.35">
      <c r="A137" s="37" t="s">
        <v>280</v>
      </c>
      <c r="B137" t="str">
        <f t="shared" si="8"/>
        <v>Country</v>
      </c>
      <c r="C137" t="str">
        <f t="shared" si="9"/>
        <v>Canada</v>
      </c>
    </row>
    <row r="138" spans="1:3" x14ac:dyDescent="0.35">
      <c r="A138" s="36" t="s">
        <v>227</v>
      </c>
      <c r="B138" t="str">
        <f t="shared" si="8"/>
        <v>Street</v>
      </c>
      <c r="C138" t="str">
        <f t="shared" si="9"/>
        <v>2172 Stoney Creek</v>
      </c>
    </row>
    <row r="139" spans="1:3" x14ac:dyDescent="0.35">
      <c r="A139" s="36" t="s">
        <v>228</v>
      </c>
      <c r="B139" t="str">
        <f t="shared" si="8"/>
        <v>City</v>
      </c>
      <c r="C139" t="str">
        <f t="shared" si="9"/>
        <v>Green Lake</v>
      </c>
    </row>
    <row r="140" spans="1:3" x14ac:dyDescent="0.35">
      <c r="A140" s="36" t="s">
        <v>446</v>
      </c>
      <c r="B140" t="str">
        <f t="shared" si="8"/>
        <v>State/province/area</v>
      </c>
      <c r="C140" t="str">
        <f t="shared" si="9"/>
        <v>Saskatchewan</v>
      </c>
    </row>
    <row r="141" spans="1:3" x14ac:dyDescent="0.35">
      <c r="A141" s="36" t="s">
        <v>255</v>
      </c>
      <c r="B141" t="str">
        <f t="shared" si="8"/>
        <v>Phone number</v>
      </c>
      <c r="C141" t="str">
        <f t="shared" si="9"/>
        <v>306-832-9394</v>
      </c>
    </row>
    <row r="142" spans="1:3" x14ac:dyDescent="0.35">
      <c r="A142" s="36" t="s">
        <v>267</v>
      </c>
      <c r="B142" t="str">
        <f t="shared" si="8"/>
        <v>Zip code</v>
      </c>
      <c r="C142" t="str">
        <f t="shared" si="9"/>
        <v>S4P 3Y2</v>
      </c>
    </row>
    <row r="143" spans="1:3" x14ac:dyDescent="0.35">
      <c r="A143" s="36" t="s">
        <v>279</v>
      </c>
      <c r="B143" t="str">
        <f t="shared" si="8"/>
        <v>Country calling code</v>
      </c>
      <c r="C143" t="str">
        <f t="shared" si="9"/>
        <v>+1</v>
      </c>
    </row>
    <row r="144" spans="1:3" x14ac:dyDescent="0.35">
      <c r="A144" s="37" t="s">
        <v>280</v>
      </c>
      <c r="B144" t="str">
        <f t="shared" si="8"/>
        <v>Country</v>
      </c>
      <c r="C144" t="str">
        <f t="shared" si="9"/>
        <v>Canada</v>
      </c>
    </row>
    <row r="145" spans="1:3" x14ac:dyDescent="0.35">
      <c r="A145" s="36" t="s">
        <v>229</v>
      </c>
      <c r="B145" t="str">
        <f t="shared" si="8"/>
        <v>Street</v>
      </c>
      <c r="C145" t="str">
        <f t="shared" si="9"/>
        <v>564 Heritage Drive</v>
      </c>
    </row>
    <row r="146" spans="1:3" x14ac:dyDescent="0.35">
      <c r="A146" s="36" t="s">
        <v>225</v>
      </c>
      <c r="B146" t="str">
        <f t="shared" si="8"/>
        <v>City</v>
      </c>
      <c r="C146" t="str">
        <f t="shared" si="9"/>
        <v>Calgary</v>
      </c>
    </row>
    <row r="147" spans="1:3" x14ac:dyDescent="0.35">
      <c r="A147" s="36" t="s">
        <v>449</v>
      </c>
      <c r="B147" t="str">
        <f t="shared" si="8"/>
        <v>State/province/area</v>
      </c>
      <c r="C147" t="str">
        <f t="shared" si="9"/>
        <v>Alberta</v>
      </c>
    </row>
    <row r="148" spans="1:3" x14ac:dyDescent="0.35">
      <c r="A148" s="36" t="s">
        <v>256</v>
      </c>
      <c r="B148" t="str">
        <f t="shared" si="8"/>
        <v>Phone number</v>
      </c>
      <c r="C148" t="str">
        <f t="shared" si="9"/>
        <v>403-875-0334</v>
      </c>
    </row>
    <row r="149" spans="1:3" x14ac:dyDescent="0.35">
      <c r="A149" s="36" t="s">
        <v>275</v>
      </c>
      <c r="B149" t="str">
        <f t="shared" si="8"/>
        <v>Zip code</v>
      </c>
      <c r="C149" t="str">
        <f t="shared" si="9"/>
        <v>T2V 2W2</v>
      </c>
    </row>
    <row r="150" spans="1:3" x14ac:dyDescent="0.35">
      <c r="A150" s="36" t="s">
        <v>279</v>
      </c>
      <c r="B150" t="str">
        <f t="shared" si="8"/>
        <v>Country calling code</v>
      </c>
      <c r="C150" t="str">
        <f t="shared" si="9"/>
        <v>+1</v>
      </c>
    </row>
    <row r="151" spans="1:3" x14ac:dyDescent="0.35">
      <c r="A151" s="37" t="s">
        <v>280</v>
      </c>
      <c r="B151" t="str">
        <f t="shared" si="8"/>
        <v>Country</v>
      </c>
      <c r="C151" t="str">
        <f t="shared" si="9"/>
        <v>Canada</v>
      </c>
    </row>
    <row r="152" spans="1:3" x14ac:dyDescent="0.35">
      <c r="A152" s="36" t="s">
        <v>230</v>
      </c>
      <c r="B152" t="str">
        <f t="shared" si="8"/>
        <v>Street</v>
      </c>
      <c r="C152" t="str">
        <f t="shared" si="9"/>
        <v>1028 Garafraxa St</v>
      </c>
    </row>
    <row r="153" spans="1:3" x14ac:dyDescent="0.35">
      <c r="A153" s="36" t="s">
        <v>231</v>
      </c>
      <c r="B153" t="str">
        <f t="shared" si="8"/>
        <v>City</v>
      </c>
      <c r="C153" t="str">
        <f t="shared" si="9"/>
        <v>Tara</v>
      </c>
    </row>
    <row r="154" spans="1:3" x14ac:dyDescent="0.35">
      <c r="A154" s="36" t="s">
        <v>445</v>
      </c>
      <c r="B154" t="str">
        <f t="shared" si="8"/>
        <v>State/province/area</v>
      </c>
      <c r="C154" t="str">
        <f t="shared" si="9"/>
        <v>Ontario</v>
      </c>
    </row>
    <row r="155" spans="1:3" x14ac:dyDescent="0.35">
      <c r="A155" s="36" t="s">
        <v>257</v>
      </c>
      <c r="B155" t="str">
        <f t="shared" si="8"/>
        <v>Phone number</v>
      </c>
      <c r="C155" t="str">
        <f t="shared" si="9"/>
        <v>519-934-6315</v>
      </c>
    </row>
    <row r="156" spans="1:3" x14ac:dyDescent="0.35">
      <c r="A156" s="36" t="s">
        <v>276</v>
      </c>
      <c r="B156" t="str">
        <f t="shared" si="8"/>
        <v>Zip code</v>
      </c>
      <c r="C156" t="str">
        <f t="shared" si="9"/>
        <v>N0H 2N0</v>
      </c>
    </row>
    <row r="157" spans="1:3" x14ac:dyDescent="0.35">
      <c r="A157" s="36" t="s">
        <v>279</v>
      </c>
      <c r="B157" t="str">
        <f t="shared" si="8"/>
        <v>Country calling code</v>
      </c>
      <c r="C157" t="str">
        <f t="shared" si="9"/>
        <v>+1</v>
      </c>
    </row>
    <row r="158" spans="1:3" x14ac:dyDescent="0.35">
      <c r="A158" s="37" t="s">
        <v>280</v>
      </c>
      <c r="B158" t="str">
        <f t="shared" si="8"/>
        <v>Country</v>
      </c>
      <c r="C158" t="str">
        <f t="shared" si="9"/>
        <v>Canada</v>
      </c>
    </row>
    <row r="159" spans="1:3" x14ac:dyDescent="0.35">
      <c r="A159" s="36" t="s">
        <v>232</v>
      </c>
      <c r="B159" t="str">
        <f t="shared" si="8"/>
        <v>Street</v>
      </c>
      <c r="C159" t="str">
        <f t="shared" si="9"/>
        <v>3816 Hardy Street</v>
      </c>
    </row>
    <row r="160" spans="1:3" x14ac:dyDescent="0.35">
      <c r="A160" s="36" t="s">
        <v>233</v>
      </c>
      <c r="B160" t="str">
        <f t="shared" si="8"/>
        <v>City</v>
      </c>
      <c r="C160" t="str">
        <f t="shared" si="9"/>
        <v>Kelowna</v>
      </c>
    </row>
    <row r="161" spans="1:3" x14ac:dyDescent="0.35">
      <c r="A161" s="36" t="s">
        <v>448</v>
      </c>
      <c r="B161" t="str">
        <f t="shared" si="8"/>
        <v>State/province/area</v>
      </c>
      <c r="C161" t="str">
        <f t="shared" si="9"/>
        <v>British Columbia</v>
      </c>
    </row>
    <row r="162" spans="1:3" x14ac:dyDescent="0.35">
      <c r="A162" s="36" t="s">
        <v>258</v>
      </c>
      <c r="B162" t="str">
        <f t="shared" si="8"/>
        <v>Phone number</v>
      </c>
      <c r="C162" t="str">
        <f t="shared" si="9"/>
        <v>250-712-4772</v>
      </c>
    </row>
    <row r="163" spans="1:3" x14ac:dyDescent="0.35">
      <c r="A163" s="36" t="s">
        <v>277</v>
      </c>
      <c r="B163" t="str">
        <f t="shared" si="8"/>
        <v>Zip code</v>
      </c>
      <c r="C163" t="str">
        <f t="shared" si="9"/>
        <v>V1Y 8H2</v>
      </c>
    </row>
    <row r="164" spans="1:3" x14ac:dyDescent="0.35">
      <c r="A164" s="36" t="s">
        <v>279</v>
      </c>
      <c r="B164" t="str">
        <f t="shared" si="8"/>
        <v>Country calling code</v>
      </c>
      <c r="C164" t="str">
        <f t="shared" si="9"/>
        <v>+1</v>
      </c>
    </row>
    <row r="165" spans="1:3" x14ac:dyDescent="0.35">
      <c r="A165" s="37" t="s">
        <v>280</v>
      </c>
      <c r="B165" t="str">
        <f t="shared" si="8"/>
        <v>Country</v>
      </c>
      <c r="C165" t="str">
        <f t="shared" si="9"/>
        <v>Canada</v>
      </c>
    </row>
    <row r="166" spans="1:3" x14ac:dyDescent="0.35">
      <c r="A166" s="36" t="s">
        <v>234</v>
      </c>
      <c r="B166" t="str">
        <f t="shared" si="8"/>
        <v>Street</v>
      </c>
      <c r="C166" t="str">
        <f t="shared" si="9"/>
        <v>2179 Côte Joyeuse</v>
      </c>
    </row>
    <row r="167" spans="1:3" x14ac:dyDescent="0.35">
      <c r="A167" s="36" t="s">
        <v>235</v>
      </c>
      <c r="B167" t="str">
        <f t="shared" si="8"/>
        <v>City</v>
      </c>
      <c r="C167" t="str">
        <f t="shared" si="9"/>
        <v>L'etape</v>
      </c>
    </row>
    <row r="168" spans="1:3" x14ac:dyDescent="0.35">
      <c r="A168" s="36" t="s">
        <v>447</v>
      </c>
      <c r="B168" t="str">
        <f t="shared" si="8"/>
        <v>State/province/area</v>
      </c>
      <c r="C168" t="str">
        <f t="shared" si="9"/>
        <v>Quebec</v>
      </c>
    </row>
    <row r="169" spans="1:3" x14ac:dyDescent="0.35">
      <c r="A169" s="36" t="s">
        <v>259</v>
      </c>
      <c r="B169" t="str">
        <f t="shared" si="8"/>
        <v>Phone number</v>
      </c>
      <c r="C169" t="str">
        <f t="shared" si="9"/>
        <v>418-859-5959</v>
      </c>
    </row>
    <row r="170" spans="1:3" x14ac:dyDescent="0.35">
      <c r="A170" s="36" t="s">
        <v>278</v>
      </c>
      <c r="B170" t="str">
        <f t="shared" si="8"/>
        <v>Zip code</v>
      </c>
      <c r="C170" t="str">
        <f t="shared" si="9"/>
        <v>H0H 0H0</v>
      </c>
    </row>
    <row r="171" spans="1:3" x14ac:dyDescent="0.35">
      <c r="A171" s="36" t="s">
        <v>279</v>
      </c>
      <c r="B171" t="str">
        <f t="shared" si="8"/>
        <v>Country calling code</v>
      </c>
      <c r="C171" t="str">
        <f t="shared" si="9"/>
        <v>+1</v>
      </c>
    </row>
    <row r="172" spans="1:3" x14ac:dyDescent="0.35">
      <c r="A172" s="37" t="s">
        <v>280</v>
      </c>
      <c r="B172" t="str">
        <f t="shared" si="8"/>
        <v>Country</v>
      </c>
      <c r="C172" t="str">
        <f t="shared" si="9"/>
        <v>Canada</v>
      </c>
    </row>
    <row r="173" spans="1:3" x14ac:dyDescent="0.35">
      <c r="A173" s="36" t="s">
        <v>288</v>
      </c>
      <c r="B173" t="str">
        <f t="shared" si="8"/>
        <v>Street</v>
      </c>
      <c r="C173" t="str">
        <f t="shared" si="9"/>
        <v>454 Merivale Road</v>
      </c>
    </row>
    <row r="174" spans="1:3" x14ac:dyDescent="0.35">
      <c r="A174" s="36" t="s">
        <v>289</v>
      </c>
      <c r="B174" t="str">
        <f t="shared" si="8"/>
        <v>City</v>
      </c>
      <c r="C174" t="str">
        <f t="shared" si="9"/>
        <v>Ottawa</v>
      </c>
    </row>
    <row r="175" spans="1:3" x14ac:dyDescent="0.35">
      <c r="A175" s="36" t="s">
        <v>445</v>
      </c>
      <c r="B175" t="str">
        <f t="shared" si="8"/>
        <v>State/province/area</v>
      </c>
      <c r="C175" t="str">
        <f t="shared" si="9"/>
        <v>Ontario</v>
      </c>
    </row>
    <row r="176" spans="1:3" x14ac:dyDescent="0.35">
      <c r="A176" s="36" t="s">
        <v>298</v>
      </c>
      <c r="B176" t="str">
        <f t="shared" si="8"/>
        <v>Phone number</v>
      </c>
      <c r="C176" t="str">
        <f t="shared" si="9"/>
        <v>613-721-0698</v>
      </c>
    </row>
    <row r="177" spans="1:3" x14ac:dyDescent="0.35">
      <c r="A177" s="36" t="s">
        <v>304</v>
      </c>
      <c r="B177" t="str">
        <f t="shared" si="8"/>
        <v>Zip code</v>
      </c>
      <c r="C177" t="str">
        <f t="shared" si="9"/>
        <v>K2H 5B6</v>
      </c>
    </row>
    <row r="178" spans="1:3" x14ac:dyDescent="0.35">
      <c r="A178" s="36" t="s">
        <v>279</v>
      </c>
      <c r="B178" t="str">
        <f t="shared" si="8"/>
        <v>Country calling code</v>
      </c>
      <c r="C178" t="str">
        <f t="shared" si="9"/>
        <v>+1</v>
      </c>
    </row>
    <row r="179" spans="1:3" x14ac:dyDescent="0.35">
      <c r="A179" s="37" t="s">
        <v>280</v>
      </c>
      <c r="B179" t="str">
        <f t="shared" si="8"/>
        <v>Country</v>
      </c>
      <c r="C179" t="str">
        <f t="shared" si="9"/>
        <v>Canada</v>
      </c>
    </row>
    <row r="180" spans="1:3" x14ac:dyDescent="0.35">
      <c r="A180" s="36" t="s">
        <v>290</v>
      </c>
      <c r="B180" t="str">
        <f t="shared" si="8"/>
        <v>Street</v>
      </c>
      <c r="C180" t="str">
        <f t="shared" si="9"/>
        <v>4337 Algonquin Blvd</v>
      </c>
    </row>
    <row r="181" spans="1:3" x14ac:dyDescent="0.35">
      <c r="A181" s="36" t="s">
        <v>291</v>
      </c>
      <c r="B181" t="str">
        <f t="shared" si="8"/>
        <v>City</v>
      </c>
      <c r="C181" t="str">
        <f t="shared" si="9"/>
        <v>Timmins</v>
      </c>
    </row>
    <row r="182" spans="1:3" x14ac:dyDescent="0.35">
      <c r="A182" s="36" t="s">
        <v>445</v>
      </c>
      <c r="B182" t="str">
        <f t="shared" si="8"/>
        <v>State/province/area</v>
      </c>
      <c r="C182" t="str">
        <f t="shared" si="9"/>
        <v>Ontario</v>
      </c>
    </row>
    <row r="183" spans="1:3" x14ac:dyDescent="0.35">
      <c r="A183" s="36" t="s">
        <v>299</v>
      </c>
      <c r="B183" t="str">
        <f t="shared" si="8"/>
        <v>Phone number</v>
      </c>
      <c r="C183" t="str">
        <f t="shared" si="9"/>
        <v>705-668-1540</v>
      </c>
    </row>
    <row r="184" spans="1:3" x14ac:dyDescent="0.35">
      <c r="A184" s="36" t="s">
        <v>305</v>
      </c>
      <c r="B184" t="str">
        <f t="shared" si="8"/>
        <v>Zip code</v>
      </c>
      <c r="C184" t="str">
        <f t="shared" si="9"/>
        <v>P4N 7C4</v>
      </c>
    </row>
    <row r="185" spans="1:3" x14ac:dyDescent="0.35">
      <c r="A185" s="36" t="s">
        <v>279</v>
      </c>
      <c r="B185" t="str">
        <f t="shared" si="8"/>
        <v>Country calling code</v>
      </c>
      <c r="C185" t="str">
        <f t="shared" si="9"/>
        <v>+1</v>
      </c>
    </row>
    <row r="186" spans="1:3" x14ac:dyDescent="0.35">
      <c r="A186" s="37" t="s">
        <v>280</v>
      </c>
      <c r="B186" t="str">
        <f t="shared" si="8"/>
        <v>Country</v>
      </c>
      <c r="C186" t="str">
        <f t="shared" si="9"/>
        <v>Canada</v>
      </c>
    </row>
    <row r="187" spans="1:3" x14ac:dyDescent="0.35">
      <c r="A187" s="36" t="s">
        <v>292</v>
      </c>
      <c r="B187" t="str">
        <f t="shared" si="8"/>
        <v>Street</v>
      </c>
      <c r="C187" t="str">
        <f t="shared" si="9"/>
        <v>3729 Northumberland Street</v>
      </c>
    </row>
    <row r="188" spans="1:3" x14ac:dyDescent="0.35">
      <c r="A188" s="36" t="s">
        <v>293</v>
      </c>
      <c r="B188" t="str">
        <f t="shared" si="8"/>
        <v>City</v>
      </c>
      <c r="C188" t="str">
        <f t="shared" si="9"/>
        <v>Hillsburgh</v>
      </c>
    </row>
    <row r="189" spans="1:3" x14ac:dyDescent="0.35">
      <c r="A189" s="36" t="s">
        <v>445</v>
      </c>
      <c r="B189" t="str">
        <f t="shared" si="8"/>
        <v>State/province/area</v>
      </c>
      <c r="C189" t="str">
        <f t="shared" si="9"/>
        <v>Ontario</v>
      </c>
    </row>
    <row r="190" spans="1:3" x14ac:dyDescent="0.35">
      <c r="A190" s="36" t="s">
        <v>300</v>
      </c>
      <c r="B190" t="str">
        <f t="shared" si="8"/>
        <v>Phone number</v>
      </c>
      <c r="C190" t="str">
        <f t="shared" si="9"/>
        <v>519-855-4411</v>
      </c>
    </row>
    <row r="191" spans="1:3" x14ac:dyDescent="0.35">
      <c r="A191" s="36" t="s">
        <v>306</v>
      </c>
      <c r="B191" t="str">
        <f t="shared" si="8"/>
        <v>Zip code</v>
      </c>
      <c r="C191" t="str">
        <f t="shared" si="9"/>
        <v>N0B 1Z0</v>
      </c>
    </row>
    <row r="192" spans="1:3" x14ac:dyDescent="0.35">
      <c r="A192" s="36" t="s">
        <v>279</v>
      </c>
      <c r="B192" t="str">
        <f t="shared" si="8"/>
        <v>Country calling code</v>
      </c>
      <c r="C192" t="str">
        <f t="shared" si="9"/>
        <v>+1</v>
      </c>
    </row>
    <row r="193" spans="1:3" x14ac:dyDescent="0.35">
      <c r="A193" s="37" t="s">
        <v>280</v>
      </c>
      <c r="B193" t="str">
        <f t="shared" si="8"/>
        <v>Country</v>
      </c>
      <c r="C193" t="str">
        <f t="shared" si="9"/>
        <v>Canada</v>
      </c>
    </row>
    <row r="194" spans="1:3" x14ac:dyDescent="0.35">
      <c r="A194" s="36" t="s">
        <v>294</v>
      </c>
      <c r="B194" t="str">
        <f t="shared" si="8"/>
        <v>Street</v>
      </c>
      <c r="C194" t="str">
        <f t="shared" si="9"/>
        <v>3908 René-Lévesque Blvd</v>
      </c>
    </row>
    <row r="195" spans="1:3" x14ac:dyDescent="0.35">
      <c r="A195" s="36" t="s">
        <v>206</v>
      </c>
      <c r="B195" t="str">
        <f t="shared" si="8"/>
        <v>City</v>
      </c>
      <c r="C195" t="str">
        <f t="shared" si="9"/>
        <v>Montreal</v>
      </c>
    </row>
    <row r="196" spans="1:3" x14ac:dyDescent="0.35">
      <c r="A196" s="36" t="s">
        <v>447</v>
      </c>
      <c r="B196" t="str">
        <f t="shared" si="8"/>
        <v>State/province/area</v>
      </c>
      <c r="C196" t="str">
        <f t="shared" si="9"/>
        <v>Quebec</v>
      </c>
    </row>
    <row r="197" spans="1:3" x14ac:dyDescent="0.35">
      <c r="A197" s="36" t="s">
        <v>301</v>
      </c>
      <c r="B197" t="str">
        <f t="shared" si="8"/>
        <v>Phone number</v>
      </c>
      <c r="C197" t="str">
        <f t="shared" si="9"/>
        <v>514-573-0262</v>
      </c>
    </row>
    <row r="198" spans="1:3" x14ac:dyDescent="0.35">
      <c r="A198" s="36" t="s">
        <v>307</v>
      </c>
      <c r="B198" t="str">
        <f t="shared" ref="B198:B214" si="10">LEFT(A198,FIND(":",A198)-1)</f>
        <v>Zip code</v>
      </c>
      <c r="C198" t="str">
        <f t="shared" ref="C198:C214" si="11">TRIM(MID(A198,FIND(":",A198)+3,200))</f>
        <v>H3B 4W8</v>
      </c>
    </row>
    <row r="199" spans="1:3" x14ac:dyDescent="0.35">
      <c r="A199" s="36" t="s">
        <v>279</v>
      </c>
      <c r="B199" t="str">
        <f t="shared" si="10"/>
        <v>Country calling code</v>
      </c>
      <c r="C199" t="str">
        <f t="shared" si="11"/>
        <v>+1</v>
      </c>
    </row>
    <row r="200" spans="1:3" x14ac:dyDescent="0.35">
      <c r="A200" s="37" t="s">
        <v>280</v>
      </c>
      <c r="B200" t="str">
        <f t="shared" si="10"/>
        <v>Country</v>
      </c>
      <c r="C200" t="str">
        <f t="shared" si="11"/>
        <v>Canada</v>
      </c>
    </row>
    <row r="201" spans="1:3" x14ac:dyDescent="0.35">
      <c r="A201" s="36" t="s">
        <v>295</v>
      </c>
      <c r="B201" t="str">
        <f t="shared" si="10"/>
        <v>Street</v>
      </c>
      <c r="C201" t="str">
        <f t="shared" si="11"/>
        <v>3610 Bloor Street</v>
      </c>
    </row>
    <row r="202" spans="1:3" x14ac:dyDescent="0.35">
      <c r="A202" s="36" t="s">
        <v>296</v>
      </c>
      <c r="B202" t="str">
        <f t="shared" si="10"/>
        <v>City</v>
      </c>
      <c r="C202" t="str">
        <f t="shared" si="11"/>
        <v>Vegreville</v>
      </c>
    </row>
    <row r="203" spans="1:3" x14ac:dyDescent="0.35">
      <c r="A203" s="36" t="s">
        <v>449</v>
      </c>
      <c r="B203" t="str">
        <f t="shared" si="10"/>
        <v>State/province/area</v>
      </c>
      <c r="C203" t="str">
        <f t="shared" si="11"/>
        <v>Alberta</v>
      </c>
    </row>
    <row r="204" spans="1:3" x14ac:dyDescent="0.35">
      <c r="A204" s="36" t="s">
        <v>302</v>
      </c>
      <c r="B204" t="str">
        <f t="shared" si="10"/>
        <v>Phone number</v>
      </c>
      <c r="C204" t="str">
        <f t="shared" si="11"/>
        <v>780-632-2540</v>
      </c>
    </row>
    <row r="205" spans="1:3" x14ac:dyDescent="0.35">
      <c r="A205" s="36" t="s">
        <v>308</v>
      </c>
      <c r="B205" t="str">
        <f t="shared" si="10"/>
        <v>Zip code</v>
      </c>
      <c r="C205" t="str">
        <f t="shared" si="11"/>
        <v>T0B 4L0</v>
      </c>
    </row>
    <row r="206" spans="1:3" x14ac:dyDescent="0.35">
      <c r="A206" s="36" t="s">
        <v>279</v>
      </c>
      <c r="B206" t="str">
        <f t="shared" si="10"/>
        <v>Country calling code</v>
      </c>
      <c r="C206" t="str">
        <f t="shared" si="11"/>
        <v>+1</v>
      </c>
    </row>
    <row r="207" spans="1:3" x14ac:dyDescent="0.35">
      <c r="A207" s="37" t="s">
        <v>280</v>
      </c>
      <c r="B207" t="str">
        <f t="shared" si="10"/>
        <v>Country</v>
      </c>
      <c r="C207" t="str">
        <f t="shared" si="11"/>
        <v>Canada</v>
      </c>
    </row>
    <row r="208" spans="1:3" x14ac:dyDescent="0.35">
      <c r="A208" s="36" t="s">
        <v>297</v>
      </c>
      <c r="B208" t="str">
        <f t="shared" si="10"/>
        <v>Street</v>
      </c>
      <c r="C208" t="str">
        <f t="shared" si="11"/>
        <v>3371 Woolwick Drive</v>
      </c>
    </row>
    <row r="209" spans="1:3" x14ac:dyDescent="0.35">
      <c r="A209" s="36" t="s">
        <v>205</v>
      </c>
      <c r="B209" t="str">
        <f t="shared" si="10"/>
        <v>City</v>
      </c>
      <c r="C209" t="str">
        <f t="shared" si="11"/>
        <v>Toronto</v>
      </c>
    </row>
    <row r="210" spans="1:3" x14ac:dyDescent="0.35">
      <c r="A210" s="36" t="s">
        <v>445</v>
      </c>
      <c r="B210" t="str">
        <f t="shared" si="10"/>
        <v>State/province/area</v>
      </c>
      <c r="C210" t="str">
        <f t="shared" si="11"/>
        <v>Ontario</v>
      </c>
    </row>
    <row r="211" spans="1:3" x14ac:dyDescent="0.35">
      <c r="A211" s="36" t="s">
        <v>303</v>
      </c>
      <c r="B211" t="str">
        <f t="shared" si="10"/>
        <v>Phone number</v>
      </c>
      <c r="C211" t="str">
        <f t="shared" si="11"/>
        <v>416-438-7286</v>
      </c>
    </row>
    <row r="212" spans="1:3" x14ac:dyDescent="0.35">
      <c r="A212" s="36" t="s">
        <v>309</v>
      </c>
      <c r="B212" t="str">
        <f t="shared" si="10"/>
        <v>Zip code</v>
      </c>
      <c r="C212" t="str">
        <f t="shared" si="11"/>
        <v>M1H 1A8</v>
      </c>
    </row>
    <row r="213" spans="1:3" x14ac:dyDescent="0.35">
      <c r="A213" s="36" t="s">
        <v>279</v>
      </c>
      <c r="B213" t="str">
        <f t="shared" si="10"/>
        <v>Country calling code</v>
      </c>
      <c r="C213" t="str">
        <f t="shared" si="11"/>
        <v>+1</v>
      </c>
    </row>
    <row r="214" spans="1:3" x14ac:dyDescent="0.35">
      <c r="A214" s="37" t="s">
        <v>280</v>
      </c>
      <c r="B214" t="str">
        <f t="shared" si="10"/>
        <v>Country</v>
      </c>
      <c r="C214" t="str">
        <f t="shared" si="11"/>
        <v>Canada</v>
      </c>
    </row>
  </sheetData>
  <autoFilter ref="H4:J88" xr:uid="{00AE9F91-AC86-43BC-8548-F0078DD84E0F}">
    <filterColumn colId="1">
      <filters>
        <filter val="Phone number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4E2F-7607-4F3F-B379-B596EBFFE419}">
  <dimension ref="A1:E34"/>
  <sheetViews>
    <sheetView showGridLines="0" zoomScale="85" zoomScaleNormal="85" workbookViewId="0">
      <selection activeCell="L8" sqref="L8"/>
    </sheetView>
  </sheetViews>
  <sheetFormatPr defaultRowHeight="14.5" x14ac:dyDescent="0.35"/>
  <cols>
    <col min="1" max="1" width="24.453125" customWidth="1"/>
    <col min="2" max="2" width="6.81640625" bestFit="1" customWidth="1"/>
    <col min="3" max="3" width="12" bestFit="1" customWidth="1"/>
    <col min="4" max="4" width="11.7265625" bestFit="1" customWidth="1"/>
    <col min="5" max="5" width="5.7265625" bestFit="1" customWidth="1"/>
  </cols>
  <sheetData>
    <row r="1" spans="1:5" x14ac:dyDescent="0.35">
      <c r="A1" s="9" t="s">
        <v>286</v>
      </c>
    </row>
    <row r="2" spans="1:5" x14ac:dyDescent="0.35">
      <c r="A2" s="9" t="s">
        <v>287</v>
      </c>
    </row>
    <row r="4" spans="1:5" x14ac:dyDescent="0.35">
      <c r="A4" s="12" t="s">
        <v>346</v>
      </c>
      <c r="B4" s="12" t="s">
        <v>347</v>
      </c>
      <c r="C4" s="12" t="s">
        <v>312</v>
      </c>
      <c r="D4" s="12" t="s">
        <v>313</v>
      </c>
      <c r="E4" s="12" t="s">
        <v>2</v>
      </c>
    </row>
    <row r="5" spans="1:5" x14ac:dyDescent="0.35">
      <c r="A5" t="s">
        <v>318</v>
      </c>
      <c r="B5" t="s">
        <v>324</v>
      </c>
      <c r="C5" t="str">
        <f t="shared" ref="C5:C34" si="0">TRIM(LEFT(A5,FIND(" ",A5)-1))</f>
        <v>Rhett</v>
      </c>
      <c r="D5" t="str">
        <f t="shared" ref="D5:D34" si="1">TRIM(MID(A5,FIND(" ",A5),100))</f>
        <v>Fuller</v>
      </c>
      <c r="E5">
        <f t="shared" ref="E5:E34" ca="1" si="2">RANDBETWEEN(1,100)</f>
        <v>47</v>
      </c>
    </row>
    <row r="6" spans="1:5" x14ac:dyDescent="0.35">
      <c r="A6" t="s">
        <v>329</v>
      </c>
      <c r="B6" t="s">
        <v>335</v>
      </c>
      <c r="C6" t="str">
        <f t="shared" si="0"/>
        <v>Norah</v>
      </c>
      <c r="D6" t="str">
        <f t="shared" si="1"/>
        <v>Fessenden</v>
      </c>
      <c r="E6">
        <f t="shared" ca="1" si="2"/>
        <v>43</v>
      </c>
    </row>
    <row r="7" spans="1:5" x14ac:dyDescent="0.35">
      <c r="A7" t="s">
        <v>328</v>
      </c>
      <c r="B7" t="s">
        <v>335</v>
      </c>
      <c r="C7" t="str">
        <f t="shared" si="0"/>
        <v>Sawyer</v>
      </c>
      <c r="D7" t="str">
        <f t="shared" si="1"/>
        <v>Oliver</v>
      </c>
      <c r="E7">
        <f t="shared" ca="1" si="2"/>
        <v>25</v>
      </c>
    </row>
    <row r="8" spans="1:5" x14ac:dyDescent="0.35">
      <c r="A8" t="s">
        <v>314</v>
      </c>
      <c r="B8" t="s">
        <v>324</v>
      </c>
      <c r="C8" t="str">
        <f t="shared" si="0"/>
        <v>Leo</v>
      </c>
      <c r="D8" t="str">
        <f t="shared" si="1"/>
        <v>Clarkson</v>
      </c>
      <c r="E8">
        <f t="shared" ca="1" si="2"/>
        <v>74</v>
      </c>
    </row>
    <row r="9" spans="1:5" x14ac:dyDescent="0.35">
      <c r="A9" t="s">
        <v>321</v>
      </c>
      <c r="B9" t="s">
        <v>324</v>
      </c>
      <c r="C9" t="str">
        <f t="shared" si="0"/>
        <v>Joshua</v>
      </c>
      <c r="D9" t="str">
        <f t="shared" si="1"/>
        <v>Rose</v>
      </c>
      <c r="E9">
        <f t="shared" ca="1" si="2"/>
        <v>10</v>
      </c>
    </row>
    <row r="10" spans="1:5" x14ac:dyDescent="0.35">
      <c r="A10" t="s">
        <v>325</v>
      </c>
      <c r="B10" t="s">
        <v>335</v>
      </c>
      <c r="C10" t="str">
        <f t="shared" si="0"/>
        <v>Penelope</v>
      </c>
      <c r="D10" t="str">
        <f t="shared" si="1"/>
        <v>Piers</v>
      </c>
      <c r="E10">
        <f t="shared" ca="1" si="2"/>
        <v>29</v>
      </c>
    </row>
    <row r="11" spans="1:5" x14ac:dyDescent="0.35">
      <c r="A11" t="s">
        <v>317</v>
      </c>
      <c r="B11" t="s">
        <v>324</v>
      </c>
      <c r="C11" t="str">
        <f t="shared" si="0"/>
        <v>Quinn</v>
      </c>
      <c r="D11" t="str">
        <f t="shared" si="1"/>
        <v>White</v>
      </c>
      <c r="E11">
        <f t="shared" ca="1" si="2"/>
        <v>6</v>
      </c>
    </row>
    <row r="12" spans="1:5" x14ac:dyDescent="0.35">
      <c r="A12" t="s">
        <v>336</v>
      </c>
      <c r="B12" t="s">
        <v>324</v>
      </c>
      <c r="C12" t="str">
        <f t="shared" si="0"/>
        <v>Trinity</v>
      </c>
      <c r="D12" t="str">
        <f t="shared" si="1"/>
        <v>Gosling</v>
      </c>
      <c r="E12">
        <f t="shared" ca="1" si="2"/>
        <v>40</v>
      </c>
    </row>
    <row r="13" spans="1:5" x14ac:dyDescent="0.35">
      <c r="A13" t="s">
        <v>319</v>
      </c>
      <c r="B13" t="s">
        <v>324</v>
      </c>
      <c r="C13" t="str">
        <f t="shared" si="0"/>
        <v>Hudson</v>
      </c>
      <c r="D13" t="str">
        <f t="shared" si="1"/>
        <v>Davies</v>
      </c>
      <c r="E13">
        <f t="shared" ca="1" si="2"/>
        <v>57</v>
      </c>
    </row>
    <row r="14" spans="1:5" x14ac:dyDescent="0.35">
      <c r="A14" t="s">
        <v>326</v>
      </c>
      <c r="B14" t="s">
        <v>335</v>
      </c>
      <c r="C14" t="str">
        <f t="shared" si="0"/>
        <v>Amanda</v>
      </c>
      <c r="D14" t="str">
        <f t="shared" si="1"/>
        <v>Park</v>
      </c>
      <c r="E14">
        <f t="shared" ca="1" si="2"/>
        <v>10</v>
      </c>
    </row>
    <row r="15" spans="1:5" x14ac:dyDescent="0.35">
      <c r="A15" t="s">
        <v>315</v>
      </c>
      <c r="B15" t="s">
        <v>324</v>
      </c>
      <c r="C15" t="str">
        <f t="shared" si="0"/>
        <v>Declan</v>
      </c>
      <c r="D15" t="str">
        <f t="shared" si="1"/>
        <v>Johnson</v>
      </c>
      <c r="E15">
        <f t="shared" ca="1" si="2"/>
        <v>95</v>
      </c>
    </row>
    <row r="16" spans="1:5" x14ac:dyDescent="0.35">
      <c r="A16" t="s">
        <v>316</v>
      </c>
      <c r="B16" t="s">
        <v>324</v>
      </c>
      <c r="C16" t="str">
        <f t="shared" si="0"/>
        <v>Kyle</v>
      </c>
      <c r="D16" t="str">
        <f t="shared" si="1"/>
        <v>Hill</v>
      </c>
      <c r="E16">
        <f t="shared" ca="1" si="2"/>
        <v>35</v>
      </c>
    </row>
    <row r="17" spans="1:5" x14ac:dyDescent="0.35">
      <c r="A17" t="s">
        <v>331</v>
      </c>
      <c r="B17" t="s">
        <v>335</v>
      </c>
      <c r="C17" t="str">
        <f t="shared" si="0"/>
        <v>Ariana</v>
      </c>
      <c r="D17" t="str">
        <f t="shared" si="1"/>
        <v>Evans</v>
      </c>
      <c r="E17">
        <f t="shared" ca="1" si="2"/>
        <v>31</v>
      </c>
    </row>
    <row r="18" spans="1:5" x14ac:dyDescent="0.35">
      <c r="A18" t="s">
        <v>340</v>
      </c>
      <c r="B18" t="s">
        <v>324</v>
      </c>
      <c r="C18" t="str">
        <f t="shared" si="0"/>
        <v>Scarlett</v>
      </c>
      <c r="D18" t="str">
        <f t="shared" si="1"/>
        <v>David</v>
      </c>
      <c r="E18">
        <f t="shared" ca="1" si="2"/>
        <v>51</v>
      </c>
    </row>
    <row r="19" spans="1:5" x14ac:dyDescent="0.35">
      <c r="A19" t="s">
        <v>342</v>
      </c>
      <c r="B19" t="s">
        <v>324</v>
      </c>
      <c r="C19" t="str">
        <f t="shared" si="0"/>
        <v>Annika</v>
      </c>
      <c r="D19" t="str">
        <f t="shared" si="1"/>
        <v>Boyle</v>
      </c>
      <c r="E19">
        <f t="shared" ca="1" si="2"/>
        <v>3</v>
      </c>
    </row>
    <row r="20" spans="1:5" x14ac:dyDescent="0.35">
      <c r="A20" t="s">
        <v>343</v>
      </c>
      <c r="B20" t="s">
        <v>324</v>
      </c>
      <c r="C20" t="str">
        <f t="shared" si="0"/>
        <v>Natalie</v>
      </c>
      <c r="D20" t="str">
        <f t="shared" si="1"/>
        <v>Currie</v>
      </c>
      <c r="E20">
        <f t="shared" ca="1" si="2"/>
        <v>45</v>
      </c>
    </row>
    <row r="21" spans="1:5" x14ac:dyDescent="0.35">
      <c r="A21" t="s">
        <v>327</v>
      </c>
      <c r="B21" t="s">
        <v>335</v>
      </c>
      <c r="C21" t="str">
        <f t="shared" si="0"/>
        <v>Charlotte</v>
      </c>
      <c r="D21" t="str">
        <f t="shared" si="1"/>
        <v>Altman</v>
      </c>
      <c r="E21">
        <f t="shared" ca="1" si="2"/>
        <v>50</v>
      </c>
    </row>
    <row r="22" spans="1:5" x14ac:dyDescent="0.35">
      <c r="A22" t="s">
        <v>337</v>
      </c>
      <c r="B22" t="s">
        <v>324</v>
      </c>
      <c r="C22" t="str">
        <f t="shared" si="0"/>
        <v>Brielle</v>
      </c>
      <c r="D22" t="str">
        <f t="shared" si="1"/>
        <v>Olson</v>
      </c>
      <c r="E22">
        <f t="shared" ca="1" si="2"/>
        <v>87</v>
      </c>
    </row>
    <row r="23" spans="1:5" x14ac:dyDescent="0.35">
      <c r="A23" t="s">
        <v>338</v>
      </c>
      <c r="B23" t="s">
        <v>324</v>
      </c>
      <c r="C23" t="str">
        <f t="shared" si="0"/>
        <v>Charlie</v>
      </c>
      <c r="D23" t="str">
        <f t="shared" si="1"/>
        <v>McCoy</v>
      </c>
      <c r="E23">
        <f t="shared" ca="1" si="2"/>
        <v>93</v>
      </c>
    </row>
    <row r="24" spans="1:5" x14ac:dyDescent="0.35">
      <c r="A24" t="s">
        <v>330</v>
      </c>
      <c r="B24" t="s">
        <v>335</v>
      </c>
      <c r="C24" t="str">
        <f t="shared" si="0"/>
        <v>Adelaide</v>
      </c>
      <c r="D24" t="str">
        <f t="shared" si="1"/>
        <v>Hennessy</v>
      </c>
      <c r="E24">
        <f t="shared" ca="1" si="2"/>
        <v>40</v>
      </c>
    </row>
    <row r="25" spans="1:5" x14ac:dyDescent="0.35">
      <c r="A25" t="s">
        <v>320</v>
      </c>
      <c r="B25" t="s">
        <v>324</v>
      </c>
      <c r="C25" t="str">
        <f t="shared" si="0"/>
        <v>Jesse</v>
      </c>
      <c r="D25" t="str">
        <f t="shared" si="1"/>
        <v>Williams</v>
      </c>
      <c r="E25">
        <f t="shared" ca="1" si="2"/>
        <v>19</v>
      </c>
    </row>
    <row r="26" spans="1:5" x14ac:dyDescent="0.35">
      <c r="A26" t="s">
        <v>334</v>
      </c>
      <c r="B26" t="s">
        <v>335</v>
      </c>
      <c r="C26" t="str">
        <f t="shared" si="0"/>
        <v>Ivy</v>
      </c>
      <c r="D26" t="str">
        <f t="shared" si="1"/>
        <v>Clarkson</v>
      </c>
      <c r="E26">
        <f t="shared" ca="1" si="2"/>
        <v>23</v>
      </c>
    </row>
    <row r="27" spans="1:5" x14ac:dyDescent="0.35">
      <c r="A27" t="s">
        <v>333</v>
      </c>
      <c r="B27" t="s">
        <v>335</v>
      </c>
      <c r="C27" t="str">
        <f t="shared" si="0"/>
        <v>Bethany</v>
      </c>
      <c r="D27" t="str">
        <f t="shared" si="1"/>
        <v>Nevin</v>
      </c>
      <c r="E27">
        <f t="shared" ca="1" si="2"/>
        <v>46</v>
      </c>
    </row>
    <row r="28" spans="1:5" x14ac:dyDescent="0.35">
      <c r="A28" t="s">
        <v>332</v>
      </c>
      <c r="B28" t="s">
        <v>335</v>
      </c>
      <c r="C28" t="str">
        <f t="shared" si="0"/>
        <v>Octavia</v>
      </c>
      <c r="D28" t="str">
        <f t="shared" si="1"/>
        <v>Boyd</v>
      </c>
      <c r="E28">
        <f t="shared" ca="1" si="2"/>
        <v>26</v>
      </c>
    </row>
    <row r="29" spans="1:5" x14ac:dyDescent="0.35">
      <c r="A29" t="s">
        <v>339</v>
      </c>
      <c r="B29" t="s">
        <v>324</v>
      </c>
      <c r="C29" t="str">
        <f t="shared" si="0"/>
        <v>Anastasia</v>
      </c>
      <c r="D29" t="str">
        <f t="shared" si="1"/>
        <v>Timbrell</v>
      </c>
      <c r="E29">
        <f t="shared" ca="1" si="2"/>
        <v>10</v>
      </c>
    </row>
    <row r="30" spans="1:5" x14ac:dyDescent="0.35">
      <c r="A30" t="s">
        <v>323</v>
      </c>
      <c r="B30" t="s">
        <v>324</v>
      </c>
      <c r="C30" t="str">
        <f t="shared" si="0"/>
        <v>Donovan</v>
      </c>
      <c r="D30" t="str">
        <f t="shared" si="1"/>
        <v>Markle</v>
      </c>
      <c r="E30">
        <f t="shared" ca="1" si="2"/>
        <v>25</v>
      </c>
    </row>
    <row r="31" spans="1:5" x14ac:dyDescent="0.35">
      <c r="A31" t="s">
        <v>344</v>
      </c>
      <c r="B31" t="s">
        <v>324</v>
      </c>
      <c r="C31" t="str">
        <f t="shared" si="0"/>
        <v>Sloan</v>
      </c>
      <c r="D31" t="str">
        <f t="shared" si="1"/>
        <v>McLaughlin</v>
      </c>
      <c r="E31">
        <f t="shared" ca="1" si="2"/>
        <v>42</v>
      </c>
    </row>
    <row r="32" spans="1:5" x14ac:dyDescent="0.35">
      <c r="A32" t="s">
        <v>345</v>
      </c>
      <c r="B32" t="s">
        <v>324</v>
      </c>
      <c r="C32" t="str">
        <f t="shared" si="0"/>
        <v>Sarah</v>
      </c>
      <c r="D32" t="str">
        <f t="shared" si="1"/>
        <v>Oliver</v>
      </c>
      <c r="E32">
        <f t="shared" ca="1" si="2"/>
        <v>75</v>
      </c>
    </row>
    <row r="33" spans="1:5" x14ac:dyDescent="0.35">
      <c r="A33" t="s">
        <v>341</v>
      </c>
      <c r="B33" t="s">
        <v>324</v>
      </c>
      <c r="C33" t="str">
        <f t="shared" si="0"/>
        <v>Serena</v>
      </c>
      <c r="D33" t="str">
        <f t="shared" si="1"/>
        <v>Reeves</v>
      </c>
      <c r="E33">
        <f t="shared" ca="1" si="2"/>
        <v>74</v>
      </c>
    </row>
    <row r="34" spans="1:5" x14ac:dyDescent="0.35">
      <c r="A34" t="s">
        <v>322</v>
      </c>
      <c r="B34" t="s">
        <v>324</v>
      </c>
      <c r="C34" t="str">
        <f t="shared" si="0"/>
        <v>Kaleb</v>
      </c>
      <c r="D34" t="str">
        <f t="shared" si="1"/>
        <v>Banks</v>
      </c>
      <c r="E34">
        <f t="shared" ca="1" si="2"/>
        <v>99</v>
      </c>
    </row>
  </sheetData>
  <autoFilter ref="A4:E34" xr:uid="{D55D4E2F-7607-4F3F-B379-B596EBFFE419}">
    <sortState xmlns:xlrd2="http://schemas.microsoft.com/office/spreadsheetml/2017/richdata2" ref="A5:E34">
      <sortCondition ref="E4:E34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36DB-BD77-4594-A5BD-8602965447BE}">
  <dimension ref="A1"/>
  <sheetViews>
    <sheetView topLeftCell="A4" zoomScaleNormal="10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FDD82-DCC8-4B1E-A9A8-9743316486A1}">
  <sheetPr>
    <tabColor rgb="FFFF0000"/>
  </sheetPr>
  <dimension ref="A1:AM145"/>
  <sheetViews>
    <sheetView zoomScale="70" zoomScaleNormal="70" workbookViewId="0">
      <selection activeCell="J22" sqref="J22"/>
    </sheetView>
  </sheetViews>
  <sheetFormatPr defaultRowHeight="14.5" x14ac:dyDescent="0.35"/>
  <cols>
    <col min="1" max="1" width="11.453125" bestFit="1" customWidth="1"/>
    <col min="2" max="2" width="29.36328125" customWidth="1"/>
    <col min="3" max="3" width="16.7265625" customWidth="1"/>
    <col min="4" max="4" width="18.36328125" customWidth="1"/>
    <col min="5" max="5" width="20.08984375" customWidth="1"/>
    <col min="6" max="6" width="19.453125" customWidth="1"/>
    <col min="7" max="7" width="15.1796875" customWidth="1"/>
    <col min="8" max="8" width="17.453125" customWidth="1"/>
    <col min="9" max="9" width="20.26953125" customWidth="1"/>
    <col min="10" max="10" width="17.1796875" customWidth="1"/>
    <col min="11" max="22" width="18.6328125" customWidth="1"/>
    <col min="23" max="23" width="11.90625" customWidth="1"/>
    <col min="24" max="24" width="10.6328125" customWidth="1"/>
    <col min="25" max="25" width="8.6328125" customWidth="1"/>
    <col min="26" max="26" width="12" customWidth="1"/>
    <col min="27" max="27" width="11.90625" bestFit="1" customWidth="1"/>
    <col min="28" max="28" width="30.36328125" customWidth="1"/>
    <col min="29" max="31" width="11.08984375" bestFit="1" customWidth="1"/>
    <col min="32" max="32" width="100.6328125" customWidth="1"/>
    <col min="33" max="33" width="16.1796875" customWidth="1"/>
    <col min="34" max="34" width="12.1796875" bestFit="1" customWidth="1"/>
    <col min="35" max="35" width="13.36328125" bestFit="1" customWidth="1"/>
    <col min="36" max="36" width="17.81640625" customWidth="1"/>
    <col min="37" max="37" width="26.453125" bestFit="1" customWidth="1"/>
    <col min="38" max="38" width="2.6328125" style="42" customWidth="1"/>
    <col min="39" max="39" width="100.6328125" customWidth="1"/>
  </cols>
  <sheetData>
    <row r="1" spans="1:39" ht="15.5" x14ac:dyDescent="0.35">
      <c r="A1" s="56" t="s">
        <v>672</v>
      </c>
    </row>
    <row r="2" spans="1:39" x14ac:dyDescent="0.35">
      <c r="E2" t="s">
        <v>594</v>
      </c>
      <c r="F2" t="s">
        <v>594</v>
      </c>
      <c r="G2" t="s">
        <v>594</v>
      </c>
      <c r="H2" t="s">
        <v>594</v>
      </c>
      <c r="I2" t="s">
        <v>594</v>
      </c>
      <c r="J2" t="s">
        <v>594</v>
      </c>
      <c r="K2" t="s">
        <v>594</v>
      </c>
      <c r="L2" t="s">
        <v>764</v>
      </c>
      <c r="M2" t="s">
        <v>764</v>
      </c>
      <c r="N2" t="s">
        <v>764</v>
      </c>
      <c r="O2" t="s">
        <v>764</v>
      </c>
      <c r="P2" t="s">
        <v>764</v>
      </c>
      <c r="Q2" t="s">
        <v>764</v>
      </c>
      <c r="R2" t="s">
        <v>764</v>
      </c>
      <c r="S2" t="s">
        <v>158</v>
      </c>
      <c r="T2" t="s">
        <v>158</v>
      </c>
      <c r="U2" t="s">
        <v>158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s="26"/>
      <c r="AH2" s="26"/>
    </row>
    <row r="3" spans="1:39" x14ac:dyDescent="0.35">
      <c r="A3" t="s">
        <v>639</v>
      </c>
      <c r="B3" t="s">
        <v>673</v>
      </c>
      <c r="C3" t="s">
        <v>107</v>
      </c>
      <c r="D3" t="s">
        <v>145</v>
      </c>
      <c r="E3" t="s">
        <v>141</v>
      </c>
      <c r="F3" t="s">
        <v>282</v>
      </c>
      <c r="G3" t="s">
        <v>283</v>
      </c>
      <c r="H3" t="s">
        <v>131</v>
      </c>
      <c r="I3" t="s">
        <v>284</v>
      </c>
      <c r="J3" t="s">
        <v>135</v>
      </c>
      <c r="K3" t="s">
        <v>157</v>
      </c>
      <c r="L3" t="s">
        <v>141</v>
      </c>
      <c r="M3" t="s">
        <v>282</v>
      </c>
      <c r="N3" t="s">
        <v>283</v>
      </c>
      <c r="O3" t="s">
        <v>131</v>
      </c>
      <c r="P3" t="s">
        <v>284</v>
      </c>
      <c r="Q3" t="s">
        <v>135</v>
      </c>
      <c r="R3" t="s">
        <v>157</v>
      </c>
      <c r="S3" t="s">
        <v>139</v>
      </c>
      <c r="T3" t="s">
        <v>160</v>
      </c>
      <c r="U3" t="s">
        <v>144</v>
      </c>
      <c r="V3" t="s">
        <v>765</v>
      </c>
      <c r="W3" t="s">
        <v>116</v>
      </c>
      <c r="X3" t="s">
        <v>758</v>
      </c>
      <c r="Y3" t="s">
        <v>756</v>
      </c>
      <c r="Z3" t="s">
        <v>757</v>
      </c>
      <c r="AA3" t="s">
        <v>106</v>
      </c>
      <c r="AB3" t="s">
        <v>111</v>
      </c>
      <c r="AC3" t="s">
        <v>124</v>
      </c>
      <c r="AD3" t="s">
        <v>121</v>
      </c>
      <c r="AE3" t="s">
        <v>761</v>
      </c>
      <c r="AF3" t="s">
        <v>639</v>
      </c>
      <c r="AG3" t="s">
        <v>138</v>
      </c>
      <c r="AH3" s="51" t="s">
        <v>679</v>
      </c>
      <c r="AI3" t="s">
        <v>133</v>
      </c>
      <c r="AJ3" t="s">
        <v>136</v>
      </c>
      <c r="AK3" t="s">
        <v>673</v>
      </c>
      <c r="AM3" s="44" t="s">
        <v>670</v>
      </c>
    </row>
    <row r="4" spans="1:39" x14ac:dyDescent="0.35">
      <c r="B4" t="s">
        <v>683</v>
      </c>
      <c r="C4" s="49" t="s">
        <v>684</v>
      </c>
      <c r="D4" t="s">
        <v>682</v>
      </c>
      <c r="E4" t="s">
        <v>320</v>
      </c>
      <c r="F4" t="s">
        <v>593</v>
      </c>
      <c r="G4" t="s">
        <v>571</v>
      </c>
      <c r="H4" t="s">
        <v>600</v>
      </c>
      <c r="I4" t="s">
        <v>26</v>
      </c>
      <c r="J4" t="s">
        <v>622</v>
      </c>
      <c r="K4" t="s">
        <v>634</v>
      </c>
      <c r="L4" t="str">
        <f>E4</f>
        <v>Jesse Williams</v>
      </c>
      <c r="M4" t="str">
        <f>VLOOKUP($B4,Customers!$B:$J,4,0)</f>
        <v>564 Heritage Drive</v>
      </c>
      <c r="N4" t="str">
        <f>VLOOKUP($B4,Customers!$B:$J,5,0)</f>
        <v>311</v>
      </c>
      <c r="O4" t="str">
        <f>VLOOKUP($B4,Customers!$B:$J,6,0)</f>
        <v>Calgary</v>
      </c>
      <c r="P4" t="str">
        <f>VLOOKUP($B4,Customers!$B:$J,7,0)</f>
        <v>Alberta</v>
      </c>
      <c r="Q4" t="str">
        <f>VLOOKUP($B4,Customers!$B:$J,8,0)</f>
        <v>T2V 2W2</v>
      </c>
      <c r="R4" t="str">
        <f>VLOOKUP($B4,Customers!$B:$J,9,0)</f>
        <v>403-875-0334</v>
      </c>
      <c r="S4" t="str">
        <f>VLOOKUP($B4,Customers!$B:$T,16,0)</f>
        <v>Credit</v>
      </c>
      <c r="T4" t="str">
        <f>VLOOKUP($B4,Customers!$B:$T,18,0)</f>
        <v>Visa</v>
      </c>
      <c r="U4" t="str">
        <f>VLOOKUP($B4,Customers!$B:$T,19,0)</f>
        <v>3551</v>
      </c>
      <c r="V4">
        <f ca="1">COUNTIF(C:C,C4)-1</f>
        <v>3</v>
      </c>
      <c r="X4">
        <f>AC4*AD4</f>
        <v>52.72</v>
      </c>
      <c r="Y4">
        <f t="shared" ref="Y4:Y6" si="0">ROUND(X4*13%,2)</f>
        <v>6.85</v>
      </c>
      <c r="AA4">
        <v>4015</v>
      </c>
      <c r="AB4" t="s">
        <v>82</v>
      </c>
      <c r="AC4">
        <v>8</v>
      </c>
      <c r="AD4">
        <v>6.59</v>
      </c>
      <c r="AE4">
        <f>AC4*AD4</f>
        <v>52.72</v>
      </c>
      <c r="AF4" s="54" t="str">
        <f>"{ '"&amp;AA$3&amp;"' : '"&amp;AA4&amp;"', '"&amp;AB$3&amp;"' : '"&amp;AB4&amp;"', '"&amp;AC$3&amp;"' : "&amp;AC4&amp;", '"&amp;AD$3&amp;"' : "&amp;AD4&amp;", '"&amp;AE$3&amp;"' : "&amp;AE4&amp;" },"</f>
        <v>{ 'productId' : '4015', 'productName' : 'Sprouted Grain Flat Bagel', 'quantity' : 8, 'price' : 6.59, 'subTotal' : 52.72 },</v>
      </c>
      <c r="AG4" s="48">
        <v>44866</v>
      </c>
      <c r="AH4" s="50" t="s">
        <v>685</v>
      </c>
      <c r="AI4" t="s">
        <v>755</v>
      </c>
      <c r="AJ4" s="48">
        <f>AG4</f>
        <v>44866</v>
      </c>
      <c r="AK4" t="s">
        <v>683</v>
      </c>
    </row>
    <row r="5" spans="1:39" x14ac:dyDescent="0.35">
      <c r="B5" t="s">
        <v>683</v>
      </c>
      <c r="C5" s="49" t="s">
        <v>684</v>
      </c>
      <c r="D5" t="s">
        <v>682</v>
      </c>
      <c r="E5" t="s">
        <v>320</v>
      </c>
      <c r="F5" t="s">
        <v>593</v>
      </c>
      <c r="G5" t="s">
        <v>571</v>
      </c>
      <c r="H5" t="s">
        <v>600</v>
      </c>
      <c r="I5" t="s">
        <v>26</v>
      </c>
      <c r="J5" t="s">
        <v>622</v>
      </c>
      <c r="K5" t="s">
        <v>634</v>
      </c>
      <c r="L5" t="str">
        <f t="shared" ref="L5:L7" si="1">E5</f>
        <v>Jesse Williams</v>
      </c>
      <c r="M5" t="str">
        <f>VLOOKUP($B5,Customers!$B:$J,4,0)</f>
        <v>564 Heritage Drive</v>
      </c>
      <c r="N5" t="str">
        <f>VLOOKUP($B5,Customers!$B:$J,5,0)</f>
        <v>311</v>
      </c>
      <c r="O5" t="str">
        <f>VLOOKUP($B5,Customers!$B:$J,6,0)</f>
        <v>Calgary</v>
      </c>
      <c r="P5" t="str">
        <f>VLOOKUP($B5,Customers!$B:$J,7,0)</f>
        <v>Alberta</v>
      </c>
      <c r="Q5" t="str">
        <f>VLOOKUP($B5,Customers!$B:$J,8,0)</f>
        <v>T2V 2W2</v>
      </c>
      <c r="R5" t="str">
        <f>VLOOKUP($B5,Customers!$B:$J,9,0)</f>
        <v>403-875-0334</v>
      </c>
      <c r="S5" t="str">
        <f>VLOOKUP($B5,Customers!$B:$T,16,0)</f>
        <v>Credit</v>
      </c>
      <c r="T5" t="str">
        <f>VLOOKUP($B5,Customers!$B:$T,18,0)</f>
        <v>Visa</v>
      </c>
      <c r="U5" t="str">
        <f>VLOOKUP($B5,Customers!$B:$T,19,0)</f>
        <v>3551</v>
      </c>
      <c r="V5">
        <f ca="1">COUNTIF(C:C,C5)-1</f>
        <v>3</v>
      </c>
      <c r="X5">
        <f t="shared" ref="X5" si="2">AC5*AD5</f>
        <v>65.88</v>
      </c>
      <c r="Y5">
        <f t="shared" si="0"/>
        <v>8.56</v>
      </c>
      <c r="AA5">
        <v>4007</v>
      </c>
      <c r="AB5" t="s">
        <v>71</v>
      </c>
      <c r="AC5">
        <v>12</v>
      </c>
      <c r="AD5">
        <v>5.49</v>
      </c>
      <c r="AE5">
        <f>AC5*AD5</f>
        <v>65.88</v>
      </c>
      <c r="AF5" s="54" t="str">
        <f>"{ '"&amp;AA$3&amp;"' : '"&amp;AA5&amp;"', '"&amp;AB$3&amp;"' : '"&amp;AB5&amp;"', '"&amp;AC$3&amp;"' : "&amp;AC5&amp;", '"&amp;AD$3&amp;"' : "&amp;AD5&amp;", '"&amp;AE$3&amp;"' : "&amp;AE5&amp;" },"</f>
        <v>{ 'productId' : '4007', 'productName' : 'Orange Scone', 'quantity' : 12, 'price' : 5.49, 'subTotal' : 65.88 },</v>
      </c>
      <c r="AG5" s="48">
        <v>44866</v>
      </c>
      <c r="AH5" s="50" t="str">
        <f t="shared" ref="AH5:AJ7" si="3">AH4</f>
        <v>101912</v>
      </c>
      <c r="AI5" t="str">
        <f t="shared" si="3"/>
        <v>Delivered</v>
      </c>
      <c r="AJ5" s="48">
        <f t="shared" si="3"/>
        <v>44866</v>
      </c>
    </row>
    <row r="6" spans="1:39" x14ac:dyDescent="0.35">
      <c r="B6" t="s">
        <v>683</v>
      </c>
      <c r="C6" s="49" t="s">
        <v>684</v>
      </c>
      <c r="D6" t="s">
        <v>682</v>
      </c>
      <c r="E6" t="s">
        <v>320</v>
      </c>
      <c r="F6" t="s">
        <v>593</v>
      </c>
      <c r="G6" t="s">
        <v>571</v>
      </c>
      <c r="H6" t="s">
        <v>600</v>
      </c>
      <c r="I6" t="s">
        <v>26</v>
      </c>
      <c r="J6" t="s">
        <v>622</v>
      </c>
      <c r="K6" t="s">
        <v>634</v>
      </c>
      <c r="L6" t="str">
        <f t="shared" si="1"/>
        <v>Jesse Williams</v>
      </c>
      <c r="M6" t="str">
        <f>VLOOKUP($B6,Customers!$B:$J,4,0)</f>
        <v>564 Heritage Drive</v>
      </c>
      <c r="N6" t="str">
        <f>VLOOKUP($B6,Customers!$B:$J,5,0)</f>
        <v>311</v>
      </c>
      <c r="O6" t="str">
        <f>VLOOKUP($B6,Customers!$B:$J,6,0)</f>
        <v>Calgary</v>
      </c>
      <c r="P6" t="str">
        <f>VLOOKUP($B6,Customers!$B:$J,7,0)</f>
        <v>Alberta</v>
      </c>
      <c r="Q6" t="str">
        <f>VLOOKUP($B6,Customers!$B:$J,8,0)</f>
        <v>T2V 2W2</v>
      </c>
      <c r="R6" t="str">
        <f>VLOOKUP($B6,Customers!$B:$J,9,0)</f>
        <v>403-875-0334</v>
      </c>
      <c r="S6" t="str">
        <f>VLOOKUP($B6,Customers!$B:$T,16,0)</f>
        <v>Credit</v>
      </c>
      <c r="T6" t="str">
        <f>VLOOKUP($B6,Customers!$B:$T,18,0)</f>
        <v>Visa</v>
      </c>
      <c r="U6" t="str">
        <f>VLOOKUP($B6,Customers!$B:$T,19,0)</f>
        <v>3551</v>
      </c>
      <c r="V6">
        <f ca="1">COUNTIF(C:C,C6)-1</f>
        <v>3</v>
      </c>
      <c r="X6">
        <f>AC6*AD6</f>
        <v>68.850000000000009</v>
      </c>
      <c r="Y6">
        <f t="shared" si="0"/>
        <v>8.9499999999999993</v>
      </c>
      <c r="AA6">
        <v>4006</v>
      </c>
      <c r="AB6" t="s">
        <v>70</v>
      </c>
      <c r="AC6">
        <v>9</v>
      </c>
      <c r="AD6">
        <v>7.65</v>
      </c>
      <c r="AE6">
        <f>AC6*AD6</f>
        <v>68.850000000000009</v>
      </c>
      <c r="AF6" s="54" t="str">
        <f>"{ '"&amp;AA$3&amp;"' : '"&amp;AA6&amp;"', '"&amp;AB$3&amp;"' : '"&amp;AB6&amp;"', '"&amp;AC$3&amp;"' : "&amp;AC6&amp;", '"&amp;AD$3&amp;"' : "&amp;AD6&amp;", '"&amp;AE$3&amp;"' : "&amp;AE6&amp;" }"</f>
        <v>{ 'productId' : '4006', 'productName' : 'Chocolate Croissant', 'quantity' : 9, 'price' : 7.65, 'subTotal' : 68.85 }</v>
      </c>
      <c r="AG6" s="48">
        <v>44866</v>
      </c>
      <c r="AH6" s="50" t="str">
        <f t="shared" si="3"/>
        <v>101912</v>
      </c>
      <c r="AI6" t="str">
        <f t="shared" si="3"/>
        <v>Delivered</v>
      </c>
      <c r="AJ6" s="48">
        <f t="shared" si="3"/>
        <v>44866</v>
      </c>
    </row>
    <row r="7" spans="1:39" x14ac:dyDescent="0.35">
      <c r="A7" t="s">
        <v>759</v>
      </c>
      <c r="B7" t="s">
        <v>683</v>
      </c>
      <c r="C7" t="s">
        <v>684</v>
      </c>
      <c r="D7" t="s">
        <v>682</v>
      </c>
      <c r="E7" t="s">
        <v>320</v>
      </c>
      <c r="F7" t="s">
        <v>593</v>
      </c>
      <c r="G7" t="s">
        <v>571</v>
      </c>
      <c r="H7" t="s">
        <v>600</v>
      </c>
      <c r="I7" t="s">
        <v>26</v>
      </c>
      <c r="J7" t="s">
        <v>622</v>
      </c>
      <c r="K7" t="s">
        <v>634</v>
      </c>
      <c r="L7" t="str">
        <f t="shared" si="1"/>
        <v>Jesse Williams</v>
      </c>
      <c r="M7" t="str">
        <f>VLOOKUP($B7,Customers!$B:$J,4,0)</f>
        <v>564 Heritage Drive</v>
      </c>
      <c r="N7" t="str">
        <f>VLOOKUP($B7,Customers!$B:$J,5,0)</f>
        <v>311</v>
      </c>
      <c r="O7" t="str">
        <f>VLOOKUP($B7,Customers!$B:$J,6,0)</f>
        <v>Calgary</v>
      </c>
      <c r="P7" t="str">
        <f>VLOOKUP($B7,Customers!$B:$J,7,0)</f>
        <v>Alberta</v>
      </c>
      <c r="Q7" t="str">
        <f>VLOOKUP($B7,Customers!$B:$J,8,0)</f>
        <v>T2V 2W2</v>
      </c>
      <c r="R7" t="str">
        <f>VLOOKUP($B7,Customers!$B:$J,9,0)</f>
        <v>403-875-0334</v>
      </c>
      <c r="S7" t="str">
        <f>VLOOKUP($B7,Customers!$B:$T,16,0)</f>
        <v>Credit</v>
      </c>
      <c r="T7" t="str">
        <f>VLOOKUP($B7,Customers!$B:$T,18,0)</f>
        <v>Visa</v>
      </c>
      <c r="U7" t="str">
        <f>VLOOKUP($B7,Customers!$B:$T,19,0)</f>
        <v>3551</v>
      </c>
      <c r="V7">
        <f ca="1">COUNTIF(C:C,C7)-1</f>
        <v>3</v>
      </c>
      <c r="W7">
        <f>SUM(X7:Z7)</f>
        <v>216.8</v>
      </c>
      <c r="X7">
        <f>SUM(X4:X6)</f>
        <v>187.45</v>
      </c>
      <c r="Y7">
        <f>SUM(Y4:Y6)</f>
        <v>24.36</v>
      </c>
      <c r="Z7">
        <v>4.99</v>
      </c>
      <c r="AF7" s="54"/>
      <c r="AG7" s="48">
        <f>AG6</f>
        <v>44866</v>
      </c>
      <c r="AH7" s="50" t="str">
        <f t="shared" si="3"/>
        <v>101912</v>
      </c>
      <c r="AI7" t="str">
        <f t="shared" si="3"/>
        <v>Delivered</v>
      </c>
      <c r="AJ7" s="48">
        <f t="shared" si="3"/>
        <v>44866</v>
      </c>
    </row>
    <row r="8" spans="1:39" s="58" customFormat="1" ht="43.5" x14ac:dyDescent="0.35">
      <c r="A8" s="60" t="s">
        <v>760</v>
      </c>
      <c r="B8" s="60" t="str">
        <f>IF(B7="","","'"&amp;B$3&amp;"' : '"&amp;B7&amp;"', ")</f>
        <v xml:space="preserve">'emailAddress' : 'jessewilliams@gmail.com', </v>
      </c>
      <c r="C8" s="60" t="str">
        <f>IF(C7="","","'"&amp;C$3&amp;"' : '"&amp;C7&amp;"', ")</f>
        <v xml:space="preserve">'orderId' : '20221101101912', </v>
      </c>
      <c r="D8" s="60" t="str">
        <f>IF(D7="","","'"&amp;D$3&amp;"' : '"&amp;D7&amp;"', ")</f>
        <v xml:space="preserve">'employeeUserName' : 'mjones', </v>
      </c>
      <c r="E8" s="60" t="str">
        <f>IF(E7="","","'"&amp;$F$2&amp;"' : { '"&amp;E$3&amp;"' : '"&amp;E7&amp;"' , ")</f>
        <v xml:space="preserve">'deliveryAddress' : { 'name' : 'Jesse Williams' , </v>
      </c>
      <c r="F8" s="60" t="str">
        <f>IF(F7="","","'"&amp;F$3&amp;"' : '"&amp;F7&amp;"' , ")</f>
        <v xml:space="preserve">'street' : '4681 Baker Street' , </v>
      </c>
      <c r="G8" s="60" t="str">
        <f>IF(G7="","","'"&amp;G$3&amp;"' : '"&amp;G7&amp;"' , ")</f>
        <v xml:space="preserve">'unit' : '312' , </v>
      </c>
      <c r="H8" s="60" t="str">
        <f>IF(H7="","","'"&amp;H$3&amp;"' : '"&amp;H7&amp;"' , ")</f>
        <v xml:space="preserve">'city' : 'London' , </v>
      </c>
      <c r="I8" s="60" t="str">
        <f>IF(I7="","","'"&amp;I$3&amp;"' : '"&amp;I7&amp;"' , ")</f>
        <v xml:space="preserve">'province' : 'Ontario' , </v>
      </c>
      <c r="J8" s="60" t="str">
        <f>IF(J7="","","'"&amp;J$3&amp;"' : '"&amp;J7&amp;"' , ")</f>
        <v xml:space="preserve">'zip' : 'N0N 0N0' , </v>
      </c>
      <c r="K8" s="60" t="str">
        <f>IF(K7="","","'"&amp;K$3&amp;"' : '"&amp;K7&amp;"' } , ")</f>
        <v xml:space="preserve">'mobileNumber' : '519-858-8035' } , </v>
      </c>
      <c r="L8" s="60" t="str">
        <f>IF(L7="","","'"&amp;$L$2&amp;"' : { '"&amp;L$3&amp;"' : '"&amp;L7&amp;"' , ")</f>
        <v xml:space="preserve">'billingsAddress' : { 'name' : 'Jesse Williams' , </v>
      </c>
      <c r="M8" s="60" t="str">
        <f>IF(M7="","","'"&amp;M$3&amp;"' : '"&amp;M7&amp;"' , ")</f>
        <v xml:space="preserve">'street' : '564 Heritage Drive' , </v>
      </c>
      <c r="N8" s="60" t="str">
        <f>IF(N7="","","'"&amp;N$3&amp;"' : '"&amp;N7&amp;"' , ")</f>
        <v xml:space="preserve">'unit' : '311' , </v>
      </c>
      <c r="O8" s="60" t="str">
        <f>IF(O7="","","'"&amp;O$3&amp;"' : '"&amp;O7&amp;"' , ")</f>
        <v xml:space="preserve">'city' : 'Calgary' , </v>
      </c>
      <c r="P8" s="60" t="str">
        <f>IF(P7="","","'"&amp;P$3&amp;"' : '"&amp;P7&amp;"' , ")</f>
        <v xml:space="preserve">'province' : 'Alberta' , </v>
      </c>
      <c r="Q8" s="60" t="str">
        <f>IF(Q7="","","'"&amp;Q$3&amp;"' : '"&amp;Q7&amp;"' , ")</f>
        <v xml:space="preserve">'zip' : 'T2V 2W2' , </v>
      </c>
      <c r="R8" s="60" t="str">
        <f>IF(R7="","","'"&amp;R$3&amp;"' : '"&amp;R7&amp;"' } , ")</f>
        <v xml:space="preserve">'mobileNumber' : '403-875-0334' } , </v>
      </c>
      <c r="S8" s="60" t="str">
        <f>IF(S7="","","'"&amp;$S$2&amp;"' : { '"&amp;S$3&amp;"' : '"&amp;S7&amp;"' , ")</f>
        <v xml:space="preserve">'paymentMethod' : { 'paymentType' : 'Credit' , </v>
      </c>
      <c r="T8" s="60" t="str">
        <f>IF(T7="","","'"&amp;T$3&amp;"' : '"&amp;T7&amp;"' , ")</f>
        <v xml:space="preserve">'cardScheme' : 'Visa' , </v>
      </c>
      <c r="U8" s="60" t="str">
        <f>IF(U7="","","'"&amp;U$3&amp;"' : '"&amp;U7&amp;"' } , ")</f>
        <v xml:space="preserve">'cardLast4' : '3551' } , </v>
      </c>
      <c r="V8" s="60" t="str">
        <f ca="1">IF(V7="","","'"&amp;V$3&amp;"' : "&amp;V7&amp;", ")</f>
        <v xml:space="preserve">'totalQty' : 3, </v>
      </c>
      <c r="W8" s="60" t="str">
        <f>IF(W7="","","'"&amp;W$3&amp;"' : "&amp;W7&amp;", ")</f>
        <v xml:space="preserve">'orderTotal' : 216.8, </v>
      </c>
      <c r="X8" s="60" t="str">
        <f>IF(X7="","","'"&amp;X$3&amp;"' : "&amp;X7&amp;", ")</f>
        <v xml:space="preserve">'grossTotal' : 187.45, </v>
      </c>
      <c r="Y8" s="60" t="str">
        <f>IF(Y7="","","'"&amp;Y$3&amp;"' : "&amp;Y7&amp;", ")</f>
        <v xml:space="preserve">'tax' : 24.36, </v>
      </c>
      <c r="Z8" s="60" t="str">
        <f>IF(Z7="","","'"&amp;Z$3&amp;"' : "&amp;Z7&amp;", ")</f>
        <v xml:space="preserve">'deliveryFee' : 4.99, </v>
      </c>
      <c r="AA8" s="60"/>
      <c r="AB8" s="60"/>
      <c r="AC8" s="60"/>
      <c r="AD8" s="60"/>
      <c r="AE8" s="60"/>
      <c r="AF8" s="60" t="str">
        <f>$AA$2&amp;" : "&amp;_xlfn.CONCAT("[ ",AF4:AF6,"], ")</f>
        <v xml:space="preserve">orderDetails : [ { 'productId' : '4015', 'productName' : 'Sprouted Grain Flat Bagel', 'quantity' : 8, 'price' : 6.59, 'subTotal' : 52.72 },{ 'productId' : '4007', 'productName' : 'Orange Scone', 'quantity' : 12, 'price' : 5.49, 'subTotal' : 65.88 },{ 'productId' : '4006', 'productName' : 'Chocolate Croissant', 'quantity' : 9, 'price' : 7.65, 'subTotal' : 68.85 }], </v>
      </c>
      <c r="AG8" s="60" t="str">
        <f>IF(AG7="","","'"&amp;AG$3&amp;"' : new Date('"&amp;TEXT(AG7,"yyyy-mm-dd")&amp;"'), ")</f>
        <v xml:space="preserve">'orderDate' : new Date('2022-11-01'), </v>
      </c>
      <c r="AH8" s="60"/>
      <c r="AI8" s="60" t="str">
        <f>IF(AI7="","","'"&amp;AI$3&amp;"' : '"&amp;AI7&amp;"', ")</f>
        <v xml:space="preserve">'orderStatus' : 'Delivered', </v>
      </c>
      <c r="AJ8" s="60" t="str">
        <f>IF(AJ7="","","'"&amp;AJ$3&amp;"' : new Date('"&amp;TEXT(AJ7,"yyyy-mm-dd")&amp;"') ")</f>
        <v xml:space="preserve">'statusDate' : new Date('2022-11-01') </v>
      </c>
      <c r="AK8" s="60"/>
      <c r="AL8" s="59"/>
      <c r="AM8" s="58" t="str">
        <f ca="1">_xlfn.CONCAT("{ ",B8:AJ8,"} ,")</f>
        <v>{ 'emailAddress' : 'jessewilliams@gmail.com', 'orderId' : '20221101101912', 'employeeUserName' : 'mjones', 'deliveryAddress' : { 'name' : 'Jesse Williams' , 'street' : '4681 Baker Street' , 'unit' : '312' , 'city' : 'London' , 'province' : 'Ontario' , 'zip' : 'N0N 0N0' , 'mobileNumber' : '519-858-8035' } , 'billingsAddress' : { 'name' : 'Jesse Williams' , 'street' : '564 Heritage Drive' , 'unit' : '311' , 'city' : 'Calgary' , 'province' : 'Alberta' , 'zip' : 'T2V 2W2' , 'mobileNumber' : '403-875-0334' } , 'paymentMethod' : { 'paymentType' : 'Credit' , 'cardScheme' : 'Visa' , 'cardLast4' : '3551' } , 'totalQty' : 3, 'orderTotal' : 216.8, 'grossTotal' : 187.45, 'tax' : 24.36, 'deliveryFee' : 4.99, orderDetails : [ { 'productId' : '4015', 'productName' : 'Sprouted Grain Flat Bagel', 'quantity' : 8, 'price' : 6.59, 'subTotal' : 52.72 },{ 'productId' : '4007', 'productName' : 'Orange Scone', 'quantity' : 12, 'price' : 5.49, 'subTotal' : 65.88 },{ 'productId' : '4006', 'productName' : 'Chocolate Croissant', 'quantity' : 9, 'price' : 7.65, 'subTotal' : 68.85 }], 'orderDate' : new Date('2022-11-01'), 'orderStatus' : 'Delivered', 'statusDate' : new Date('2022-11-01') } ,</v>
      </c>
    </row>
    <row r="9" spans="1:39" x14ac:dyDescent="0.35">
      <c r="B9" t="s">
        <v>686</v>
      </c>
      <c r="C9" s="49" t="s">
        <v>687</v>
      </c>
      <c r="D9" t="s">
        <v>681</v>
      </c>
      <c r="E9" t="s">
        <v>336</v>
      </c>
      <c r="F9" t="s">
        <v>400</v>
      </c>
      <c r="H9" t="s">
        <v>429</v>
      </c>
      <c r="I9" t="s">
        <v>454</v>
      </c>
      <c r="J9" t="s">
        <v>463</v>
      </c>
      <c r="K9" t="s">
        <v>488</v>
      </c>
      <c r="L9" t="str">
        <f t="shared" ref="L9:L11" si="4">E9</f>
        <v>Trinity Gosling</v>
      </c>
      <c r="M9" t="str">
        <f>VLOOKUP($B9,Customers!$B:$J,4,0)</f>
        <v>3504 Rose Street</v>
      </c>
      <c r="O9" t="str">
        <f>VLOOKUP($B9,Customers!$B:$J,6,0)</f>
        <v>Regina</v>
      </c>
      <c r="P9" t="str">
        <f>VLOOKUP($B9,Customers!$B:$J,7,0)</f>
        <v>Saskatchewan</v>
      </c>
      <c r="Q9" t="str">
        <f>VLOOKUP($B9,Customers!$B:$J,8,0)</f>
        <v>S4P 3Y2</v>
      </c>
      <c r="R9" t="str">
        <f>VLOOKUP($B9,Customers!$B:$J,9,0)</f>
        <v>306-569-6952</v>
      </c>
      <c r="S9" t="str">
        <f>VLOOKUP($B9,Customers!$B:$T,16,0)</f>
        <v>Credit</v>
      </c>
      <c r="T9" t="str">
        <f>VLOOKUP($B9,Customers!$B:$T,18,0)</f>
        <v>Mastercard</v>
      </c>
      <c r="U9" t="str">
        <f>VLOOKUP($B9,Customers!$B:$T,19,0)</f>
        <v>5230</v>
      </c>
      <c r="V9">
        <f ca="1">COUNTIF(C:C,C9)-1</f>
        <v>2</v>
      </c>
      <c r="X9">
        <f t="shared" ref="X9:X10" si="5">AC9*AD9</f>
        <v>84.83</v>
      </c>
      <c r="Y9">
        <f t="shared" ref="Y9:Y10" si="6">ROUND(X9*13%,2)</f>
        <v>11.03</v>
      </c>
      <c r="AA9">
        <v>4001</v>
      </c>
      <c r="AB9" t="s">
        <v>63</v>
      </c>
      <c r="AC9">
        <v>17</v>
      </c>
      <c r="AD9">
        <v>4.99</v>
      </c>
      <c r="AE9">
        <f>AC9*AD9</f>
        <v>84.83</v>
      </c>
      <c r="AF9" s="54" t="str">
        <f>"{ '"&amp;AA$3&amp;"' : '"&amp;AA9&amp;"', '"&amp;AB$3&amp;"' : '"&amp;AB9&amp;"', '"&amp;AC$3&amp;"' : "&amp;AC9&amp;", '"&amp;AD$3&amp;"' : "&amp;AD9&amp;", '"&amp;AE$3&amp;"' : "&amp;AE9&amp;" },"</f>
        <v>{ 'productId' : '4001', 'productName' : 'Plain Bagel', 'quantity' : 17, 'price' : 4.99, 'subTotal' : 84.83 },</v>
      </c>
      <c r="AG9" s="48">
        <v>44866</v>
      </c>
      <c r="AH9" s="50" t="s">
        <v>688</v>
      </c>
      <c r="AI9" t="s">
        <v>755</v>
      </c>
      <c r="AJ9" s="48">
        <f>AG9</f>
        <v>44866</v>
      </c>
      <c r="AK9" t="s">
        <v>689</v>
      </c>
    </row>
    <row r="10" spans="1:39" x14ac:dyDescent="0.35">
      <c r="B10" t="s">
        <v>686</v>
      </c>
      <c r="C10" t="s">
        <v>687</v>
      </c>
      <c r="D10" t="s">
        <v>681</v>
      </c>
      <c r="E10" t="s">
        <v>336</v>
      </c>
      <c r="F10" t="s">
        <v>400</v>
      </c>
      <c r="H10" t="s">
        <v>429</v>
      </c>
      <c r="I10" t="s">
        <v>454</v>
      </c>
      <c r="J10" t="s">
        <v>463</v>
      </c>
      <c r="K10" t="s">
        <v>488</v>
      </c>
      <c r="L10" t="str">
        <f t="shared" si="4"/>
        <v>Trinity Gosling</v>
      </c>
      <c r="M10" t="str">
        <f>VLOOKUP($B10,Customers!$B:$J,4,0)</f>
        <v>3504 Rose Street</v>
      </c>
      <c r="O10" t="str">
        <f>VLOOKUP($B10,Customers!$B:$J,6,0)</f>
        <v>Regina</v>
      </c>
      <c r="P10" t="str">
        <f>VLOOKUP($B10,Customers!$B:$J,7,0)</f>
        <v>Saskatchewan</v>
      </c>
      <c r="Q10" t="str">
        <f>VLOOKUP($B10,Customers!$B:$J,8,0)</f>
        <v>S4P 3Y2</v>
      </c>
      <c r="R10" t="str">
        <f>VLOOKUP($B10,Customers!$B:$J,9,0)</f>
        <v>306-569-6952</v>
      </c>
      <c r="S10" t="str">
        <f>VLOOKUP($B10,Customers!$B:$T,16,0)</f>
        <v>Credit</v>
      </c>
      <c r="T10" t="str">
        <f>VLOOKUP($B10,Customers!$B:$T,18,0)</f>
        <v>Mastercard</v>
      </c>
      <c r="U10" t="str">
        <f>VLOOKUP($B10,Customers!$B:$T,19,0)</f>
        <v>5230</v>
      </c>
      <c r="V10">
        <f ca="1">COUNTIF(C:C,C10)-1</f>
        <v>2</v>
      </c>
      <c r="X10">
        <f t="shared" si="5"/>
        <v>39.900000000000006</v>
      </c>
      <c r="Y10">
        <f t="shared" si="6"/>
        <v>5.19</v>
      </c>
      <c r="AA10">
        <v>5003</v>
      </c>
      <c r="AB10" t="s">
        <v>94</v>
      </c>
      <c r="AC10">
        <v>10</v>
      </c>
      <c r="AD10">
        <v>3.99</v>
      </c>
      <c r="AE10">
        <f>AC10*AD10</f>
        <v>39.900000000000006</v>
      </c>
      <c r="AF10" s="54" t="str">
        <f>"{ '"&amp;AA$3&amp;"' : '"&amp;AA10&amp;"', '"&amp;AB$3&amp;"' : '"&amp;AB10&amp;"', '"&amp;AC$3&amp;"' : "&amp;AC10&amp;", '"&amp;AD$3&amp;"' : "&amp;AD10&amp;", '"&amp;AE$3&amp;"' : "&amp;AE10&amp;" }"</f>
        <v>{ 'productId' : '5003', 'productName' : 'Continental Drinks', 'quantity' : 10, 'price' : 3.99, 'subTotal' : 39.9 }</v>
      </c>
      <c r="AG10" s="48">
        <v>44866</v>
      </c>
      <c r="AH10" s="48" t="str">
        <f>AH9</f>
        <v>104800</v>
      </c>
      <c r="AI10" t="str">
        <f t="shared" ref="AI10:AJ11" si="7">AI9</f>
        <v>Delivered</v>
      </c>
      <c r="AJ10" s="48">
        <f t="shared" si="7"/>
        <v>44866</v>
      </c>
    </row>
    <row r="11" spans="1:39" x14ac:dyDescent="0.35">
      <c r="A11" t="s">
        <v>759</v>
      </c>
      <c r="B11" t="s">
        <v>686</v>
      </c>
      <c r="C11" t="s">
        <v>687</v>
      </c>
      <c r="D11" t="s">
        <v>681</v>
      </c>
      <c r="E11" t="s">
        <v>336</v>
      </c>
      <c r="F11" t="s">
        <v>400</v>
      </c>
      <c r="H11" t="s">
        <v>429</v>
      </c>
      <c r="I11" t="s">
        <v>454</v>
      </c>
      <c r="J11" t="s">
        <v>463</v>
      </c>
      <c r="K11" t="s">
        <v>488</v>
      </c>
      <c r="L11" t="str">
        <f t="shared" si="4"/>
        <v>Trinity Gosling</v>
      </c>
      <c r="M11" t="str">
        <f>VLOOKUP($B11,Customers!$B:$J,4,0)</f>
        <v>3504 Rose Street</v>
      </c>
      <c r="O11" t="str">
        <f>VLOOKUP($B11,Customers!$B:$J,6,0)</f>
        <v>Regina</v>
      </c>
      <c r="P11" t="str">
        <f>VLOOKUP($B11,Customers!$B:$J,7,0)</f>
        <v>Saskatchewan</v>
      </c>
      <c r="Q11" t="str">
        <f>VLOOKUP($B11,Customers!$B:$J,8,0)</f>
        <v>S4P 3Y2</v>
      </c>
      <c r="R11" t="str">
        <f>VLOOKUP($B11,Customers!$B:$J,9,0)</f>
        <v>306-569-6952</v>
      </c>
      <c r="S11" t="str">
        <f>VLOOKUP($B11,Customers!$B:$T,16,0)</f>
        <v>Credit</v>
      </c>
      <c r="T11" t="str">
        <f>VLOOKUP($B11,Customers!$B:$T,18,0)</f>
        <v>Mastercard</v>
      </c>
      <c r="U11" t="str">
        <f>VLOOKUP($B11,Customers!$B:$T,19,0)</f>
        <v>5230</v>
      </c>
      <c r="V11">
        <f ca="1">COUNTIF(C:C,C11)-1</f>
        <v>2</v>
      </c>
      <c r="W11">
        <f>SUM(X11:Z11)</f>
        <v>145.94</v>
      </c>
      <c r="X11">
        <f>SUM(X9:X10)</f>
        <v>124.73</v>
      </c>
      <c r="Y11">
        <f>SUM(Y9:Y10)</f>
        <v>16.22</v>
      </c>
      <c r="Z11">
        <v>4.99</v>
      </c>
      <c r="AF11" s="54"/>
      <c r="AG11" s="48">
        <f>AG10</f>
        <v>44866</v>
      </c>
      <c r="AH11" s="48"/>
      <c r="AI11" t="str">
        <f t="shared" si="7"/>
        <v>Delivered</v>
      </c>
      <c r="AJ11" s="48">
        <f t="shared" si="7"/>
        <v>44866</v>
      </c>
    </row>
    <row r="12" spans="1:39" s="58" customFormat="1" ht="43.5" x14ac:dyDescent="0.35">
      <c r="A12" s="60" t="s">
        <v>760</v>
      </c>
      <c r="B12" s="60" t="str">
        <f>IF(B11="","","'"&amp;B$3&amp;"' : '"&amp;B11&amp;"', ")</f>
        <v xml:space="preserve">'emailAddress' : 'trinity_gosling@gmail.com', </v>
      </c>
      <c r="C12" s="60" t="str">
        <f>IF(C11="","","'"&amp;C$3&amp;"' : '"&amp;C11&amp;"', ")</f>
        <v xml:space="preserve">'orderId' : '20221101104800', </v>
      </c>
      <c r="D12" s="60" t="str">
        <f>IF(D11="","","'"&amp;D$3&amp;"' : '"&amp;D11&amp;"', ")</f>
        <v xml:space="preserve">'employeeUserName' : 'jbartolata', </v>
      </c>
      <c r="E12" s="60" t="str">
        <f>IF(E11="","","'"&amp;$F$2&amp;"' : { '"&amp;E$3&amp;"' : '"&amp;E11&amp;"' , ")</f>
        <v xml:space="preserve">'deliveryAddress' : { 'name' : 'Trinity Gosling' , </v>
      </c>
      <c r="F12" s="60" t="str">
        <f>IF(F11="","","'"&amp;F$3&amp;"' : '"&amp;F11&amp;"' , ")</f>
        <v xml:space="preserve">'street' : '3504 Rose Street' , </v>
      </c>
      <c r="G12" s="60" t="str">
        <f>IF(G11="","","'"&amp;G$3&amp;"' : '"&amp;G11&amp;"' , ")</f>
        <v/>
      </c>
      <c r="H12" s="60" t="str">
        <f>IF(H11="","","'"&amp;H$3&amp;"' : '"&amp;H11&amp;"' , ")</f>
        <v xml:space="preserve">'city' : 'Regina' , </v>
      </c>
      <c r="I12" s="60" t="str">
        <f>IF(I11="","","'"&amp;I$3&amp;"' : '"&amp;I11&amp;"' , ")</f>
        <v xml:space="preserve">'province' : 'Saskatchewan' , </v>
      </c>
      <c r="J12" s="60" t="str">
        <f>IF(J11="","","'"&amp;J$3&amp;"' : '"&amp;J11&amp;"' , ")</f>
        <v xml:space="preserve">'zip' : 'S4P 3Y2' , </v>
      </c>
      <c r="K12" s="60" t="str">
        <f>IF(K11="","","'"&amp;K$3&amp;"' : '"&amp;K11&amp;"' } , ")</f>
        <v xml:space="preserve">'mobileNumber' : '306-569-6952' } , </v>
      </c>
      <c r="L12" s="60" t="str">
        <f>IF(L11="","","'"&amp;$L$2&amp;"' : { '"&amp;L$3&amp;"' : '"&amp;L11&amp;"' , ")</f>
        <v xml:space="preserve">'billingsAddress' : { 'name' : 'Trinity Gosling' , </v>
      </c>
      <c r="M12" s="60" t="str">
        <f>IF(M11="","","'"&amp;M$3&amp;"' : '"&amp;M11&amp;"' , ")</f>
        <v xml:space="preserve">'street' : '3504 Rose Street' , </v>
      </c>
      <c r="N12" s="60" t="str">
        <f>IF(N11="","","'"&amp;N$3&amp;"' : '"&amp;N11&amp;"' , ")</f>
        <v/>
      </c>
      <c r="O12" s="60" t="str">
        <f>IF(O11="","","'"&amp;O$3&amp;"' : '"&amp;O11&amp;"' , ")</f>
        <v xml:space="preserve">'city' : 'Regina' , </v>
      </c>
      <c r="P12" s="60" t="str">
        <f>IF(P11="","","'"&amp;P$3&amp;"' : '"&amp;P11&amp;"' , ")</f>
        <v xml:space="preserve">'province' : 'Saskatchewan' , </v>
      </c>
      <c r="Q12" s="60" t="str">
        <f>IF(Q11="","","'"&amp;Q$3&amp;"' : '"&amp;Q11&amp;"' , ")</f>
        <v xml:space="preserve">'zip' : 'S4P 3Y2' , </v>
      </c>
      <c r="R12" s="60" t="str">
        <f>IF(R11="","","'"&amp;R$3&amp;"' : '"&amp;R11&amp;"' } , ")</f>
        <v xml:space="preserve">'mobileNumber' : '306-569-6952' } , </v>
      </c>
      <c r="S12" s="60" t="str">
        <f>IF(S11="","","'"&amp;$S$2&amp;"' : { '"&amp;S$3&amp;"' : '"&amp;S11&amp;"' , ")</f>
        <v xml:space="preserve">'paymentMethod' : { 'paymentType' : 'Credit' , </v>
      </c>
      <c r="T12" s="60" t="str">
        <f>IF(T11="","","'"&amp;T$3&amp;"' : '"&amp;T11&amp;"' , ")</f>
        <v xml:space="preserve">'cardScheme' : 'Mastercard' , </v>
      </c>
      <c r="U12" s="60" t="str">
        <f>IF(U11="","","'"&amp;U$3&amp;"' : '"&amp;U11&amp;"' } , ")</f>
        <v xml:space="preserve">'cardLast4' : '5230' } , </v>
      </c>
      <c r="V12" s="60" t="str">
        <f ca="1">IF(V11="","","'"&amp;V$3&amp;"' : "&amp;V11&amp;", ")</f>
        <v xml:space="preserve">'totalQty' : 2, </v>
      </c>
      <c r="W12" s="60" t="str">
        <f>IF(W11="","","'"&amp;W$3&amp;"' : "&amp;W11&amp;", ")</f>
        <v xml:space="preserve">'orderTotal' : 145.94, </v>
      </c>
      <c r="X12" s="60" t="str">
        <f>IF(X11="","","'"&amp;X$3&amp;"' : "&amp;X11&amp;", ")</f>
        <v xml:space="preserve">'grossTotal' : 124.73, </v>
      </c>
      <c r="Y12" s="60" t="str">
        <f>IF(Y11="","","'"&amp;Y$3&amp;"' : "&amp;Y11&amp;", ")</f>
        <v xml:space="preserve">'tax' : 16.22, </v>
      </c>
      <c r="Z12" s="60" t="str">
        <f>IF(Z11="","","'"&amp;Z$3&amp;"' : "&amp;Z11&amp;", ")</f>
        <v xml:space="preserve">'deliveryFee' : 4.99, </v>
      </c>
      <c r="AA12" s="60"/>
      <c r="AB12" s="60"/>
      <c r="AC12" s="60"/>
      <c r="AD12" s="60"/>
      <c r="AE12" s="60"/>
      <c r="AF12" s="60" t="str">
        <f>$AA$2&amp;" : "&amp;_xlfn.CONCAT("[ ",AF9:AF10,"], ")</f>
        <v xml:space="preserve">orderDetails : [ { 'productId' : '4001', 'productName' : 'Plain Bagel', 'quantity' : 17, 'price' : 4.99, 'subTotal' : 84.83 },{ 'productId' : '5003', 'productName' : 'Continental Drinks', 'quantity' : 10, 'price' : 3.99, 'subTotal' : 39.9 }], </v>
      </c>
      <c r="AG12" s="60" t="str">
        <f>IF(AG11="","","'"&amp;AG$3&amp;"' : new Date('"&amp;TEXT(AG11,"yyyy-mm-dd")&amp;"'), ")</f>
        <v xml:space="preserve">'orderDate' : new Date('2022-11-01'), </v>
      </c>
      <c r="AH12" s="60"/>
      <c r="AI12" s="60" t="str">
        <f>IF(AI11="","","'"&amp;AI$3&amp;"' : '"&amp;AI11&amp;"', ")</f>
        <v xml:space="preserve">'orderStatus' : 'Delivered', </v>
      </c>
      <c r="AJ12" s="60" t="str">
        <f>IF(AJ11="","","'"&amp;AJ$3&amp;"' : new Date('"&amp;TEXT(AJ11,"yyyy-mm-dd")&amp;"') ")</f>
        <v xml:space="preserve">'statusDate' : new Date('2022-11-01') </v>
      </c>
      <c r="AK12" s="60"/>
      <c r="AL12" s="59"/>
      <c r="AM12" s="58" t="str">
        <f ca="1">_xlfn.CONCAT("{ ",B12:AJ12,"} ,")</f>
        <v>{ 'emailAddress' : 'trinity_gosling@gmail.com', 'orderId' : '20221101104800', 'employeeUserName' : 'jbartolata', 'deliveryAddress' : { 'name' : 'Trinity Gosling' , 'street' : '3504 Rose Street' , 'city' : 'Regina' , 'province' : 'Saskatchewan' , 'zip' : 'S4P 3Y2' , 'mobileNumber' : '306-569-6952' } , 'billingsAddress' : { 'name' : 'Trinity Gosling' , 'street' : '3504 Rose Street' , 'city' : 'Regina' , 'province' : 'Saskatchewan' , 'zip' : 'S4P 3Y2' , 'mobileNumber' : '306-569-6952' } , 'paymentMethod' : { 'paymentType' : 'Credit' , 'cardScheme' : 'Mastercard' , 'cardLast4' : '5230' } , 'totalQty' : 2, 'orderTotal' : 145.94, 'grossTotal' : 124.73, 'tax' : 16.22, 'deliveryFee' : 4.99, orderDetails : [ { 'productId' : '4001', 'productName' : 'Plain Bagel', 'quantity' : 17, 'price' : 4.99, 'subTotal' : 84.83 },{ 'productId' : '5003', 'productName' : 'Continental Drinks', 'quantity' : 10, 'price' : 3.99, 'subTotal' : 39.9 }], 'orderDate' : new Date('2022-11-01'), 'orderStatus' : 'Delivered', 'statusDate' : new Date('2022-11-01') } ,</v>
      </c>
    </row>
    <row r="13" spans="1:39" x14ac:dyDescent="0.35">
      <c r="B13" t="s">
        <v>690</v>
      </c>
      <c r="C13" s="49" t="s">
        <v>691</v>
      </c>
      <c r="D13" t="s">
        <v>680</v>
      </c>
      <c r="E13" t="s">
        <v>342</v>
      </c>
      <c r="F13" t="s">
        <v>407</v>
      </c>
      <c r="H13" t="s">
        <v>426</v>
      </c>
      <c r="I13" t="s">
        <v>452</v>
      </c>
      <c r="J13" t="s">
        <v>459</v>
      </c>
      <c r="K13" t="s">
        <v>495</v>
      </c>
      <c r="L13" t="str">
        <f t="shared" ref="L13:L15" si="8">E13</f>
        <v>Annika Boyle</v>
      </c>
      <c r="M13" t="str">
        <f>VLOOKUP($B13,Customers!$B:$J,4,0)</f>
        <v>1817 Pope St</v>
      </c>
      <c r="O13" t="str">
        <f>VLOOKUP($B13,Customers!$B:$J,6,0)</f>
        <v>Alberton</v>
      </c>
      <c r="P13" t="str">
        <f>VLOOKUP($B13,Customers!$B:$J,7,0)</f>
        <v>Prince Edward Island</v>
      </c>
      <c r="Q13" t="str">
        <f>VLOOKUP($B13,Customers!$B:$J,8,0)</f>
        <v>C0B 1K0</v>
      </c>
      <c r="R13" t="str">
        <f>VLOOKUP($B13,Customers!$B:$J,9,0)</f>
        <v>902-853-7192</v>
      </c>
      <c r="S13" t="str">
        <f>VLOOKUP($B13,Customers!$B:$T,16,0)</f>
        <v>Debit</v>
      </c>
      <c r="T13" t="str">
        <f>VLOOKUP($B13,Customers!$B:$T,18,0)</f>
        <v>Mastercard</v>
      </c>
      <c r="U13" t="str">
        <f>VLOOKUP($B13,Customers!$B:$T,19,0)</f>
        <v>9290</v>
      </c>
      <c r="V13">
        <f ca="1">COUNTIF(C:C,C13)-1</f>
        <v>2</v>
      </c>
      <c r="X13">
        <f t="shared" ref="X13:X14" si="9">AC13*AD13</f>
        <v>71.820000000000007</v>
      </c>
      <c r="Y13">
        <f t="shared" ref="Y13:Y14" si="10">ROUND(X13*13%,2)</f>
        <v>9.34</v>
      </c>
      <c r="AA13">
        <v>5001</v>
      </c>
      <c r="AB13" t="s">
        <v>89</v>
      </c>
      <c r="AC13">
        <v>18</v>
      </c>
      <c r="AD13">
        <v>3.99</v>
      </c>
      <c r="AE13">
        <f>AC13*AD13</f>
        <v>71.820000000000007</v>
      </c>
      <c r="AF13" s="54" t="str">
        <f>"{ '"&amp;AA$3&amp;"' : '"&amp;AA13&amp;"', '"&amp;AB$3&amp;"' : '"&amp;AB13&amp;"', '"&amp;AC$3&amp;"' : "&amp;AC13&amp;", '"&amp;AD$3&amp;"' : "&amp;AD13&amp;", '"&amp;AE$3&amp;"' : "&amp;AE13&amp;" },"</f>
        <v>{ 'productId' : '5001', 'productName' : 'Hot Chocolait', 'quantity' : 18, 'price' : 3.99, 'subTotal' : 71.82 },</v>
      </c>
      <c r="AG13" s="48">
        <v>44866</v>
      </c>
      <c r="AH13" s="50" t="s">
        <v>692</v>
      </c>
      <c r="AI13" t="s">
        <v>755</v>
      </c>
      <c r="AJ13" s="48">
        <f>AG13</f>
        <v>44866</v>
      </c>
      <c r="AK13" t="s">
        <v>693</v>
      </c>
    </row>
    <row r="14" spans="1:39" x14ac:dyDescent="0.35">
      <c r="B14" t="s">
        <v>690</v>
      </c>
      <c r="C14" t="s">
        <v>691</v>
      </c>
      <c r="D14" t="s">
        <v>680</v>
      </c>
      <c r="E14" t="s">
        <v>342</v>
      </c>
      <c r="F14" t="s">
        <v>407</v>
      </c>
      <c r="H14" t="s">
        <v>426</v>
      </c>
      <c r="I14" t="s">
        <v>452</v>
      </c>
      <c r="J14" t="s">
        <v>459</v>
      </c>
      <c r="K14" t="s">
        <v>495</v>
      </c>
      <c r="L14" t="str">
        <f t="shared" si="8"/>
        <v>Annika Boyle</v>
      </c>
      <c r="M14" t="str">
        <f>VLOOKUP($B14,Customers!$B:$J,4,0)</f>
        <v>1817 Pope St</v>
      </c>
      <c r="O14" t="str">
        <f>VLOOKUP($B14,Customers!$B:$J,6,0)</f>
        <v>Alberton</v>
      </c>
      <c r="P14" t="str">
        <f>VLOOKUP($B14,Customers!$B:$J,7,0)</f>
        <v>Prince Edward Island</v>
      </c>
      <c r="Q14" t="str">
        <f>VLOOKUP($B14,Customers!$B:$J,8,0)</f>
        <v>C0B 1K0</v>
      </c>
      <c r="R14" t="str">
        <f>VLOOKUP($B14,Customers!$B:$J,9,0)</f>
        <v>902-853-7192</v>
      </c>
      <c r="S14" t="str">
        <f>VLOOKUP($B14,Customers!$B:$T,16,0)</f>
        <v>Debit</v>
      </c>
      <c r="T14" t="str">
        <f>VLOOKUP($B14,Customers!$B:$T,18,0)</f>
        <v>Mastercard</v>
      </c>
      <c r="U14" t="str">
        <f>VLOOKUP($B14,Customers!$B:$T,19,0)</f>
        <v>9290</v>
      </c>
      <c r="V14">
        <f ca="1">COUNTIF(C:C,C14)-1</f>
        <v>2</v>
      </c>
      <c r="X14">
        <f t="shared" si="9"/>
        <v>99.45</v>
      </c>
      <c r="Y14">
        <f t="shared" si="10"/>
        <v>12.93</v>
      </c>
      <c r="AA14">
        <v>4006</v>
      </c>
      <c r="AB14" t="s">
        <v>70</v>
      </c>
      <c r="AC14">
        <v>13</v>
      </c>
      <c r="AD14">
        <v>7.65</v>
      </c>
      <c r="AE14">
        <f>AC14*AD14</f>
        <v>99.45</v>
      </c>
      <c r="AF14" s="54" t="str">
        <f>"{ '"&amp;AA$3&amp;"' : '"&amp;AA14&amp;"', '"&amp;AB$3&amp;"' : '"&amp;AB14&amp;"', '"&amp;AC$3&amp;"' : "&amp;AC14&amp;", '"&amp;AD$3&amp;"' : "&amp;AD14&amp;", '"&amp;AE$3&amp;"' : "&amp;AE14&amp;" }"</f>
        <v>{ 'productId' : '4006', 'productName' : 'Chocolate Croissant', 'quantity' : 13, 'price' : 7.65, 'subTotal' : 99.45 }</v>
      </c>
      <c r="AG14" s="48">
        <v>44866</v>
      </c>
      <c r="AH14" s="48" t="str">
        <f>AH13</f>
        <v>103336</v>
      </c>
      <c r="AI14" t="str">
        <f t="shared" ref="AI14:AJ15" si="11">AI13</f>
        <v>Delivered</v>
      </c>
      <c r="AJ14" s="48">
        <f t="shared" si="11"/>
        <v>44866</v>
      </c>
    </row>
    <row r="15" spans="1:39" x14ac:dyDescent="0.35">
      <c r="A15" t="s">
        <v>759</v>
      </c>
      <c r="B15" t="s">
        <v>690</v>
      </c>
      <c r="C15" t="s">
        <v>691</v>
      </c>
      <c r="D15" t="s">
        <v>680</v>
      </c>
      <c r="E15" t="s">
        <v>342</v>
      </c>
      <c r="F15" t="s">
        <v>407</v>
      </c>
      <c r="H15" t="s">
        <v>426</v>
      </c>
      <c r="I15" t="s">
        <v>452</v>
      </c>
      <c r="J15" t="s">
        <v>459</v>
      </c>
      <c r="K15" t="s">
        <v>495</v>
      </c>
      <c r="L15" t="str">
        <f t="shared" si="8"/>
        <v>Annika Boyle</v>
      </c>
      <c r="M15" t="str">
        <f>VLOOKUP($B15,Customers!$B:$J,4,0)</f>
        <v>1817 Pope St</v>
      </c>
      <c r="O15" t="str">
        <f>VLOOKUP($B15,Customers!$B:$J,6,0)</f>
        <v>Alberton</v>
      </c>
      <c r="P15" t="str">
        <f>VLOOKUP($B15,Customers!$B:$J,7,0)</f>
        <v>Prince Edward Island</v>
      </c>
      <c r="Q15" t="str">
        <f>VLOOKUP($B15,Customers!$B:$J,8,0)</f>
        <v>C0B 1K0</v>
      </c>
      <c r="R15" t="str">
        <f>VLOOKUP($B15,Customers!$B:$J,9,0)</f>
        <v>902-853-7192</v>
      </c>
      <c r="S15" t="str">
        <f>VLOOKUP($B15,Customers!$B:$T,16,0)</f>
        <v>Debit</v>
      </c>
      <c r="T15" t="str">
        <f>VLOOKUP($B15,Customers!$B:$T,18,0)</f>
        <v>Mastercard</v>
      </c>
      <c r="U15" t="str">
        <f>VLOOKUP($B15,Customers!$B:$T,19,0)</f>
        <v>9290</v>
      </c>
      <c r="V15">
        <f ca="1">COUNTIF(C:C,C15)-1</f>
        <v>2</v>
      </c>
      <c r="W15">
        <f>SUM(X15:Z15)</f>
        <v>198.53000000000003</v>
      </c>
      <c r="X15">
        <f>SUM(X13:X14)</f>
        <v>171.27</v>
      </c>
      <c r="Y15">
        <f>SUM(Y13:Y14)</f>
        <v>22.27</v>
      </c>
      <c r="Z15">
        <v>4.99</v>
      </c>
      <c r="AF15" s="54"/>
      <c r="AG15" s="48">
        <f>AG14</f>
        <v>44866</v>
      </c>
      <c r="AH15" s="48"/>
      <c r="AI15" t="str">
        <f t="shared" si="11"/>
        <v>Delivered</v>
      </c>
      <c r="AJ15" s="48">
        <f t="shared" si="11"/>
        <v>44866</v>
      </c>
    </row>
    <row r="16" spans="1:39" s="58" customFormat="1" ht="43.5" x14ac:dyDescent="0.35">
      <c r="A16" s="60" t="s">
        <v>760</v>
      </c>
      <c r="B16" s="60" t="str">
        <f>IF(B15="","","'"&amp;B$3&amp;"' : '"&amp;B15&amp;"', ")</f>
        <v xml:space="preserve">'emailAddress' : 'boyleannika@gmail.com', </v>
      </c>
      <c r="C16" s="60" t="str">
        <f>IF(C15="","","'"&amp;C$3&amp;"' : '"&amp;C15&amp;"', ")</f>
        <v xml:space="preserve">'orderId' : '20221101103336', </v>
      </c>
      <c r="D16" s="60" t="str">
        <f>IF(D15="","","'"&amp;D$3&amp;"' : '"&amp;D15&amp;"', ")</f>
        <v xml:space="preserve">'employeeUserName' : 'lzapanta', </v>
      </c>
      <c r="E16" s="60" t="str">
        <f>IF(E15="","","'"&amp;$F$2&amp;"' : { '"&amp;E$3&amp;"' : '"&amp;E15&amp;"' , ")</f>
        <v xml:space="preserve">'deliveryAddress' : { 'name' : 'Annika Boyle' , </v>
      </c>
      <c r="F16" s="60" t="str">
        <f>IF(F15="","","'"&amp;F$3&amp;"' : '"&amp;F15&amp;"' , ")</f>
        <v xml:space="preserve">'street' : '1817 Pope St' , </v>
      </c>
      <c r="G16" s="60" t="str">
        <f>IF(G15="","","'"&amp;G$3&amp;"' : '"&amp;G15&amp;"' , ")</f>
        <v/>
      </c>
      <c r="H16" s="60" t="str">
        <f>IF(H15="","","'"&amp;H$3&amp;"' : '"&amp;H15&amp;"' , ")</f>
        <v xml:space="preserve">'city' : 'Alberton' , </v>
      </c>
      <c r="I16" s="60" t="str">
        <f>IF(I15="","","'"&amp;I$3&amp;"' : '"&amp;I15&amp;"' , ")</f>
        <v xml:space="preserve">'province' : 'Prince Edward Island' , </v>
      </c>
      <c r="J16" s="60" t="str">
        <f>IF(J15="","","'"&amp;J$3&amp;"' : '"&amp;J15&amp;"' , ")</f>
        <v xml:space="preserve">'zip' : 'C0B 1K0' , </v>
      </c>
      <c r="K16" s="60" t="str">
        <f>IF(K15="","","'"&amp;K$3&amp;"' : '"&amp;K15&amp;"' } , ")</f>
        <v xml:space="preserve">'mobileNumber' : '902-853-7192' } , </v>
      </c>
      <c r="L16" s="60" t="str">
        <f>IF(L15="","","'"&amp;$L$2&amp;"' : { '"&amp;L$3&amp;"' : '"&amp;L15&amp;"' , ")</f>
        <v xml:space="preserve">'billingsAddress' : { 'name' : 'Annika Boyle' , </v>
      </c>
      <c r="M16" s="60" t="str">
        <f>IF(M15="","","'"&amp;M$3&amp;"' : '"&amp;M15&amp;"' , ")</f>
        <v xml:space="preserve">'street' : '1817 Pope St' , </v>
      </c>
      <c r="N16" s="60" t="str">
        <f>IF(N15="","","'"&amp;N$3&amp;"' : '"&amp;N15&amp;"' , ")</f>
        <v/>
      </c>
      <c r="O16" s="60" t="str">
        <f>IF(O15="","","'"&amp;O$3&amp;"' : '"&amp;O15&amp;"' , ")</f>
        <v xml:space="preserve">'city' : 'Alberton' , </v>
      </c>
      <c r="P16" s="60" t="str">
        <f>IF(P15="","","'"&amp;P$3&amp;"' : '"&amp;P15&amp;"' , ")</f>
        <v xml:space="preserve">'province' : 'Prince Edward Island' , </v>
      </c>
      <c r="Q16" s="60" t="str">
        <f>IF(Q15="","","'"&amp;Q$3&amp;"' : '"&amp;Q15&amp;"' , ")</f>
        <v xml:space="preserve">'zip' : 'C0B 1K0' , </v>
      </c>
      <c r="R16" s="60" t="str">
        <f>IF(R15="","","'"&amp;R$3&amp;"' : '"&amp;R15&amp;"' } , ")</f>
        <v xml:space="preserve">'mobileNumber' : '902-853-7192' } , </v>
      </c>
      <c r="S16" s="60" t="str">
        <f>IF(S15="","","'"&amp;$S$2&amp;"' : { '"&amp;S$3&amp;"' : '"&amp;S15&amp;"' , ")</f>
        <v xml:space="preserve">'paymentMethod' : { 'paymentType' : 'Debit' , </v>
      </c>
      <c r="T16" s="60" t="str">
        <f>IF(T15="","","'"&amp;T$3&amp;"' : '"&amp;T15&amp;"' , ")</f>
        <v xml:space="preserve">'cardScheme' : 'Mastercard' , </v>
      </c>
      <c r="U16" s="60" t="str">
        <f>IF(U15="","","'"&amp;U$3&amp;"' : '"&amp;U15&amp;"' } , ")</f>
        <v xml:space="preserve">'cardLast4' : '9290' } , </v>
      </c>
      <c r="V16" s="60" t="str">
        <f ca="1">IF(V15="","","'"&amp;V$3&amp;"' : "&amp;V15&amp;", ")</f>
        <v xml:space="preserve">'totalQty' : 2, </v>
      </c>
      <c r="W16" s="60" t="str">
        <f>IF(W15="","","'"&amp;W$3&amp;"' : "&amp;W15&amp;", ")</f>
        <v xml:space="preserve">'orderTotal' : 198.53, </v>
      </c>
      <c r="X16" s="60" t="str">
        <f>IF(X15="","","'"&amp;X$3&amp;"' : "&amp;X15&amp;", ")</f>
        <v xml:space="preserve">'grossTotal' : 171.27, </v>
      </c>
      <c r="Y16" s="60" t="str">
        <f>IF(Y15="","","'"&amp;Y$3&amp;"' : "&amp;Y15&amp;", ")</f>
        <v xml:space="preserve">'tax' : 22.27, </v>
      </c>
      <c r="Z16" s="60" t="str">
        <f>IF(Z15="","","'"&amp;Z$3&amp;"' : "&amp;Z15&amp;", ")</f>
        <v xml:space="preserve">'deliveryFee' : 4.99, </v>
      </c>
      <c r="AA16" s="60"/>
      <c r="AB16" s="60"/>
      <c r="AC16" s="60"/>
      <c r="AD16" s="60"/>
      <c r="AE16" s="60"/>
      <c r="AF16" s="60" t="str">
        <f>$AA$2&amp;" : "&amp;_xlfn.CONCAT("[ ",AF13:AF14,"], ")</f>
        <v xml:space="preserve">orderDetails : [ { 'productId' : '5001', 'productName' : 'Hot Chocolait', 'quantity' : 18, 'price' : 3.99, 'subTotal' : 71.82 },{ 'productId' : '4006', 'productName' : 'Chocolate Croissant', 'quantity' : 13, 'price' : 7.65, 'subTotal' : 99.45 }], </v>
      </c>
      <c r="AG16" s="60" t="str">
        <f>IF(AG15="","","'"&amp;AG$3&amp;"' : new Date('"&amp;TEXT(AG15,"yyyy-mm-dd")&amp;"'), ")</f>
        <v xml:space="preserve">'orderDate' : new Date('2022-11-01'), </v>
      </c>
      <c r="AH16" s="60"/>
      <c r="AI16" s="60" t="str">
        <f>IF(AI15="","","'"&amp;AI$3&amp;"' : '"&amp;AI15&amp;"', ")</f>
        <v xml:space="preserve">'orderStatus' : 'Delivered', </v>
      </c>
      <c r="AJ16" s="60" t="str">
        <f>IF(AJ15="","","'"&amp;AJ$3&amp;"' : new Date('"&amp;TEXT(AJ15,"yyyy-mm-dd")&amp;"') ")</f>
        <v xml:space="preserve">'statusDate' : new Date('2022-11-01') </v>
      </c>
      <c r="AK16" s="60"/>
      <c r="AL16" s="59"/>
      <c r="AM16" s="58" t="str">
        <f ca="1">_xlfn.CONCAT("{ ",B16:AJ16,"} ,")</f>
        <v>{ 'emailAddress' : 'boyleannika@gmail.com', 'orderId' : '20221101103336', 'employeeUserName' : 'lzapanta', 'deliveryAddress' : { 'name' : 'Annika Boyle' , 'street' : '1817 Pope St' , 'city' : 'Alberton' , 'province' : 'Prince Edward Island' , 'zip' : 'C0B 1K0' , 'mobileNumber' : '902-853-7192' } , 'billingsAddress' : { 'name' : 'Annika Boyle' , 'street' : '1817 Pope St' , 'city' : 'Alberton' , 'province' : 'Prince Edward Island' , 'zip' : 'C0B 1K0' , 'mobileNumber' : '902-853-7192' } , 'paymentMethod' : { 'paymentType' : 'Debit' , 'cardScheme' : 'Mastercard' , 'cardLast4' : '9290' } , 'totalQty' : 2, 'orderTotal' : 198.53, 'grossTotal' : 171.27, 'tax' : 22.27, 'deliveryFee' : 4.99, orderDetails : [ { 'productId' : '5001', 'productName' : 'Hot Chocolait', 'quantity' : 18, 'price' : 3.99, 'subTotal' : 71.82 },{ 'productId' : '4006', 'productName' : 'Chocolate Croissant', 'quantity' : 13, 'price' : 7.65, 'subTotal' : 99.45 }], 'orderDate' : new Date('2022-11-01'), 'orderStatus' : 'Delivered', 'statusDate' : new Date('2022-11-01') } ,</v>
      </c>
    </row>
    <row r="17" spans="1:39" x14ac:dyDescent="0.35">
      <c r="B17" t="s">
        <v>694</v>
      </c>
      <c r="C17" s="49" t="s">
        <v>695</v>
      </c>
      <c r="D17" t="s">
        <v>680</v>
      </c>
      <c r="E17" t="s">
        <v>329</v>
      </c>
      <c r="F17" t="s">
        <v>583</v>
      </c>
      <c r="G17" t="s">
        <v>602</v>
      </c>
      <c r="H17" t="s">
        <v>431</v>
      </c>
      <c r="I17" t="s">
        <v>26</v>
      </c>
      <c r="J17" t="s">
        <v>465</v>
      </c>
      <c r="K17" t="s">
        <v>624</v>
      </c>
      <c r="L17" t="str">
        <f t="shared" ref="L17:L21" si="12">E17</f>
        <v>Norah Fessenden</v>
      </c>
      <c r="M17" t="str">
        <f>VLOOKUP($B17,Customers!$B:$J,4,0)</f>
        <v>1751 Wallbridge Loyalist Rd</v>
      </c>
      <c r="O17" t="str">
        <f>VLOOKUP($B17,Customers!$B:$J,6,0)</f>
        <v>Belleville</v>
      </c>
      <c r="P17" t="str">
        <f>VLOOKUP($B17,Customers!$B:$J,7,0)</f>
        <v>Ontario</v>
      </c>
      <c r="Q17" t="str">
        <f>VLOOKUP($B17,Customers!$B:$J,8,0)</f>
        <v>K8N 1L9</v>
      </c>
      <c r="R17" t="str">
        <f>VLOOKUP($B17,Customers!$B:$J,9,0)</f>
        <v>613-847-5941</v>
      </c>
      <c r="S17" t="str">
        <f>VLOOKUP($B17,Customers!$B:$T,16,0)</f>
        <v>Debit</v>
      </c>
      <c r="T17" t="str">
        <f>VLOOKUP($B17,Customers!$B:$T,18,0)</f>
        <v>Visa</v>
      </c>
      <c r="U17" t="str">
        <f>VLOOKUP($B17,Customers!$B:$T,19,0)</f>
        <v>2541</v>
      </c>
      <c r="V17">
        <f ca="1">COUNTIF(C:C,C17)-1</f>
        <v>4</v>
      </c>
      <c r="X17">
        <f t="shared" ref="X17:X20" si="13">AC17*AD17</f>
        <v>47.92</v>
      </c>
      <c r="Y17">
        <f t="shared" ref="Y17:Y20" si="14">ROUND(X17*13%,2)</f>
        <v>6.23</v>
      </c>
      <c r="AA17">
        <v>4005</v>
      </c>
      <c r="AB17" t="s">
        <v>69</v>
      </c>
      <c r="AC17">
        <v>8</v>
      </c>
      <c r="AD17">
        <v>5.99</v>
      </c>
      <c r="AE17">
        <f>AC17*AD17</f>
        <v>47.92</v>
      </c>
      <c r="AF17" s="54" t="str">
        <f>"{ '"&amp;AA$3&amp;"' : '"&amp;AA17&amp;"', '"&amp;AB$3&amp;"' : '"&amp;AB17&amp;"', '"&amp;AC$3&amp;"' : "&amp;AC17&amp;", '"&amp;AD$3&amp;"' : "&amp;AD17&amp;", '"&amp;AE$3&amp;"' : "&amp;AE17&amp;" },"</f>
        <v>{ 'productId' : '4005', 'productName' : 'Bear Claw', 'quantity' : 8, 'price' : 5.99, 'subTotal' : 47.92 },</v>
      </c>
      <c r="AG17" s="48">
        <v>44866</v>
      </c>
      <c r="AH17" s="50" t="s">
        <v>696</v>
      </c>
      <c r="AI17" t="s">
        <v>755</v>
      </c>
      <c r="AJ17" s="48">
        <f>AG17</f>
        <v>44866</v>
      </c>
      <c r="AK17" t="s">
        <v>697</v>
      </c>
    </row>
    <row r="18" spans="1:39" x14ac:dyDescent="0.35">
      <c r="B18" t="s">
        <v>694</v>
      </c>
      <c r="C18" t="s">
        <v>695</v>
      </c>
      <c r="D18" t="s">
        <v>680</v>
      </c>
      <c r="E18" t="s">
        <v>329</v>
      </c>
      <c r="F18" t="s">
        <v>583</v>
      </c>
      <c r="G18" t="s">
        <v>602</v>
      </c>
      <c r="H18" t="s">
        <v>431</v>
      </c>
      <c r="I18" t="s">
        <v>26</v>
      </c>
      <c r="J18" t="s">
        <v>465</v>
      </c>
      <c r="K18" t="s">
        <v>624</v>
      </c>
      <c r="L18" t="str">
        <f t="shared" si="12"/>
        <v>Norah Fessenden</v>
      </c>
      <c r="M18" t="str">
        <f>VLOOKUP($B18,Customers!$B:$J,4,0)</f>
        <v>1751 Wallbridge Loyalist Rd</v>
      </c>
      <c r="O18" t="str">
        <f>VLOOKUP($B18,Customers!$B:$J,6,0)</f>
        <v>Belleville</v>
      </c>
      <c r="P18" t="str">
        <f>VLOOKUP($B18,Customers!$B:$J,7,0)</f>
        <v>Ontario</v>
      </c>
      <c r="Q18" t="str">
        <f>VLOOKUP($B18,Customers!$B:$J,8,0)</f>
        <v>K8N 1L9</v>
      </c>
      <c r="R18" t="str">
        <f>VLOOKUP($B18,Customers!$B:$J,9,0)</f>
        <v>613-847-5941</v>
      </c>
      <c r="S18" t="str">
        <f>VLOOKUP($B18,Customers!$B:$T,16,0)</f>
        <v>Debit</v>
      </c>
      <c r="T18" t="str">
        <f>VLOOKUP($B18,Customers!$B:$T,18,0)</f>
        <v>Visa</v>
      </c>
      <c r="U18" t="str">
        <f>VLOOKUP($B18,Customers!$B:$T,19,0)</f>
        <v>2541</v>
      </c>
      <c r="V18">
        <f ca="1">COUNTIF(C:C,C18)-1</f>
        <v>4</v>
      </c>
      <c r="X18">
        <f t="shared" si="13"/>
        <v>9.98</v>
      </c>
      <c r="Y18">
        <f t="shared" si="14"/>
        <v>1.3</v>
      </c>
      <c r="AA18">
        <v>5002</v>
      </c>
      <c r="AB18" t="s">
        <v>92</v>
      </c>
      <c r="AC18">
        <v>2</v>
      </c>
      <c r="AD18">
        <v>4.99</v>
      </c>
      <c r="AE18">
        <f>AC18*AD18</f>
        <v>9.98</v>
      </c>
      <c r="AF18" s="54" t="str">
        <f>"{ '"&amp;AA$3&amp;"' : '"&amp;AA18&amp;"', '"&amp;AB$3&amp;"' : '"&amp;AB18&amp;"', '"&amp;AC$3&amp;"' : "&amp;AC18&amp;", '"&amp;AD$3&amp;"' : "&amp;AD18&amp;", '"&amp;AE$3&amp;"' : "&amp;AE18&amp;" },"</f>
        <v>{ 'productId' : '5002', 'productName' : 'Greek Yougurt with mixed Berries', 'quantity' : 2, 'price' : 4.99, 'subTotal' : 9.98 },</v>
      </c>
      <c r="AG18" s="48">
        <v>44867</v>
      </c>
      <c r="AH18" s="48" t="str">
        <f t="shared" ref="AH18:AJ21" si="15">AH17</f>
        <v>100448</v>
      </c>
      <c r="AI18" t="str">
        <f t="shared" si="15"/>
        <v>Delivered</v>
      </c>
      <c r="AJ18" s="48">
        <f t="shared" si="15"/>
        <v>44866</v>
      </c>
    </row>
    <row r="19" spans="1:39" x14ac:dyDescent="0.35">
      <c r="B19" t="s">
        <v>694</v>
      </c>
      <c r="C19" t="s">
        <v>695</v>
      </c>
      <c r="D19" t="s">
        <v>680</v>
      </c>
      <c r="E19" t="s">
        <v>329</v>
      </c>
      <c r="F19" t="s">
        <v>583</v>
      </c>
      <c r="G19" t="s">
        <v>602</v>
      </c>
      <c r="H19" t="s">
        <v>431</v>
      </c>
      <c r="I19" t="s">
        <v>26</v>
      </c>
      <c r="J19" t="s">
        <v>465</v>
      </c>
      <c r="K19" t="s">
        <v>624</v>
      </c>
      <c r="L19" t="str">
        <f t="shared" si="12"/>
        <v>Norah Fessenden</v>
      </c>
      <c r="M19" t="str">
        <f>VLOOKUP($B19,Customers!$B:$J,4,0)</f>
        <v>1751 Wallbridge Loyalist Rd</v>
      </c>
      <c r="O19" t="str">
        <f>VLOOKUP($B19,Customers!$B:$J,6,0)</f>
        <v>Belleville</v>
      </c>
      <c r="P19" t="str">
        <f>VLOOKUP($B19,Customers!$B:$J,7,0)</f>
        <v>Ontario</v>
      </c>
      <c r="Q19" t="str">
        <f>VLOOKUP($B19,Customers!$B:$J,8,0)</f>
        <v>K8N 1L9</v>
      </c>
      <c r="R19" t="str">
        <f>VLOOKUP($B19,Customers!$B:$J,9,0)</f>
        <v>613-847-5941</v>
      </c>
      <c r="S19" t="str">
        <f>VLOOKUP($B19,Customers!$B:$T,16,0)</f>
        <v>Debit</v>
      </c>
      <c r="T19" t="str">
        <f>VLOOKUP($B19,Customers!$B:$T,18,0)</f>
        <v>Visa</v>
      </c>
      <c r="U19" t="str">
        <f>VLOOKUP($B19,Customers!$B:$T,19,0)</f>
        <v>2541</v>
      </c>
      <c r="V19">
        <f ca="1">COUNTIF(C:C,C19)-1</f>
        <v>4</v>
      </c>
      <c r="X19">
        <f t="shared" si="13"/>
        <v>9.98</v>
      </c>
      <c r="Y19">
        <f t="shared" si="14"/>
        <v>1.3</v>
      </c>
      <c r="AA19">
        <v>4013</v>
      </c>
      <c r="AB19" t="s">
        <v>79</v>
      </c>
      <c r="AC19">
        <v>2</v>
      </c>
      <c r="AD19">
        <v>4.99</v>
      </c>
      <c r="AE19">
        <f>AC19*AD19</f>
        <v>9.98</v>
      </c>
      <c r="AF19" s="54" t="str">
        <f>"{ '"&amp;AA$3&amp;"' : '"&amp;AA19&amp;"', '"&amp;AB$3&amp;"' : '"&amp;AB19&amp;"', '"&amp;AC$3&amp;"' : "&amp;AC19&amp;", '"&amp;AD$3&amp;"' : "&amp;AD19&amp;", '"&amp;AE$3&amp;"' : "&amp;AE19&amp;" },"</f>
        <v>{ 'productId' : '4013', 'productName' : 'Pandesal', 'quantity' : 2, 'price' : 4.99, 'subTotal' : 9.98 },</v>
      </c>
      <c r="AG19" s="48">
        <v>44867</v>
      </c>
      <c r="AH19" s="48" t="str">
        <f t="shared" si="15"/>
        <v>100448</v>
      </c>
      <c r="AI19" t="str">
        <f t="shared" si="15"/>
        <v>Delivered</v>
      </c>
      <c r="AJ19" s="48">
        <f t="shared" si="15"/>
        <v>44866</v>
      </c>
    </row>
    <row r="20" spans="1:39" x14ac:dyDescent="0.35">
      <c r="B20" t="s">
        <v>694</v>
      </c>
      <c r="C20" t="s">
        <v>695</v>
      </c>
      <c r="D20" t="s">
        <v>680</v>
      </c>
      <c r="E20" t="s">
        <v>329</v>
      </c>
      <c r="F20" t="s">
        <v>583</v>
      </c>
      <c r="G20" t="s">
        <v>602</v>
      </c>
      <c r="H20" t="s">
        <v>431</v>
      </c>
      <c r="I20" t="s">
        <v>26</v>
      </c>
      <c r="J20" t="s">
        <v>465</v>
      </c>
      <c r="K20" t="s">
        <v>624</v>
      </c>
      <c r="L20" t="str">
        <f t="shared" si="12"/>
        <v>Norah Fessenden</v>
      </c>
      <c r="M20" t="str">
        <f>VLOOKUP($B20,Customers!$B:$J,4,0)</f>
        <v>1751 Wallbridge Loyalist Rd</v>
      </c>
      <c r="O20" t="str">
        <f>VLOOKUP($B20,Customers!$B:$J,6,0)</f>
        <v>Belleville</v>
      </c>
      <c r="P20" t="str">
        <f>VLOOKUP($B20,Customers!$B:$J,7,0)</f>
        <v>Ontario</v>
      </c>
      <c r="Q20" t="str">
        <f>VLOOKUP($B20,Customers!$B:$J,8,0)</f>
        <v>K8N 1L9</v>
      </c>
      <c r="R20" t="str">
        <f>VLOOKUP($B20,Customers!$B:$J,9,0)</f>
        <v>613-847-5941</v>
      </c>
      <c r="S20" t="str">
        <f>VLOOKUP($B20,Customers!$B:$T,16,0)</f>
        <v>Debit</v>
      </c>
      <c r="T20" t="str">
        <f>VLOOKUP($B20,Customers!$B:$T,18,0)</f>
        <v>Visa</v>
      </c>
      <c r="U20" t="str">
        <f>VLOOKUP($B20,Customers!$B:$T,19,0)</f>
        <v>2541</v>
      </c>
      <c r="V20">
        <f ca="1">COUNTIF(C:C,C20)-1</f>
        <v>4</v>
      </c>
      <c r="X20">
        <f t="shared" si="13"/>
        <v>60.72</v>
      </c>
      <c r="Y20">
        <f t="shared" si="14"/>
        <v>7.89</v>
      </c>
      <c r="AA20">
        <v>4009</v>
      </c>
      <c r="AB20" t="s">
        <v>73</v>
      </c>
      <c r="AC20">
        <v>8</v>
      </c>
      <c r="AD20">
        <v>7.59</v>
      </c>
      <c r="AE20">
        <f>AC20*AD20</f>
        <v>60.72</v>
      </c>
      <c r="AF20" s="54" t="str">
        <f>"{ '"&amp;AA$3&amp;"' : '"&amp;AA20&amp;"', '"&amp;AB$3&amp;"' : '"&amp;AB20&amp;"', '"&amp;AC$3&amp;"' : "&amp;AC20&amp;", '"&amp;AD$3&amp;"' : "&amp;AD20&amp;", '"&amp;AE$3&amp;"' : "&amp;AE20&amp;" }"</f>
        <v>{ 'productId' : '4009', 'productName' : 'Pecan Braid', 'quantity' : 8, 'price' : 7.59, 'subTotal' : 60.72 }</v>
      </c>
      <c r="AG20" s="48">
        <v>44867</v>
      </c>
      <c r="AH20" s="48" t="str">
        <f t="shared" si="15"/>
        <v>100448</v>
      </c>
      <c r="AI20" t="str">
        <f t="shared" si="15"/>
        <v>Delivered</v>
      </c>
      <c r="AJ20" s="48">
        <f t="shared" si="15"/>
        <v>44866</v>
      </c>
    </row>
    <row r="21" spans="1:39" x14ac:dyDescent="0.35">
      <c r="A21" t="s">
        <v>759</v>
      </c>
      <c r="B21" t="s">
        <v>694</v>
      </c>
      <c r="C21" t="s">
        <v>695</v>
      </c>
      <c r="D21" t="s">
        <v>680</v>
      </c>
      <c r="E21" t="s">
        <v>329</v>
      </c>
      <c r="F21" t="s">
        <v>583</v>
      </c>
      <c r="G21" t="s">
        <v>602</v>
      </c>
      <c r="H21" t="s">
        <v>431</v>
      </c>
      <c r="I21" t="s">
        <v>26</v>
      </c>
      <c r="J21" t="s">
        <v>465</v>
      </c>
      <c r="K21" t="s">
        <v>624</v>
      </c>
      <c r="L21" t="str">
        <f t="shared" si="12"/>
        <v>Norah Fessenden</v>
      </c>
      <c r="M21" t="str">
        <f>VLOOKUP($B21,Customers!$B:$J,4,0)</f>
        <v>1751 Wallbridge Loyalist Rd</v>
      </c>
      <c r="O21" t="str">
        <f>VLOOKUP($B21,Customers!$B:$J,6,0)</f>
        <v>Belleville</v>
      </c>
      <c r="P21" t="str">
        <f>VLOOKUP($B21,Customers!$B:$J,7,0)</f>
        <v>Ontario</v>
      </c>
      <c r="Q21" t="str">
        <f>VLOOKUP($B21,Customers!$B:$J,8,0)</f>
        <v>K8N 1L9</v>
      </c>
      <c r="R21" t="str">
        <f>VLOOKUP($B21,Customers!$B:$J,9,0)</f>
        <v>613-847-5941</v>
      </c>
      <c r="S21" t="str">
        <f>VLOOKUP($B21,Customers!$B:$T,16,0)</f>
        <v>Debit</v>
      </c>
      <c r="T21" t="str">
        <f>VLOOKUP($B21,Customers!$B:$T,18,0)</f>
        <v>Visa</v>
      </c>
      <c r="U21" t="str">
        <f>VLOOKUP($B21,Customers!$B:$T,19,0)</f>
        <v>2541</v>
      </c>
      <c r="V21">
        <f ca="1">COUNTIF(C:C,C21)-1</f>
        <v>4</v>
      </c>
      <c r="W21">
        <f>SUM(X21:Z21)</f>
        <v>150.31000000000003</v>
      </c>
      <c r="X21">
        <f>SUM(X17:X20)</f>
        <v>128.60000000000002</v>
      </c>
      <c r="Y21">
        <f>SUM(Y17:Y20)</f>
        <v>16.72</v>
      </c>
      <c r="Z21">
        <v>4.99</v>
      </c>
      <c r="AF21" s="54"/>
      <c r="AG21" s="48">
        <f>AG20</f>
        <v>44867</v>
      </c>
      <c r="AH21" s="48"/>
      <c r="AI21" t="str">
        <f t="shared" si="15"/>
        <v>Delivered</v>
      </c>
      <c r="AJ21" s="48">
        <f t="shared" si="15"/>
        <v>44866</v>
      </c>
    </row>
    <row r="22" spans="1:39" s="58" customFormat="1" ht="58" x14ac:dyDescent="0.35">
      <c r="A22" s="60" t="s">
        <v>760</v>
      </c>
      <c r="B22" s="60" t="str">
        <f>IF(B21="","","'"&amp;B$3&amp;"' : '"&amp;B21&amp;"', ")</f>
        <v xml:space="preserve">'emailAddress' : 'norah_fessenden@gmail.com', </v>
      </c>
      <c r="C22" s="60" t="str">
        <f>IF(C21="","","'"&amp;C$3&amp;"' : '"&amp;C21&amp;"', ")</f>
        <v xml:space="preserve">'orderId' : '20221101100448', </v>
      </c>
      <c r="D22" s="60" t="str">
        <f>IF(D21="","","'"&amp;D$3&amp;"' : '"&amp;D21&amp;"', ")</f>
        <v xml:space="preserve">'employeeUserName' : 'lzapanta', </v>
      </c>
      <c r="E22" s="60" t="str">
        <f>IF(E21="","","'"&amp;$F$2&amp;"' : { '"&amp;E$3&amp;"' : '"&amp;E21&amp;"' , ")</f>
        <v xml:space="preserve">'deliveryAddress' : { 'name' : 'Norah Fessenden' , </v>
      </c>
      <c r="F22" s="60" t="str">
        <f>IF(F21="","","'"&amp;F$3&amp;"' : '"&amp;F21&amp;"' , ")</f>
        <v xml:space="preserve">'street' : '694 Yonge Street' , </v>
      </c>
      <c r="G22" s="60" t="str">
        <f>IF(G21="","","'"&amp;G$3&amp;"' : '"&amp;G21&amp;"' , ")</f>
        <v xml:space="preserve">'unit' : '102' , </v>
      </c>
      <c r="H22" s="60" t="str">
        <f>IF(H21="","","'"&amp;H$3&amp;"' : '"&amp;H21&amp;"' , ")</f>
        <v xml:space="preserve">'city' : 'Toronto' , </v>
      </c>
      <c r="I22" s="60" t="str">
        <f>IF(I21="","","'"&amp;I$3&amp;"' : '"&amp;I21&amp;"' , ")</f>
        <v xml:space="preserve">'province' : 'Ontario' , </v>
      </c>
      <c r="J22" s="60" t="str">
        <f>IF(J21="","","'"&amp;J$3&amp;"' : '"&amp;J21&amp;"' , ")</f>
        <v xml:space="preserve">'zip' : 'M4W 1J7' , </v>
      </c>
      <c r="K22" s="60" t="str">
        <f>IF(K21="","","'"&amp;K$3&amp;"' : '"&amp;K21&amp;"' } , ")</f>
        <v xml:space="preserve">'mobileNumber' : '416-963-8125' } , </v>
      </c>
      <c r="L22" s="60" t="str">
        <f>IF(L21="","","'"&amp;$L$2&amp;"' : { '"&amp;L$3&amp;"' : '"&amp;L21&amp;"' , ")</f>
        <v xml:space="preserve">'billingsAddress' : { 'name' : 'Norah Fessenden' , </v>
      </c>
      <c r="M22" s="60" t="str">
        <f>IF(M21="","","'"&amp;M$3&amp;"' : '"&amp;M21&amp;"' , ")</f>
        <v xml:space="preserve">'street' : '1751 Wallbridge Loyalist Rd' , </v>
      </c>
      <c r="N22" s="60" t="str">
        <f>IF(N21="","","'"&amp;N$3&amp;"' : '"&amp;N21&amp;"' , ")</f>
        <v/>
      </c>
      <c r="O22" s="60" t="str">
        <f>IF(O21="","","'"&amp;O$3&amp;"' : '"&amp;O21&amp;"' , ")</f>
        <v xml:space="preserve">'city' : 'Belleville' , </v>
      </c>
      <c r="P22" s="60" t="str">
        <f>IF(P21="","","'"&amp;P$3&amp;"' : '"&amp;P21&amp;"' , ")</f>
        <v xml:space="preserve">'province' : 'Ontario' , </v>
      </c>
      <c r="Q22" s="60" t="str">
        <f>IF(Q21="","","'"&amp;Q$3&amp;"' : '"&amp;Q21&amp;"' , ")</f>
        <v xml:space="preserve">'zip' : 'K8N 1L9' , </v>
      </c>
      <c r="R22" s="60" t="str">
        <f>IF(R21="","","'"&amp;R$3&amp;"' : '"&amp;R21&amp;"' } , ")</f>
        <v xml:space="preserve">'mobileNumber' : '613-847-5941' } , </v>
      </c>
      <c r="S22" s="60" t="str">
        <f>IF(S21="","","'"&amp;$S$2&amp;"' : { '"&amp;S$3&amp;"' : '"&amp;S21&amp;"' , ")</f>
        <v xml:space="preserve">'paymentMethod' : { 'paymentType' : 'Debit' , </v>
      </c>
      <c r="T22" s="60" t="str">
        <f>IF(T21="","","'"&amp;T$3&amp;"' : '"&amp;T21&amp;"' , ")</f>
        <v xml:space="preserve">'cardScheme' : 'Visa' , </v>
      </c>
      <c r="U22" s="60" t="str">
        <f>IF(U21="","","'"&amp;U$3&amp;"' : '"&amp;U21&amp;"' } , ")</f>
        <v xml:space="preserve">'cardLast4' : '2541' } , </v>
      </c>
      <c r="V22" s="60" t="str">
        <f ca="1">IF(V21="","","'"&amp;V$3&amp;"' : "&amp;V21&amp;", ")</f>
        <v xml:space="preserve">'totalQty' : 4, </v>
      </c>
      <c r="W22" s="60" t="str">
        <f>IF(W21="","","'"&amp;W$3&amp;"' : "&amp;W21&amp;", ")</f>
        <v xml:space="preserve">'orderTotal' : 150.31, </v>
      </c>
      <c r="X22" s="60" t="str">
        <f>IF(X21="","","'"&amp;X$3&amp;"' : "&amp;X21&amp;", ")</f>
        <v xml:space="preserve">'grossTotal' : 128.6, </v>
      </c>
      <c r="Y22" s="60" t="str">
        <f>IF(Y21="","","'"&amp;Y$3&amp;"' : "&amp;Y21&amp;", ")</f>
        <v xml:space="preserve">'tax' : 16.72, </v>
      </c>
      <c r="Z22" s="60" t="str">
        <f>IF(Z21="","","'"&amp;Z$3&amp;"' : "&amp;Z21&amp;", ")</f>
        <v xml:space="preserve">'deliveryFee' : 4.99, </v>
      </c>
      <c r="AA22" s="60"/>
      <c r="AB22" s="60"/>
      <c r="AC22" s="60"/>
      <c r="AD22" s="60"/>
      <c r="AE22" s="60"/>
      <c r="AF22" s="60" t="str">
        <f>$AA$2&amp;" : "&amp;_xlfn.CONCAT("[ ",AF17:AF20,"], ")</f>
        <v xml:space="preserve">orderDetails : [ { 'productId' : '4005', 'productName' : 'Bear Claw', 'quantity' : 8, 'price' : 5.99, 'subTotal' : 47.92 },{ 'productId' : '5002', 'productName' : 'Greek Yougurt with mixed Berries', 'quantity' : 2, 'price' : 4.99, 'subTotal' : 9.98 },{ 'productId' : '4013', 'productName' : 'Pandesal', 'quantity' : 2, 'price' : 4.99, 'subTotal' : 9.98 },{ 'productId' : '4009', 'productName' : 'Pecan Braid', 'quantity' : 8, 'price' : 7.59, 'subTotal' : 60.72 }], </v>
      </c>
      <c r="AG22" s="60" t="str">
        <f>IF(AG21="","","'"&amp;AG$3&amp;"' : new Date('"&amp;TEXT(AG21,"yyyy-mm-dd")&amp;"'), ")</f>
        <v xml:space="preserve">'orderDate' : new Date('2022-11-02'), </v>
      </c>
      <c r="AH22" s="60"/>
      <c r="AI22" s="60" t="str">
        <f>IF(AI21="","","'"&amp;AI$3&amp;"' : '"&amp;AI21&amp;"', ")</f>
        <v xml:space="preserve">'orderStatus' : 'Delivered', </v>
      </c>
      <c r="AJ22" s="60" t="str">
        <f>IF(AJ21="","","'"&amp;AJ$3&amp;"' : new Date('"&amp;TEXT(AJ21,"yyyy-mm-dd")&amp;"') ")</f>
        <v xml:space="preserve">'statusDate' : new Date('2022-11-01') </v>
      </c>
      <c r="AK22" s="60"/>
      <c r="AL22" s="59"/>
      <c r="AM22" s="58" t="str">
        <f ca="1">_xlfn.CONCAT("{ ",B22:AJ22,"} ,")</f>
        <v>{ 'emailAddress' : 'norah_fessenden@gmail.com', 'orderId' : '20221101100448', 'employeeUserName' : 'lzapanta', 'deliveryAddress' : { 'name' : 'Norah Fessenden' , 'street' : '694 Yonge Street' , 'unit' : '102' , 'city' : 'Toronto' , 'province' : 'Ontario' , 'zip' : 'M4W 1J7' , 'mobileNumber' : '416-963-8125' } , 'billingsAddress' : { 'name' : 'Norah Fessenden' , 'street' : '1751 Wallbridge Loyalist Rd' , 'city' : 'Belleville' , 'province' : 'Ontario' , 'zip' : 'K8N 1L9' , 'mobileNumber' : '613-847-5941' } , 'paymentMethod' : { 'paymentType' : 'Debit' , 'cardScheme' : 'Visa' , 'cardLast4' : '2541' } , 'totalQty' : 4, 'orderTotal' : 150.31, 'grossTotal' : 128.6, 'tax' : 16.72, 'deliveryFee' : 4.99, orderDetails : [ { 'productId' : '4005', 'productName' : 'Bear Claw', 'quantity' : 8, 'price' : 5.99, 'subTotal' : 47.92 },{ 'productId' : '5002', 'productName' : 'Greek Yougurt with mixed Berries', 'quantity' : 2, 'price' : 4.99, 'subTotal' : 9.98 },{ 'productId' : '4013', 'productName' : 'Pandesal', 'quantity' : 2, 'price' : 4.99, 'subTotal' : 9.98 },{ 'productId' : '4009', 'productName' : 'Pecan Braid', 'quantity' : 8, 'price' : 7.59, 'subTotal' : 60.72 }], 'orderDate' : new Date('2022-11-02'), 'orderStatus' : 'Delivered', 'statusDate' : new Date('2022-11-01') } ,</v>
      </c>
    </row>
    <row r="23" spans="1:39" x14ac:dyDescent="0.35">
      <c r="B23" t="s">
        <v>698</v>
      </c>
      <c r="C23" s="49" t="s">
        <v>699</v>
      </c>
      <c r="D23" t="s">
        <v>682</v>
      </c>
      <c r="E23" t="s">
        <v>315</v>
      </c>
      <c r="F23" t="s">
        <v>403</v>
      </c>
      <c r="G23" t="s">
        <v>602</v>
      </c>
      <c r="H23" t="s">
        <v>432</v>
      </c>
      <c r="I23" t="s">
        <v>26</v>
      </c>
      <c r="J23" t="s">
        <v>466</v>
      </c>
      <c r="K23" t="s">
        <v>491</v>
      </c>
      <c r="L23" t="str">
        <f t="shared" ref="L23:L26" si="16">E23</f>
        <v>Declan Johnson</v>
      </c>
      <c r="M23" t="str">
        <f>VLOOKUP($B23,Customers!$B:$J,4,0)</f>
        <v>1676 Speers Road</v>
      </c>
      <c r="O23" t="str">
        <f>VLOOKUP($B23,Customers!$B:$J,6,0)</f>
        <v>Oakville</v>
      </c>
      <c r="P23" t="str">
        <f>VLOOKUP($B23,Customers!$B:$J,7,0)</f>
        <v>Ontario</v>
      </c>
      <c r="Q23" t="str">
        <f>VLOOKUP($B23,Customers!$B:$J,8,0)</f>
        <v>L6J 3X4</v>
      </c>
      <c r="R23" t="str">
        <f>VLOOKUP($B23,Customers!$B:$J,9,0)</f>
        <v>905-815-1914</v>
      </c>
      <c r="S23" t="str">
        <f>VLOOKUP($B23,Customers!$B:$T,16,0)</f>
        <v>Credit</v>
      </c>
      <c r="T23" t="str">
        <f>VLOOKUP($B23,Customers!$B:$T,18,0)</f>
        <v>Mastercard</v>
      </c>
      <c r="U23" t="str">
        <f>VLOOKUP($B23,Customers!$B:$T,19,0)</f>
        <v>1490</v>
      </c>
      <c r="V23">
        <f ca="1">COUNTIF(C:C,C23)-1</f>
        <v>3</v>
      </c>
      <c r="X23">
        <f t="shared" ref="X23:X25" si="17">AC23*AD23</f>
        <v>17.97</v>
      </c>
      <c r="Y23">
        <f t="shared" ref="Y23:Y25" si="18">ROUND(X23*13%,2)</f>
        <v>2.34</v>
      </c>
      <c r="AA23">
        <v>4002</v>
      </c>
      <c r="AB23" t="s">
        <v>66</v>
      </c>
      <c r="AC23">
        <v>3</v>
      </c>
      <c r="AD23">
        <v>5.99</v>
      </c>
      <c r="AE23">
        <f>AC23*AD23</f>
        <v>17.97</v>
      </c>
      <c r="AF23" s="54" t="str">
        <f>"{ '"&amp;AA$3&amp;"' : '"&amp;AA23&amp;"', '"&amp;AB$3&amp;"' : '"&amp;AB23&amp;"', '"&amp;AC$3&amp;"' : "&amp;AC23&amp;", '"&amp;AD$3&amp;"' : "&amp;AD23&amp;", '"&amp;AE$3&amp;"' : "&amp;AE23&amp;" },"</f>
        <v>{ 'productId' : '4002', 'productName' : 'Asiago Cheese Bagel', 'quantity' : 3, 'price' : 5.99, 'subTotal' : 17.97 },</v>
      </c>
      <c r="AG23" s="48">
        <v>44867</v>
      </c>
      <c r="AH23" s="50" t="s">
        <v>700</v>
      </c>
      <c r="AI23" t="s">
        <v>755</v>
      </c>
      <c r="AJ23" s="48">
        <f>AG23</f>
        <v>44867</v>
      </c>
      <c r="AK23" t="s">
        <v>701</v>
      </c>
    </row>
    <row r="24" spans="1:39" x14ac:dyDescent="0.35">
      <c r="B24" t="s">
        <v>698</v>
      </c>
      <c r="C24" t="s">
        <v>699</v>
      </c>
      <c r="D24" t="s">
        <v>682</v>
      </c>
      <c r="E24" t="s">
        <v>315</v>
      </c>
      <c r="F24" t="s">
        <v>403</v>
      </c>
      <c r="G24" t="s">
        <v>602</v>
      </c>
      <c r="H24" t="s">
        <v>432</v>
      </c>
      <c r="I24" t="s">
        <v>26</v>
      </c>
      <c r="J24" t="s">
        <v>466</v>
      </c>
      <c r="K24" t="s">
        <v>491</v>
      </c>
      <c r="L24" t="str">
        <f t="shared" si="16"/>
        <v>Declan Johnson</v>
      </c>
      <c r="M24" t="str">
        <f>VLOOKUP($B24,Customers!$B:$J,4,0)</f>
        <v>1676 Speers Road</v>
      </c>
      <c r="O24" t="str">
        <f>VLOOKUP($B24,Customers!$B:$J,6,0)</f>
        <v>Oakville</v>
      </c>
      <c r="P24" t="str">
        <f>VLOOKUP($B24,Customers!$B:$J,7,0)</f>
        <v>Ontario</v>
      </c>
      <c r="Q24" t="str">
        <f>VLOOKUP($B24,Customers!$B:$J,8,0)</f>
        <v>L6J 3X4</v>
      </c>
      <c r="R24" t="str">
        <f>VLOOKUP($B24,Customers!$B:$J,9,0)</f>
        <v>905-815-1914</v>
      </c>
      <c r="S24" t="str">
        <f>VLOOKUP($B24,Customers!$B:$T,16,0)</f>
        <v>Credit</v>
      </c>
      <c r="T24" t="str">
        <f>VLOOKUP($B24,Customers!$B:$T,18,0)</f>
        <v>Mastercard</v>
      </c>
      <c r="U24" t="str">
        <f>VLOOKUP($B24,Customers!$B:$T,19,0)</f>
        <v>1490</v>
      </c>
      <c r="V24">
        <f ca="1">COUNTIF(C:C,C24)-1</f>
        <v>3</v>
      </c>
      <c r="X24">
        <f t="shared" si="17"/>
        <v>94.81</v>
      </c>
      <c r="Y24">
        <f t="shared" si="18"/>
        <v>12.33</v>
      </c>
      <c r="AA24">
        <v>5002</v>
      </c>
      <c r="AB24" t="s">
        <v>92</v>
      </c>
      <c r="AC24">
        <v>19</v>
      </c>
      <c r="AD24">
        <v>4.99</v>
      </c>
      <c r="AE24">
        <f>AC24*AD24</f>
        <v>94.81</v>
      </c>
      <c r="AF24" s="54" t="str">
        <f>"{ '"&amp;AA$3&amp;"' : '"&amp;AA24&amp;"', '"&amp;AB$3&amp;"' : '"&amp;AB24&amp;"', '"&amp;AC$3&amp;"' : "&amp;AC24&amp;", '"&amp;AD$3&amp;"' : "&amp;AD24&amp;", '"&amp;AE$3&amp;"' : "&amp;AE24&amp;" },"</f>
        <v>{ 'productId' : '5002', 'productName' : 'Greek Yougurt with mixed Berries', 'quantity' : 19, 'price' : 4.99, 'subTotal' : 94.81 },</v>
      </c>
      <c r="AG24" s="48">
        <v>44867</v>
      </c>
      <c r="AH24" s="48" t="str">
        <f t="shared" ref="AH24:AJ26" si="19">AH23</f>
        <v>092136</v>
      </c>
      <c r="AI24" t="str">
        <f t="shared" si="19"/>
        <v>Delivered</v>
      </c>
      <c r="AJ24" s="48">
        <f t="shared" si="19"/>
        <v>44867</v>
      </c>
    </row>
    <row r="25" spans="1:39" x14ac:dyDescent="0.35">
      <c r="B25" t="s">
        <v>698</v>
      </c>
      <c r="C25" t="s">
        <v>699</v>
      </c>
      <c r="D25" t="s">
        <v>682</v>
      </c>
      <c r="E25" t="s">
        <v>315</v>
      </c>
      <c r="F25" t="s">
        <v>403</v>
      </c>
      <c r="G25" t="s">
        <v>602</v>
      </c>
      <c r="H25" t="s">
        <v>432</v>
      </c>
      <c r="I25" t="s">
        <v>26</v>
      </c>
      <c r="J25" t="s">
        <v>466</v>
      </c>
      <c r="K25" t="s">
        <v>491</v>
      </c>
      <c r="L25" t="str">
        <f t="shared" si="16"/>
        <v>Declan Johnson</v>
      </c>
      <c r="M25" t="str">
        <f>VLOOKUP($B25,Customers!$B:$J,4,0)</f>
        <v>1676 Speers Road</v>
      </c>
      <c r="O25" t="str">
        <f>VLOOKUP($B25,Customers!$B:$J,6,0)</f>
        <v>Oakville</v>
      </c>
      <c r="P25" t="str">
        <f>VLOOKUP($B25,Customers!$B:$J,7,0)</f>
        <v>Ontario</v>
      </c>
      <c r="Q25" t="str">
        <f>VLOOKUP($B25,Customers!$B:$J,8,0)</f>
        <v>L6J 3X4</v>
      </c>
      <c r="R25" t="str">
        <f>VLOOKUP($B25,Customers!$B:$J,9,0)</f>
        <v>905-815-1914</v>
      </c>
      <c r="S25" t="str">
        <f>VLOOKUP($B25,Customers!$B:$T,16,0)</f>
        <v>Credit</v>
      </c>
      <c r="T25" t="str">
        <f>VLOOKUP($B25,Customers!$B:$T,18,0)</f>
        <v>Mastercard</v>
      </c>
      <c r="U25" t="str">
        <f>VLOOKUP($B25,Customers!$B:$T,19,0)</f>
        <v>1490</v>
      </c>
      <c r="V25">
        <f ca="1">COUNTIF(C:C,C25)-1</f>
        <v>3</v>
      </c>
      <c r="X25">
        <f t="shared" si="17"/>
        <v>117.35999999999999</v>
      </c>
      <c r="Y25">
        <f t="shared" si="18"/>
        <v>15.26</v>
      </c>
      <c r="AA25">
        <v>4014</v>
      </c>
      <c r="AB25" t="s">
        <v>81</v>
      </c>
      <c r="AC25">
        <v>24</v>
      </c>
      <c r="AD25">
        <v>4.8899999999999997</v>
      </c>
      <c r="AE25">
        <f>AC25*AD25</f>
        <v>117.35999999999999</v>
      </c>
      <c r="AF25" s="54" t="str">
        <f>"{ '"&amp;AA$3&amp;"' : '"&amp;AA25&amp;"', '"&amp;AB$3&amp;"' : '"&amp;AB25&amp;"', '"&amp;AC$3&amp;"' : "&amp;AC25&amp;", '"&amp;AD$3&amp;"' : "&amp;AD25&amp;", '"&amp;AE$3&amp;"' : "&amp;AE25&amp;" }"</f>
        <v>{ 'productId' : '4014', 'productName' : 'Pan de Coco', 'quantity' : 24, 'price' : 4.89, 'subTotal' : 117.36 }</v>
      </c>
      <c r="AG25" s="48">
        <v>44867</v>
      </c>
      <c r="AH25" s="48" t="str">
        <f t="shared" si="19"/>
        <v>092136</v>
      </c>
      <c r="AI25" t="str">
        <f t="shared" si="19"/>
        <v>Delivered</v>
      </c>
      <c r="AJ25" s="48">
        <f t="shared" si="19"/>
        <v>44867</v>
      </c>
    </row>
    <row r="26" spans="1:39" x14ac:dyDescent="0.35">
      <c r="A26" t="s">
        <v>759</v>
      </c>
      <c r="B26" t="s">
        <v>698</v>
      </c>
      <c r="C26" t="s">
        <v>699</v>
      </c>
      <c r="D26" t="s">
        <v>682</v>
      </c>
      <c r="E26" t="s">
        <v>315</v>
      </c>
      <c r="F26" t="s">
        <v>403</v>
      </c>
      <c r="G26" t="s">
        <v>602</v>
      </c>
      <c r="H26" t="s">
        <v>432</v>
      </c>
      <c r="I26" t="s">
        <v>26</v>
      </c>
      <c r="J26" t="s">
        <v>466</v>
      </c>
      <c r="K26" t="s">
        <v>491</v>
      </c>
      <c r="L26" t="str">
        <f t="shared" si="16"/>
        <v>Declan Johnson</v>
      </c>
      <c r="M26" t="str">
        <f>VLOOKUP($B26,Customers!$B:$J,4,0)</f>
        <v>1676 Speers Road</v>
      </c>
      <c r="O26" t="str">
        <f>VLOOKUP($B26,Customers!$B:$J,6,0)</f>
        <v>Oakville</v>
      </c>
      <c r="P26" t="str">
        <f>VLOOKUP($B26,Customers!$B:$J,7,0)</f>
        <v>Ontario</v>
      </c>
      <c r="Q26" t="str">
        <f>VLOOKUP($B26,Customers!$B:$J,8,0)</f>
        <v>L6J 3X4</v>
      </c>
      <c r="R26" t="str">
        <f>VLOOKUP($B26,Customers!$B:$J,9,0)</f>
        <v>905-815-1914</v>
      </c>
      <c r="S26" t="str">
        <f>VLOOKUP($B26,Customers!$B:$T,16,0)</f>
        <v>Credit</v>
      </c>
      <c r="T26" t="str">
        <f>VLOOKUP($B26,Customers!$B:$T,18,0)</f>
        <v>Mastercard</v>
      </c>
      <c r="U26" t="str">
        <f>VLOOKUP($B26,Customers!$B:$T,19,0)</f>
        <v>1490</v>
      </c>
      <c r="V26">
        <f ca="1">COUNTIF(C:C,C26)-1</f>
        <v>3</v>
      </c>
      <c r="W26">
        <f>SUM(X26:Z26)</f>
        <v>265.06</v>
      </c>
      <c r="X26">
        <f>SUM(X23:X25)</f>
        <v>230.14</v>
      </c>
      <c r="Y26">
        <f>SUM(Y23:Y25)</f>
        <v>29.93</v>
      </c>
      <c r="Z26">
        <v>4.99</v>
      </c>
      <c r="AF26" s="54"/>
      <c r="AG26" s="48">
        <f>AG25</f>
        <v>44867</v>
      </c>
      <c r="AH26" s="48"/>
      <c r="AI26" t="str">
        <f t="shared" si="19"/>
        <v>Delivered</v>
      </c>
      <c r="AJ26" s="48">
        <f t="shared" si="19"/>
        <v>44867</v>
      </c>
    </row>
    <row r="27" spans="1:39" s="58" customFormat="1" ht="58" x14ac:dyDescent="0.35">
      <c r="A27" s="60" t="s">
        <v>760</v>
      </c>
      <c r="B27" s="60" t="str">
        <f>IF(B26="","","'"&amp;B$3&amp;"' : '"&amp;B26&amp;"', ")</f>
        <v xml:space="preserve">'emailAddress' : 'johnsondeclan@gmail.com', </v>
      </c>
      <c r="C27" s="60" t="str">
        <f>IF(C26="","","'"&amp;C$3&amp;"' : '"&amp;C26&amp;"', ")</f>
        <v xml:space="preserve">'orderId' : '20221102092136', </v>
      </c>
      <c r="D27" s="60" t="str">
        <f>IF(D26="","","'"&amp;D$3&amp;"' : '"&amp;D26&amp;"', ")</f>
        <v xml:space="preserve">'employeeUserName' : 'mjones', </v>
      </c>
      <c r="E27" s="60" t="str">
        <f>IF(E26="","","'"&amp;$F$2&amp;"' : { '"&amp;E$3&amp;"' : '"&amp;E26&amp;"' , ")</f>
        <v xml:space="preserve">'deliveryAddress' : { 'name' : 'Declan Johnson' , </v>
      </c>
      <c r="F27" s="60" t="str">
        <f>IF(F26="","","'"&amp;F$3&amp;"' : '"&amp;F26&amp;"' , ")</f>
        <v xml:space="preserve">'street' : '1676 Speers Road' , </v>
      </c>
      <c r="G27" s="60" t="str">
        <f>IF(G26="","","'"&amp;G$3&amp;"' : '"&amp;G26&amp;"' , ")</f>
        <v xml:space="preserve">'unit' : '102' , </v>
      </c>
      <c r="H27" s="60" t="str">
        <f>IF(H26="","","'"&amp;H$3&amp;"' : '"&amp;H26&amp;"' , ")</f>
        <v xml:space="preserve">'city' : 'Oakville' , </v>
      </c>
      <c r="I27" s="60" t="str">
        <f>IF(I26="","","'"&amp;I$3&amp;"' : '"&amp;I26&amp;"' , ")</f>
        <v xml:space="preserve">'province' : 'Ontario' , </v>
      </c>
      <c r="J27" s="60" t="str">
        <f>IF(J26="","","'"&amp;J$3&amp;"' : '"&amp;J26&amp;"' , ")</f>
        <v xml:space="preserve">'zip' : 'L6J 3X4' , </v>
      </c>
      <c r="K27" s="60" t="str">
        <f>IF(K26="","","'"&amp;K$3&amp;"' : '"&amp;K26&amp;"' } , ")</f>
        <v xml:space="preserve">'mobileNumber' : '905-815-1914' } , </v>
      </c>
      <c r="L27" s="60" t="str">
        <f>IF(L26="","","'"&amp;$L$2&amp;"' : { '"&amp;L$3&amp;"' : '"&amp;L26&amp;"' , ")</f>
        <v xml:space="preserve">'billingsAddress' : { 'name' : 'Declan Johnson' , </v>
      </c>
      <c r="M27" s="60" t="str">
        <f>IF(M26="","","'"&amp;M$3&amp;"' : '"&amp;M26&amp;"' , ")</f>
        <v xml:space="preserve">'street' : '1676 Speers Road' , </v>
      </c>
      <c r="N27" s="60" t="str">
        <f>IF(N26="","","'"&amp;N$3&amp;"' : '"&amp;N26&amp;"' , ")</f>
        <v/>
      </c>
      <c r="O27" s="60" t="str">
        <f>IF(O26="","","'"&amp;O$3&amp;"' : '"&amp;O26&amp;"' , ")</f>
        <v xml:space="preserve">'city' : 'Oakville' , </v>
      </c>
      <c r="P27" s="60" t="str">
        <f>IF(P26="","","'"&amp;P$3&amp;"' : '"&amp;P26&amp;"' , ")</f>
        <v xml:space="preserve">'province' : 'Ontario' , </v>
      </c>
      <c r="Q27" s="60" t="str">
        <f>IF(Q26="","","'"&amp;Q$3&amp;"' : '"&amp;Q26&amp;"' , ")</f>
        <v xml:space="preserve">'zip' : 'L6J 3X4' , </v>
      </c>
      <c r="R27" s="60" t="str">
        <f>IF(R26="","","'"&amp;R$3&amp;"' : '"&amp;R26&amp;"' } , ")</f>
        <v xml:space="preserve">'mobileNumber' : '905-815-1914' } , </v>
      </c>
      <c r="S27" s="60" t="str">
        <f>IF(S26="","","'"&amp;$S$2&amp;"' : { '"&amp;S$3&amp;"' : '"&amp;S26&amp;"' , ")</f>
        <v xml:space="preserve">'paymentMethod' : { 'paymentType' : 'Credit' , </v>
      </c>
      <c r="T27" s="60" t="str">
        <f>IF(T26="","","'"&amp;T$3&amp;"' : '"&amp;T26&amp;"' , ")</f>
        <v xml:space="preserve">'cardScheme' : 'Mastercard' , </v>
      </c>
      <c r="U27" s="60" t="str">
        <f>IF(U26="","","'"&amp;U$3&amp;"' : '"&amp;U26&amp;"' } , ")</f>
        <v xml:space="preserve">'cardLast4' : '1490' } , </v>
      </c>
      <c r="V27" s="60" t="str">
        <f ca="1">IF(V26="","","'"&amp;V$3&amp;"' : "&amp;V26&amp;", ")</f>
        <v xml:space="preserve">'totalQty' : 3, </v>
      </c>
      <c r="W27" s="60" t="str">
        <f>IF(W26="","","'"&amp;W$3&amp;"' : "&amp;W26&amp;", ")</f>
        <v xml:space="preserve">'orderTotal' : 265.06, </v>
      </c>
      <c r="X27" s="60" t="str">
        <f>IF(X26="","","'"&amp;X$3&amp;"' : "&amp;X26&amp;", ")</f>
        <v xml:space="preserve">'grossTotal' : 230.14, </v>
      </c>
      <c r="Y27" s="60" t="str">
        <f>IF(Y26="","","'"&amp;Y$3&amp;"' : "&amp;Y26&amp;", ")</f>
        <v xml:space="preserve">'tax' : 29.93, </v>
      </c>
      <c r="Z27" s="60" t="str">
        <f>IF(Z26="","","'"&amp;Z$3&amp;"' : "&amp;Z26&amp;", ")</f>
        <v xml:space="preserve">'deliveryFee' : 4.99, </v>
      </c>
      <c r="AA27" s="60"/>
      <c r="AB27" s="60"/>
      <c r="AC27" s="60"/>
      <c r="AD27" s="60"/>
      <c r="AE27" s="60"/>
      <c r="AF27" s="60" t="str">
        <f>$AA$2&amp;" : "&amp;_xlfn.CONCAT("[ ",AF23:AF25,"], ")</f>
        <v xml:space="preserve">orderDetails : [ { 'productId' : '4002', 'productName' : 'Asiago Cheese Bagel', 'quantity' : 3, 'price' : 5.99, 'subTotal' : 17.97 },{ 'productId' : '5002', 'productName' : 'Greek Yougurt with mixed Berries', 'quantity' : 19, 'price' : 4.99, 'subTotal' : 94.81 },{ 'productId' : '4014', 'productName' : 'Pan de Coco', 'quantity' : 24, 'price' : 4.89, 'subTotal' : 117.36 }], </v>
      </c>
      <c r="AG27" s="60" t="str">
        <f>IF(AG26="","","'"&amp;AG$3&amp;"' : new Date('"&amp;TEXT(AG26,"yyyy-mm-dd")&amp;"'), ")</f>
        <v xml:space="preserve">'orderDate' : new Date('2022-11-02'), </v>
      </c>
      <c r="AH27" s="60"/>
      <c r="AI27" s="60" t="str">
        <f>IF(AI26="","","'"&amp;AI$3&amp;"' : '"&amp;AI26&amp;"', ")</f>
        <v xml:space="preserve">'orderStatus' : 'Delivered', </v>
      </c>
      <c r="AJ27" s="60" t="str">
        <f>IF(AJ26="","","'"&amp;AJ$3&amp;"' : new Date('"&amp;TEXT(AJ26,"yyyy-mm-dd")&amp;"') ")</f>
        <v xml:space="preserve">'statusDate' : new Date('2022-11-02') </v>
      </c>
      <c r="AK27" s="60"/>
      <c r="AL27" s="59"/>
      <c r="AM27" s="58" t="str">
        <f ca="1">_xlfn.CONCAT("{ ",B27:AJ27,"} ,")</f>
        <v>{ 'emailAddress' : 'johnsondeclan@gmail.com', 'orderId' : '20221102092136', 'employeeUserName' : 'mjones', 'deliveryAddress' : { 'name' : 'Declan Johnson' , 'street' : '1676 Speers Road' , 'unit' : '102' , 'city' : 'Oakville' , 'province' : 'Ontario' , 'zip' : 'L6J 3X4' , 'mobileNumber' : '905-815-1914' } , 'billingsAddress' : { 'name' : 'Declan Johnson' , 'street' : '1676 Speers Road' , 'city' : 'Oakville' , 'province' : 'Ontario' , 'zip' : 'L6J 3X4' , 'mobileNumber' : '905-815-1914' } , 'paymentMethod' : { 'paymentType' : 'Credit' , 'cardScheme' : 'Mastercard' , 'cardLast4' : '1490' } , 'totalQty' : 3, 'orderTotal' : 265.06, 'grossTotal' : 230.14, 'tax' : 29.93, 'deliveryFee' : 4.99, orderDetails : [ { 'productId' : '4002', 'productName' : 'Asiago Cheese Bagel', 'quantity' : 3, 'price' : 5.99, 'subTotal' : 17.97 },{ 'productId' : '5002', 'productName' : 'Greek Yougurt with mixed Berries', 'quantity' : 19, 'price' : 4.99, 'subTotal' : 94.81 },{ 'productId' : '4014', 'productName' : 'Pan de Coco', 'quantity' : 24, 'price' : 4.89, 'subTotal' : 117.36 }], 'orderDate' : new Date('2022-11-02'), 'orderStatus' : 'Delivered', 'statusDate' : new Date('2022-11-02') } ,</v>
      </c>
    </row>
    <row r="28" spans="1:39" x14ac:dyDescent="0.35">
      <c r="B28" t="s">
        <v>694</v>
      </c>
      <c r="C28" s="49" t="s">
        <v>702</v>
      </c>
      <c r="D28" t="s">
        <v>680</v>
      </c>
      <c r="E28" t="s">
        <v>329</v>
      </c>
      <c r="F28" t="s">
        <v>583</v>
      </c>
      <c r="G28" t="s">
        <v>602</v>
      </c>
      <c r="H28" t="s">
        <v>431</v>
      </c>
      <c r="I28" t="s">
        <v>26</v>
      </c>
      <c r="J28" t="s">
        <v>465</v>
      </c>
      <c r="K28" t="s">
        <v>624</v>
      </c>
      <c r="L28" t="str">
        <f t="shared" ref="L28:L30" si="20">E28</f>
        <v>Norah Fessenden</v>
      </c>
      <c r="M28" t="str">
        <f>VLOOKUP($B28,Customers!$B:$J,4,0)</f>
        <v>1751 Wallbridge Loyalist Rd</v>
      </c>
      <c r="O28" t="str">
        <f>VLOOKUP($B28,Customers!$B:$J,6,0)</f>
        <v>Belleville</v>
      </c>
      <c r="P28" t="str">
        <f>VLOOKUP($B28,Customers!$B:$J,7,0)</f>
        <v>Ontario</v>
      </c>
      <c r="Q28" t="str">
        <f>VLOOKUP($B28,Customers!$B:$J,8,0)</f>
        <v>K8N 1L9</v>
      </c>
      <c r="R28" t="str">
        <f>VLOOKUP($B28,Customers!$B:$J,9,0)</f>
        <v>613-847-5941</v>
      </c>
      <c r="S28" t="str">
        <f>VLOOKUP($B28,Customers!$B:$T,16,0)</f>
        <v>Debit</v>
      </c>
      <c r="T28" t="str">
        <f>VLOOKUP($B28,Customers!$B:$T,18,0)</f>
        <v>Visa</v>
      </c>
      <c r="U28" t="str">
        <f>VLOOKUP($B28,Customers!$B:$T,19,0)</f>
        <v>2541</v>
      </c>
      <c r="V28">
        <f ca="1">COUNTIF(C:C,C28)-1</f>
        <v>2</v>
      </c>
      <c r="X28">
        <f t="shared" ref="X28:X29" si="21">AC28*AD28</f>
        <v>129</v>
      </c>
      <c r="Y28">
        <f t="shared" ref="Y28:Y29" si="22">ROUND(X28*13%,2)</f>
        <v>16.77</v>
      </c>
      <c r="AA28">
        <v>4008</v>
      </c>
      <c r="AB28" t="s">
        <v>72</v>
      </c>
      <c r="AC28">
        <v>20</v>
      </c>
      <c r="AD28">
        <v>6.45</v>
      </c>
      <c r="AE28">
        <f>AC28*AD28</f>
        <v>129</v>
      </c>
      <c r="AF28" s="54" t="str">
        <f>"{ '"&amp;AA$3&amp;"' : '"&amp;AA28&amp;"', '"&amp;AB$3&amp;"' : '"&amp;AB28&amp;"', '"&amp;AC$3&amp;"' : "&amp;AC28&amp;", '"&amp;AD$3&amp;"' : "&amp;AD28&amp;", '"&amp;AE$3&amp;"' : "&amp;AE28&amp;" },"</f>
        <v>{ 'productId' : '4008', 'productName' : 'Vanilla Cinnamon Roll', 'quantity' : 20, 'price' : 6.45, 'subTotal' : 129 },</v>
      </c>
      <c r="AG28" s="48">
        <v>44868</v>
      </c>
      <c r="AH28" s="50" t="s">
        <v>703</v>
      </c>
      <c r="AI28" t="s">
        <v>755</v>
      </c>
      <c r="AJ28" s="48">
        <f>AG28</f>
        <v>44868</v>
      </c>
      <c r="AK28" t="s">
        <v>704</v>
      </c>
    </row>
    <row r="29" spans="1:39" x14ac:dyDescent="0.35">
      <c r="B29" t="s">
        <v>694</v>
      </c>
      <c r="C29" t="s">
        <v>702</v>
      </c>
      <c r="D29" t="s">
        <v>680</v>
      </c>
      <c r="E29" t="s">
        <v>329</v>
      </c>
      <c r="F29" t="s">
        <v>583</v>
      </c>
      <c r="G29" t="s">
        <v>602</v>
      </c>
      <c r="H29" t="s">
        <v>431</v>
      </c>
      <c r="I29" t="s">
        <v>26</v>
      </c>
      <c r="J29" t="s">
        <v>465</v>
      </c>
      <c r="K29" t="s">
        <v>624</v>
      </c>
      <c r="L29" t="str">
        <f t="shared" si="20"/>
        <v>Norah Fessenden</v>
      </c>
      <c r="M29" t="str">
        <f>VLOOKUP($B29,Customers!$B:$J,4,0)</f>
        <v>1751 Wallbridge Loyalist Rd</v>
      </c>
      <c r="O29" t="str">
        <f>VLOOKUP($B29,Customers!$B:$J,6,0)</f>
        <v>Belleville</v>
      </c>
      <c r="P29" t="str">
        <f>VLOOKUP($B29,Customers!$B:$J,7,0)</f>
        <v>Ontario</v>
      </c>
      <c r="Q29" t="str">
        <f>VLOOKUP($B29,Customers!$B:$J,8,0)</f>
        <v>K8N 1L9</v>
      </c>
      <c r="R29" t="str">
        <f>VLOOKUP($B29,Customers!$B:$J,9,0)</f>
        <v>613-847-5941</v>
      </c>
      <c r="S29" t="str">
        <f>VLOOKUP($B29,Customers!$B:$T,16,0)</f>
        <v>Debit</v>
      </c>
      <c r="T29" t="str">
        <f>VLOOKUP($B29,Customers!$B:$T,18,0)</f>
        <v>Visa</v>
      </c>
      <c r="U29" t="str">
        <f>VLOOKUP($B29,Customers!$B:$T,19,0)</f>
        <v>2541</v>
      </c>
      <c r="V29">
        <f ca="1">COUNTIF(C:C,C29)-1</f>
        <v>2</v>
      </c>
      <c r="X29">
        <f t="shared" si="21"/>
        <v>24.45</v>
      </c>
      <c r="Y29">
        <f t="shared" si="22"/>
        <v>3.18</v>
      </c>
      <c r="AA29">
        <v>4014</v>
      </c>
      <c r="AB29" t="s">
        <v>81</v>
      </c>
      <c r="AC29">
        <v>5</v>
      </c>
      <c r="AD29">
        <v>4.8899999999999997</v>
      </c>
      <c r="AE29">
        <f>AC29*AD29</f>
        <v>24.45</v>
      </c>
      <c r="AF29" s="54" t="str">
        <f>"{ '"&amp;AA$3&amp;"' : '"&amp;AA29&amp;"', '"&amp;AB$3&amp;"' : '"&amp;AB29&amp;"', '"&amp;AC$3&amp;"' : "&amp;AC29&amp;", '"&amp;AD$3&amp;"' : "&amp;AD29&amp;", '"&amp;AE$3&amp;"' : "&amp;AE29&amp;" }"</f>
        <v>{ 'productId' : '4014', 'productName' : 'Pan de Coco', 'quantity' : 5, 'price' : 4.89, 'subTotal' : 24.45 }</v>
      </c>
      <c r="AG29" s="48">
        <v>44868</v>
      </c>
      <c r="AH29" s="48" t="str">
        <f>AH28</f>
        <v>080936</v>
      </c>
      <c r="AI29" t="str">
        <f t="shared" ref="AI29:AJ30" si="23">AI28</f>
        <v>Delivered</v>
      </c>
      <c r="AJ29" s="48">
        <f t="shared" si="23"/>
        <v>44868</v>
      </c>
    </row>
    <row r="30" spans="1:39" x14ac:dyDescent="0.35">
      <c r="A30" t="s">
        <v>759</v>
      </c>
      <c r="B30" t="s">
        <v>694</v>
      </c>
      <c r="C30" t="s">
        <v>702</v>
      </c>
      <c r="D30" t="s">
        <v>680</v>
      </c>
      <c r="E30" t="s">
        <v>329</v>
      </c>
      <c r="F30" t="s">
        <v>583</v>
      </c>
      <c r="G30" t="s">
        <v>602</v>
      </c>
      <c r="H30" t="s">
        <v>431</v>
      </c>
      <c r="I30" t="s">
        <v>26</v>
      </c>
      <c r="J30" t="s">
        <v>465</v>
      </c>
      <c r="K30" t="s">
        <v>624</v>
      </c>
      <c r="L30" t="str">
        <f t="shared" si="20"/>
        <v>Norah Fessenden</v>
      </c>
      <c r="M30" t="str">
        <f>VLOOKUP($B30,Customers!$B:$J,4,0)</f>
        <v>1751 Wallbridge Loyalist Rd</v>
      </c>
      <c r="O30" t="str">
        <f>VLOOKUP($B30,Customers!$B:$J,6,0)</f>
        <v>Belleville</v>
      </c>
      <c r="P30" t="str">
        <f>VLOOKUP($B30,Customers!$B:$J,7,0)</f>
        <v>Ontario</v>
      </c>
      <c r="Q30" t="str">
        <f>VLOOKUP($B30,Customers!$B:$J,8,0)</f>
        <v>K8N 1L9</v>
      </c>
      <c r="R30" t="str">
        <f>VLOOKUP($B30,Customers!$B:$J,9,0)</f>
        <v>613-847-5941</v>
      </c>
      <c r="S30" t="str">
        <f>VLOOKUP($B30,Customers!$B:$T,16,0)</f>
        <v>Debit</v>
      </c>
      <c r="T30" t="str">
        <f>VLOOKUP($B30,Customers!$B:$T,18,0)</f>
        <v>Visa</v>
      </c>
      <c r="U30" t="str">
        <f>VLOOKUP($B30,Customers!$B:$T,19,0)</f>
        <v>2541</v>
      </c>
      <c r="V30">
        <f ca="1">COUNTIF(C:C,C30)-1</f>
        <v>2</v>
      </c>
      <c r="W30">
        <f>SUM(X30:Z30)</f>
        <v>178.39</v>
      </c>
      <c r="X30">
        <f>SUM(X28:X29)</f>
        <v>153.44999999999999</v>
      </c>
      <c r="Y30">
        <f>SUM(Y28:Y29)</f>
        <v>19.95</v>
      </c>
      <c r="Z30">
        <v>4.99</v>
      </c>
      <c r="AF30" s="54"/>
      <c r="AG30" s="48">
        <f>AG29</f>
        <v>44868</v>
      </c>
      <c r="AH30" s="48"/>
      <c r="AI30" t="str">
        <f t="shared" si="23"/>
        <v>Delivered</v>
      </c>
      <c r="AJ30" s="48">
        <f t="shared" si="23"/>
        <v>44868</v>
      </c>
    </row>
    <row r="31" spans="1:39" s="58" customFormat="1" ht="43.5" x14ac:dyDescent="0.35">
      <c r="A31" s="60" t="s">
        <v>760</v>
      </c>
      <c r="B31" s="60" t="str">
        <f>IF(B30="","","'"&amp;B$3&amp;"' : '"&amp;B30&amp;"', ")</f>
        <v xml:space="preserve">'emailAddress' : 'norah_fessenden@gmail.com', </v>
      </c>
      <c r="C31" s="60" t="str">
        <f>IF(C30="","","'"&amp;C$3&amp;"' : '"&amp;C30&amp;"', ")</f>
        <v xml:space="preserve">'orderId' : '20221103080936', </v>
      </c>
      <c r="D31" s="60" t="str">
        <f>IF(D30="","","'"&amp;D$3&amp;"' : '"&amp;D30&amp;"', ")</f>
        <v xml:space="preserve">'employeeUserName' : 'lzapanta', </v>
      </c>
      <c r="E31" s="60" t="str">
        <f>IF(E30="","","'"&amp;$F$2&amp;"' : { '"&amp;E$3&amp;"' : '"&amp;E30&amp;"' , ")</f>
        <v xml:space="preserve">'deliveryAddress' : { 'name' : 'Norah Fessenden' , </v>
      </c>
      <c r="F31" s="60" t="str">
        <f>IF(F30="","","'"&amp;F$3&amp;"' : '"&amp;F30&amp;"' , ")</f>
        <v xml:space="preserve">'street' : '694 Yonge Street' , </v>
      </c>
      <c r="G31" s="60" t="str">
        <f>IF(G30="","","'"&amp;G$3&amp;"' : '"&amp;G30&amp;"' , ")</f>
        <v xml:space="preserve">'unit' : '102' , </v>
      </c>
      <c r="H31" s="60" t="str">
        <f>IF(H30="","","'"&amp;H$3&amp;"' : '"&amp;H30&amp;"' , ")</f>
        <v xml:space="preserve">'city' : 'Toronto' , </v>
      </c>
      <c r="I31" s="60" t="str">
        <f>IF(I30="","","'"&amp;I$3&amp;"' : '"&amp;I30&amp;"' , ")</f>
        <v xml:space="preserve">'province' : 'Ontario' , </v>
      </c>
      <c r="J31" s="60" t="str">
        <f>IF(J30="","","'"&amp;J$3&amp;"' : '"&amp;J30&amp;"' , ")</f>
        <v xml:space="preserve">'zip' : 'M4W 1J7' , </v>
      </c>
      <c r="K31" s="60" t="str">
        <f>IF(K30="","","'"&amp;K$3&amp;"' : '"&amp;K30&amp;"' } , ")</f>
        <v xml:space="preserve">'mobileNumber' : '416-963-8125' } , </v>
      </c>
      <c r="L31" s="60" t="str">
        <f>IF(L30="","","'"&amp;$L$2&amp;"' : { '"&amp;L$3&amp;"' : '"&amp;L30&amp;"' , ")</f>
        <v xml:space="preserve">'billingsAddress' : { 'name' : 'Norah Fessenden' , </v>
      </c>
      <c r="M31" s="60" t="str">
        <f>IF(M30="","","'"&amp;M$3&amp;"' : '"&amp;M30&amp;"' , ")</f>
        <v xml:space="preserve">'street' : '1751 Wallbridge Loyalist Rd' , </v>
      </c>
      <c r="N31" s="60" t="str">
        <f>IF(N30="","","'"&amp;N$3&amp;"' : '"&amp;N30&amp;"' , ")</f>
        <v/>
      </c>
      <c r="O31" s="60" t="str">
        <f>IF(O30="","","'"&amp;O$3&amp;"' : '"&amp;O30&amp;"' , ")</f>
        <v xml:space="preserve">'city' : 'Belleville' , </v>
      </c>
      <c r="P31" s="60" t="str">
        <f>IF(P30="","","'"&amp;P$3&amp;"' : '"&amp;P30&amp;"' , ")</f>
        <v xml:space="preserve">'province' : 'Ontario' , </v>
      </c>
      <c r="Q31" s="60" t="str">
        <f>IF(Q30="","","'"&amp;Q$3&amp;"' : '"&amp;Q30&amp;"' , ")</f>
        <v xml:space="preserve">'zip' : 'K8N 1L9' , </v>
      </c>
      <c r="R31" s="60" t="str">
        <f>IF(R30="","","'"&amp;R$3&amp;"' : '"&amp;R30&amp;"' } , ")</f>
        <v xml:space="preserve">'mobileNumber' : '613-847-5941' } , </v>
      </c>
      <c r="S31" s="60" t="str">
        <f>IF(S30="","","'"&amp;$S$2&amp;"' : { '"&amp;S$3&amp;"' : '"&amp;S30&amp;"' , ")</f>
        <v xml:space="preserve">'paymentMethod' : { 'paymentType' : 'Debit' , </v>
      </c>
      <c r="T31" s="60" t="str">
        <f>IF(T30="","","'"&amp;T$3&amp;"' : '"&amp;T30&amp;"' , ")</f>
        <v xml:space="preserve">'cardScheme' : 'Visa' , </v>
      </c>
      <c r="U31" s="60" t="str">
        <f>IF(U30="","","'"&amp;U$3&amp;"' : '"&amp;U30&amp;"' } , ")</f>
        <v xml:space="preserve">'cardLast4' : '2541' } , </v>
      </c>
      <c r="V31" s="60" t="str">
        <f ca="1">IF(V30="","","'"&amp;V$3&amp;"' : "&amp;V30&amp;", ")</f>
        <v xml:space="preserve">'totalQty' : 2, </v>
      </c>
      <c r="W31" s="60" t="str">
        <f>IF(W30="","","'"&amp;W$3&amp;"' : "&amp;W30&amp;", ")</f>
        <v xml:space="preserve">'orderTotal' : 178.39, </v>
      </c>
      <c r="X31" s="60" t="str">
        <f>IF(X30="","","'"&amp;X$3&amp;"' : "&amp;X30&amp;", ")</f>
        <v xml:space="preserve">'grossTotal' : 153.45, </v>
      </c>
      <c r="Y31" s="60" t="str">
        <f>IF(Y30="","","'"&amp;Y$3&amp;"' : "&amp;Y30&amp;", ")</f>
        <v xml:space="preserve">'tax' : 19.95, </v>
      </c>
      <c r="Z31" s="60" t="str">
        <f>IF(Z30="","","'"&amp;Z$3&amp;"' : "&amp;Z30&amp;", ")</f>
        <v xml:space="preserve">'deliveryFee' : 4.99, </v>
      </c>
      <c r="AA31" s="60"/>
      <c r="AB31" s="60"/>
      <c r="AC31" s="60"/>
      <c r="AD31" s="60"/>
      <c r="AE31" s="60"/>
      <c r="AF31" s="60" t="str">
        <f>$AA$2&amp;" : "&amp;_xlfn.CONCAT("[ ",AF28:AF29,"], ")</f>
        <v xml:space="preserve">orderDetails : [ { 'productId' : '4008', 'productName' : 'Vanilla Cinnamon Roll', 'quantity' : 20, 'price' : 6.45, 'subTotal' : 129 },{ 'productId' : '4014', 'productName' : 'Pan de Coco', 'quantity' : 5, 'price' : 4.89, 'subTotal' : 24.45 }], </v>
      </c>
      <c r="AG31" s="60" t="str">
        <f>IF(AG30="","","'"&amp;AG$3&amp;"' : new Date('"&amp;TEXT(AG30,"yyyy-mm-dd")&amp;"'), ")</f>
        <v xml:space="preserve">'orderDate' : new Date('2022-11-03'), </v>
      </c>
      <c r="AH31" s="60"/>
      <c r="AI31" s="60" t="str">
        <f>IF(AI30="","","'"&amp;AI$3&amp;"' : '"&amp;AI30&amp;"', ")</f>
        <v xml:space="preserve">'orderStatus' : 'Delivered', </v>
      </c>
      <c r="AJ31" s="60" t="str">
        <f>IF(AJ30="","","'"&amp;AJ$3&amp;"' : new Date('"&amp;TEXT(AJ30,"yyyy-mm-dd")&amp;"') ")</f>
        <v xml:space="preserve">'statusDate' : new Date('2022-11-03') </v>
      </c>
      <c r="AK31" s="60"/>
      <c r="AL31" s="59"/>
      <c r="AM31" s="58" t="str">
        <f ca="1">_xlfn.CONCAT("{ ",B31:AJ31,"} ,")</f>
        <v>{ 'emailAddress' : 'norah_fessenden@gmail.com', 'orderId' : '20221103080936', 'employeeUserName' : 'lzapanta', 'deliveryAddress' : { 'name' : 'Norah Fessenden' , 'street' : '694 Yonge Street' , 'unit' : '102' , 'city' : 'Toronto' , 'province' : 'Ontario' , 'zip' : 'M4W 1J7' , 'mobileNumber' : '416-963-8125' } , 'billingsAddress' : { 'name' : 'Norah Fessenden' , 'street' : '1751 Wallbridge Loyalist Rd' , 'city' : 'Belleville' , 'province' : 'Ontario' , 'zip' : 'K8N 1L9' , 'mobileNumber' : '613-847-5941' } , 'paymentMethod' : { 'paymentType' : 'Debit' , 'cardScheme' : 'Visa' , 'cardLast4' : '2541' } , 'totalQty' : 2, 'orderTotal' : 178.39, 'grossTotal' : 153.45, 'tax' : 19.95, 'deliveryFee' : 4.99, orderDetails : [ { 'productId' : '4008', 'productName' : 'Vanilla Cinnamon Roll', 'quantity' : 20, 'price' : 6.45, 'subTotal' : 129 },{ 'productId' : '4014', 'productName' : 'Pan de Coco', 'quantity' : 5, 'price' : 4.89, 'subTotal' : 24.45 }], 'orderDate' : new Date('2022-11-03'), 'orderStatus' : 'Delivered', 'statusDate' : new Date('2022-11-03') } ,</v>
      </c>
    </row>
    <row r="32" spans="1:39" x14ac:dyDescent="0.35">
      <c r="B32" t="s">
        <v>705</v>
      </c>
      <c r="C32" s="49" t="s">
        <v>706</v>
      </c>
      <c r="D32" t="s">
        <v>682</v>
      </c>
      <c r="E32" t="s">
        <v>327</v>
      </c>
      <c r="F32" t="s">
        <v>589</v>
      </c>
      <c r="G32" t="s">
        <v>608</v>
      </c>
      <c r="H32" t="s">
        <v>597</v>
      </c>
      <c r="I32" t="s">
        <v>453</v>
      </c>
      <c r="J32" t="s">
        <v>618</v>
      </c>
      <c r="K32" t="s">
        <v>630</v>
      </c>
      <c r="L32" t="str">
        <f t="shared" ref="L32:L35" si="24">E32</f>
        <v>Charlotte Altman</v>
      </c>
      <c r="M32" t="str">
        <f>VLOOKUP($B32,Customers!$B:$J,4,0)</f>
        <v>4854 Tycos Dr</v>
      </c>
      <c r="N32" t="str">
        <f>VLOOKUP($B32,Customers!$B:$J,5,0)</f>
        <v>117</v>
      </c>
      <c r="O32" t="str">
        <f>VLOOKUP($B32,Customers!$B:$J,6,0)</f>
        <v>Toronto</v>
      </c>
      <c r="P32" t="str">
        <f>VLOOKUP($B32,Customers!$B:$J,7,0)</f>
        <v>Ontario</v>
      </c>
      <c r="Q32" t="str">
        <f>VLOOKUP($B32,Customers!$B:$J,8,0)</f>
        <v>M5T 1T4</v>
      </c>
      <c r="R32" t="str">
        <f>VLOOKUP($B32,Customers!$B:$J,9,0)</f>
        <v>416-343-8934</v>
      </c>
      <c r="S32" t="str">
        <f>VLOOKUP($B32,Customers!$B:$T,16,0)</f>
        <v>Debit</v>
      </c>
      <c r="T32" t="str">
        <f>VLOOKUP($B32,Customers!$B:$T,18,0)</f>
        <v>Visa</v>
      </c>
      <c r="U32" t="str">
        <f>VLOOKUP($B32,Customers!$B:$T,19,0)</f>
        <v>6745</v>
      </c>
      <c r="V32">
        <f ca="1">COUNTIF(C:C,C32)-1</f>
        <v>3</v>
      </c>
      <c r="X32">
        <f t="shared" ref="X32:X34" si="25">AC32*AD32</f>
        <v>118.65</v>
      </c>
      <c r="Y32">
        <f t="shared" ref="Y32:Y34" si="26">ROUND(X32*13%,2)</f>
        <v>15.42</v>
      </c>
      <c r="AA32">
        <v>4017</v>
      </c>
      <c r="AB32" t="s">
        <v>84</v>
      </c>
      <c r="AC32">
        <v>21</v>
      </c>
      <c r="AD32">
        <v>5.65</v>
      </c>
      <c r="AE32">
        <f>AC32*AD32</f>
        <v>118.65</v>
      </c>
      <c r="AF32" s="54" t="str">
        <f>"{ '"&amp;AA$3&amp;"' : '"&amp;AA32&amp;"', '"&amp;AB$3&amp;"' : '"&amp;AB32&amp;"', '"&amp;AC$3&amp;"' : "&amp;AC32&amp;", '"&amp;AD$3&amp;"' : "&amp;AD32&amp;", '"&amp;AE$3&amp;"' : "&amp;AE32&amp;" },"</f>
        <v>{ 'productId' : '4017', 'productName' : 'Malunggay Bread', 'quantity' : 21, 'price' : 5.65, 'subTotal' : 118.65 },</v>
      </c>
      <c r="AG32" s="48">
        <v>44868</v>
      </c>
      <c r="AH32" s="50" t="s">
        <v>707</v>
      </c>
      <c r="AI32" t="s">
        <v>755</v>
      </c>
      <c r="AJ32" s="48">
        <f>AG32</f>
        <v>44868</v>
      </c>
      <c r="AK32" t="s">
        <v>708</v>
      </c>
    </row>
    <row r="33" spans="1:39" x14ac:dyDescent="0.35">
      <c r="B33" t="s">
        <v>705</v>
      </c>
      <c r="C33" t="s">
        <v>706</v>
      </c>
      <c r="D33" t="s">
        <v>682</v>
      </c>
      <c r="E33" t="s">
        <v>327</v>
      </c>
      <c r="F33" t="s">
        <v>589</v>
      </c>
      <c r="G33" t="s">
        <v>608</v>
      </c>
      <c r="H33" t="s">
        <v>597</v>
      </c>
      <c r="I33" t="s">
        <v>453</v>
      </c>
      <c r="J33" t="s">
        <v>618</v>
      </c>
      <c r="K33" t="s">
        <v>630</v>
      </c>
      <c r="L33" t="str">
        <f t="shared" si="24"/>
        <v>Charlotte Altman</v>
      </c>
      <c r="M33" t="str">
        <f>VLOOKUP($B33,Customers!$B:$J,4,0)</f>
        <v>4854 Tycos Dr</v>
      </c>
      <c r="N33" t="str">
        <f>VLOOKUP($B33,Customers!$B:$J,5,0)</f>
        <v>117</v>
      </c>
      <c r="O33" t="str">
        <f>VLOOKUP($B33,Customers!$B:$J,6,0)</f>
        <v>Toronto</v>
      </c>
      <c r="P33" t="str">
        <f>VLOOKUP($B33,Customers!$B:$J,7,0)</f>
        <v>Ontario</v>
      </c>
      <c r="Q33" t="str">
        <f>VLOOKUP($B33,Customers!$B:$J,8,0)</f>
        <v>M5T 1T4</v>
      </c>
      <c r="R33" t="str">
        <f>VLOOKUP($B33,Customers!$B:$J,9,0)</f>
        <v>416-343-8934</v>
      </c>
      <c r="S33" t="str">
        <f>VLOOKUP($B33,Customers!$B:$T,16,0)</f>
        <v>Debit</v>
      </c>
      <c r="T33" t="str">
        <f>VLOOKUP($B33,Customers!$B:$T,18,0)</f>
        <v>Visa</v>
      </c>
      <c r="U33" t="str">
        <f>VLOOKUP($B33,Customers!$B:$T,19,0)</f>
        <v>6745</v>
      </c>
      <c r="V33">
        <f ca="1">COUNTIF(C:C,C33)-1</f>
        <v>3</v>
      </c>
      <c r="X33">
        <f t="shared" si="25"/>
        <v>64.5</v>
      </c>
      <c r="Y33">
        <f t="shared" si="26"/>
        <v>8.39</v>
      </c>
      <c r="AA33">
        <v>4019</v>
      </c>
      <c r="AB33" t="s">
        <v>86</v>
      </c>
      <c r="AC33">
        <v>10</v>
      </c>
      <c r="AD33">
        <v>6.45</v>
      </c>
      <c r="AE33">
        <f>AC33*AD33</f>
        <v>64.5</v>
      </c>
      <c r="AF33" s="54" t="str">
        <f>"{ '"&amp;AA$3&amp;"' : '"&amp;AA33&amp;"', '"&amp;AB$3&amp;"' : '"&amp;AB33&amp;"', '"&amp;AC$3&amp;"' : "&amp;AC33&amp;", '"&amp;AD$3&amp;"' : "&amp;AD33&amp;", '"&amp;AE$3&amp;"' : "&amp;AE33&amp;" },"</f>
        <v>{ 'productId' : '4019', 'productName' : 'Cinnammon Swirl and Raisen Bagel', 'quantity' : 10, 'price' : 6.45, 'subTotal' : 64.5 },</v>
      </c>
      <c r="AG33" s="48">
        <v>44868</v>
      </c>
      <c r="AH33" s="48" t="str">
        <f t="shared" ref="AH33:AJ35" si="27">AH32</f>
        <v>113112</v>
      </c>
      <c r="AI33" t="str">
        <f t="shared" si="27"/>
        <v>Delivered</v>
      </c>
      <c r="AJ33" s="48">
        <f t="shared" si="27"/>
        <v>44868</v>
      </c>
    </row>
    <row r="34" spans="1:39" x14ac:dyDescent="0.35">
      <c r="B34" t="s">
        <v>705</v>
      </c>
      <c r="C34" t="s">
        <v>706</v>
      </c>
      <c r="D34" t="s">
        <v>682</v>
      </c>
      <c r="E34" t="s">
        <v>327</v>
      </c>
      <c r="F34" t="s">
        <v>589</v>
      </c>
      <c r="G34" t="s">
        <v>608</v>
      </c>
      <c r="H34" t="s">
        <v>597</v>
      </c>
      <c r="I34" t="s">
        <v>453</v>
      </c>
      <c r="J34" t="s">
        <v>618</v>
      </c>
      <c r="K34" t="s">
        <v>630</v>
      </c>
      <c r="L34" t="str">
        <f t="shared" si="24"/>
        <v>Charlotte Altman</v>
      </c>
      <c r="M34" t="str">
        <f>VLOOKUP($B34,Customers!$B:$J,4,0)</f>
        <v>4854 Tycos Dr</v>
      </c>
      <c r="N34" t="str">
        <f>VLOOKUP($B34,Customers!$B:$J,5,0)</f>
        <v>117</v>
      </c>
      <c r="O34" t="str">
        <f>VLOOKUP($B34,Customers!$B:$J,6,0)</f>
        <v>Toronto</v>
      </c>
      <c r="P34" t="str">
        <f>VLOOKUP($B34,Customers!$B:$J,7,0)</f>
        <v>Ontario</v>
      </c>
      <c r="Q34" t="str">
        <f>VLOOKUP($B34,Customers!$B:$J,8,0)</f>
        <v>M5T 1T4</v>
      </c>
      <c r="R34" t="str">
        <f>VLOOKUP($B34,Customers!$B:$J,9,0)</f>
        <v>416-343-8934</v>
      </c>
      <c r="S34" t="str">
        <f>VLOOKUP($B34,Customers!$B:$T,16,0)</f>
        <v>Debit</v>
      </c>
      <c r="T34" t="str">
        <f>VLOOKUP($B34,Customers!$B:$T,18,0)</f>
        <v>Visa</v>
      </c>
      <c r="U34" t="str">
        <f>VLOOKUP($B34,Customers!$B:$T,19,0)</f>
        <v>6745</v>
      </c>
      <c r="V34">
        <f ca="1">COUNTIF(C:C,C34)-1</f>
        <v>3</v>
      </c>
      <c r="X34">
        <f t="shared" si="25"/>
        <v>13.5</v>
      </c>
      <c r="Y34">
        <f t="shared" si="26"/>
        <v>1.76</v>
      </c>
      <c r="AA34">
        <v>4020</v>
      </c>
      <c r="AB34" t="s">
        <v>87</v>
      </c>
      <c r="AC34">
        <v>2</v>
      </c>
      <c r="AD34">
        <v>6.75</v>
      </c>
      <c r="AE34">
        <f>AC34*AD34</f>
        <v>13.5</v>
      </c>
      <c r="AF34" s="54" t="str">
        <f>"{ '"&amp;AA$3&amp;"' : '"&amp;AA34&amp;"', '"&amp;AB$3&amp;"' : '"&amp;AB34&amp;"', '"&amp;AC$3&amp;"' : "&amp;AC34&amp;", '"&amp;AD$3&amp;"' : "&amp;AD34&amp;", '"&amp;AE$3&amp;"' : "&amp;AE34&amp;" }"</f>
        <v>{ 'productId' : '4020', 'productName' : 'Cherry Vanilla Bagel', 'quantity' : 2, 'price' : 6.75, 'subTotal' : 13.5 }</v>
      </c>
      <c r="AG34" s="48">
        <v>44868</v>
      </c>
      <c r="AH34" s="48" t="str">
        <f t="shared" si="27"/>
        <v>113112</v>
      </c>
      <c r="AI34" t="str">
        <f t="shared" si="27"/>
        <v>Delivered</v>
      </c>
      <c r="AJ34" s="48">
        <f t="shared" si="27"/>
        <v>44868</v>
      </c>
    </row>
    <row r="35" spans="1:39" x14ac:dyDescent="0.35">
      <c r="A35" t="s">
        <v>759</v>
      </c>
      <c r="B35" t="s">
        <v>705</v>
      </c>
      <c r="C35" t="s">
        <v>706</v>
      </c>
      <c r="D35" t="s">
        <v>682</v>
      </c>
      <c r="E35" t="s">
        <v>327</v>
      </c>
      <c r="F35" t="s">
        <v>589</v>
      </c>
      <c r="G35" t="s">
        <v>608</v>
      </c>
      <c r="H35" t="s">
        <v>597</v>
      </c>
      <c r="I35" t="s">
        <v>453</v>
      </c>
      <c r="J35" t="s">
        <v>618</v>
      </c>
      <c r="K35" t="s">
        <v>630</v>
      </c>
      <c r="L35" t="str">
        <f t="shared" si="24"/>
        <v>Charlotte Altman</v>
      </c>
      <c r="M35" t="str">
        <f>VLOOKUP($B35,Customers!$B:$J,4,0)</f>
        <v>4854 Tycos Dr</v>
      </c>
      <c r="N35" t="str">
        <f>VLOOKUP($B35,Customers!$B:$J,5,0)</f>
        <v>117</v>
      </c>
      <c r="O35" t="str">
        <f>VLOOKUP($B35,Customers!$B:$J,6,0)</f>
        <v>Toronto</v>
      </c>
      <c r="P35" t="str">
        <f>VLOOKUP($B35,Customers!$B:$J,7,0)</f>
        <v>Ontario</v>
      </c>
      <c r="Q35" t="str">
        <f>VLOOKUP($B35,Customers!$B:$J,8,0)</f>
        <v>M5T 1T4</v>
      </c>
      <c r="R35" t="str">
        <f>VLOOKUP($B35,Customers!$B:$J,9,0)</f>
        <v>416-343-8934</v>
      </c>
      <c r="S35" t="str">
        <f>VLOOKUP($B35,Customers!$B:$T,16,0)</f>
        <v>Debit</v>
      </c>
      <c r="T35" t="str">
        <f>VLOOKUP($B35,Customers!$B:$T,18,0)</f>
        <v>Visa</v>
      </c>
      <c r="U35" t="str">
        <f>VLOOKUP($B35,Customers!$B:$T,19,0)</f>
        <v>6745</v>
      </c>
      <c r="V35">
        <f ca="1">COUNTIF(C:C,C35)-1</f>
        <v>3</v>
      </c>
      <c r="W35">
        <f>SUM(X35:Z35)</f>
        <v>227.21</v>
      </c>
      <c r="X35">
        <f>SUM(X32:X34)</f>
        <v>196.65</v>
      </c>
      <c r="Y35">
        <f>SUM(Y32:Y34)</f>
        <v>25.570000000000004</v>
      </c>
      <c r="Z35">
        <v>4.99</v>
      </c>
      <c r="AF35" s="54"/>
      <c r="AG35" s="48">
        <f>AG34</f>
        <v>44868</v>
      </c>
      <c r="AH35" s="48"/>
      <c r="AI35" t="str">
        <f t="shared" si="27"/>
        <v>Delivered</v>
      </c>
      <c r="AJ35" s="48">
        <f t="shared" si="27"/>
        <v>44868</v>
      </c>
    </row>
    <row r="36" spans="1:39" s="58" customFormat="1" ht="58" x14ac:dyDescent="0.35">
      <c r="A36" s="60" t="s">
        <v>760</v>
      </c>
      <c r="B36" s="60" t="str">
        <f>IF(B35="","","'"&amp;B$3&amp;"' : '"&amp;B35&amp;"', ")</f>
        <v xml:space="preserve">'emailAddress' : 'altmancharlotte@gmail.com', </v>
      </c>
      <c r="C36" s="60" t="str">
        <f>IF(C35="","","'"&amp;C$3&amp;"' : '"&amp;C35&amp;"', ")</f>
        <v xml:space="preserve">'orderId' : '20221103113112', </v>
      </c>
      <c r="D36" s="60" t="str">
        <f>IF(D35="","","'"&amp;D$3&amp;"' : '"&amp;D35&amp;"', ")</f>
        <v xml:space="preserve">'employeeUserName' : 'mjones', </v>
      </c>
      <c r="E36" s="60" t="str">
        <f>IF(E35="","","'"&amp;$F$2&amp;"' : { '"&amp;E$3&amp;"' : '"&amp;E35&amp;"' , ")</f>
        <v xml:space="preserve">'deliveryAddress' : { 'name' : 'Charlotte Altman' , </v>
      </c>
      <c r="F36" s="60" t="str">
        <f>IF(F35="","","'"&amp;F$3&amp;"' : '"&amp;F35&amp;"' , ")</f>
        <v xml:space="preserve">'street' : '4554 chemin Georges' , </v>
      </c>
      <c r="G36" s="60" t="str">
        <f>IF(G35="","","'"&amp;G$3&amp;"' : '"&amp;G35&amp;"' , ")</f>
        <v xml:space="preserve">'unit' : '108' , </v>
      </c>
      <c r="H36" s="60" t="str">
        <f>IF(H35="","","'"&amp;H$3&amp;"' : '"&amp;H35&amp;"' , ")</f>
        <v xml:space="preserve">'city' : 'St Felix De Valois' , </v>
      </c>
      <c r="I36" s="60" t="str">
        <f>IF(I35="","","'"&amp;I$3&amp;"' : '"&amp;I35&amp;"' , ")</f>
        <v xml:space="preserve">'province' : 'Quebec' , </v>
      </c>
      <c r="J36" s="60" t="str">
        <f>IF(J35="","","'"&amp;J$3&amp;"' : '"&amp;J35&amp;"' , ")</f>
        <v xml:space="preserve">'zip' : 'J0K 2M0' , </v>
      </c>
      <c r="K36" s="60" t="str">
        <f>IF(K35="","","'"&amp;K$3&amp;"' : '"&amp;K35&amp;"' } , ")</f>
        <v xml:space="preserve">'mobileNumber' : '450-889-2867' } , </v>
      </c>
      <c r="L36" s="60" t="str">
        <f>IF(L35="","","'"&amp;$L$2&amp;"' : { '"&amp;L$3&amp;"' : '"&amp;L35&amp;"' , ")</f>
        <v xml:space="preserve">'billingsAddress' : { 'name' : 'Charlotte Altman' , </v>
      </c>
      <c r="M36" s="60" t="str">
        <f>IF(M35="","","'"&amp;M$3&amp;"' : '"&amp;M35&amp;"' , ")</f>
        <v xml:space="preserve">'street' : '4854 Tycos Dr' , </v>
      </c>
      <c r="N36" s="60" t="str">
        <f>IF(N35="","","'"&amp;N$3&amp;"' : '"&amp;N35&amp;"' , ")</f>
        <v xml:space="preserve">'unit' : '117' , </v>
      </c>
      <c r="O36" s="60" t="str">
        <f>IF(O35="","","'"&amp;O$3&amp;"' : '"&amp;O35&amp;"' , ")</f>
        <v xml:space="preserve">'city' : 'Toronto' , </v>
      </c>
      <c r="P36" s="60" t="str">
        <f>IF(P35="","","'"&amp;P$3&amp;"' : '"&amp;P35&amp;"' , ")</f>
        <v xml:space="preserve">'province' : 'Ontario' , </v>
      </c>
      <c r="Q36" s="60" t="str">
        <f>IF(Q35="","","'"&amp;Q$3&amp;"' : '"&amp;Q35&amp;"' , ")</f>
        <v xml:space="preserve">'zip' : 'M5T 1T4' , </v>
      </c>
      <c r="R36" s="60" t="str">
        <f>IF(R35="","","'"&amp;R$3&amp;"' : '"&amp;R35&amp;"' } , ")</f>
        <v xml:space="preserve">'mobileNumber' : '416-343-8934' } , </v>
      </c>
      <c r="S36" s="60" t="str">
        <f>IF(S35="","","'"&amp;$S$2&amp;"' : { '"&amp;S$3&amp;"' : '"&amp;S35&amp;"' , ")</f>
        <v xml:space="preserve">'paymentMethod' : { 'paymentType' : 'Debit' , </v>
      </c>
      <c r="T36" s="60" t="str">
        <f>IF(T35="","","'"&amp;T$3&amp;"' : '"&amp;T35&amp;"' , ")</f>
        <v xml:space="preserve">'cardScheme' : 'Visa' , </v>
      </c>
      <c r="U36" s="60" t="str">
        <f>IF(U35="","","'"&amp;U$3&amp;"' : '"&amp;U35&amp;"' } , ")</f>
        <v xml:space="preserve">'cardLast4' : '6745' } , </v>
      </c>
      <c r="V36" s="60" t="str">
        <f ca="1">IF(V35="","","'"&amp;V$3&amp;"' : "&amp;V35&amp;", ")</f>
        <v xml:space="preserve">'totalQty' : 3, </v>
      </c>
      <c r="W36" s="60" t="str">
        <f>IF(W35="","","'"&amp;W$3&amp;"' : "&amp;W35&amp;", ")</f>
        <v xml:space="preserve">'orderTotal' : 227.21, </v>
      </c>
      <c r="X36" s="60" t="str">
        <f>IF(X35="","","'"&amp;X$3&amp;"' : "&amp;X35&amp;", ")</f>
        <v xml:space="preserve">'grossTotal' : 196.65, </v>
      </c>
      <c r="Y36" s="60" t="str">
        <f>IF(Y35="","","'"&amp;Y$3&amp;"' : "&amp;Y35&amp;", ")</f>
        <v xml:space="preserve">'tax' : 25.57, </v>
      </c>
      <c r="Z36" s="60" t="str">
        <f>IF(Z35="","","'"&amp;Z$3&amp;"' : "&amp;Z35&amp;", ")</f>
        <v xml:space="preserve">'deliveryFee' : 4.99, </v>
      </c>
      <c r="AA36" s="60"/>
      <c r="AB36" s="60"/>
      <c r="AC36" s="60"/>
      <c r="AD36" s="60"/>
      <c r="AE36" s="60"/>
      <c r="AF36" s="60" t="str">
        <f>$AA$2&amp;" : "&amp;_xlfn.CONCAT("[ ",AF32:AF34,"], ")</f>
        <v xml:space="preserve">orderDetails : [ { 'productId' : '4017', 'productName' : 'Malunggay Bread', 'quantity' : 21, 'price' : 5.65, 'subTotal' : 118.65 },{ 'productId' : '4019', 'productName' : 'Cinnammon Swirl and Raisen Bagel', 'quantity' : 10, 'price' : 6.45, 'subTotal' : 64.5 },{ 'productId' : '4020', 'productName' : 'Cherry Vanilla Bagel', 'quantity' : 2, 'price' : 6.75, 'subTotal' : 13.5 }], </v>
      </c>
      <c r="AG36" s="60" t="str">
        <f>IF(AG35="","","'"&amp;AG$3&amp;"' : new Date('"&amp;TEXT(AG35,"yyyy-mm-dd")&amp;"'), ")</f>
        <v xml:space="preserve">'orderDate' : new Date('2022-11-03'), </v>
      </c>
      <c r="AH36" s="60"/>
      <c r="AI36" s="60" t="str">
        <f>IF(AI35="","","'"&amp;AI$3&amp;"' : '"&amp;AI35&amp;"', ")</f>
        <v xml:space="preserve">'orderStatus' : 'Delivered', </v>
      </c>
      <c r="AJ36" s="60" t="str">
        <f>IF(AJ35="","","'"&amp;AJ$3&amp;"' : new Date('"&amp;TEXT(AJ35,"yyyy-mm-dd")&amp;"') ")</f>
        <v xml:space="preserve">'statusDate' : new Date('2022-11-03') </v>
      </c>
      <c r="AK36" s="60"/>
      <c r="AL36" s="59"/>
      <c r="AM36" s="58" t="str">
        <f ca="1">_xlfn.CONCAT("{ ",B36:AJ36,"} ,")</f>
        <v>{ 'emailAddress' : 'altmancharlotte@gmail.com', 'orderId' : '20221103113112', 'employeeUserName' : 'mjones', 'deliveryAddress' : { 'name' : 'Charlotte Altman' , 'street' : '4554 chemin Georges' , 'unit' : '108' , 'city' : 'St Felix De Valois' , 'province' : 'Quebec' , 'zip' : 'J0K 2M0' , 'mobileNumber' : '450-889-2867' } , 'billingsAddress' : { 'name' : 'Charlotte Altman' , 'street' : '4854 Tycos Dr' , 'unit' : '117' , 'city' : 'Toronto' , 'province' : 'Ontario' , 'zip' : 'M5T 1T4' , 'mobileNumber' : '416-343-8934' } , 'paymentMethod' : { 'paymentType' : 'Debit' , 'cardScheme' : 'Visa' , 'cardLast4' : '6745' } , 'totalQty' : 3, 'orderTotal' : 227.21, 'grossTotal' : 196.65, 'tax' : 25.57, 'deliveryFee' : 4.99, orderDetails : [ { 'productId' : '4017', 'productName' : 'Malunggay Bread', 'quantity' : 21, 'price' : 5.65, 'subTotal' : 118.65 },{ 'productId' : '4019', 'productName' : 'Cinnammon Swirl and Raisen Bagel', 'quantity' : 10, 'price' : 6.45, 'subTotal' : 64.5 },{ 'productId' : '4020', 'productName' : 'Cherry Vanilla Bagel', 'quantity' : 2, 'price' : 6.75, 'subTotal' : 13.5 }], 'orderDate' : new Date('2022-11-03'), 'orderStatus' : 'Delivered', 'statusDate' : new Date('2022-11-03') } ,</v>
      </c>
    </row>
    <row r="37" spans="1:39" x14ac:dyDescent="0.35">
      <c r="B37" t="s">
        <v>709</v>
      </c>
      <c r="C37" s="49" t="s">
        <v>710</v>
      </c>
      <c r="D37" t="s">
        <v>681</v>
      </c>
      <c r="E37" t="s">
        <v>323</v>
      </c>
      <c r="F37" t="s">
        <v>418</v>
      </c>
      <c r="G37" t="s">
        <v>575</v>
      </c>
      <c r="H37" t="s">
        <v>442</v>
      </c>
      <c r="I37" t="s">
        <v>26</v>
      </c>
      <c r="J37" t="s">
        <v>476</v>
      </c>
      <c r="K37" t="s">
        <v>506</v>
      </c>
      <c r="L37" t="str">
        <f t="shared" ref="L37:L39" si="28">E37</f>
        <v>Donovan Markle</v>
      </c>
      <c r="M37" t="str">
        <f>VLOOKUP($B37,Customers!$B:$J,4,0)</f>
        <v>4337 Algonquin Blvd</v>
      </c>
      <c r="N37" t="str">
        <f>VLOOKUP($B37,Customers!$B:$J,5,0)</f>
        <v>216</v>
      </c>
      <c r="O37" t="str">
        <f>VLOOKUP($B37,Customers!$B:$J,6,0)</f>
        <v>Timmins</v>
      </c>
      <c r="P37" t="str">
        <f>VLOOKUP($B37,Customers!$B:$J,7,0)</f>
        <v>Ontario</v>
      </c>
      <c r="Q37" t="str">
        <f>VLOOKUP($B37,Customers!$B:$J,8,0)</f>
        <v>P4N 7C4</v>
      </c>
      <c r="R37" t="str">
        <f>VLOOKUP($B37,Customers!$B:$J,9,0)</f>
        <v>705-668-1540</v>
      </c>
      <c r="S37" t="str">
        <f>VLOOKUP($B37,Customers!$B:$T,16,0)</f>
        <v>Credit</v>
      </c>
      <c r="T37" t="str">
        <f>VLOOKUP($B37,Customers!$B:$T,18,0)</f>
        <v>Visa</v>
      </c>
      <c r="U37" t="str">
        <f>VLOOKUP($B37,Customers!$B:$T,19,0)</f>
        <v>4070</v>
      </c>
      <c r="V37">
        <f ca="1">COUNTIF(C:C,C37)-1</f>
        <v>2</v>
      </c>
      <c r="X37">
        <f t="shared" ref="X37:X38" si="29">AC37*AD37</f>
        <v>73.45</v>
      </c>
      <c r="Y37">
        <f t="shared" ref="Y37:Y38" si="30">ROUND(X37*13%,2)</f>
        <v>9.5500000000000007</v>
      </c>
      <c r="AA37">
        <v>4017</v>
      </c>
      <c r="AB37" t="s">
        <v>84</v>
      </c>
      <c r="AC37">
        <v>13</v>
      </c>
      <c r="AD37">
        <v>5.65</v>
      </c>
      <c r="AE37">
        <f>AC37*AD37</f>
        <v>73.45</v>
      </c>
      <c r="AF37" s="54" t="str">
        <f>"{ '"&amp;AA$3&amp;"' : '"&amp;AA37&amp;"', '"&amp;AB$3&amp;"' : '"&amp;AB37&amp;"', '"&amp;AC$3&amp;"' : "&amp;AC37&amp;", '"&amp;AD$3&amp;"' : "&amp;AD37&amp;", '"&amp;AE$3&amp;"' : "&amp;AE37&amp;" },"</f>
        <v>{ 'productId' : '4017', 'productName' : 'Malunggay Bread', 'quantity' : 13, 'price' : 5.65, 'subTotal' : 73.45 },</v>
      </c>
      <c r="AG37" s="48">
        <v>44868</v>
      </c>
      <c r="AH37" s="50" t="s">
        <v>711</v>
      </c>
      <c r="AI37" t="s">
        <v>678</v>
      </c>
      <c r="AJ37" s="48">
        <f>AG37</f>
        <v>44868</v>
      </c>
      <c r="AK37" t="s">
        <v>709</v>
      </c>
    </row>
    <row r="38" spans="1:39" x14ac:dyDescent="0.35">
      <c r="B38" t="s">
        <v>709</v>
      </c>
      <c r="C38" t="s">
        <v>710</v>
      </c>
      <c r="D38" t="s">
        <v>681</v>
      </c>
      <c r="E38" t="s">
        <v>323</v>
      </c>
      <c r="F38" t="s">
        <v>418</v>
      </c>
      <c r="G38" t="s">
        <v>575</v>
      </c>
      <c r="H38" t="s">
        <v>442</v>
      </c>
      <c r="I38" t="s">
        <v>26</v>
      </c>
      <c r="J38" t="s">
        <v>476</v>
      </c>
      <c r="K38" t="s">
        <v>506</v>
      </c>
      <c r="L38" t="str">
        <f t="shared" si="28"/>
        <v>Donovan Markle</v>
      </c>
      <c r="M38" t="str">
        <f>VLOOKUP($B38,Customers!$B:$J,4,0)</f>
        <v>4337 Algonquin Blvd</v>
      </c>
      <c r="N38" t="str">
        <f>VLOOKUP($B38,Customers!$B:$J,5,0)</f>
        <v>216</v>
      </c>
      <c r="O38" t="str">
        <f>VLOOKUP($B38,Customers!$B:$J,6,0)</f>
        <v>Timmins</v>
      </c>
      <c r="P38" t="str">
        <f>VLOOKUP($B38,Customers!$B:$J,7,0)</f>
        <v>Ontario</v>
      </c>
      <c r="Q38" t="str">
        <f>VLOOKUP($B38,Customers!$B:$J,8,0)</f>
        <v>P4N 7C4</v>
      </c>
      <c r="R38" t="str">
        <f>VLOOKUP($B38,Customers!$B:$J,9,0)</f>
        <v>705-668-1540</v>
      </c>
      <c r="S38" t="str">
        <f>VLOOKUP($B38,Customers!$B:$T,16,0)</f>
        <v>Credit</v>
      </c>
      <c r="T38" t="str">
        <f>VLOOKUP($B38,Customers!$B:$T,18,0)</f>
        <v>Visa</v>
      </c>
      <c r="U38" t="str">
        <f>VLOOKUP($B38,Customers!$B:$T,19,0)</f>
        <v>4070</v>
      </c>
      <c r="V38">
        <f ca="1">COUNTIF(C:C,C38)-1</f>
        <v>2</v>
      </c>
      <c r="X38">
        <f t="shared" si="29"/>
        <v>11.98</v>
      </c>
      <c r="Y38">
        <f t="shared" si="30"/>
        <v>1.56</v>
      </c>
      <c r="AA38">
        <v>4002</v>
      </c>
      <c r="AB38" t="s">
        <v>66</v>
      </c>
      <c r="AC38">
        <v>2</v>
      </c>
      <c r="AD38">
        <v>5.99</v>
      </c>
      <c r="AE38">
        <f>AC38*AD38</f>
        <v>11.98</v>
      </c>
      <c r="AF38" s="54" t="str">
        <f>"{ '"&amp;AA$3&amp;"' : '"&amp;AA38&amp;"', '"&amp;AB$3&amp;"' : '"&amp;AB38&amp;"', '"&amp;AC$3&amp;"' : "&amp;AC38&amp;", '"&amp;AD$3&amp;"' : "&amp;AD38&amp;", '"&amp;AE$3&amp;"' : "&amp;AE38&amp;" }"</f>
        <v>{ 'productId' : '4002', 'productName' : 'Asiago Cheese Bagel', 'quantity' : 2, 'price' : 5.99, 'subTotal' : 11.98 }</v>
      </c>
      <c r="AG38" s="48">
        <v>44868</v>
      </c>
      <c r="AH38" s="48" t="str">
        <f>AH37</f>
        <v>082400</v>
      </c>
      <c r="AI38" t="str">
        <f t="shared" ref="AI38:AJ39" si="31">AI37</f>
        <v>Cancelled</v>
      </c>
      <c r="AJ38" s="48">
        <f t="shared" si="31"/>
        <v>44868</v>
      </c>
    </row>
    <row r="39" spans="1:39" x14ac:dyDescent="0.35">
      <c r="A39" t="s">
        <v>759</v>
      </c>
      <c r="B39" t="s">
        <v>709</v>
      </c>
      <c r="C39" t="s">
        <v>710</v>
      </c>
      <c r="D39" t="s">
        <v>681</v>
      </c>
      <c r="E39" t="s">
        <v>323</v>
      </c>
      <c r="F39" t="s">
        <v>418</v>
      </c>
      <c r="G39" t="s">
        <v>575</v>
      </c>
      <c r="H39" t="s">
        <v>442</v>
      </c>
      <c r="I39" t="s">
        <v>26</v>
      </c>
      <c r="J39" t="s">
        <v>476</v>
      </c>
      <c r="K39" t="s">
        <v>506</v>
      </c>
      <c r="L39" t="str">
        <f t="shared" si="28"/>
        <v>Donovan Markle</v>
      </c>
      <c r="M39" t="str">
        <f>VLOOKUP($B39,Customers!$B:$J,4,0)</f>
        <v>4337 Algonquin Blvd</v>
      </c>
      <c r="N39" t="str">
        <f>VLOOKUP($B39,Customers!$B:$J,5,0)</f>
        <v>216</v>
      </c>
      <c r="O39" t="str">
        <f>VLOOKUP($B39,Customers!$B:$J,6,0)</f>
        <v>Timmins</v>
      </c>
      <c r="P39" t="str">
        <f>VLOOKUP($B39,Customers!$B:$J,7,0)</f>
        <v>Ontario</v>
      </c>
      <c r="Q39" t="str">
        <f>VLOOKUP($B39,Customers!$B:$J,8,0)</f>
        <v>P4N 7C4</v>
      </c>
      <c r="R39" t="str">
        <f>VLOOKUP($B39,Customers!$B:$J,9,0)</f>
        <v>705-668-1540</v>
      </c>
      <c r="S39" t="str">
        <f>VLOOKUP($B39,Customers!$B:$T,16,0)</f>
        <v>Credit</v>
      </c>
      <c r="T39" t="str">
        <f>VLOOKUP($B39,Customers!$B:$T,18,0)</f>
        <v>Visa</v>
      </c>
      <c r="U39" t="str">
        <f>VLOOKUP($B39,Customers!$B:$T,19,0)</f>
        <v>4070</v>
      </c>
      <c r="V39">
        <f ca="1">COUNTIF(C:C,C39)-1</f>
        <v>2</v>
      </c>
      <c r="W39">
        <f>SUM(X39:Z39)</f>
        <v>101.53</v>
      </c>
      <c r="X39">
        <f>SUM(X37:X38)</f>
        <v>85.43</v>
      </c>
      <c r="Y39">
        <f>SUM(Y37:Y38)</f>
        <v>11.110000000000001</v>
      </c>
      <c r="Z39">
        <v>4.99</v>
      </c>
      <c r="AF39" s="54"/>
      <c r="AG39" s="48">
        <f>AG38</f>
        <v>44868</v>
      </c>
      <c r="AH39" s="48"/>
      <c r="AI39" t="str">
        <f t="shared" si="31"/>
        <v>Cancelled</v>
      </c>
      <c r="AJ39" s="48">
        <f t="shared" si="31"/>
        <v>44868</v>
      </c>
    </row>
    <row r="40" spans="1:39" s="58" customFormat="1" ht="43.5" x14ac:dyDescent="0.35">
      <c r="A40" s="60" t="s">
        <v>760</v>
      </c>
      <c r="B40" s="60" t="str">
        <f>IF(B39="","","'"&amp;B$3&amp;"' : '"&amp;B39&amp;"', ")</f>
        <v xml:space="preserve">'emailAddress' : 'donovanmarkle@gmail.com', </v>
      </c>
      <c r="C40" s="60" t="str">
        <f>IF(C39="","","'"&amp;C$3&amp;"' : '"&amp;C39&amp;"', ")</f>
        <v xml:space="preserve">'orderId' : '20221103082400', </v>
      </c>
      <c r="D40" s="60" t="str">
        <f>IF(D39="","","'"&amp;D$3&amp;"' : '"&amp;D39&amp;"', ")</f>
        <v xml:space="preserve">'employeeUserName' : 'jbartolata', </v>
      </c>
      <c r="E40" s="60" t="str">
        <f>IF(E39="","","'"&amp;$F$2&amp;"' : { '"&amp;E$3&amp;"' : '"&amp;E39&amp;"' , ")</f>
        <v xml:space="preserve">'deliveryAddress' : { 'name' : 'Donovan Markle' , </v>
      </c>
      <c r="F40" s="60" t="str">
        <f>IF(F39="","","'"&amp;F$3&amp;"' : '"&amp;F39&amp;"' , ")</f>
        <v xml:space="preserve">'street' : '4337 Algonquin Blvd' , </v>
      </c>
      <c r="G40" s="60" t="str">
        <f>IF(G39="","","'"&amp;G$3&amp;"' : '"&amp;G39&amp;"' , ")</f>
        <v xml:space="preserve">'unit' : '216' , </v>
      </c>
      <c r="H40" s="60" t="str">
        <f>IF(H39="","","'"&amp;H$3&amp;"' : '"&amp;H39&amp;"' , ")</f>
        <v xml:space="preserve">'city' : 'Timmins' , </v>
      </c>
      <c r="I40" s="60" t="str">
        <f>IF(I39="","","'"&amp;I$3&amp;"' : '"&amp;I39&amp;"' , ")</f>
        <v xml:space="preserve">'province' : 'Ontario' , </v>
      </c>
      <c r="J40" s="60" t="str">
        <f>IF(J39="","","'"&amp;J$3&amp;"' : '"&amp;J39&amp;"' , ")</f>
        <v xml:space="preserve">'zip' : 'P4N 7C4' , </v>
      </c>
      <c r="K40" s="60" t="str">
        <f>IF(K39="","","'"&amp;K$3&amp;"' : '"&amp;K39&amp;"' } , ")</f>
        <v xml:space="preserve">'mobileNumber' : '705-668-1540' } , </v>
      </c>
      <c r="L40" s="60" t="str">
        <f>IF(L39="","","'"&amp;$L$2&amp;"' : { '"&amp;L$3&amp;"' : '"&amp;L39&amp;"' , ")</f>
        <v xml:space="preserve">'billingsAddress' : { 'name' : 'Donovan Markle' , </v>
      </c>
      <c r="M40" s="60" t="str">
        <f>IF(M39="","","'"&amp;M$3&amp;"' : '"&amp;M39&amp;"' , ")</f>
        <v xml:space="preserve">'street' : '4337 Algonquin Blvd' , </v>
      </c>
      <c r="N40" s="60" t="str">
        <f>IF(N39="","","'"&amp;N$3&amp;"' : '"&amp;N39&amp;"' , ")</f>
        <v xml:space="preserve">'unit' : '216' , </v>
      </c>
      <c r="O40" s="60" t="str">
        <f>IF(O39="","","'"&amp;O$3&amp;"' : '"&amp;O39&amp;"' , ")</f>
        <v xml:space="preserve">'city' : 'Timmins' , </v>
      </c>
      <c r="P40" s="60" t="str">
        <f>IF(P39="","","'"&amp;P$3&amp;"' : '"&amp;P39&amp;"' , ")</f>
        <v xml:space="preserve">'province' : 'Ontario' , </v>
      </c>
      <c r="Q40" s="60" t="str">
        <f>IF(Q39="","","'"&amp;Q$3&amp;"' : '"&amp;Q39&amp;"' , ")</f>
        <v xml:space="preserve">'zip' : 'P4N 7C4' , </v>
      </c>
      <c r="R40" s="60" t="str">
        <f>IF(R39="","","'"&amp;R$3&amp;"' : '"&amp;R39&amp;"' } , ")</f>
        <v xml:space="preserve">'mobileNumber' : '705-668-1540' } , </v>
      </c>
      <c r="S40" s="60" t="str">
        <f>IF(S39="","","'"&amp;$S$2&amp;"' : { '"&amp;S$3&amp;"' : '"&amp;S39&amp;"' , ")</f>
        <v xml:space="preserve">'paymentMethod' : { 'paymentType' : 'Credit' , </v>
      </c>
      <c r="T40" s="60" t="str">
        <f>IF(T39="","","'"&amp;T$3&amp;"' : '"&amp;T39&amp;"' , ")</f>
        <v xml:space="preserve">'cardScheme' : 'Visa' , </v>
      </c>
      <c r="U40" s="60" t="str">
        <f>IF(U39="","","'"&amp;U$3&amp;"' : '"&amp;U39&amp;"' } , ")</f>
        <v xml:space="preserve">'cardLast4' : '4070' } , </v>
      </c>
      <c r="V40" s="60" t="str">
        <f ca="1">IF(V39="","","'"&amp;V$3&amp;"' : "&amp;V39&amp;", ")</f>
        <v xml:space="preserve">'totalQty' : 2, </v>
      </c>
      <c r="W40" s="60" t="str">
        <f>IF(W39="","","'"&amp;W$3&amp;"' : "&amp;W39&amp;", ")</f>
        <v xml:space="preserve">'orderTotal' : 101.53, </v>
      </c>
      <c r="X40" s="60" t="str">
        <f>IF(X39="","","'"&amp;X$3&amp;"' : "&amp;X39&amp;", ")</f>
        <v xml:space="preserve">'grossTotal' : 85.43, </v>
      </c>
      <c r="Y40" s="60" t="str">
        <f>IF(Y39="","","'"&amp;Y$3&amp;"' : "&amp;Y39&amp;", ")</f>
        <v xml:space="preserve">'tax' : 11.11, </v>
      </c>
      <c r="Z40" s="60" t="str">
        <f>IF(Z39="","","'"&amp;Z$3&amp;"' : "&amp;Z39&amp;", ")</f>
        <v xml:space="preserve">'deliveryFee' : 4.99, </v>
      </c>
      <c r="AA40" s="60"/>
      <c r="AB40" s="60"/>
      <c r="AC40" s="60"/>
      <c r="AD40" s="60"/>
      <c r="AE40" s="60"/>
      <c r="AF40" s="60" t="str">
        <f>$AA$2&amp;" : "&amp;_xlfn.CONCAT("[ ",AF37:AF38,"], ")</f>
        <v xml:space="preserve">orderDetails : [ { 'productId' : '4017', 'productName' : 'Malunggay Bread', 'quantity' : 13, 'price' : 5.65, 'subTotal' : 73.45 },{ 'productId' : '4002', 'productName' : 'Asiago Cheese Bagel', 'quantity' : 2, 'price' : 5.99, 'subTotal' : 11.98 }], </v>
      </c>
      <c r="AG40" s="60" t="str">
        <f>IF(AG39="","","'"&amp;AG$3&amp;"' : new Date('"&amp;TEXT(AG39,"yyyy-mm-dd")&amp;"'), ")</f>
        <v xml:space="preserve">'orderDate' : new Date('2022-11-03'), </v>
      </c>
      <c r="AH40" s="60"/>
      <c r="AI40" s="60" t="str">
        <f>IF(AI39="","","'"&amp;AI$3&amp;"' : '"&amp;AI39&amp;"', ")</f>
        <v xml:space="preserve">'orderStatus' : 'Cancelled', </v>
      </c>
      <c r="AJ40" s="60" t="str">
        <f>IF(AJ39="","","'"&amp;AJ$3&amp;"' : new Date('"&amp;TEXT(AJ39,"yyyy-mm-dd")&amp;"') ")</f>
        <v xml:space="preserve">'statusDate' : new Date('2022-11-03') </v>
      </c>
      <c r="AK40" s="60"/>
      <c r="AL40" s="59"/>
      <c r="AM40" s="58" t="str">
        <f ca="1">_xlfn.CONCAT("{ ",B40:AJ40,"} ,")</f>
        <v>{ 'emailAddress' : 'donovanmarkle@gmail.com', 'orderId' : '20221103082400', 'employeeUserName' : 'jbartolata', 'deliveryAddress' : { 'name' : 'Donovan Markle' , 'street' : '4337 Algonquin Blvd' , 'unit' : '216' , 'city' : 'Timmins' , 'province' : 'Ontario' , 'zip' : 'P4N 7C4' , 'mobileNumber' : '705-668-1540' } , 'billingsAddress' : { 'name' : 'Donovan Markle' , 'street' : '4337 Algonquin Blvd' , 'unit' : '216' , 'city' : 'Timmins' , 'province' : 'Ontario' , 'zip' : 'P4N 7C4' , 'mobileNumber' : '705-668-1540' } , 'paymentMethod' : { 'paymentType' : 'Credit' , 'cardScheme' : 'Visa' , 'cardLast4' : '4070' } , 'totalQty' : 2, 'orderTotal' : 101.53, 'grossTotal' : 85.43, 'tax' : 11.11, 'deliveryFee' : 4.99, orderDetails : [ { 'productId' : '4017', 'productName' : 'Malunggay Bread', 'quantity' : 13, 'price' : 5.65, 'subTotal' : 73.45 },{ 'productId' : '4002', 'productName' : 'Asiago Cheese Bagel', 'quantity' : 2, 'price' : 5.99, 'subTotal' : 11.98 }], 'orderDate' : new Date('2022-11-03'), 'orderStatus' : 'Cancelled', 'statusDate' : new Date('2022-11-03') } ,</v>
      </c>
    </row>
    <row r="41" spans="1:39" x14ac:dyDescent="0.35">
      <c r="B41" t="s">
        <v>712</v>
      </c>
      <c r="C41" s="49" t="s">
        <v>713</v>
      </c>
      <c r="D41" t="s">
        <v>680</v>
      </c>
      <c r="E41" t="s">
        <v>340</v>
      </c>
      <c r="F41" t="s">
        <v>406</v>
      </c>
      <c r="G41" t="s">
        <v>575</v>
      </c>
      <c r="H41" t="s">
        <v>431</v>
      </c>
      <c r="I41" t="s">
        <v>26</v>
      </c>
      <c r="J41" t="s">
        <v>467</v>
      </c>
      <c r="K41" t="s">
        <v>494</v>
      </c>
      <c r="L41" t="str">
        <f t="shared" ref="L41:L43" si="32">E41</f>
        <v>Scarlett David</v>
      </c>
      <c r="M41" t="str">
        <f>VLOOKUP($B41,Customers!$B:$J,4,0)</f>
        <v>1220 Tycos Dr</v>
      </c>
      <c r="O41" t="str">
        <f>VLOOKUP($B41,Customers!$B:$J,6,0)</f>
        <v>Toronto</v>
      </c>
      <c r="P41" t="str">
        <f>VLOOKUP($B41,Customers!$B:$J,7,0)</f>
        <v>Ontario</v>
      </c>
      <c r="Q41" t="str">
        <f>VLOOKUP($B41,Customers!$B:$J,8,0)</f>
        <v>M5T 1T4</v>
      </c>
      <c r="R41" t="str">
        <f>VLOOKUP($B41,Customers!$B:$J,9,0)</f>
        <v>416-595-0997</v>
      </c>
      <c r="S41" t="str">
        <f>VLOOKUP($B41,Customers!$B:$T,16,0)</f>
        <v>Debit</v>
      </c>
      <c r="T41" t="str">
        <f>VLOOKUP($B41,Customers!$B:$T,18,0)</f>
        <v>Visa</v>
      </c>
      <c r="U41" t="str">
        <f>VLOOKUP($B41,Customers!$B:$T,19,0)</f>
        <v>9741</v>
      </c>
      <c r="V41">
        <f ca="1">COUNTIF(C:C,C41)-1</f>
        <v>2</v>
      </c>
      <c r="X41">
        <f t="shared" ref="X41:X42" si="33">AC41*AD41</f>
        <v>37.450000000000003</v>
      </c>
      <c r="Y41">
        <f t="shared" ref="Y41:Y42" si="34">ROUND(X41*13%,2)</f>
        <v>4.87</v>
      </c>
      <c r="AA41">
        <v>4004</v>
      </c>
      <c r="AB41" t="s">
        <v>68</v>
      </c>
      <c r="AC41">
        <v>5</v>
      </c>
      <c r="AD41">
        <v>7.49</v>
      </c>
      <c r="AE41">
        <f>AC41*AD41</f>
        <v>37.450000000000003</v>
      </c>
      <c r="AF41" s="54" t="str">
        <f>"{ '"&amp;AA$3&amp;"' : '"&amp;AA41&amp;"', '"&amp;AB$3&amp;"' : '"&amp;AB41&amp;"', '"&amp;AC$3&amp;"' : "&amp;AC41&amp;", '"&amp;AD$3&amp;"' : "&amp;AD41&amp;", '"&amp;AE$3&amp;"' : "&amp;AE41&amp;" },"</f>
        <v>{ 'productId' : '4004', 'productName' : 'Everything Bagel', 'quantity' : 5, 'price' : 7.49, 'subTotal' : 37.45 },</v>
      </c>
      <c r="AG41" s="48">
        <v>44868</v>
      </c>
      <c r="AH41" s="50" t="s">
        <v>714</v>
      </c>
      <c r="AI41" t="s">
        <v>755</v>
      </c>
      <c r="AJ41" s="48">
        <f>AG41</f>
        <v>44868</v>
      </c>
      <c r="AK41" t="s">
        <v>712</v>
      </c>
    </row>
    <row r="42" spans="1:39" x14ac:dyDescent="0.35">
      <c r="B42" t="s">
        <v>712</v>
      </c>
      <c r="C42" t="s">
        <v>713</v>
      </c>
      <c r="D42" t="s">
        <v>680</v>
      </c>
      <c r="E42" t="s">
        <v>340</v>
      </c>
      <c r="F42" t="s">
        <v>406</v>
      </c>
      <c r="G42" t="s">
        <v>575</v>
      </c>
      <c r="H42" t="s">
        <v>431</v>
      </c>
      <c r="I42" t="s">
        <v>26</v>
      </c>
      <c r="J42" t="s">
        <v>467</v>
      </c>
      <c r="K42" t="s">
        <v>494</v>
      </c>
      <c r="L42" t="str">
        <f t="shared" si="32"/>
        <v>Scarlett David</v>
      </c>
      <c r="M42" t="str">
        <f>VLOOKUP($B42,Customers!$B:$J,4,0)</f>
        <v>1220 Tycos Dr</v>
      </c>
      <c r="O42" t="str">
        <f>VLOOKUP($B42,Customers!$B:$J,6,0)</f>
        <v>Toronto</v>
      </c>
      <c r="P42" t="str">
        <f>VLOOKUP($B42,Customers!$B:$J,7,0)</f>
        <v>Ontario</v>
      </c>
      <c r="Q42" t="str">
        <f>VLOOKUP($B42,Customers!$B:$J,8,0)</f>
        <v>M5T 1T4</v>
      </c>
      <c r="R42" t="str">
        <f>VLOOKUP($B42,Customers!$B:$J,9,0)</f>
        <v>416-595-0997</v>
      </c>
      <c r="S42" t="str">
        <f>VLOOKUP($B42,Customers!$B:$T,16,0)</f>
        <v>Debit</v>
      </c>
      <c r="T42" t="str">
        <f>VLOOKUP($B42,Customers!$B:$T,18,0)</f>
        <v>Visa</v>
      </c>
      <c r="U42" t="str">
        <f>VLOOKUP($B42,Customers!$B:$T,19,0)</f>
        <v>9741</v>
      </c>
      <c r="V42">
        <f ca="1">COUNTIF(C:C,C42)-1</f>
        <v>2</v>
      </c>
      <c r="X42">
        <f t="shared" si="33"/>
        <v>99.800000000000011</v>
      </c>
      <c r="Y42">
        <f t="shared" si="34"/>
        <v>12.97</v>
      </c>
      <c r="AA42">
        <v>5002</v>
      </c>
      <c r="AB42" t="s">
        <v>92</v>
      </c>
      <c r="AC42">
        <v>20</v>
      </c>
      <c r="AD42">
        <v>4.99</v>
      </c>
      <c r="AE42">
        <f>AC42*AD42</f>
        <v>99.800000000000011</v>
      </c>
      <c r="AF42" s="54" t="str">
        <f>"{ '"&amp;AA$3&amp;"' : '"&amp;AA42&amp;"', '"&amp;AB$3&amp;"' : '"&amp;AB42&amp;"', '"&amp;AC$3&amp;"' : "&amp;AC42&amp;", '"&amp;AD$3&amp;"' : "&amp;AD42&amp;", '"&amp;AE$3&amp;"' : "&amp;AE42&amp;" }"</f>
        <v>{ 'productId' : '5002', 'productName' : 'Greek Yougurt with mixed Berries', 'quantity' : 20, 'price' : 4.99, 'subTotal' : 99.8 }</v>
      </c>
      <c r="AG42" s="48">
        <v>44868</v>
      </c>
      <c r="AH42" s="48" t="str">
        <f>AH41</f>
        <v>085248</v>
      </c>
      <c r="AI42" t="str">
        <f t="shared" ref="AI42:AJ43" si="35">AI41</f>
        <v>Delivered</v>
      </c>
      <c r="AJ42" s="48">
        <f t="shared" si="35"/>
        <v>44868</v>
      </c>
    </row>
    <row r="43" spans="1:39" x14ac:dyDescent="0.35">
      <c r="A43" t="s">
        <v>759</v>
      </c>
      <c r="B43" t="s">
        <v>712</v>
      </c>
      <c r="C43" t="s">
        <v>713</v>
      </c>
      <c r="D43" t="s">
        <v>680</v>
      </c>
      <c r="E43" t="s">
        <v>340</v>
      </c>
      <c r="F43" t="s">
        <v>406</v>
      </c>
      <c r="G43" t="s">
        <v>575</v>
      </c>
      <c r="H43" t="s">
        <v>431</v>
      </c>
      <c r="I43" t="s">
        <v>26</v>
      </c>
      <c r="J43" t="s">
        <v>467</v>
      </c>
      <c r="K43" t="s">
        <v>494</v>
      </c>
      <c r="L43" t="str">
        <f t="shared" si="32"/>
        <v>Scarlett David</v>
      </c>
      <c r="M43" t="str">
        <f>VLOOKUP($B43,Customers!$B:$J,4,0)</f>
        <v>1220 Tycos Dr</v>
      </c>
      <c r="O43" t="str">
        <f>VLOOKUP($B43,Customers!$B:$J,6,0)</f>
        <v>Toronto</v>
      </c>
      <c r="P43" t="str">
        <f>VLOOKUP($B43,Customers!$B:$J,7,0)</f>
        <v>Ontario</v>
      </c>
      <c r="Q43" t="str">
        <f>VLOOKUP($B43,Customers!$B:$J,8,0)</f>
        <v>M5T 1T4</v>
      </c>
      <c r="R43" t="str">
        <f>VLOOKUP($B43,Customers!$B:$J,9,0)</f>
        <v>416-595-0997</v>
      </c>
      <c r="S43" t="str">
        <f>VLOOKUP($B43,Customers!$B:$T,16,0)</f>
        <v>Debit</v>
      </c>
      <c r="T43" t="str">
        <f>VLOOKUP($B43,Customers!$B:$T,18,0)</f>
        <v>Visa</v>
      </c>
      <c r="U43" t="str">
        <f>VLOOKUP($B43,Customers!$B:$T,19,0)</f>
        <v>9741</v>
      </c>
      <c r="V43">
        <f ca="1">COUNTIF(C:C,C43)-1</f>
        <v>2</v>
      </c>
      <c r="W43">
        <f>SUM(X43:Z43)</f>
        <v>160.08000000000001</v>
      </c>
      <c r="X43">
        <f>SUM(X41:X42)</f>
        <v>137.25</v>
      </c>
      <c r="Y43">
        <f>SUM(Y41:Y42)</f>
        <v>17.84</v>
      </c>
      <c r="Z43">
        <v>4.99</v>
      </c>
      <c r="AF43" s="54"/>
      <c r="AG43" s="48">
        <f>AG42</f>
        <v>44868</v>
      </c>
      <c r="AH43" s="48"/>
      <c r="AI43" t="str">
        <f t="shared" si="35"/>
        <v>Delivered</v>
      </c>
      <c r="AJ43" s="48">
        <f t="shared" si="35"/>
        <v>44868</v>
      </c>
    </row>
    <row r="44" spans="1:39" s="58" customFormat="1" ht="43.5" x14ac:dyDescent="0.35">
      <c r="A44" s="60" t="s">
        <v>760</v>
      </c>
      <c r="B44" s="60" t="str">
        <f>IF(B43="","","'"&amp;B$3&amp;"' : '"&amp;B43&amp;"', ")</f>
        <v xml:space="preserve">'emailAddress' : 'davidscarlett@gmail.com', </v>
      </c>
      <c r="C44" s="60" t="str">
        <f>IF(C43="","","'"&amp;C$3&amp;"' : '"&amp;C43&amp;"', ")</f>
        <v xml:space="preserve">'orderId' : '20221103085248', </v>
      </c>
      <c r="D44" s="60" t="str">
        <f>IF(D43="","","'"&amp;D$3&amp;"' : '"&amp;D43&amp;"', ")</f>
        <v xml:space="preserve">'employeeUserName' : 'lzapanta', </v>
      </c>
      <c r="E44" s="60" t="str">
        <f>IF(E43="","","'"&amp;$F$2&amp;"' : { '"&amp;E$3&amp;"' : '"&amp;E43&amp;"' , ")</f>
        <v xml:space="preserve">'deliveryAddress' : { 'name' : 'Scarlett David' , </v>
      </c>
      <c r="F44" s="60" t="str">
        <f>IF(F43="","","'"&amp;F$3&amp;"' : '"&amp;F43&amp;"' , ")</f>
        <v xml:space="preserve">'street' : '1220 Tycos Dr' , </v>
      </c>
      <c r="G44" s="60" t="str">
        <f>IF(G43="","","'"&amp;G$3&amp;"' : '"&amp;G43&amp;"' , ")</f>
        <v xml:space="preserve">'unit' : '216' , </v>
      </c>
      <c r="H44" s="60" t="str">
        <f>IF(H43="","","'"&amp;H$3&amp;"' : '"&amp;H43&amp;"' , ")</f>
        <v xml:space="preserve">'city' : 'Toronto' , </v>
      </c>
      <c r="I44" s="60" t="str">
        <f>IF(I43="","","'"&amp;I$3&amp;"' : '"&amp;I43&amp;"' , ")</f>
        <v xml:space="preserve">'province' : 'Ontario' , </v>
      </c>
      <c r="J44" s="60" t="str">
        <f>IF(J43="","","'"&amp;J$3&amp;"' : '"&amp;J43&amp;"' , ")</f>
        <v xml:space="preserve">'zip' : 'M5T 1T4' , </v>
      </c>
      <c r="K44" s="60" t="str">
        <f>IF(K43="","","'"&amp;K$3&amp;"' : '"&amp;K43&amp;"' } , ")</f>
        <v xml:space="preserve">'mobileNumber' : '416-595-0997' } , </v>
      </c>
      <c r="L44" s="60" t="str">
        <f>IF(L43="","","'"&amp;$L$2&amp;"' : { '"&amp;L$3&amp;"' : '"&amp;L43&amp;"' , ")</f>
        <v xml:space="preserve">'billingsAddress' : { 'name' : 'Scarlett David' , </v>
      </c>
      <c r="M44" s="60" t="str">
        <f>IF(M43="","","'"&amp;M$3&amp;"' : '"&amp;M43&amp;"' , ")</f>
        <v xml:space="preserve">'street' : '1220 Tycos Dr' , </v>
      </c>
      <c r="N44" s="60" t="str">
        <f>IF(N43="","","'"&amp;N$3&amp;"' : '"&amp;N43&amp;"' , ")</f>
        <v/>
      </c>
      <c r="O44" s="60" t="str">
        <f>IF(O43="","","'"&amp;O$3&amp;"' : '"&amp;O43&amp;"' , ")</f>
        <v xml:space="preserve">'city' : 'Toronto' , </v>
      </c>
      <c r="P44" s="60" t="str">
        <f>IF(P43="","","'"&amp;P$3&amp;"' : '"&amp;P43&amp;"' , ")</f>
        <v xml:space="preserve">'province' : 'Ontario' , </v>
      </c>
      <c r="Q44" s="60" t="str">
        <f>IF(Q43="","","'"&amp;Q$3&amp;"' : '"&amp;Q43&amp;"' , ")</f>
        <v xml:space="preserve">'zip' : 'M5T 1T4' , </v>
      </c>
      <c r="R44" s="60" t="str">
        <f>IF(R43="","","'"&amp;R$3&amp;"' : '"&amp;R43&amp;"' } , ")</f>
        <v xml:space="preserve">'mobileNumber' : '416-595-0997' } , </v>
      </c>
      <c r="S44" s="60" t="str">
        <f>IF(S43="","","'"&amp;$S$2&amp;"' : { '"&amp;S$3&amp;"' : '"&amp;S43&amp;"' , ")</f>
        <v xml:space="preserve">'paymentMethod' : { 'paymentType' : 'Debit' , </v>
      </c>
      <c r="T44" s="60" t="str">
        <f>IF(T43="","","'"&amp;T$3&amp;"' : '"&amp;T43&amp;"' , ")</f>
        <v xml:space="preserve">'cardScheme' : 'Visa' , </v>
      </c>
      <c r="U44" s="60" t="str">
        <f>IF(U43="","","'"&amp;U$3&amp;"' : '"&amp;U43&amp;"' } , ")</f>
        <v xml:space="preserve">'cardLast4' : '9741' } , </v>
      </c>
      <c r="V44" s="60" t="str">
        <f ca="1">IF(V43="","","'"&amp;V$3&amp;"' : "&amp;V43&amp;", ")</f>
        <v xml:space="preserve">'totalQty' : 2, </v>
      </c>
      <c r="W44" s="60" t="str">
        <f>IF(W43="","","'"&amp;W$3&amp;"' : "&amp;W43&amp;", ")</f>
        <v xml:space="preserve">'orderTotal' : 160.08, </v>
      </c>
      <c r="X44" s="60" t="str">
        <f>IF(X43="","","'"&amp;X$3&amp;"' : "&amp;X43&amp;", ")</f>
        <v xml:space="preserve">'grossTotal' : 137.25, </v>
      </c>
      <c r="Y44" s="60" t="str">
        <f>IF(Y43="","","'"&amp;Y$3&amp;"' : "&amp;Y43&amp;", ")</f>
        <v xml:space="preserve">'tax' : 17.84, </v>
      </c>
      <c r="Z44" s="60" t="str">
        <f>IF(Z43="","","'"&amp;Z$3&amp;"' : "&amp;Z43&amp;", ")</f>
        <v xml:space="preserve">'deliveryFee' : 4.99, </v>
      </c>
      <c r="AA44" s="60"/>
      <c r="AB44" s="60"/>
      <c r="AC44" s="60"/>
      <c r="AD44" s="60"/>
      <c r="AE44" s="60"/>
      <c r="AF44" s="60" t="str">
        <f>$AA$2&amp;" : "&amp;_xlfn.CONCAT("[ ",AF41:AF42,"], ")</f>
        <v xml:space="preserve">orderDetails : [ { 'productId' : '4004', 'productName' : 'Everything Bagel', 'quantity' : 5, 'price' : 7.49, 'subTotal' : 37.45 },{ 'productId' : '5002', 'productName' : 'Greek Yougurt with mixed Berries', 'quantity' : 20, 'price' : 4.99, 'subTotal' : 99.8 }], </v>
      </c>
      <c r="AG44" s="60" t="str">
        <f>IF(AG43="","","'"&amp;AG$3&amp;"' : new Date('"&amp;TEXT(AG43,"yyyy-mm-dd")&amp;"'), ")</f>
        <v xml:space="preserve">'orderDate' : new Date('2022-11-03'), </v>
      </c>
      <c r="AH44" s="60"/>
      <c r="AI44" s="60" t="str">
        <f>IF(AI43="","","'"&amp;AI$3&amp;"' : '"&amp;AI43&amp;"', ")</f>
        <v xml:space="preserve">'orderStatus' : 'Delivered', </v>
      </c>
      <c r="AJ44" s="60" t="str">
        <f>IF(AJ43="","","'"&amp;AJ$3&amp;"' : new Date('"&amp;TEXT(AJ43,"yyyy-mm-dd")&amp;"') ")</f>
        <v xml:space="preserve">'statusDate' : new Date('2022-11-03') </v>
      </c>
      <c r="AK44" s="60"/>
      <c r="AL44" s="59"/>
      <c r="AM44" s="58" t="str">
        <f ca="1">_xlfn.CONCAT("{ ",B44:AJ44,"} ,")</f>
        <v>{ 'emailAddress' : 'davidscarlett@gmail.com', 'orderId' : '20221103085248', 'employeeUserName' : 'lzapanta', 'deliveryAddress' : { 'name' : 'Scarlett David' , 'street' : '1220 Tycos Dr' , 'unit' : '216' , 'city' : 'Toronto' , 'province' : 'Ontario' , 'zip' : 'M5T 1T4' , 'mobileNumber' : '416-595-0997' } , 'billingsAddress' : { 'name' : 'Scarlett David' , 'street' : '1220 Tycos Dr' , 'city' : 'Toronto' , 'province' : 'Ontario' , 'zip' : 'M5T 1T4' , 'mobileNumber' : '416-595-0997' } , 'paymentMethod' : { 'paymentType' : 'Debit' , 'cardScheme' : 'Visa' , 'cardLast4' : '9741' } , 'totalQty' : 2, 'orderTotal' : 160.08, 'grossTotal' : 137.25, 'tax' : 17.84, 'deliveryFee' : 4.99, orderDetails : [ { 'productId' : '4004', 'productName' : 'Everything Bagel', 'quantity' : 5, 'price' : 7.49, 'subTotal' : 37.45 },{ 'productId' : '5002', 'productName' : 'Greek Yougurt with mixed Berries', 'quantity' : 20, 'price' : 4.99, 'subTotal' : 99.8 }], 'orderDate' : new Date('2022-11-03'), 'orderStatus' : 'Delivered', 'statusDate' : new Date('2022-11-03') } ,</v>
      </c>
    </row>
    <row r="45" spans="1:39" x14ac:dyDescent="0.35">
      <c r="B45" t="s">
        <v>715</v>
      </c>
      <c r="C45" s="49" t="s">
        <v>716</v>
      </c>
      <c r="D45" t="s">
        <v>682</v>
      </c>
      <c r="E45" t="s">
        <v>338</v>
      </c>
      <c r="F45" t="s">
        <v>591</v>
      </c>
      <c r="G45" t="s">
        <v>610</v>
      </c>
      <c r="H45" t="s">
        <v>435</v>
      </c>
      <c r="I45" t="s">
        <v>453</v>
      </c>
      <c r="J45" t="s">
        <v>620</v>
      </c>
      <c r="K45" t="s">
        <v>632</v>
      </c>
      <c r="L45" t="str">
        <f t="shared" ref="L45:L47" si="36">E45</f>
        <v>Charlie McCoy</v>
      </c>
      <c r="M45" t="str">
        <f>VLOOKUP($B45,Customers!$B:$J,4,0)</f>
        <v>1266 rue Ontario Ouest</v>
      </c>
      <c r="N45" t="str">
        <f>VLOOKUP($B45,Customers!$B:$J,5,0)</f>
        <v>319</v>
      </c>
      <c r="O45" t="str">
        <f>VLOOKUP($B45,Customers!$B:$J,6,0)</f>
        <v>Montreal</v>
      </c>
      <c r="P45" t="str">
        <f>VLOOKUP($B45,Customers!$B:$J,7,0)</f>
        <v>Quebec</v>
      </c>
      <c r="Q45" t="str">
        <f>VLOOKUP($B45,Customers!$B:$J,8,0)</f>
        <v>H2X 1Y8</v>
      </c>
      <c r="R45" t="str">
        <f>VLOOKUP($B45,Customers!$B:$J,9,0)</f>
        <v>514-982-1624</v>
      </c>
      <c r="S45" t="str">
        <f>VLOOKUP($B45,Customers!$B:$T,16,0)</f>
        <v>Debit</v>
      </c>
      <c r="T45" t="str">
        <f>VLOOKUP($B45,Customers!$B:$T,18,0)</f>
        <v>Mastercard</v>
      </c>
      <c r="U45" t="str">
        <f>VLOOKUP($B45,Customers!$B:$T,19,0)</f>
        <v>1351</v>
      </c>
      <c r="V45">
        <f ca="1">COUNTIF(C:C,C45)-1</f>
        <v>2</v>
      </c>
      <c r="X45">
        <f t="shared" ref="X45:X46" si="37">AC45*AD45</f>
        <v>141.94999999999999</v>
      </c>
      <c r="Y45">
        <f t="shared" ref="Y45:Y46" si="38">ROUND(X45*13%,2)</f>
        <v>18.45</v>
      </c>
      <c r="AA45">
        <v>4010</v>
      </c>
      <c r="AB45" t="s">
        <v>74</v>
      </c>
      <c r="AC45">
        <v>17</v>
      </c>
      <c r="AD45">
        <v>8.35</v>
      </c>
      <c r="AE45">
        <f>AC45*AD45</f>
        <v>141.94999999999999</v>
      </c>
      <c r="AF45" s="54" t="str">
        <f>"{ '"&amp;AA$3&amp;"' : '"&amp;AA45&amp;"', '"&amp;AB$3&amp;"' : '"&amp;AB45&amp;"', '"&amp;AC$3&amp;"' : "&amp;AC45&amp;", '"&amp;AD$3&amp;"' : "&amp;AD45&amp;", '"&amp;AE$3&amp;"' : "&amp;AE45&amp;" },"</f>
        <v>{ 'productId' : '4010', 'productName' : 'Blueberry Muffin', 'quantity' : 17, 'price' : 8.35, 'subTotal' : 141.95 },</v>
      </c>
      <c r="AG45" s="48">
        <v>44869</v>
      </c>
      <c r="AH45" s="50" t="s">
        <v>707</v>
      </c>
      <c r="AI45" t="s">
        <v>755</v>
      </c>
      <c r="AJ45" s="48">
        <f>AG45</f>
        <v>44869</v>
      </c>
      <c r="AK45" t="s">
        <v>717</v>
      </c>
    </row>
    <row r="46" spans="1:39" x14ac:dyDescent="0.35">
      <c r="B46" t="s">
        <v>715</v>
      </c>
      <c r="C46" t="s">
        <v>716</v>
      </c>
      <c r="D46" t="s">
        <v>682</v>
      </c>
      <c r="E46" t="s">
        <v>338</v>
      </c>
      <c r="F46" t="s">
        <v>591</v>
      </c>
      <c r="G46" t="s">
        <v>610</v>
      </c>
      <c r="H46" t="s">
        <v>435</v>
      </c>
      <c r="I46" t="s">
        <v>453</v>
      </c>
      <c r="J46" t="s">
        <v>620</v>
      </c>
      <c r="K46" t="s">
        <v>632</v>
      </c>
      <c r="L46" t="str">
        <f t="shared" si="36"/>
        <v>Charlie McCoy</v>
      </c>
      <c r="M46" t="str">
        <f>VLOOKUP($B46,Customers!$B:$J,4,0)</f>
        <v>1266 rue Ontario Ouest</v>
      </c>
      <c r="N46" t="str">
        <f>VLOOKUP($B46,Customers!$B:$J,5,0)</f>
        <v>319</v>
      </c>
      <c r="O46" t="str">
        <f>VLOOKUP($B46,Customers!$B:$J,6,0)</f>
        <v>Montreal</v>
      </c>
      <c r="P46" t="str">
        <f>VLOOKUP($B46,Customers!$B:$J,7,0)</f>
        <v>Quebec</v>
      </c>
      <c r="Q46" t="str">
        <f>VLOOKUP($B46,Customers!$B:$J,8,0)</f>
        <v>H2X 1Y8</v>
      </c>
      <c r="R46" t="str">
        <f>VLOOKUP($B46,Customers!$B:$J,9,0)</f>
        <v>514-982-1624</v>
      </c>
      <c r="S46" t="str">
        <f>VLOOKUP($B46,Customers!$B:$T,16,0)</f>
        <v>Debit</v>
      </c>
      <c r="T46" t="str">
        <f>VLOOKUP($B46,Customers!$B:$T,18,0)</f>
        <v>Mastercard</v>
      </c>
      <c r="U46" t="str">
        <f>VLOOKUP($B46,Customers!$B:$T,19,0)</f>
        <v>1351</v>
      </c>
      <c r="V46">
        <f ca="1">COUNTIF(C:C,C46)-1</f>
        <v>2</v>
      </c>
      <c r="X46">
        <f t="shared" si="37"/>
        <v>60.72</v>
      </c>
      <c r="Y46">
        <f t="shared" si="38"/>
        <v>7.89</v>
      </c>
      <c r="AA46">
        <v>4009</v>
      </c>
      <c r="AB46" t="s">
        <v>73</v>
      </c>
      <c r="AC46">
        <v>8</v>
      </c>
      <c r="AD46">
        <v>7.59</v>
      </c>
      <c r="AE46">
        <f>AC46*AD46</f>
        <v>60.72</v>
      </c>
      <c r="AF46" s="54" t="str">
        <f>"{ '"&amp;AA$3&amp;"' : '"&amp;AA46&amp;"', '"&amp;AB$3&amp;"' : '"&amp;AB46&amp;"', '"&amp;AC$3&amp;"' : "&amp;AC46&amp;", '"&amp;AD$3&amp;"' : "&amp;AD46&amp;", '"&amp;AE$3&amp;"' : "&amp;AE46&amp;" }"</f>
        <v>{ 'productId' : '4009', 'productName' : 'Pecan Braid', 'quantity' : 8, 'price' : 7.59, 'subTotal' : 60.72 }</v>
      </c>
      <c r="AG46" s="48">
        <v>44869</v>
      </c>
      <c r="AH46" s="48" t="str">
        <f>AH45</f>
        <v>113112</v>
      </c>
      <c r="AI46" t="str">
        <f t="shared" ref="AI46:AJ47" si="39">AI45</f>
        <v>Delivered</v>
      </c>
      <c r="AJ46" s="48">
        <f t="shared" si="39"/>
        <v>44869</v>
      </c>
    </row>
    <row r="47" spans="1:39" x14ac:dyDescent="0.35">
      <c r="A47" t="s">
        <v>759</v>
      </c>
      <c r="B47" t="s">
        <v>715</v>
      </c>
      <c r="C47" t="s">
        <v>716</v>
      </c>
      <c r="D47" t="s">
        <v>682</v>
      </c>
      <c r="E47" t="s">
        <v>338</v>
      </c>
      <c r="F47" t="s">
        <v>591</v>
      </c>
      <c r="G47" t="s">
        <v>610</v>
      </c>
      <c r="H47" t="s">
        <v>435</v>
      </c>
      <c r="I47" t="s">
        <v>453</v>
      </c>
      <c r="J47" t="s">
        <v>620</v>
      </c>
      <c r="K47" t="s">
        <v>632</v>
      </c>
      <c r="L47" t="str">
        <f t="shared" si="36"/>
        <v>Charlie McCoy</v>
      </c>
      <c r="M47" t="str">
        <f>VLOOKUP($B47,Customers!$B:$J,4,0)</f>
        <v>1266 rue Ontario Ouest</v>
      </c>
      <c r="N47" t="str">
        <f>VLOOKUP($B47,Customers!$B:$J,5,0)</f>
        <v>319</v>
      </c>
      <c r="O47" t="str">
        <f>VLOOKUP($B47,Customers!$B:$J,6,0)</f>
        <v>Montreal</v>
      </c>
      <c r="P47" t="str">
        <f>VLOOKUP($B47,Customers!$B:$J,7,0)</f>
        <v>Quebec</v>
      </c>
      <c r="Q47" t="str">
        <f>VLOOKUP($B47,Customers!$B:$J,8,0)</f>
        <v>H2X 1Y8</v>
      </c>
      <c r="R47" t="str">
        <f>VLOOKUP($B47,Customers!$B:$J,9,0)</f>
        <v>514-982-1624</v>
      </c>
      <c r="S47" t="str">
        <f>VLOOKUP($B47,Customers!$B:$T,16,0)</f>
        <v>Debit</v>
      </c>
      <c r="T47" t="str">
        <f>VLOOKUP($B47,Customers!$B:$T,18,0)</f>
        <v>Mastercard</v>
      </c>
      <c r="U47" t="str">
        <f>VLOOKUP($B47,Customers!$B:$T,19,0)</f>
        <v>1351</v>
      </c>
      <c r="V47">
        <f ca="1">COUNTIF(C:C,C47)-1</f>
        <v>2</v>
      </c>
      <c r="W47">
        <f>SUM(X47:Z47)</f>
        <v>234</v>
      </c>
      <c r="X47">
        <f>SUM(X45:X46)</f>
        <v>202.67</v>
      </c>
      <c r="Y47">
        <f>SUM(Y45:Y46)</f>
        <v>26.34</v>
      </c>
      <c r="Z47">
        <v>4.99</v>
      </c>
      <c r="AF47" s="54"/>
      <c r="AG47" s="48">
        <f>AG46</f>
        <v>44869</v>
      </c>
      <c r="AH47" s="48"/>
      <c r="AI47" t="str">
        <f t="shared" si="39"/>
        <v>Delivered</v>
      </c>
      <c r="AJ47" s="48">
        <f t="shared" si="39"/>
        <v>44869</v>
      </c>
    </row>
    <row r="48" spans="1:39" s="58" customFormat="1" ht="43.5" x14ac:dyDescent="0.35">
      <c r="A48" s="60" t="s">
        <v>760</v>
      </c>
      <c r="B48" s="60" t="str">
        <f>IF(B47="","","'"&amp;B$3&amp;"' : '"&amp;B47&amp;"', ")</f>
        <v xml:space="preserve">'emailAddress' : 'mccoycharlie@gmail.com', </v>
      </c>
      <c r="C48" s="60" t="str">
        <f>IF(C47="","","'"&amp;C$3&amp;"' : '"&amp;C47&amp;"', ")</f>
        <v xml:space="preserve">'orderId' : '20221104113112', </v>
      </c>
      <c r="D48" s="60" t="str">
        <f>IF(D47="","","'"&amp;D$3&amp;"' : '"&amp;D47&amp;"', ")</f>
        <v xml:space="preserve">'employeeUserName' : 'mjones', </v>
      </c>
      <c r="E48" s="60" t="str">
        <f>IF(E47="","","'"&amp;$F$2&amp;"' : { '"&amp;E$3&amp;"' : '"&amp;E47&amp;"' , ")</f>
        <v xml:space="preserve">'deliveryAddress' : { 'name' : 'Charlie McCoy' , </v>
      </c>
      <c r="F48" s="60" t="str">
        <f>IF(F47="","","'"&amp;F$3&amp;"' : '"&amp;F47&amp;"' , ")</f>
        <v xml:space="preserve">'street' : '1165 Duke Street' , </v>
      </c>
      <c r="G48" s="60" t="str">
        <f>IF(G47="","","'"&amp;G$3&amp;"' : '"&amp;G47&amp;"' , ")</f>
        <v xml:space="preserve">'unit' : '110' , </v>
      </c>
      <c r="H48" s="60" t="str">
        <f>IF(H47="","","'"&amp;H$3&amp;"' : '"&amp;H47&amp;"' , ")</f>
        <v xml:space="preserve">'city' : 'Montreal' , </v>
      </c>
      <c r="I48" s="60" t="str">
        <f>IF(I47="","","'"&amp;I$3&amp;"' : '"&amp;I47&amp;"' , ")</f>
        <v xml:space="preserve">'province' : 'Quebec' , </v>
      </c>
      <c r="J48" s="60" t="str">
        <f>IF(J47="","","'"&amp;J$3&amp;"' : '"&amp;J47&amp;"' , ")</f>
        <v xml:space="preserve">'zip' : 'H3C 5K4' , </v>
      </c>
      <c r="K48" s="60" t="str">
        <f>IF(K47="","","'"&amp;K$3&amp;"' : '"&amp;K47&amp;"' } , ")</f>
        <v xml:space="preserve">'mobileNumber' : '514-229-9713' } , </v>
      </c>
      <c r="L48" s="60" t="str">
        <f>IF(L47="","","'"&amp;$L$2&amp;"' : { '"&amp;L$3&amp;"' : '"&amp;L47&amp;"' , ")</f>
        <v xml:space="preserve">'billingsAddress' : { 'name' : 'Charlie McCoy' , </v>
      </c>
      <c r="M48" s="60" t="str">
        <f>IF(M47="","","'"&amp;M$3&amp;"' : '"&amp;M47&amp;"' , ")</f>
        <v xml:space="preserve">'street' : '1266 rue Ontario Ouest' , </v>
      </c>
      <c r="N48" s="60" t="str">
        <f>IF(N47="","","'"&amp;N$3&amp;"' : '"&amp;N47&amp;"' , ")</f>
        <v xml:space="preserve">'unit' : '319' , </v>
      </c>
      <c r="O48" s="60" t="str">
        <f>IF(O47="","","'"&amp;O$3&amp;"' : '"&amp;O47&amp;"' , ")</f>
        <v xml:space="preserve">'city' : 'Montreal' , </v>
      </c>
      <c r="P48" s="60" t="str">
        <f>IF(P47="","","'"&amp;P$3&amp;"' : '"&amp;P47&amp;"' , ")</f>
        <v xml:space="preserve">'province' : 'Quebec' , </v>
      </c>
      <c r="Q48" s="60" t="str">
        <f>IF(Q47="","","'"&amp;Q$3&amp;"' : '"&amp;Q47&amp;"' , ")</f>
        <v xml:space="preserve">'zip' : 'H2X 1Y8' , </v>
      </c>
      <c r="R48" s="60" t="str">
        <f>IF(R47="","","'"&amp;R$3&amp;"' : '"&amp;R47&amp;"' } , ")</f>
        <v xml:space="preserve">'mobileNumber' : '514-982-1624' } , </v>
      </c>
      <c r="S48" s="60" t="str">
        <f>IF(S47="","","'"&amp;$S$2&amp;"' : { '"&amp;S$3&amp;"' : '"&amp;S47&amp;"' , ")</f>
        <v xml:space="preserve">'paymentMethod' : { 'paymentType' : 'Debit' , </v>
      </c>
      <c r="T48" s="60" t="str">
        <f>IF(T47="","","'"&amp;T$3&amp;"' : '"&amp;T47&amp;"' , ")</f>
        <v xml:space="preserve">'cardScheme' : 'Mastercard' , </v>
      </c>
      <c r="U48" s="60" t="str">
        <f>IF(U47="","","'"&amp;U$3&amp;"' : '"&amp;U47&amp;"' } , ")</f>
        <v xml:space="preserve">'cardLast4' : '1351' } , </v>
      </c>
      <c r="V48" s="60" t="str">
        <f ca="1">IF(V47="","","'"&amp;V$3&amp;"' : "&amp;V47&amp;", ")</f>
        <v xml:space="preserve">'totalQty' : 2, </v>
      </c>
      <c r="W48" s="60" t="str">
        <f>IF(W47="","","'"&amp;W$3&amp;"' : "&amp;W47&amp;", ")</f>
        <v xml:space="preserve">'orderTotal' : 234, </v>
      </c>
      <c r="X48" s="60" t="str">
        <f>IF(X47="","","'"&amp;X$3&amp;"' : "&amp;X47&amp;", ")</f>
        <v xml:space="preserve">'grossTotal' : 202.67, </v>
      </c>
      <c r="Y48" s="60" t="str">
        <f>IF(Y47="","","'"&amp;Y$3&amp;"' : "&amp;Y47&amp;", ")</f>
        <v xml:space="preserve">'tax' : 26.34, </v>
      </c>
      <c r="Z48" s="60" t="str">
        <f>IF(Z47="","","'"&amp;Z$3&amp;"' : "&amp;Z47&amp;", ")</f>
        <v xml:space="preserve">'deliveryFee' : 4.99, </v>
      </c>
      <c r="AA48" s="60"/>
      <c r="AB48" s="60"/>
      <c r="AC48" s="60"/>
      <c r="AD48" s="60"/>
      <c r="AE48" s="60"/>
      <c r="AF48" s="60" t="str">
        <f>$AA$2&amp;" : "&amp;_xlfn.CONCAT("[ ",AF45:AF46,"], ")</f>
        <v xml:space="preserve">orderDetails : [ { 'productId' : '4010', 'productName' : 'Blueberry Muffin', 'quantity' : 17, 'price' : 8.35, 'subTotal' : 141.95 },{ 'productId' : '4009', 'productName' : 'Pecan Braid', 'quantity' : 8, 'price' : 7.59, 'subTotal' : 60.72 }], </v>
      </c>
      <c r="AG48" s="60" t="str">
        <f>IF(AG47="","","'"&amp;AG$3&amp;"' : new Date('"&amp;TEXT(AG47,"yyyy-mm-dd")&amp;"'), ")</f>
        <v xml:space="preserve">'orderDate' : new Date('2022-11-04'), </v>
      </c>
      <c r="AH48" s="60"/>
      <c r="AI48" s="60" t="str">
        <f>IF(AI47="","","'"&amp;AI$3&amp;"' : '"&amp;AI47&amp;"', ")</f>
        <v xml:space="preserve">'orderStatus' : 'Delivered', </v>
      </c>
      <c r="AJ48" s="60" t="str">
        <f>IF(AJ47="","","'"&amp;AJ$3&amp;"' : new Date('"&amp;TEXT(AJ47,"yyyy-mm-dd")&amp;"') ")</f>
        <v xml:space="preserve">'statusDate' : new Date('2022-11-04') </v>
      </c>
      <c r="AK48" s="60"/>
      <c r="AL48" s="59"/>
      <c r="AM48" s="58" t="str">
        <f ca="1">_xlfn.CONCAT("{ ",B48:AJ48,"} ,")</f>
        <v>{ 'emailAddress' : 'mccoycharlie@gmail.com', 'orderId' : '20221104113112', 'employeeUserName' : 'mjones', 'deliveryAddress' : { 'name' : 'Charlie McCoy' , 'street' : '1165 Duke Street' , 'unit' : '110' , 'city' : 'Montreal' , 'province' : 'Quebec' , 'zip' : 'H3C 5K4' , 'mobileNumber' : '514-229-9713' } , 'billingsAddress' : { 'name' : 'Charlie McCoy' , 'street' : '1266 rue Ontario Ouest' , 'unit' : '319' , 'city' : 'Montreal' , 'province' : 'Quebec' , 'zip' : 'H2X 1Y8' , 'mobileNumber' : '514-982-1624' } , 'paymentMethod' : { 'paymentType' : 'Debit' , 'cardScheme' : 'Mastercard' , 'cardLast4' : '1351' } , 'totalQty' : 2, 'orderTotal' : 234, 'grossTotal' : 202.67, 'tax' : 26.34, 'deliveryFee' : 4.99, orderDetails : [ { 'productId' : '4010', 'productName' : 'Blueberry Muffin', 'quantity' : 17, 'price' : 8.35, 'subTotal' : 141.95 },{ 'productId' : '4009', 'productName' : 'Pecan Braid', 'quantity' : 8, 'price' : 7.59, 'subTotal' : 60.72 }], 'orderDate' : new Date('2022-11-04'), 'orderStatus' : 'Delivered', 'statusDate' : new Date('2022-11-04') } ,</v>
      </c>
    </row>
    <row r="49" spans="1:39" x14ac:dyDescent="0.35">
      <c r="B49" t="s">
        <v>718</v>
      </c>
      <c r="C49" s="49" t="s">
        <v>719</v>
      </c>
      <c r="D49" t="s">
        <v>680</v>
      </c>
      <c r="E49" t="s">
        <v>330</v>
      </c>
      <c r="F49" t="s">
        <v>592</v>
      </c>
      <c r="G49" t="s">
        <v>611</v>
      </c>
      <c r="H49" t="s">
        <v>599</v>
      </c>
      <c r="I49" t="s">
        <v>455</v>
      </c>
      <c r="J49" t="s">
        <v>621</v>
      </c>
      <c r="K49" t="s">
        <v>633</v>
      </c>
      <c r="L49" t="str">
        <f t="shared" ref="L49:L53" si="40">E49</f>
        <v>Adelaide Hennessy</v>
      </c>
      <c r="M49" t="str">
        <f>VLOOKUP($B49,Customers!$B:$J,4,0)</f>
        <v>2172 Stoney Creek</v>
      </c>
      <c r="N49" t="str">
        <f>VLOOKUP($B49,Customers!$B:$J,5,0)</f>
        <v>310</v>
      </c>
      <c r="O49" t="str">
        <f>VLOOKUP($B49,Customers!$B:$J,6,0)</f>
        <v>Green Lake</v>
      </c>
      <c r="P49" t="str">
        <f>VLOOKUP($B49,Customers!$B:$J,7,0)</f>
        <v>Saskatchewan</v>
      </c>
      <c r="Q49" t="str">
        <f>VLOOKUP($B49,Customers!$B:$J,8,0)</f>
        <v>S4P 3Y2</v>
      </c>
      <c r="R49" t="str">
        <f>VLOOKUP($B49,Customers!$B:$J,9,0)</f>
        <v>306-832-9394</v>
      </c>
      <c r="S49" t="str">
        <f>VLOOKUP($B49,Customers!$B:$T,16,0)</f>
        <v>Credit</v>
      </c>
      <c r="T49" t="str">
        <f>VLOOKUP($B49,Customers!$B:$T,18,0)</f>
        <v>Mastercard</v>
      </c>
      <c r="U49" t="str">
        <f>VLOOKUP($B49,Customers!$B:$T,19,0)</f>
        <v>8225</v>
      </c>
      <c r="V49">
        <f ca="1">COUNTIF(C:C,C49)-1</f>
        <v>4</v>
      </c>
      <c r="X49">
        <f t="shared" ref="X49:X52" si="41">AC49*AD49</f>
        <v>47.53</v>
      </c>
      <c r="Y49">
        <f t="shared" ref="Y49:Y52" si="42">ROUND(X49*13%,2)</f>
        <v>6.18</v>
      </c>
      <c r="AA49">
        <v>4012</v>
      </c>
      <c r="AB49" t="s">
        <v>76</v>
      </c>
      <c r="AC49">
        <v>7</v>
      </c>
      <c r="AD49">
        <v>6.79</v>
      </c>
      <c r="AE49">
        <f>AC49*AD49</f>
        <v>47.53</v>
      </c>
      <c r="AF49" s="54" t="str">
        <f>"{ '"&amp;AA$3&amp;"' : '"&amp;AA49&amp;"', '"&amp;AB$3&amp;"' : '"&amp;AB49&amp;"', '"&amp;AC$3&amp;"' : "&amp;AC49&amp;", '"&amp;AD$3&amp;"' : "&amp;AD49&amp;", '"&amp;AE$3&amp;"' : "&amp;AE49&amp;" },"</f>
        <v>{ 'productId' : '4012', 'productName' : 'Empanada', 'quantity' : 7, 'price' : 6.79, 'subTotal' : 47.53 },</v>
      </c>
      <c r="AG49" s="48">
        <v>44869</v>
      </c>
      <c r="AH49" s="50" t="s">
        <v>720</v>
      </c>
      <c r="AI49" t="s">
        <v>755</v>
      </c>
      <c r="AJ49" s="48">
        <f>AG49</f>
        <v>44869</v>
      </c>
      <c r="AK49" t="s">
        <v>721</v>
      </c>
    </row>
    <row r="50" spans="1:39" x14ac:dyDescent="0.35">
      <c r="B50" t="s">
        <v>718</v>
      </c>
      <c r="C50" t="s">
        <v>719</v>
      </c>
      <c r="D50" t="s">
        <v>680</v>
      </c>
      <c r="E50" t="s">
        <v>330</v>
      </c>
      <c r="F50" t="s">
        <v>592</v>
      </c>
      <c r="G50" t="s">
        <v>611</v>
      </c>
      <c r="H50" t="s">
        <v>599</v>
      </c>
      <c r="I50" t="s">
        <v>455</v>
      </c>
      <c r="J50" t="s">
        <v>621</v>
      </c>
      <c r="K50" t="s">
        <v>633</v>
      </c>
      <c r="L50" t="str">
        <f t="shared" si="40"/>
        <v>Adelaide Hennessy</v>
      </c>
      <c r="M50" t="str">
        <f>VLOOKUP($B50,Customers!$B:$J,4,0)</f>
        <v>2172 Stoney Creek</v>
      </c>
      <c r="N50" t="str">
        <f>VLOOKUP($B50,Customers!$B:$J,5,0)</f>
        <v>310</v>
      </c>
      <c r="O50" t="str">
        <f>VLOOKUP($B50,Customers!$B:$J,6,0)</f>
        <v>Green Lake</v>
      </c>
      <c r="P50" t="str">
        <f>VLOOKUP($B50,Customers!$B:$J,7,0)</f>
        <v>Saskatchewan</v>
      </c>
      <c r="Q50" t="str">
        <f>VLOOKUP($B50,Customers!$B:$J,8,0)</f>
        <v>S4P 3Y2</v>
      </c>
      <c r="R50" t="str">
        <f>VLOOKUP($B50,Customers!$B:$J,9,0)</f>
        <v>306-832-9394</v>
      </c>
      <c r="S50" t="str">
        <f>VLOOKUP($B50,Customers!$B:$T,16,0)</f>
        <v>Credit</v>
      </c>
      <c r="T50" t="str">
        <f>VLOOKUP($B50,Customers!$B:$T,18,0)</f>
        <v>Mastercard</v>
      </c>
      <c r="U50" t="str">
        <f>VLOOKUP($B50,Customers!$B:$T,19,0)</f>
        <v>8225</v>
      </c>
      <c r="V50">
        <f ca="1">COUNTIF(C:C,C50)-1</f>
        <v>4</v>
      </c>
      <c r="X50">
        <f t="shared" si="41"/>
        <v>179.76</v>
      </c>
      <c r="Y50">
        <f t="shared" si="42"/>
        <v>23.37</v>
      </c>
      <c r="AA50">
        <v>4004</v>
      </c>
      <c r="AB50" t="s">
        <v>68</v>
      </c>
      <c r="AC50">
        <v>24</v>
      </c>
      <c r="AD50">
        <v>7.49</v>
      </c>
      <c r="AE50">
        <f>AC50*AD50</f>
        <v>179.76</v>
      </c>
      <c r="AF50" s="54" t="str">
        <f>"{ '"&amp;AA$3&amp;"' : '"&amp;AA50&amp;"', '"&amp;AB$3&amp;"' : '"&amp;AB50&amp;"', '"&amp;AC$3&amp;"' : "&amp;AC50&amp;", '"&amp;AD$3&amp;"' : "&amp;AD50&amp;", '"&amp;AE$3&amp;"' : "&amp;AE50&amp;" },"</f>
        <v>{ 'productId' : '4004', 'productName' : 'Everything Bagel', 'quantity' : 24, 'price' : 7.49, 'subTotal' : 179.76 },</v>
      </c>
      <c r="AG50" s="48">
        <v>44869</v>
      </c>
      <c r="AH50" s="48" t="str">
        <f t="shared" ref="AH50:AJ53" si="43">AH49</f>
        <v>120000</v>
      </c>
      <c r="AI50" t="str">
        <f t="shared" si="43"/>
        <v>Delivered</v>
      </c>
      <c r="AJ50" s="48">
        <f t="shared" si="43"/>
        <v>44869</v>
      </c>
    </row>
    <row r="51" spans="1:39" x14ac:dyDescent="0.35">
      <c r="B51" t="s">
        <v>718</v>
      </c>
      <c r="C51" t="s">
        <v>719</v>
      </c>
      <c r="D51" t="s">
        <v>680</v>
      </c>
      <c r="E51" t="s">
        <v>330</v>
      </c>
      <c r="F51" t="s">
        <v>592</v>
      </c>
      <c r="G51" t="s">
        <v>611</v>
      </c>
      <c r="H51" t="s">
        <v>599</v>
      </c>
      <c r="I51" t="s">
        <v>455</v>
      </c>
      <c r="J51" t="s">
        <v>621</v>
      </c>
      <c r="K51" t="s">
        <v>633</v>
      </c>
      <c r="L51" t="str">
        <f t="shared" si="40"/>
        <v>Adelaide Hennessy</v>
      </c>
      <c r="M51" t="str">
        <f>VLOOKUP($B51,Customers!$B:$J,4,0)</f>
        <v>2172 Stoney Creek</v>
      </c>
      <c r="N51" t="str">
        <f>VLOOKUP($B51,Customers!$B:$J,5,0)</f>
        <v>310</v>
      </c>
      <c r="O51" t="str">
        <f>VLOOKUP($B51,Customers!$B:$J,6,0)</f>
        <v>Green Lake</v>
      </c>
      <c r="P51" t="str">
        <f>VLOOKUP($B51,Customers!$B:$J,7,0)</f>
        <v>Saskatchewan</v>
      </c>
      <c r="Q51" t="str">
        <f>VLOOKUP($B51,Customers!$B:$J,8,0)</f>
        <v>S4P 3Y2</v>
      </c>
      <c r="R51" t="str">
        <f>VLOOKUP($B51,Customers!$B:$J,9,0)</f>
        <v>306-832-9394</v>
      </c>
      <c r="S51" t="str">
        <f>VLOOKUP($B51,Customers!$B:$T,16,0)</f>
        <v>Credit</v>
      </c>
      <c r="T51" t="str">
        <f>VLOOKUP($B51,Customers!$B:$T,18,0)</f>
        <v>Mastercard</v>
      </c>
      <c r="U51" t="str">
        <f>VLOOKUP($B51,Customers!$B:$T,19,0)</f>
        <v>8225</v>
      </c>
      <c r="V51">
        <f ca="1">COUNTIF(C:C,C51)-1</f>
        <v>4</v>
      </c>
      <c r="X51">
        <f t="shared" si="41"/>
        <v>7.98</v>
      </c>
      <c r="Y51">
        <f t="shared" si="42"/>
        <v>1.04</v>
      </c>
      <c r="AA51">
        <v>5003</v>
      </c>
      <c r="AB51" t="s">
        <v>94</v>
      </c>
      <c r="AC51">
        <v>2</v>
      </c>
      <c r="AD51">
        <v>3.99</v>
      </c>
      <c r="AE51">
        <f>AC51*AD51</f>
        <v>7.98</v>
      </c>
      <c r="AF51" s="54" t="str">
        <f>"{ '"&amp;AA$3&amp;"' : '"&amp;AA51&amp;"', '"&amp;AB$3&amp;"' : '"&amp;AB51&amp;"', '"&amp;AC$3&amp;"' : "&amp;AC51&amp;", '"&amp;AD$3&amp;"' : "&amp;AD51&amp;", '"&amp;AE$3&amp;"' : "&amp;AE51&amp;" },"</f>
        <v>{ 'productId' : '5003', 'productName' : 'Continental Drinks', 'quantity' : 2, 'price' : 3.99, 'subTotal' : 7.98 },</v>
      </c>
      <c r="AG51" s="48">
        <v>44869</v>
      </c>
      <c r="AH51" s="48" t="str">
        <f t="shared" si="43"/>
        <v>120000</v>
      </c>
      <c r="AI51" t="str">
        <f t="shared" si="43"/>
        <v>Delivered</v>
      </c>
      <c r="AJ51" s="48">
        <f t="shared" si="43"/>
        <v>44869</v>
      </c>
    </row>
    <row r="52" spans="1:39" x14ac:dyDescent="0.35">
      <c r="B52" t="s">
        <v>718</v>
      </c>
      <c r="C52" t="s">
        <v>719</v>
      </c>
      <c r="D52" t="s">
        <v>680</v>
      </c>
      <c r="E52" t="s">
        <v>330</v>
      </c>
      <c r="F52" t="s">
        <v>592</v>
      </c>
      <c r="G52" t="s">
        <v>611</v>
      </c>
      <c r="H52" t="s">
        <v>599</v>
      </c>
      <c r="I52" t="s">
        <v>455</v>
      </c>
      <c r="J52" t="s">
        <v>621</v>
      </c>
      <c r="K52" t="s">
        <v>633</v>
      </c>
      <c r="L52" t="str">
        <f t="shared" si="40"/>
        <v>Adelaide Hennessy</v>
      </c>
      <c r="M52" t="str">
        <f>VLOOKUP($B52,Customers!$B:$J,4,0)</f>
        <v>2172 Stoney Creek</v>
      </c>
      <c r="N52" t="str">
        <f>VLOOKUP($B52,Customers!$B:$J,5,0)</f>
        <v>310</v>
      </c>
      <c r="O52" t="str">
        <f>VLOOKUP($B52,Customers!$B:$J,6,0)</f>
        <v>Green Lake</v>
      </c>
      <c r="P52" t="str">
        <f>VLOOKUP($B52,Customers!$B:$J,7,0)</f>
        <v>Saskatchewan</v>
      </c>
      <c r="Q52" t="str">
        <f>VLOOKUP($B52,Customers!$B:$J,8,0)</f>
        <v>S4P 3Y2</v>
      </c>
      <c r="R52" t="str">
        <f>VLOOKUP($B52,Customers!$B:$J,9,0)</f>
        <v>306-832-9394</v>
      </c>
      <c r="S52" t="str">
        <f>VLOOKUP($B52,Customers!$B:$T,16,0)</f>
        <v>Credit</v>
      </c>
      <c r="T52" t="str">
        <f>VLOOKUP($B52,Customers!$B:$T,18,0)</f>
        <v>Mastercard</v>
      </c>
      <c r="U52" t="str">
        <f>VLOOKUP($B52,Customers!$B:$T,19,0)</f>
        <v>8225</v>
      </c>
      <c r="V52">
        <f ca="1">COUNTIF(C:C,C52)-1</f>
        <v>4</v>
      </c>
      <c r="X52">
        <f t="shared" si="41"/>
        <v>114.75</v>
      </c>
      <c r="Y52">
        <f t="shared" si="42"/>
        <v>14.92</v>
      </c>
      <c r="AA52">
        <v>4006</v>
      </c>
      <c r="AB52" t="s">
        <v>70</v>
      </c>
      <c r="AC52">
        <v>15</v>
      </c>
      <c r="AD52">
        <v>7.65</v>
      </c>
      <c r="AE52">
        <f>AC52*AD52</f>
        <v>114.75</v>
      </c>
      <c r="AF52" s="54" t="str">
        <f>"{ '"&amp;AA$3&amp;"' : '"&amp;AA52&amp;"', '"&amp;AB$3&amp;"' : '"&amp;AB52&amp;"', '"&amp;AC$3&amp;"' : "&amp;AC52&amp;", '"&amp;AD$3&amp;"' : "&amp;AD52&amp;", '"&amp;AE$3&amp;"' : "&amp;AE52&amp;" }"</f>
        <v>{ 'productId' : '4006', 'productName' : 'Chocolate Croissant', 'quantity' : 15, 'price' : 7.65, 'subTotal' : 114.75 }</v>
      </c>
      <c r="AG52" s="48">
        <v>44869</v>
      </c>
      <c r="AH52" s="48" t="str">
        <f t="shared" si="43"/>
        <v>120000</v>
      </c>
      <c r="AI52" t="str">
        <f t="shared" si="43"/>
        <v>Delivered</v>
      </c>
      <c r="AJ52" s="48">
        <f t="shared" si="43"/>
        <v>44869</v>
      </c>
    </row>
    <row r="53" spans="1:39" x14ac:dyDescent="0.35">
      <c r="A53" t="s">
        <v>759</v>
      </c>
      <c r="B53" t="s">
        <v>718</v>
      </c>
      <c r="C53" t="s">
        <v>719</v>
      </c>
      <c r="D53" t="s">
        <v>680</v>
      </c>
      <c r="E53" t="s">
        <v>330</v>
      </c>
      <c r="F53" t="s">
        <v>592</v>
      </c>
      <c r="G53" t="s">
        <v>611</v>
      </c>
      <c r="H53" t="s">
        <v>599</v>
      </c>
      <c r="I53" t="s">
        <v>455</v>
      </c>
      <c r="J53" t="s">
        <v>621</v>
      </c>
      <c r="K53" t="s">
        <v>633</v>
      </c>
      <c r="L53" t="str">
        <f t="shared" si="40"/>
        <v>Adelaide Hennessy</v>
      </c>
      <c r="M53" t="str">
        <f>VLOOKUP($B53,Customers!$B:$J,4,0)</f>
        <v>2172 Stoney Creek</v>
      </c>
      <c r="N53" t="str">
        <f>VLOOKUP($B53,Customers!$B:$J,5,0)</f>
        <v>310</v>
      </c>
      <c r="O53" t="str">
        <f>VLOOKUP($B53,Customers!$B:$J,6,0)</f>
        <v>Green Lake</v>
      </c>
      <c r="P53" t="str">
        <f>VLOOKUP($B53,Customers!$B:$J,7,0)</f>
        <v>Saskatchewan</v>
      </c>
      <c r="Q53" t="str">
        <f>VLOOKUP($B53,Customers!$B:$J,8,0)</f>
        <v>S4P 3Y2</v>
      </c>
      <c r="R53" t="str">
        <f>VLOOKUP($B53,Customers!$B:$J,9,0)</f>
        <v>306-832-9394</v>
      </c>
      <c r="S53" t="str">
        <f>VLOOKUP($B53,Customers!$B:$T,16,0)</f>
        <v>Credit</v>
      </c>
      <c r="T53" t="str">
        <f>VLOOKUP($B53,Customers!$B:$T,18,0)</f>
        <v>Mastercard</v>
      </c>
      <c r="U53" t="str">
        <f>VLOOKUP($B53,Customers!$B:$T,19,0)</f>
        <v>8225</v>
      </c>
      <c r="V53">
        <f ca="1">COUNTIF(C:C,C53)-1</f>
        <v>4</v>
      </c>
      <c r="W53">
        <f>SUM(X53:Z53)</f>
        <v>400.52</v>
      </c>
      <c r="X53">
        <f>SUM(X49:X52)</f>
        <v>350.02</v>
      </c>
      <c r="Y53">
        <f>SUM(Y49:Y52)</f>
        <v>45.51</v>
      </c>
      <c r="Z53">
        <v>4.99</v>
      </c>
      <c r="AF53" s="54"/>
      <c r="AG53" s="48">
        <f>AG52</f>
        <v>44869</v>
      </c>
      <c r="AH53" s="48"/>
      <c r="AI53" t="str">
        <f t="shared" si="43"/>
        <v>Delivered</v>
      </c>
      <c r="AJ53" s="48">
        <f t="shared" si="43"/>
        <v>44869</v>
      </c>
    </row>
    <row r="54" spans="1:39" s="58" customFormat="1" ht="58" x14ac:dyDescent="0.35">
      <c r="A54" s="60" t="s">
        <v>760</v>
      </c>
      <c r="B54" s="60" t="str">
        <f>IF(B53="","","'"&amp;B$3&amp;"' : '"&amp;B53&amp;"', ")</f>
        <v xml:space="preserve">'emailAddress' : 'hennessyadelaide@gmail.com', </v>
      </c>
      <c r="C54" s="60" t="str">
        <f>IF(C53="","","'"&amp;C$3&amp;"' : '"&amp;C53&amp;"', ")</f>
        <v xml:space="preserve">'orderId' : '20221104120000', </v>
      </c>
      <c r="D54" s="60" t="str">
        <f>IF(D53="","","'"&amp;D$3&amp;"' : '"&amp;D53&amp;"', ")</f>
        <v xml:space="preserve">'employeeUserName' : 'lzapanta', </v>
      </c>
      <c r="E54" s="60" t="str">
        <f>IF(E53="","","'"&amp;$F$2&amp;"' : { '"&amp;E$3&amp;"' : '"&amp;E53&amp;"' , ")</f>
        <v xml:space="preserve">'deliveryAddress' : { 'name' : 'Adelaide Hennessy' , </v>
      </c>
      <c r="F54" s="60" t="str">
        <f>IF(F53="","","'"&amp;F$3&amp;"' : '"&amp;F53&amp;"' , ")</f>
        <v xml:space="preserve">'street' : '3238 102nd Avenue' , </v>
      </c>
      <c r="G54" s="60" t="str">
        <f>IF(G53="","","'"&amp;G$3&amp;"' : '"&amp;G53&amp;"' , ")</f>
        <v xml:space="preserve">'unit' : '411' , </v>
      </c>
      <c r="H54" s="60" t="str">
        <f>IF(H53="","","'"&amp;H$3&amp;"' : '"&amp;H53&amp;"' , ")</f>
        <v xml:space="preserve">'city' : 'Fort St John' , </v>
      </c>
      <c r="I54" s="60" t="str">
        <f>IF(I53="","","'"&amp;I$3&amp;"' : '"&amp;I53&amp;"' , ")</f>
        <v xml:space="preserve">'province' : 'British Columbia' , </v>
      </c>
      <c r="J54" s="60" t="str">
        <f>IF(J53="","","'"&amp;J$3&amp;"' : '"&amp;J53&amp;"' , ")</f>
        <v xml:space="preserve">'zip' : 'V1J 3Y7' , </v>
      </c>
      <c r="K54" s="60" t="str">
        <f>IF(K53="","","'"&amp;K$3&amp;"' : '"&amp;K53&amp;"' } , ")</f>
        <v xml:space="preserve">'mobileNumber' : '250-263-5582' } , </v>
      </c>
      <c r="L54" s="60" t="str">
        <f>IF(L53="","","'"&amp;$L$2&amp;"' : { '"&amp;L$3&amp;"' : '"&amp;L53&amp;"' , ")</f>
        <v xml:space="preserve">'billingsAddress' : { 'name' : 'Adelaide Hennessy' , </v>
      </c>
      <c r="M54" s="60" t="str">
        <f>IF(M53="","","'"&amp;M$3&amp;"' : '"&amp;M53&amp;"' , ")</f>
        <v xml:space="preserve">'street' : '2172 Stoney Creek' , </v>
      </c>
      <c r="N54" s="60" t="str">
        <f>IF(N53="","","'"&amp;N$3&amp;"' : '"&amp;N53&amp;"' , ")</f>
        <v xml:space="preserve">'unit' : '310' , </v>
      </c>
      <c r="O54" s="60" t="str">
        <f>IF(O53="","","'"&amp;O$3&amp;"' : '"&amp;O53&amp;"' , ")</f>
        <v xml:space="preserve">'city' : 'Green Lake' , </v>
      </c>
      <c r="P54" s="60" t="str">
        <f>IF(P53="","","'"&amp;P$3&amp;"' : '"&amp;P53&amp;"' , ")</f>
        <v xml:space="preserve">'province' : 'Saskatchewan' , </v>
      </c>
      <c r="Q54" s="60" t="str">
        <f>IF(Q53="","","'"&amp;Q$3&amp;"' : '"&amp;Q53&amp;"' , ")</f>
        <v xml:space="preserve">'zip' : 'S4P 3Y2' , </v>
      </c>
      <c r="R54" s="60" t="str">
        <f>IF(R53="","","'"&amp;R$3&amp;"' : '"&amp;R53&amp;"' } , ")</f>
        <v xml:space="preserve">'mobileNumber' : '306-832-9394' } , </v>
      </c>
      <c r="S54" s="60" t="str">
        <f>IF(S53="","","'"&amp;$S$2&amp;"' : { '"&amp;S$3&amp;"' : '"&amp;S53&amp;"' , ")</f>
        <v xml:space="preserve">'paymentMethod' : { 'paymentType' : 'Credit' , </v>
      </c>
      <c r="T54" s="60" t="str">
        <f>IF(T53="","","'"&amp;T$3&amp;"' : '"&amp;T53&amp;"' , ")</f>
        <v xml:space="preserve">'cardScheme' : 'Mastercard' , </v>
      </c>
      <c r="U54" s="60" t="str">
        <f>IF(U53="","","'"&amp;U$3&amp;"' : '"&amp;U53&amp;"' } , ")</f>
        <v xml:space="preserve">'cardLast4' : '8225' } , </v>
      </c>
      <c r="V54" s="60" t="str">
        <f ca="1">IF(V53="","","'"&amp;V$3&amp;"' : "&amp;V53&amp;", ")</f>
        <v xml:space="preserve">'totalQty' : 4, </v>
      </c>
      <c r="W54" s="60" t="str">
        <f>IF(W53="","","'"&amp;W$3&amp;"' : "&amp;W53&amp;", ")</f>
        <v xml:space="preserve">'orderTotal' : 400.52, </v>
      </c>
      <c r="X54" s="60" t="str">
        <f>IF(X53="","","'"&amp;X$3&amp;"' : "&amp;X53&amp;", ")</f>
        <v xml:space="preserve">'grossTotal' : 350.02, </v>
      </c>
      <c r="Y54" s="60" t="str">
        <f>IF(Y53="","","'"&amp;Y$3&amp;"' : "&amp;Y53&amp;", ")</f>
        <v xml:space="preserve">'tax' : 45.51, </v>
      </c>
      <c r="Z54" s="60" t="str">
        <f>IF(Z53="","","'"&amp;Z$3&amp;"' : "&amp;Z53&amp;", ")</f>
        <v xml:space="preserve">'deliveryFee' : 4.99, </v>
      </c>
      <c r="AA54" s="60"/>
      <c r="AB54" s="60"/>
      <c r="AC54" s="60"/>
      <c r="AD54" s="60"/>
      <c r="AE54" s="60"/>
      <c r="AF54" s="60" t="str">
        <f>$AA$2&amp;" : "&amp;_xlfn.CONCAT("[ ",AF49:AF52,"], ")</f>
        <v xml:space="preserve">orderDetails : [ { 'productId' : '4012', 'productName' : 'Empanada', 'quantity' : 7, 'price' : 6.79, 'subTotal' : 47.53 },{ 'productId' : '4004', 'productName' : 'Everything Bagel', 'quantity' : 24, 'price' : 7.49, 'subTotal' : 179.76 },{ 'productId' : '5003', 'productName' : 'Continental Drinks', 'quantity' : 2, 'price' : 3.99, 'subTotal' : 7.98 },{ 'productId' : '4006', 'productName' : 'Chocolate Croissant', 'quantity' : 15, 'price' : 7.65, 'subTotal' : 114.75 }], </v>
      </c>
      <c r="AG54" s="60" t="str">
        <f>IF(AG53="","","'"&amp;AG$3&amp;"' : new Date('"&amp;TEXT(AG53,"yyyy-mm-dd")&amp;"'), ")</f>
        <v xml:space="preserve">'orderDate' : new Date('2022-11-04'), </v>
      </c>
      <c r="AH54" s="60"/>
      <c r="AI54" s="60" t="str">
        <f>IF(AI53="","","'"&amp;AI$3&amp;"' : '"&amp;AI53&amp;"', ")</f>
        <v xml:space="preserve">'orderStatus' : 'Delivered', </v>
      </c>
      <c r="AJ54" s="60" t="str">
        <f>IF(AJ53="","","'"&amp;AJ$3&amp;"' : new Date('"&amp;TEXT(AJ53,"yyyy-mm-dd")&amp;"') ")</f>
        <v xml:space="preserve">'statusDate' : new Date('2022-11-04') </v>
      </c>
      <c r="AK54" s="60"/>
      <c r="AL54" s="59"/>
      <c r="AM54" s="58" t="str">
        <f ca="1">_xlfn.CONCAT("{ ",B54:AJ54,"} ,")</f>
        <v>{ 'emailAddress' : 'hennessyadelaide@gmail.com', 'orderId' : '20221104120000', 'employeeUserName' : 'lzapanta', 'deliveryAddress' : { 'name' : 'Adelaide Hennessy' , 'street' : '3238 102nd Avenue' , 'unit' : '411' , 'city' : 'Fort St John' , 'province' : 'British Columbia' , 'zip' : 'V1J 3Y7' , 'mobileNumber' : '250-263-5582' } , 'billingsAddress' : { 'name' : 'Adelaide Hennessy' , 'street' : '2172 Stoney Creek' , 'unit' : '310' , 'city' : 'Green Lake' , 'province' : 'Saskatchewan' , 'zip' : 'S4P 3Y2' , 'mobileNumber' : '306-832-9394' } , 'paymentMethod' : { 'paymentType' : 'Credit' , 'cardScheme' : 'Mastercard' , 'cardLast4' : '8225' } , 'totalQty' : 4, 'orderTotal' : 400.52, 'grossTotal' : 350.02, 'tax' : 45.51, 'deliveryFee' : 4.99, orderDetails : [ { 'productId' : '4012', 'productName' : 'Empanada', 'quantity' : 7, 'price' : 6.79, 'subTotal' : 47.53 },{ 'productId' : '4004', 'productName' : 'Everything Bagel', 'quantity' : 24, 'price' : 7.49, 'subTotal' : 179.76 },{ 'productId' : '5003', 'productName' : 'Continental Drinks', 'quantity' : 2, 'price' : 3.99, 'subTotal' : 7.98 },{ 'productId' : '4006', 'productName' : 'Chocolate Croissant', 'quantity' : 15, 'price' : 7.65, 'subTotal' : 114.75 }], 'orderDate' : new Date('2022-11-04'), 'orderStatus' : 'Delivered', 'statusDate' : new Date('2022-11-04') } ,</v>
      </c>
    </row>
    <row r="55" spans="1:39" x14ac:dyDescent="0.35">
      <c r="B55" t="s">
        <v>689</v>
      </c>
      <c r="C55" s="49" t="s">
        <v>722</v>
      </c>
      <c r="D55" t="s">
        <v>682</v>
      </c>
      <c r="E55" t="s">
        <v>325</v>
      </c>
      <c r="F55" t="s">
        <v>587</v>
      </c>
      <c r="G55" t="s">
        <v>606</v>
      </c>
      <c r="H55" t="s">
        <v>432</v>
      </c>
      <c r="I55" t="s">
        <v>26</v>
      </c>
      <c r="J55" t="s">
        <v>616</v>
      </c>
      <c r="K55" t="s">
        <v>628</v>
      </c>
      <c r="L55" t="str">
        <f t="shared" ref="L55:L57" si="44">E55</f>
        <v>Penelope Piers</v>
      </c>
      <c r="M55" t="str">
        <f>VLOOKUP($B55,Customers!$B:$J,4,0)</f>
        <v>1228 A Avenue</v>
      </c>
      <c r="O55" t="str">
        <f>VLOOKUP($B55,Customers!$B:$J,6,0)</f>
        <v>Edmonton</v>
      </c>
      <c r="P55" t="str">
        <f>VLOOKUP($B55,Customers!$B:$J,7,0)</f>
        <v>Alberta</v>
      </c>
      <c r="Q55" t="str">
        <f>VLOOKUP($B55,Customers!$B:$J,8,0)</f>
        <v>T5J 0K7</v>
      </c>
      <c r="R55" t="str">
        <f>VLOOKUP($B55,Customers!$B:$J,9,0)</f>
        <v>780-917-8428</v>
      </c>
      <c r="S55" t="str">
        <f>VLOOKUP($B55,Customers!$B:$T,16,0)</f>
        <v>Debit</v>
      </c>
      <c r="T55" t="str">
        <f>VLOOKUP($B55,Customers!$B:$T,18,0)</f>
        <v>Visa</v>
      </c>
      <c r="U55" t="str">
        <f>VLOOKUP($B55,Customers!$B:$T,19,0)</f>
        <v>2990</v>
      </c>
      <c r="V55">
        <f ca="1">COUNTIF(C:C,C55)-1</f>
        <v>2</v>
      </c>
      <c r="X55">
        <f t="shared" ref="X55:X56" si="45">AC55*AD55</f>
        <v>59.88</v>
      </c>
      <c r="Y55">
        <f t="shared" ref="Y55:Y56" si="46">ROUND(X55*13%,2)</f>
        <v>7.78</v>
      </c>
      <c r="AA55">
        <v>4013</v>
      </c>
      <c r="AB55" t="s">
        <v>79</v>
      </c>
      <c r="AC55">
        <v>12</v>
      </c>
      <c r="AD55">
        <v>4.99</v>
      </c>
      <c r="AE55">
        <f>AC55*AD55</f>
        <v>59.88</v>
      </c>
      <c r="AF55" s="54" t="str">
        <f>"{ '"&amp;AA$3&amp;"' : '"&amp;AA55&amp;"', '"&amp;AB$3&amp;"' : '"&amp;AB55&amp;"', '"&amp;AC$3&amp;"' : "&amp;AC55&amp;", '"&amp;AD$3&amp;"' : "&amp;AD55&amp;", '"&amp;AE$3&amp;"' : "&amp;AE55&amp;" },"</f>
        <v>{ 'productId' : '4013', 'productName' : 'Pandesal', 'quantity' : 12, 'price' : 4.99, 'subTotal' : 59.88 },</v>
      </c>
      <c r="AG55" s="48">
        <v>44869</v>
      </c>
      <c r="AH55" s="50" t="s">
        <v>692</v>
      </c>
      <c r="AI55" t="s">
        <v>755</v>
      </c>
      <c r="AJ55" s="48">
        <f>AG55</f>
        <v>44869</v>
      </c>
      <c r="AK55" t="s">
        <v>694</v>
      </c>
    </row>
    <row r="56" spans="1:39" x14ac:dyDescent="0.35">
      <c r="B56" t="s">
        <v>689</v>
      </c>
      <c r="C56" t="s">
        <v>722</v>
      </c>
      <c r="D56" t="s">
        <v>682</v>
      </c>
      <c r="E56" t="s">
        <v>325</v>
      </c>
      <c r="F56" t="s">
        <v>587</v>
      </c>
      <c r="G56" t="s">
        <v>606</v>
      </c>
      <c r="H56" t="s">
        <v>432</v>
      </c>
      <c r="I56" t="s">
        <v>26</v>
      </c>
      <c r="J56" t="s">
        <v>616</v>
      </c>
      <c r="K56" t="s">
        <v>628</v>
      </c>
      <c r="L56" t="str">
        <f t="shared" si="44"/>
        <v>Penelope Piers</v>
      </c>
      <c r="M56" t="str">
        <f>VLOOKUP($B56,Customers!$B:$J,4,0)</f>
        <v>1228 A Avenue</v>
      </c>
      <c r="O56" t="str">
        <f>VLOOKUP($B56,Customers!$B:$J,6,0)</f>
        <v>Edmonton</v>
      </c>
      <c r="P56" t="str">
        <f>VLOOKUP($B56,Customers!$B:$J,7,0)</f>
        <v>Alberta</v>
      </c>
      <c r="Q56" t="str">
        <f>VLOOKUP($B56,Customers!$B:$J,8,0)</f>
        <v>T5J 0K7</v>
      </c>
      <c r="R56" t="str">
        <f>VLOOKUP($B56,Customers!$B:$J,9,0)</f>
        <v>780-917-8428</v>
      </c>
      <c r="S56" t="str">
        <f>VLOOKUP($B56,Customers!$B:$T,16,0)</f>
        <v>Debit</v>
      </c>
      <c r="T56" t="str">
        <f>VLOOKUP($B56,Customers!$B:$T,18,0)</f>
        <v>Visa</v>
      </c>
      <c r="U56" t="str">
        <f>VLOOKUP($B56,Customers!$B:$T,19,0)</f>
        <v>2990</v>
      </c>
      <c r="V56">
        <f ca="1">COUNTIF(C:C,C56)-1</f>
        <v>2</v>
      </c>
      <c r="X56">
        <f t="shared" si="45"/>
        <v>151.80000000000001</v>
      </c>
      <c r="Y56">
        <f t="shared" si="46"/>
        <v>19.73</v>
      </c>
      <c r="AA56">
        <v>4009</v>
      </c>
      <c r="AB56" t="s">
        <v>73</v>
      </c>
      <c r="AC56">
        <v>20</v>
      </c>
      <c r="AD56">
        <v>7.59</v>
      </c>
      <c r="AE56">
        <f>AC56*AD56</f>
        <v>151.80000000000001</v>
      </c>
      <c r="AF56" s="54" t="str">
        <f>"{ '"&amp;AA$3&amp;"' : '"&amp;AA56&amp;"', '"&amp;AB$3&amp;"' : '"&amp;AB56&amp;"', '"&amp;AC$3&amp;"' : "&amp;AC56&amp;", '"&amp;AD$3&amp;"' : "&amp;AD56&amp;", '"&amp;AE$3&amp;"' : "&amp;AE56&amp;" }"</f>
        <v>{ 'productId' : '4009', 'productName' : 'Pecan Braid', 'quantity' : 20, 'price' : 7.59, 'subTotal' : 151.8 }</v>
      </c>
      <c r="AG56" s="48">
        <v>44869</v>
      </c>
      <c r="AH56" s="48" t="str">
        <f>AH55</f>
        <v>103336</v>
      </c>
      <c r="AI56" t="str">
        <f t="shared" ref="AI56:AJ57" si="47">AI55</f>
        <v>Delivered</v>
      </c>
      <c r="AJ56" s="48">
        <f t="shared" si="47"/>
        <v>44869</v>
      </c>
    </row>
    <row r="57" spans="1:39" x14ac:dyDescent="0.35">
      <c r="A57" t="s">
        <v>759</v>
      </c>
      <c r="B57" t="s">
        <v>689</v>
      </c>
      <c r="C57" t="s">
        <v>722</v>
      </c>
      <c r="D57" t="s">
        <v>682</v>
      </c>
      <c r="E57" t="s">
        <v>325</v>
      </c>
      <c r="F57" t="s">
        <v>587</v>
      </c>
      <c r="G57" t="s">
        <v>606</v>
      </c>
      <c r="H57" t="s">
        <v>432</v>
      </c>
      <c r="I57" t="s">
        <v>26</v>
      </c>
      <c r="J57" t="s">
        <v>616</v>
      </c>
      <c r="K57" t="s">
        <v>628</v>
      </c>
      <c r="L57" t="str">
        <f t="shared" si="44"/>
        <v>Penelope Piers</v>
      </c>
      <c r="M57" t="str">
        <f>VLOOKUP($B57,Customers!$B:$J,4,0)</f>
        <v>1228 A Avenue</v>
      </c>
      <c r="O57" t="str">
        <f>VLOOKUP($B57,Customers!$B:$J,6,0)</f>
        <v>Edmonton</v>
      </c>
      <c r="P57" t="str">
        <f>VLOOKUP($B57,Customers!$B:$J,7,0)</f>
        <v>Alberta</v>
      </c>
      <c r="Q57" t="str">
        <f>VLOOKUP($B57,Customers!$B:$J,8,0)</f>
        <v>T5J 0K7</v>
      </c>
      <c r="R57" t="str">
        <f>VLOOKUP($B57,Customers!$B:$J,9,0)</f>
        <v>780-917-8428</v>
      </c>
      <c r="S57" t="str">
        <f>VLOOKUP($B57,Customers!$B:$T,16,0)</f>
        <v>Debit</v>
      </c>
      <c r="T57" t="str">
        <f>VLOOKUP($B57,Customers!$B:$T,18,0)</f>
        <v>Visa</v>
      </c>
      <c r="U57" t="str">
        <f>VLOOKUP($B57,Customers!$B:$T,19,0)</f>
        <v>2990</v>
      </c>
      <c r="V57">
        <f ca="1">COUNTIF(C:C,C57)-1</f>
        <v>2</v>
      </c>
      <c r="W57">
        <f>SUM(X57:Z57)</f>
        <v>244.18</v>
      </c>
      <c r="X57">
        <f>SUM(X55:X56)</f>
        <v>211.68</v>
      </c>
      <c r="Y57">
        <f>SUM(Y55:Y56)</f>
        <v>27.51</v>
      </c>
      <c r="Z57">
        <v>4.99</v>
      </c>
      <c r="AF57" s="54"/>
      <c r="AG57" s="48">
        <f>AG56</f>
        <v>44869</v>
      </c>
      <c r="AH57" s="48"/>
      <c r="AI57" t="str">
        <f t="shared" si="47"/>
        <v>Delivered</v>
      </c>
      <c r="AJ57" s="48">
        <f t="shared" si="47"/>
        <v>44869</v>
      </c>
    </row>
    <row r="58" spans="1:39" s="58" customFormat="1" ht="43.5" x14ac:dyDescent="0.35">
      <c r="A58" s="60" t="s">
        <v>760</v>
      </c>
      <c r="B58" s="60" t="str">
        <f>IF(B57="","","'"&amp;B$3&amp;"' : '"&amp;B57&amp;"', ")</f>
        <v xml:space="preserve">'emailAddress' : 'penelope_piers@gmail.com', </v>
      </c>
      <c r="C58" s="60" t="str">
        <f>IF(C57="","","'"&amp;C$3&amp;"' : '"&amp;C57&amp;"', ")</f>
        <v xml:space="preserve">'orderId' : '20221104103336', </v>
      </c>
      <c r="D58" s="60" t="str">
        <f>IF(D57="","","'"&amp;D$3&amp;"' : '"&amp;D57&amp;"', ")</f>
        <v xml:space="preserve">'employeeUserName' : 'mjones', </v>
      </c>
      <c r="E58" s="60" t="str">
        <f>IF(E57="","","'"&amp;$F$2&amp;"' : { '"&amp;E$3&amp;"' : '"&amp;E57&amp;"' , ")</f>
        <v xml:space="preserve">'deliveryAddress' : { 'name' : 'Penelope Piers' , </v>
      </c>
      <c r="F58" s="60" t="str">
        <f>IF(F57="","","'"&amp;F$3&amp;"' : '"&amp;F57&amp;"' , ")</f>
        <v xml:space="preserve">'street' : '3050 Speers Road' , </v>
      </c>
      <c r="G58" s="60" t="str">
        <f>IF(G57="","","'"&amp;G$3&amp;"' : '"&amp;G57&amp;"' , ")</f>
        <v xml:space="preserve">'unit' : '86' , </v>
      </c>
      <c r="H58" s="60" t="str">
        <f>IF(H57="","","'"&amp;H$3&amp;"' : '"&amp;H57&amp;"' , ")</f>
        <v xml:space="preserve">'city' : 'Oakville' , </v>
      </c>
      <c r="I58" s="60" t="str">
        <f>IF(I57="","","'"&amp;I$3&amp;"' : '"&amp;I57&amp;"' , ")</f>
        <v xml:space="preserve">'province' : 'Ontario' , </v>
      </c>
      <c r="J58" s="60" t="str">
        <f>IF(J57="","","'"&amp;J$3&amp;"' : '"&amp;J57&amp;"' , ")</f>
        <v xml:space="preserve">'zip' : 'L6H 3H5' , </v>
      </c>
      <c r="K58" s="60" t="str">
        <f>IF(K57="","","'"&amp;K$3&amp;"' : '"&amp;K57&amp;"' } , ")</f>
        <v xml:space="preserve">'mobileNumber' : '905-467-2429' } , </v>
      </c>
      <c r="L58" s="60" t="str">
        <f>IF(L57="","","'"&amp;$L$2&amp;"' : { '"&amp;L$3&amp;"' : '"&amp;L57&amp;"' , ")</f>
        <v xml:space="preserve">'billingsAddress' : { 'name' : 'Penelope Piers' , </v>
      </c>
      <c r="M58" s="60" t="str">
        <f>IF(M57="","","'"&amp;M$3&amp;"' : '"&amp;M57&amp;"' , ")</f>
        <v xml:space="preserve">'street' : '1228 A Avenue' , </v>
      </c>
      <c r="N58" s="60" t="str">
        <f>IF(N57="","","'"&amp;N$3&amp;"' : '"&amp;N57&amp;"' , ")</f>
        <v/>
      </c>
      <c r="O58" s="60" t="str">
        <f>IF(O57="","","'"&amp;O$3&amp;"' : '"&amp;O57&amp;"' , ")</f>
        <v xml:space="preserve">'city' : 'Edmonton' , </v>
      </c>
      <c r="P58" s="60" t="str">
        <f>IF(P57="","","'"&amp;P$3&amp;"' : '"&amp;P57&amp;"' , ")</f>
        <v xml:space="preserve">'province' : 'Alberta' , </v>
      </c>
      <c r="Q58" s="60" t="str">
        <f>IF(Q57="","","'"&amp;Q$3&amp;"' : '"&amp;Q57&amp;"' , ")</f>
        <v xml:space="preserve">'zip' : 'T5J 0K7' , </v>
      </c>
      <c r="R58" s="60" t="str">
        <f>IF(R57="","","'"&amp;R$3&amp;"' : '"&amp;R57&amp;"' } , ")</f>
        <v xml:space="preserve">'mobileNumber' : '780-917-8428' } , </v>
      </c>
      <c r="S58" s="60" t="str">
        <f>IF(S57="","","'"&amp;$S$2&amp;"' : { '"&amp;S$3&amp;"' : '"&amp;S57&amp;"' , ")</f>
        <v xml:space="preserve">'paymentMethod' : { 'paymentType' : 'Debit' , </v>
      </c>
      <c r="T58" s="60" t="str">
        <f>IF(T57="","","'"&amp;T$3&amp;"' : '"&amp;T57&amp;"' , ")</f>
        <v xml:space="preserve">'cardScheme' : 'Visa' , </v>
      </c>
      <c r="U58" s="60" t="str">
        <f>IF(U57="","","'"&amp;U$3&amp;"' : '"&amp;U57&amp;"' } , ")</f>
        <v xml:space="preserve">'cardLast4' : '2990' } , </v>
      </c>
      <c r="V58" s="60" t="str">
        <f ca="1">IF(V57="","","'"&amp;V$3&amp;"' : "&amp;V57&amp;", ")</f>
        <v xml:space="preserve">'totalQty' : 2, </v>
      </c>
      <c r="W58" s="60" t="str">
        <f>IF(W57="","","'"&amp;W$3&amp;"' : "&amp;W57&amp;", ")</f>
        <v xml:space="preserve">'orderTotal' : 244.18, </v>
      </c>
      <c r="X58" s="60" t="str">
        <f>IF(X57="","","'"&amp;X$3&amp;"' : "&amp;X57&amp;", ")</f>
        <v xml:space="preserve">'grossTotal' : 211.68, </v>
      </c>
      <c r="Y58" s="60" t="str">
        <f>IF(Y57="","","'"&amp;Y$3&amp;"' : "&amp;Y57&amp;", ")</f>
        <v xml:space="preserve">'tax' : 27.51, </v>
      </c>
      <c r="Z58" s="60" t="str">
        <f>IF(Z57="","","'"&amp;Z$3&amp;"' : "&amp;Z57&amp;", ")</f>
        <v xml:space="preserve">'deliveryFee' : 4.99, </v>
      </c>
      <c r="AA58" s="60"/>
      <c r="AB58" s="60"/>
      <c r="AC58" s="60"/>
      <c r="AD58" s="60"/>
      <c r="AE58" s="60"/>
      <c r="AF58" s="60" t="str">
        <f>$AA$2&amp;" : "&amp;_xlfn.CONCAT("[ ",AF55:AF56,"], ")</f>
        <v xml:space="preserve">orderDetails : [ { 'productId' : '4013', 'productName' : 'Pandesal', 'quantity' : 12, 'price' : 4.99, 'subTotal' : 59.88 },{ 'productId' : '4009', 'productName' : 'Pecan Braid', 'quantity' : 20, 'price' : 7.59, 'subTotal' : 151.8 }], </v>
      </c>
      <c r="AG58" s="60" t="str">
        <f>IF(AG57="","","'"&amp;AG$3&amp;"' : new Date('"&amp;TEXT(AG57,"yyyy-mm-dd")&amp;"'), ")</f>
        <v xml:space="preserve">'orderDate' : new Date('2022-11-04'), </v>
      </c>
      <c r="AH58" s="60"/>
      <c r="AI58" s="60" t="str">
        <f>IF(AI57="","","'"&amp;AI$3&amp;"' : '"&amp;AI57&amp;"', ")</f>
        <v xml:space="preserve">'orderStatus' : 'Delivered', </v>
      </c>
      <c r="AJ58" s="60" t="str">
        <f>IF(AJ57="","","'"&amp;AJ$3&amp;"' : new Date('"&amp;TEXT(AJ57,"yyyy-mm-dd")&amp;"') ")</f>
        <v xml:space="preserve">'statusDate' : new Date('2022-11-04') </v>
      </c>
      <c r="AK58" s="60"/>
      <c r="AL58" s="59"/>
      <c r="AM58" s="58" t="str">
        <f ca="1">_xlfn.CONCAT("{ ",B58:AJ58,"} ,")</f>
        <v>{ 'emailAddress' : 'penelope_piers@gmail.com', 'orderId' : '20221104103336', 'employeeUserName' : 'mjones', 'deliveryAddress' : { 'name' : 'Penelope Piers' , 'street' : '3050 Speers Road' , 'unit' : '86' , 'city' : 'Oakville' , 'province' : 'Ontario' , 'zip' : 'L6H 3H5' , 'mobileNumber' : '905-467-2429' } , 'billingsAddress' : { 'name' : 'Penelope Piers' , 'street' : '1228 A Avenue' , 'city' : 'Edmonton' , 'province' : 'Alberta' , 'zip' : 'T5J 0K7' , 'mobileNumber' : '780-917-8428' } , 'paymentMethod' : { 'paymentType' : 'Debit' , 'cardScheme' : 'Visa' , 'cardLast4' : '2990' } , 'totalQty' : 2, 'orderTotal' : 244.18, 'grossTotal' : 211.68, 'tax' : 27.51, 'deliveryFee' : 4.99, orderDetails : [ { 'productId' : '4013', 'productName' : 'Pandesal', 'quantity' : 12, 'price' : 4.99, 'subTotal' : 59.88 },{ 'productId' : '4009', 'productName' : 'Pecan Braid', 'quantity' : 20, 'price' : 7.59, 'subTotal' : 151.8 }], 'orderDate' : new Date('2022-11-04'), 'orderStatus' : 'Delivered', 'statusDate' : new Date('2022-11-04') } ,</v>
      </c>
    </row>
    <row r="59" spans="1:39" x14ac:dyDescent="0.35">
      <c r="B59" t="s">
        <v>723</v>
      </c>
      <c r="C59" s="49" t="s">
        <v>724</v>
      </c>
      <c r="D59" t="s">
        <v>681</v>
      </c>
      <c r="E59" t="s">
        <v>314</v>
      </c>
      <c r="F59" t="s">
        <v>585</v>
      </c>
      <c r="G59" t="s">
        <v>604</v>
      </c>
      <c r="H59" t="s">
        <v>595</v>
      </c>
      <c r="I59" t="s">
        <v>26</v>
      </c>
      <c r="J59" t="s">
        <v>614</v>
      </c>
      <c r="K59" t="s">
        <v>626</v>
      </c>
      <c r="L59" t="str">
        <f t="shared" ref="L59:L63" si="48">E59</f>
        <v>Leo Clarkson</v>
      </c>
      <c r="M59" t="str">
        <f>VLOOKUP($B59,Customers!$B:$J,4,0)</f>
        <v>1808 Pope St</v>
      </c>
      <c r="O59" t="str">
        <f>VLOOKUP($B59,Customers!$B:$J,6,0)</f>
        <v>Alberton</v>
      </c>
      <c r="P59" t="str">
        <f>VLOOKUP($B59,Customers!$B:$J,7,0)</f>
        <v>Prince Edward Island</v>
      </c>
      <c r="Q59" t="str">
        <f>VLOOKUP($B59,Customers!$B:$J,8,0)</f>
        <v>C0B 1K0</v>
      </c>
      <c r="R59" t="str">
        <f>VLOOKUP($B59,Customers!$B:$J,9,0)</f>
        <v>902-853-1818</v>
      </c>
      <c r="S59" t="str">
        <f>VLOOKUP($B59,Customers!$B:$T,16,0)</f>
        <v>Debit</v>
      </c>
      <c r="T59" t="str">
        <f>VLOOKUP($B59,Customers!$B:$T,18,0)</f>
        <v>Mastercard</v>
      </c>
      <c r="U59" t="str">
        <f>VLOOKUP($B59,Customers!$B:$T,19,0)</f>
        <v>2880</v>
      </c>
      <c r="V59">
        <f ca="1">COUNTIF(C:C,C59)-1</f>
        <v>4</v>
      </c>
      <c r="X59">
        <f t="shared" ref="X59:X62" si="49">AC59*AD59</f>
        <v>129.03</v>
      </c>
      <c r="Y59">
        <f t="shared" ref="Y59:Y62" si="50">ROUND(X59*13%,2)</f>
        <v>16.77</v>
      </c>
      <c r="AA59">
        <v>4009</v>
      </c>
      <c r="AB59" t="s">
        <v>73</v>
      </c>
      <c r="AC59">
        <v>17</v>
      </c>
      <c r="AD59">
        <v>7.59</v>
      </c>
      <c r="AE59">
        <f>AC59*AD59</f>
        <v>129.03</v>
      </c>
      <c r="AF59" s="54" t="str">
        <f>"{ '"&amp;AA$3&amp;"' : '"&amp;AA59&amp;"', '"&amp;AB$3&amp;"' : '"&amp;AB59&amp;"', '"&amp;AC$3&amp;"' : "&amp;AC59&amp;", '"&amp;AD$3&amp;"' : "&amp;AD59&amp;", '"&amp;AE$3&amp;"' : "&amp;AE59&amp;" },"</f>
        <v>{ 'productId' : '4009', 'productName' : 'Pecan Braid', 'quantity' : 17, 'price' : 7.59, 'subTotal' : 129.03 },</v>
      </c>
      <c r="AG59" s="48">
        <v>44870</v>
      </c>
      <c r="AH59" s="50" t="s">
        <v>688</v>
      </c>
      <c r="AI59" t="s">
        <v>755</v>
      </c>
      <c r="AJ59" s="48">
        <f>AG59</f>
        <v>44870</v>
      </c>
      <c r="AK59" t="s">
        <v>689</v>
      </c>
    </row>
    <row r="60" spans="1:39" x14ac:dyDescent="0.35">
      <c r="B60" t="s">
        <v>723</v>
      </c>
      <c r="C60" t="s">
        <v>724</v>
      </c>
      <c r="D60" t="s">
        <v>681</v>
      </c>
      <c r="E60" t="s">
        <v>314</v>
      </c>
      <c r="F60" t="s">
        <v>585</v>
      </c>
      <c r="G60" t="s">
        <v>604</v>
      </c>
      <c r="H60" t="s">
        <v>595</v>
      </c>
      <c r="I60" t="s">
        <v>26</v>
      </c>
      <c r="J60" t="s">
        <v>614</v>
      </c>
      <c r="K60" t="s">
        <v>626</v>
      </c>
      <c r="L60" t="str">
        <f t="shared" si="48"/>
        <v>Leo Clarkson</v>
      </c>
      <c r="M60" t="str">
        <f>VLOOKUP($B60,Customers!$B:$J,4,0)</f>
        <v>1808 Pope St</v>
      </c>
      <c r="O60" t="str">
        <f>VLOOKUP($B60,Customers!$B:$J,6,0)</f>
        <v>Alberton</v>
      </c>
      <c r="P60" t="str">
        <f>VLOOKUP($B60,Customers!$B:$J,7,0)</f>
        <v>Prince Edward Island</v>
      </c>
      <c r="Q60" t="str">
        <f>VLOOKUP($B60,Customers!$B:$J,8,0)</f>
        <v>C0B 1K0</v>
      </c>
      <c r="R60" t="str">
        <f>VLOOKUP($B60,Customers!$B:$J,9,0)</f>
        <v>902-853-1818</v>
      </c>
      <c r="S60" t="str">
        <f>VLOOKUP($B60,Customers!$B:$T,16,0)</f>
        <v>Debit</v>
      </c>
      <c r="T60" t="str">
        <f>VLOOKUP($B60,Customers!$B:$T,18,0)</f>
        <v>Mastercard</v>
      </c>
      <c r="U60" t="str">
        <f>VLOOKUP($B60,Customers!$B:$T,19,0)</f>
        <v>2880</v>
      </c>
      <c r="V60">
        <f ca="1">COUNTIF(C:C,C60)-1</f>
        <v>4</v>
      </c>
      <c r="X60">
        <f t="shared" si="49"/>
        <v>74.900000000000006</v>
      </c>
      <c r="Y60">
        <f t="shared" si="50"/>
        <v>9.74</v>
      </c>
      <c r="AA60">
        <v>4004</v>
      </c>
      <c r="AB60" t="s">
        <v>68</v>
      </c>
      <c r="AC60">
        <v>10</v>
      </c>
      <c r="AD60">
        <v>7.49</v>
      </c>
      <c r="AE60">
        <f>AC60*AD60</f>
        <v>74.900000000000006</v>
      </c>
      <c r="AF60" s="54" t="str">
        <f>"{ '"&amp;AA$3&amp;"' : '"&amp;AA60&amp;"', '"&amp;AB$3&amp;"' : '"&amp;AB60&amp;"', '"&amp;AC$3&amp;"' : "&amp;AC60&amp;", '"&amp;AD$3&amp;"' : "&amp;AD60&amp;", '"&amp;AE$3&amp;"' : "&amp;AE60&amp;" },"</f>
        <v>{ 'productId' : '4004', 'productName' : 'Everything Bagel', 'quantity' : 10, 'price' : 7.49, 'subTotal' : 74.9 },</v>
      </c>
      <c r="AG60" s="48">
        <v>44870</v>
      </c>
      <c r="AH60" s="48" t="str">
        <f t="shared" ref="AH60:AJ63" si="51">AH59</f>
        <v>104800</v>
      </c>
      <c r="AI60" t="str">
        <f t="shared" si="51"/>
        <v>Delivered</v>
      </c>
      <c r="AJ60" s="48">
        <f t="shared" si="51"/>
        <v>44870</v>
      </c>
    </row>
    <row r="61" spans="1:39" x14ac:dyDescent="0.35">
      <c r="B61" t="s">
        <v>723</v>
      </c>
      <c r="C61" t="s">
        <v>724</v>
      </c>
      <c r="D61" t="s">
        <v>681</v>
      </c>
      <c r="E61" t="s">
        <v>314</v>
      </c>
      <c r="F61" t="s">
        <v>585</v>
      </c>
      <c r="G61" t="s">
        <v>604</v>
      </c>
      <c r="H61" t="s">
        <v>595</v>
      </c>
      <c r="I61" t="s">
        <v>26</v>
      </c>
      <c r="J61" t="s">
        <v>614</v>
      </c>
      <c r="K61" t="s">
        <v>626</v>
      </c>
      <c r="L61" t="str">
        <f t="shared" si="48"/>
        <v>Leo Clarkson</v>
      </c>
      <c r="M61" t="str">
        <f>VLOOKUP($B61,Customers!$B:$J,4,0)</f>
        <v>1808 Pope St</v>
      </c>
      <c r="O61" t="str">
        <f>VLOOKUP($B61,Customers!$B:$J,6,0)</f>
        <v>Alberton</v>
      </c>
      <c r="P61" t="str">
        <f>VLOOKUP($B61,Customers!$B:$J,7,0)</f>
        <v>Prince Edward Island</v>
      </c>
      <c r="Q61" t="str">
        <f>VLOOKUP($B61,Customers!$B:$J,8,0)</f>
        <v>C0B 1K0</v>
      </c>
      <c r="R61" t="str">
        <f>VLOOKUP($B61,Customers!$B:$J,9,0)</f>
        <v>902-853-1818</v>
      </c>
      <c r="S61" t="str">
        <f>VLOOKUP($B61,Customers!$B:$T,16,0)</f>
        <v>Debit</v>
      </c>
      <c r="T61" t="str">
        <f>VLOOKUP($B61,Customers!$B:$T,18,0)</f>
        <v>Mastercard</v>
      </c>
      <c r="U61" t="str">
        <f>VLOOKUP($B61,Customers!$B:$T,19,0)</f>
        <v>2880</v>
      </c>
      <c r="V61">
        <f ca="1">COUNTIF(C:C,C61)-1</f>
        <v>4</v>
      </c>
      <c r="X61">
        <f t="shared" si="49"/>
        <v>91.85</v>
      </c>
      <c r="Y61">
        <f t="shared" si="50"/>
        <v>11.94</v>
      </c>
      <c r="AA61">
        <v>4010</v>
      </c>
      <c r="AB61" t="s">
        <v>74</v>
      </c>
      <c r="AC61">
        <v>11</v>
      </c>
      <c r="AD61">
        <v>8.35</v>
      </c>
      <c r="AE61">
        <f>AC61*AD61</f>
        <v>91.85</v>
      </c>
      <c r="AF61" s="54" t="str">
        <f>"{ '"&amp;AA$3&amp;"' : '"&amp;AA61&amp;"', '"&amp;AB$3&amp;"' : '"&amp;AB61&amp;"', '"&amp;AC$3&amp;"' : "&amp;AC61&amp;", '"&amp;AD$3&amp;"' : "&amp;AD61&amp;", '"&amp;AE$3&amp;"' : "&amp;AE61&amp;" },"</f>
        <v>{ 'productId' : '4010', 'productName' : 'Blueberry Muffin', 'quantity' : 11, 'price' : 8.35, 'subTotal' : 91.85 },</v>
      </c>
      <c r="AG61" s="48">
        <v>44870</v>
      </c>
      <c r="AH61" s="48" t="str">
        <f t="shared" si="51"/>
        <v>104800</v>
      </c>
      <c r="AI61" t="str">
        <f t="shared" si="51"/>
        <v>Delivered</v>
      </c>
      <c r="AJ61" s="48">
        <f t="shared" si="51"/>
        <v>44870</v>
      </c>
    </row>
    <row r="62" spans="1:39" x14ac:dyDescent="0.35">
      <c r="B62" t="s">
        <v>723</v>
      </c>
      <c r="C62" t="s">
        <v>724</v>
      </c>
      <c r="D62" t="s">
        <v>681</v>
      </c>
      <c r="E62" t="s">
        <v>314</v>
      </c>
      <c r="F62" t="s">
        <v>585</v>
      </c>
      <c r="G62" t="s">
        <v>604</v>
      </c>
      <c r="H62" t="s">
        <v>595</v>
      </c>
      <c r="I62" t="s">
        <v>26</v>
      </c>
      <c r="J62" t="s">
        <v>614</v>
      </c>
      <c r="K62" t="s">
        <v>626</v>
      </c>
      <c r="L62" t="str">
        <f t="shared" si="48"/>
        <v>Leo Clarkson</v>
      </c>
      <c r="M62" t="str">
        <f>VLOOKUP($B62,Customers!$B:$J,4,0)</f>
        <v>1808 Pope St</v>
      </c>
      <c r="O62" t="str">
        <f>VLOOKUP($B62,Customers!$B:$J,6,0)</f>
        <v>Alberton</v>
      </c>
      <c r="P62" t="str">
        <f>VLOOKUP($B62,Customers!$B:$J,7,0)</f>
        <v>Prince Edward Island</v>
      </c>
      <c r="Q62" t="str">
        <f>VLOOKUP($B62,Customers!$B:$J,8,0)</f>
        <v>C0B 1K0</v>
      </c>
      <c r="R62" t="str">
        <f>VLOOKUP($B62,Customers!$B:$J,9,0)</f>
        <v>902-853-1818</v>
      </c>
      <c r="S62" t="str">
        <f>VLOOKUP($B62,Customers!$B:$T,16,0)</f>
        <v>Debit</v>
      </c>
      <c r="T62" t="str">
        <f>VLOOKUP($B62,Customers!$B:$T,18,0)</f>
        <v>Mastercard</v>
      </c>
      <c r="U62" t="str">
        <f>VLOOKUP($B62,Customers!$B:$T,19,0)</f>
        <v>2880</v>
      </c>
      <c r="V62">
        <f ca="1">COUNTIF(C:C,C62)-1</f>
        <v>4</v>
      </c>
      <c r="X62">
        <f t="shared" si="49"/>
        <v>77.87</v>
      </c>
      <c r="Y62">
        <f t="shared" si="50"/>
        <v>10.119999999999999</v>
      </c>
      <c r="AA62">
        <v>4018</v>
      </c>
      <c r="AB62" t="s">
        <v>85</v>
      </c>
      <c r="AC62">
        <v>13</v>
      </c>
      <c r="AD62">
        <v>5.99</v>
      </c>
      <c r="AE62">
        <f>AC62*AD62</f>
        <v>77.87</v>
      </c>
      <c r="AF62" s="54" t="str">
        <f>"{ '"&amp;AA$3&amp;"' : '"&amp;AA62&amp;"', '"&amp;AB$3&amp;"' : '"&amp;AB62&amp;"', '"&amp;AC$3&amp;"' : "&amp;AC62&amp;", '"&amp;AD$3&amp;"' : "&amp;AD62&amp;", '"&amp;AE$3&amp;"' : "&amp;AE62&amp;" }"</f>
        <v>{ 'productId' : '4018', 'productName' : 'Cheese Bread', 'quantity' : 13, 'price' : 5.99, 'subTotal' : 77.87 }</v>
      </c>
      <c r="AG62" s="48">
        <v>44870</v>
      </c>
      <c r="AH62" s="48" t="str">
        <f t="shared" si="51"/>
        <v>104800</v>
      </c>
      <c r="AI62" t="str">
        <f t="shared" si="51"/>
        <v>Delivered</v>
      </c>
      <c r="AJ62" s="48">
        <f t="shared" si="51"/>
        <v>44870</v>
      </c>
    </row>
    <row r="63" spans="1:39" x14ac:dyDescent="0.35">
      <c r="A63" t="s">
        <v>759</v>
      </c>
      <c r="B63" t="s">
        <v>723</v>
      </c>
      <c r="C63" t="s">
        <v>724</v>
      </c>
      <c r="D63" t="s">
        <v>681</v>
      </c>
      <c r="E63" t="s">
        <v>314</v>
      </c>
      <c r="F63" t="s">
        <v>585</v>
      </c>
      <c r="G63" t="s">
        <v>604</v>
      </c>
      <c r="H63" t="s">
        <v>595</v>
      </c>
      <c r="I63" t="s">
        <v>26</v>
      </c>
      <c r="J63" t="s">
        <v>614</v>
      </c>
      <c r="K63" t="s">
        <v>626</v>
      </c>
      <c r="L63" t="str">
        <f t="shared" si="48"/>
        <v>Leo Clarkson</v>
      </c>
      <c r="M63" t="str">
        <f>VLOOKUP($B63,Customers!$B:$J,4,0)</f>
        <v>1808 Pope St</v>
      </c>
      <c r="O63" t="str">
        <f>VLOOKUP($B63,Customers!$B:$J,6,0)</f>
        <v>Alberton</v>
      </c>
      <c r="P63" t="str">
        <f>VLOOKUP($B63,Customers!$B:$J,7,0)</f>
        <v>Prince Edward Island</v>
      </c>
      <c r="Q63" t="str">
        <f>VLOOKUP($B63,Customers!$B:$J,8,0)</f>
        <v>C0B 1K0</v>
      </c>
      <c r="R63" t="str">
        <f>VLOOKUP($B63,Customers!$B:$J,9,0)</f>
        <v>902-853-1818</v>
      </c>
      <c r="S63" t="str">
        <f>VLOOKUP($B63,Customers!$B:$T,16,0)</f>
        <v>Debit</v>
      </c>
      <c r="T63" t="str">
        <f>VLOOKUP($B63,Customers!$B:$T,18,0)</f>
        <v>Mastercard</v>
      </c>
      <c r="U63" t="str">
        <f>VLOOKUP($B63,Customers!$B:$T,19,0)</f>
        <v>2880</v>
      </c>
      <c r="V63">
        <f ca="1">COUNTIF(C:C,C63)-1</f>
        <v>4</v>
      </c>
      <c r="W63">
        <f>SUM(X63:Z63)</f>
        <v>427.21</v>
      </c>
      <c r="X63">
        <f>SUM(X59:X62)</f>
        <v>373.65</v>
      </c>
      <c r="Y63">
        <f>SUM(Y59:Y62)</f>
        <v>48.569999999999993</v>
      </c>
      <c r="Z63">
        <v>4.99</v>
      </c>
      <c r="AF63" s="54"/>
      <c r="AG63" s="48">
        <f>AG62</f>
        <v>44870</v>
      </c>
      <c r="AH63" s="48"/>
      <c r="AI63" t="str">
        <f t="shared" si="51"/>
        <v>Delivered</v>
      </c>
      <c r="AJ63" s="48">
        <f t="shared" si="51"/>
        <v>44870</v>
      </c>
    </row>
    <row r="64" spans="1:39" s="58" customFormat="1" ht="58" x14ac:dyDescent="0.35">
      <c r="A64" s="60" t="s">
        <v>760</v>
      </c>
      <c r="B64" s="60" t="str">
        <f>IF(B63="","","'"&amp;B$3&amp;"' : '"&amp;B63&amp;"', ")</f>
        <v xml:space="preserve">'emailAddress' : 'leo_clarkson@gmail.com', </v>
      </c>
      <c r="C64" s="60" t="str">
        <f>IF(C63="","","'"&amp;C$3&amp;"' : '"&amp;C63&amp;"', ")</f>
        <v xml:space="preserve">'orderId' : '20221105104800', </v>
      </c>
      <c r="D64" s="60" t="str">
        <f>IF(D63="","","'"&amp;D$3&amp;"' : '"&amp;D63&amp;"', ")</f>
        <v xml:space="preserve">'employeeUserName' : 'jbartolata', </v>
      </c>
      <c r="E64" s="60" t="str">
        <f>IF(E63="","","'"&amp;$F$2&amp;"' : { '"&amp;E$3&amp;"' : '"&amp;E63&amp;"' , ")</f>
        <v xml:space="preserve">'deliveryAddress' : { 'name' : 'Leo Clarkson' , </v>
      </c>
      <c r="F64" s="60" t="str">
        <f>IF(F63="","","'"&amp;F$3&amp;"' : '"&amp;F63&amp;"' , ")</f>
        <v xml:space="preserve">'street' : '832 Nelson Street' , </v>
      </c>
      <c r="G64" s="60" t="str">
        <f>IF(G63="","","'"&amp;G$3&amp;"' : '"&amp;G63&amp;"' , ")</f>
        <v xml:space="preserve">'unit' : '44' , </v>
      </c>
      <c r="H64" s="60" t="str">
        <f>IF(H63="","","'"&amp;H$3&amp;"' : '"&amp;H63&amp;"' , ")</f>
        <v xml:space="preserve">'city' : 'Cat Lake' , </v>
      </c>
      <c r="I64" s="60" t="str">
        <f>IF(I63="","","'"&amp;I$3&amp;"' : '"&amp;I63&amp;"' , ")</f>
        <v xml:space="preserve">'province' : 'Ontario' , </v>
      </c>
      <c r="J64" s="60" t="str">
        <f>IF(J63="","","'"&amp;J$3&amp;"' : '"&amp;J63&amp;"' , ")</f>
        <v xml:space="preserve">'zip' : 'P0V 1J0' , </v>
      </c>
      <c r="K64" s="60" t="str">
        <f>IF(K63="","","'"&amp;K$3&amp;"' : '"&amp;K63&amp;"' } , ")</f>
        <v xml:space="preserve">'mobileNumber' : '807-347-1528' } , </v>
      </c>
      <c r="L64" s="60" t="str">
        <f>IF(L63="","","'"&amp;$L$2&amp;"' : { '"&amp;L$3&amp;"' : '"&amp;L63&amp;"' , ")</f>
        <v xml:space="preserve">'billingsAddress' : { 'name' : 'Leo Clarkson' , </v>
      </c>
      <c r="M64" s="60" t="str">
        <f>IF(M63="","","'"&amp;M$3&amp;"' : '"&amp;M63&amp;"' , ")</f>
        <v xml:space="preserve">'street' : '1808 Pope St' , </v>
      </c>
      <c r="N64" s="60" t="str">
        <f>IF(N63="","","'"&amp;N$3&amp;"' : '"&amp;N63&amp;"' , ")</f>
        <v/>
      </c>
      <c r="O64" s="60" t="str">
        <f>IF(O63="","","'"&amp;O$3&amp;"' : '"&amp;O63&amp;"' , ")</f>
        <v xml:space="preserve">'city' : 'Alberton' , </v>
      </c>
      <c r="P64" s="60" t="str">
        <f>IF(P63="","","'"&amp;P$3&amp;"' : '"&amp;P63&amp;"' , ")</f>
        <v xml:space="preserve">'province' : 'Prince Edward Island' , </v>
      </c>
      <c r="Q64" s="60" t="str">
        <f>IF(Q63="","","'"&amp;Q$3&amp;"' : '"&amp;Q63&amp;"' , ")</f>
        <v xml:space="preserve">'zip' : 'C0B 1K0' , </v>
      </c>
      <c r="R64" s="60" t="str">
        <f>IF(R63="","","'"&amp;R$3&amp;"' : '"&amp;R63&amp;"' } , ")</f>
        <v xml:space="preserve">'mobileNumber' : '902-853-1818' } , </v>
      </c>
      <c r="S64" s="60" t="str">
        <f>IF(S63="","","'"&amp;$S$2&amp;"' : { '"&amp;S$3&amp;"' : '"&amp;S63&amp;"' , ")</f>
        <v xml:space="preserve">'paymentMethod' : { 'paymentType' : 'Debit' , </v>
      </c>
      <c r="T64" s="60" t="str">
        <f>IF(T63="","","'"&amp;T$3&amp;"' : '"&amp;T63&amp;"' , ")</f>
        <v xml:space="preserve">'cardScheme' : 'Mastercard' , </v>
      </c>
      <c r="U64" s="60" t="str">
        <f>IF(U63="","","'"&amp;U$3&amp;"' : '"&amp;U63&amp;"' } , ")</f>
        <v xml:space="preserve">'cardLast4' : '2880' } , </v>
      </c>
      <c r="V64" s="60" t="str">
        <f ca="1">IF(V63="","","'"&amp;V$3&amp;"' : "&amp;V63&amp;", ")</f>
        <v xml:space="preserve">'totalQty' : 4, </v>
      </c>
      <c r="W64" s="60" t="str">
        <f>IF(W63="","","'"&amp;W$3&amp;"' : "&amp;W63&amp;", ")</f>
        <v xml:space="preserve">'orderTotal' : 427.21, </v>
      </c>
      <c r="X64" s="60" t="str">
        <f>IF(X63="","","'"&amp;X$3&amp;"' : "&amp;X63&amp;", ")</f>
        <v xml:space="preserve">'grossTotal' : 373.65, </v>
      </c>
      <c r="Y64" s="60" t="str">
        <f>IF(Y63="","","'"&amp;Y$3&amp;"' : "&amp;Y63&amp;", ")</f>
        <v xml:space="preserve">'tax' : 48.57, </v>
      </c>
      <c r="Z64" s="60" t="str">
        <f>IF(Z63="","","'"&amp;Z$3&amp;"' : "&amp;Z63&amp;", ")</f>
        <v xml:space="preserve">'deliveryFee' : 4.99, </v>
      </c>
      <c r="AA64" s="60"/>
      <c r="AB64" s="60"/>
      <c r="AC64" s="60"/>
      <c r="AD64" s="60"/>
      <c r="AE64" s="60"/>
      <c r="AF64" s="60" t="str">
        <f>$AA$2&amp;" : "&amp;_xlfn.CONCAT("[ ",AF59:AF62,"], ")</f>
        <v xml:space="preserve">orderDetails : [ { 'productId' : '4009', 'productName' : 'Pecan Braid', 'quantity' : 17, 'price' : 7.59, 'subTotal' : 129.03 },{ 'productId' : '4004', 'productName' : 'Everything Bagel', 'quantity' : 10, 'price' : 7.49, 'subTotal' : 74.9 },{ 'productId' : '4010', 'productName' : 'Blueberry Muffin', 'quantity' : 11, 'price' : 8.35, 'subTotal' : 91.85 },{ 'productId' : '4018', 'productName' : 'Cheese Bread', 'quantity' : 13, 'price' : 5.99, 'subTotal' : 77.87 }], </v>
      </c>
      <c r="AG64" s="60" t="str">
        <f>IF(AG63="","","'"&amp;AG$3&amp;"' : new Date('"&amp;TEXT(AG63,"yyyy-mm-dd")&amp;"'), ")</f>
        <v xml:space="preserve">'orderDate' : new Date('2022-11-05'), </v>
      </c>
      <c r="AH64" s="60"/>
      <c r="AI64" s="60" t="str">
        <f>IF(AI63="","","'"&amp;AI$3&amp;"' : '"&amp;AI63&amp;"', ")</f>
        <v xml:space="preserve">'orderStatus' : 'Delivered', </v>
      </c>
      <c r="AJ64" s="60" t="str">
        <f>IF(AJ63="","","'"&amp;AJ$3&amp;"' : new Date('"&amp;TEXT(AJ63,"yyyy-mm-dd")&amp;"') ")</f>
        <v xml:space="preserve">'statusDate' : new Date('2022-11-05') </v>
      </c>
      <c r="AK64" s="60"/>
      <c r="AL64" s="59"/>
      <c r="AM64" s="58" t="str">
        <f ca="1">_xlfn.CONCAT("{ ",B64:AJ64,"} ,")</f>
        <v>{ 'emailAddress' : 'leo_clarkson@gmail.com', 'orderId' : '20221105104800', 'employeeUserName' : 'jbartolata', 'deliveryAddress' : { 'name' : 'Leo Clarkson' , 'street' : '832 Nelson Street' , 'unit' : '44' , 'city' : 'Cat Lake' , 'province' : 'Ontario' , 'zip' : 'P0V 1J0' , 'mobileNumber' : '807-347-1528' } , 'billingsAddress' : { 'name' : 'Leo Clarkson' , 'street' : '1808 Pope St' , 'city' : 'Alberton' , 'province' : 'Prince Edward Island' , 'zip' : 'C0B 1K0' , 'mobileNumber' : '902-853-1818' } , 'paymentMethod' : { 'paymentType' : 'Debit' , 'cardScheme' : 'Mastercard' , 'cardLast4' : '2880' } , 'totalQty' : 4, 'orderTotal' : 427.21, 'grossTotal' : 373.65, 'tax' : 48.57, 'deliveryFee' : 4.99, orderDetails : [ { 'productId' : '4009', 'productName' : 'Pecan Braid', 'quantity' : 17, 'price' : 7.59, 'subTotal' : 129.03 },{ 'productId' : '4004', 'productName' : 'Everything Bagel', 'quantity' : 10, 'price' : 7.49, 'subTotal' : 74.9 },{ 'productId' : '4010', 'productName' : 'Blueberry Muffin', 'quantity' : 11, 'price' : 8.35, 'subTotal' : 91.85 },{ 'productId' : '4018', 'productName' : 'Cheese Bread', 'quantity' : 13, 'price' : 5.99, 'subTotal' : 77.87 }], 'orderDate' : new Date('2022-11-05'), 'orderStatus' : 'Delivered', 'statusDate' : new Date('2022-11-05') } ,</v>
      </c>
    </row>
    <row r="65" spans="1:39" x14ac:dyDescent="0.35">
      <c r="B65" t="s">
        <v>725</v>
      </c>
      <c r="C65" s="49" t="s">
        <v>726</v>
      </c>
      <c r="D65" t="s">
        <v>680</v>
      </c>
      <c r="E65" t="s">
        <v>318</v>
      </c>
      <c r="F65" t="s">
        <v>582</v>
      </c>
      <c r="G65" t="s">
        <v>601</v>
      </c>
      <c r="H65" t="s">
        <v>431</v>
      </c>
      <c r="I65" t="s">
        <v>26</v>
      </c>
      <c r="J65" t="s">
        <v>612</v>
      </c>
      <c r="K65" t="s">
        <v>623</v>
      </c>
      <c r="L65" t="str">
        <f t="shared" ref="L65:L68" si="52">E65</f>
        <v>Rhett Fuller</v>
      </c>
      <c r="M65" t="str">
        <f>VLOOKUP($B65,Customers!$B:$J,4,0)</f>
        <v>2267 184th Street</v>
      </c>
      <c r="O65" t="str">
        <f>VLOOKUP($B65,Customers!$B:$J,6,0)</f>
        <v>Edmonton</v>
      </c>
      <c r="P65" t="str">
        <f>VLOOKUP($B65,Customers!$B:$J,7,0)</f>
        <v>Alberta</v>
      </c>
      <c r="Q65" t="str">
        <f>VLOOKUP($B65,Customers!$B:$J,8,0)</f>
        <v>T5J 2R4</v>
      </c>
      <c r="R65" t="str">
        <f>VLOOKUP($B65,Customers!$B:$J,9,0)</f>
        <v>780-485-2704</v>
      </c>
      <c r="S65" t="str">
        <f>VLOOKUP($B65,Customers!$B:$T,16,0)</f>
        <v>Debit</v>
      </c>
      <c r="T65" t="str">
        <f>VLOOKUP($B65,Customers!$B:$T,18,0)</f>
        <v>Visa</v>
      </c>
      <c r="U65" t="str">
        <f>VLOOKUP($B65,Customers!$B:$T,19,0)</f>
        <v>2064</v>
      </c>
      <c r="V65">
        <f ca="1">COUNTIF(C:C,C65)-1</f>
        <v>3</v>
      </c>
      <c r="X65">
        <f t="shared" ref="X65:X67" si="53">AC65*AD65</f>
        <v>59.85</v>
      </c>
      <c r="Y65">
        <f t="shared" ref="Y65:Y67" si="54">ROUND(X65*13%,2)</f>
        <v>7.78</v>
      </c>
      <c r="AA65">
        <v>5001</v>
      </c>
      <c r="AB65" t="s">
        <v>89</v>
      </c>
      <c r="AC65">
        <v>15</v>
      </c>
      <c r="AD65">
        <v>3.99</v>
      </c>
      <c r="AE65">
        <f>AC65*AD65</f>
        <v>59.85</v>
      </c>
      <c r="AF65" s="54" t="str">
        <f>"{ '"&amp;AA$3&amp;"' : '"&amp;AA65&amp;"', '"&amp;AB$3&amp;"' : '"&amp;AB65&amp;"', '"&amp;AC$3&amp;"' : "&amp;AC65&amp;", '"&amp;AD$3&amp;"' : "&amp;AD65&amp;", '"&amp;AE$3&amp;"' : "&amp;AE65&amp;" },"</f>
        <v>{ 'productId' : '5001', 'productName' : 'Hot Chocolait', 'quantity' : 15, 'price' : 3.99, 'subTotal' : 59.85 },</v>
      </c>
      <c r="AG65" s="48">
        <v>44870</v>
      </c>
      <c r="AH65" s="50" t="s">
        <v>711</v>
      </c>
      <c r="AI65" t="s">
        <v>755</v>
      </c>
      <c r="AJ65" s="48">
        <f>AG65</f>
        <v>44870</v>
      </c>
      <c r="AK65" t="s">
        <v>727</v>
      </c>
    </row>
    <row r="66" spans="1:39" x14ac:dyDescent="0.35">
      <c r="B66" t="s">
        <v>725</v>
      </c>
      <c r="C66" t="s">
        <v>726</v>
      </c>
      <c r="D66" t="s">
        <v>680</v>
      </c>
      <c r="E66" t="s">
        <v>318</v>
      </c>
      <c r="F66" t="s">
        <v>582</v>
      </c>
      <c r="G66" t="s">
        <v>601</v>
      </c>
      <c r="H66" t="s">
        <v>431</v>
      </c>
      <c r="I66" t="s">
        <v>26</v>
      </c>
      <c r="J66" t="s">
        <v>612</v>
      </c>
      <c r="K66" t="s">
        <v>623</v>
      </c>
      <c r="L66" t="str">
        <f t="shared" si="52"/>
        <v>Rhett Fuller</v>
      </c>
      <c r="M66" t="str">
        <f>VLOOKUP($B66,Customers!$B:$J,4,0)</f>
        <v>2267 184th Street</v>
      </c>
      <c r="O66" t="str">
        <f>VLOOKUP($B66,Customers!$B:$J,6,0)</f>
        <v>Edmonton</v>
      </c>
      <c r="P66" t="str">
        <f>VLOOKUP($B66,Customers!$B:$J,7,0)</f>
        <v>Alberta</v>
      </c>
      <c r="Q66" t="str">
        <f>VLOOKUP($B66,Customers!$B:$J,8,0)</f>
        <v>T5J 2R4</v>
      </c>
      <c r="R66" t="str">
        <f>VLOOKUP($B66,Customers!$B:$J,9,0)</f>
        <v>780-485-2704</v>
      </c>
      <c r="S66" t="str">
        <f>VLOOKUP($B66,Customers!$B:$T,16,0)</f>
        <v>Debit</v>
      </c>
      <c r="T66" t="str">
        <f>VLOOKUP($B66,Customers!$B:$T,18,0)</f>
        <v>Visa</v>
      </c>
      <c r="U66" t="str">
        <f>VLOOKUP($B66,Customers!$B:$T,19,0)</f>
        <v>2064</v>
      </c>
      <c r="V66">
        <f ca="1">COUNTIF(C:C,C66)-1</f>
        <v>3</v>
      </c>
      <c r="X66">
        <f t="shared" si="53"/>
        <v>44.910000000000004</v>
      </c>
      <c r="Y66">
        <f t="shared" si="54"/>
        <v>5.84</v>
      </c>
      <c r="AA66">
        <v>5002</v>
      </c>
      <c r="AB66" t="s">
        <v>92</v>
      </c>
      <c r="AC66">
        <v>9</v>
      </c>
      <c r="AD66">
        <v>4.99</v>
      </c>
      <c r="AE66">
        <f>AC66*AD66</f>
        <v>44.910000000000004</v>
      </c>
      <c r="AF66" s="54" t="str">
        <f>"{ '"&amp;AA$3&amp;"' : '"&amp;AA66&amp;"', '"&amp;AB$3&amp;"' : '"&amp;AB66&amp;"', '"&amp;AC$3&amp;"' : "&amp;AC66&amp;", '"&amp;AD$3&amp;"' : "&amp;AD66&amp;", '"&amp;AE$3&amp;"' : "&amp;AE66&amp;" },"</f>
        <v>{ 'productId' : '5002', 'productName' : 'Greek Yougurt with mixed Berries', 'quantity' : 9, 'price' : 4.99, 'subTotal' : 44.91 },</v>
      </c>
      <c r="AG66" s="48">
        <v>44870</v>
      </c>
      <c r="AH66" s="48" t="str">
        <f t="shared" ref="AH66:AJ68" si="55">AH65</f>
        <v>082400</v>
      </c>
      <c r="AI66" t="str">
        <f t="shared" si="55"/>
        <v>Delivered</v>
      </c>
      <c r="AJ66" s="48">
        <f t="shared" si="55"/>
        <v>44870</v>
      </c>
    </row>
    <row r="67" spans="1:39" x14ac:dyDescent="0.35">
      <c r="B67" t="s">
        <v>725</v>
      </c>
      <c r="C67" t="s">
        <v>726</v>
      </c>
      <c r="D67" t="s">
        <v>680</v>
      </c>
      <c r="E67" t="s">
        <v>318</v>
      </c>
      <c r="F67" t="s">
        <v>582</v>
      </c>
      <c r="G67" t="s">
        <v>601</v>
      </c>
      <c r="H67" t="s">
        <v>431</v>
      </c>
      <c r="I67" t="s">
        <v>26</v>
      </c>
      <c r="J67" t="s">
        <v>612</v>
      </c>
      <c r="K67" t="s">
        <v>623</v>
      </c>
      <c r="L67" t="str">
        <f t="shared" si="52"/>
        <v>Rhett Fuller</v>
      </c>
      <c r="M67" t="str">
        <f>VLOOKUP($B67,Customers!$B:$J,4,0)</f>
        <v>2267 184th Street</v>
      </c>
      <c r="O67" t="str">
        <f>VLOOKUP($B67,Customers!$B:$J,6,0)</f>
        <v>Edmonton</v>
      </c>
      <c r="P67" t="str">
        <f>VLOOKUP($B67,Customers!$B:$J,7,0)</f>
        <v>Alberta</v>
      </c>
      <c r="Q67" t="str">
        <f>VLOOKUP($B67,Customers!$B:$J,8,0)</f>
        <v>T5J 2R4</v>
      </c>
      <c r="R67" t="str">
        <f>VLOOKUP($B67,Customers!$B:$J,9,0)</f>
        <v>780-485-2704</v>
      </c>
      <c r="S67" t="str">
        <f>VLOOKUP($B67,Customers!$B:$T,16,0)</f>
        <v>Debit</v>
      </c>
      <c r="T67" t="str">
        <f>VLOOKUP($B67,Customers!$B:$T,18,0)</f>
        <v>Visa</v>
      </c>
      <c r="U67" t="str">
        <f>VLOOKUP($B67,Customers!$B:$T,19,0)</f>
        <v>2064</v>
      </c>
      <c r="V67">
        <f ca="1">COUNTIF(C:C,C67)-1</f>
        <v>3</v>
      </c>
      <c r="X67">
        <f t="shared" si="53"/>
        <v>74.850000000000009</v>
      </c>
      <c r="Y67">
        <f t="shared" si="54"/>
        <v>9.73</v>
      </c>
      <c r="AA67">
        <v>5002</v>
      </c>
      <c r="AB67" t="s">
        <v>92</v>
      </c>
      <c r="AC67">
        <v>15</v>
      </c>
      <c r="AD67">
        <v>4.99</v>
      </c>
      <c r="AE67">
        <f>AC67*AD67</f>
        <v>74.850000000000009</v>
      </c>
      <c r="AF67" s="54" t="str">
        <f>"{ '"&amp;AA$3&amp;"' : '"&amp;AA67&amp;"', '"&amp;AB$3&amp;"' : '"&amp;AB67&amp;"', '"&amp;AC$3&amp;"' : "&amp;AC67&amp;", '"&amp;AD$3&amp;"' : "&amp;AD67&amp;", '"&amp;AE$3&amp;"' : "&amp;AE67&amp;" }"</f>
        <v>{ 'productId' : '5002', 'productName' : 'Greek Yougurt with mixed Berries', 'quantity' : 15, 'price' : 4.99, 'subTotal' : 74.85 }</v>
      </c>
      <c r="AG67" s="48">
        <v>44870</v>
      </c>
      <c r="AH67" s="48" t="str">
        <f t="shared" si="55"/>
        <v>082400</v>
      </c>
      <c r="AI67" t="str">
        <f t="shared" si="55"/>
        <v>Delivered</v>
      </c>
      <c r="AJ67" s="48">
        <f t="shared" si="55"/>
        <v>44870</v>
      </c>
    </row>
    <row r="68" spans="1:39" x14ac:dyDescent="0.35">
      <c r="A68" t="s">
        <v>759</v>
      </c>
      <c r="B68" t="s">
        <v>725</v>
      </c>
      <c r="C68" t="s">
        <v>726</v>
      </c>
      <c r="D68" t="s">
        <v>680</v>
      </c>
      <c r="E68" t="s">
        <v>318</v>
      </c>
      <c r="F68" t="s">
        <v>582</v>
      </c>
      <c r="G68" t="s">
        <v>601</v>
      </c>
      <c r="H68" t="s">
        <v>431</v>
      </c>
      <c r="I68" t="s">
        <v>26</v>
      </c>
      <c r="J68" t="s">
        <v>612</v>
      </c>
      <c r="K68" t="s">
        <v>623</v>
      </c>
      <c r="L68" t="str">
        <f t="shared" si="52"/>
        <v>Rhett Fuller</v>
      </c>
      <c r="M68" t="str">
        <f>VLOOKUP($B68,Customers!$B:$J,4,0)</f>
        <v>2267 184th Street</v>
      </c>
      <c r="O68" t="str">
        <f>VLOOKUP($B68,Customers!$B:$J,6,0)</f>
        <v>Edmonton</v>
      </c>
      <c r="P68" t="str">
        <f>VLOOKUP($B68,Customers!$B:$J,7,0)</f>
        <v>Alberta</v>
      </c>
      <c r="Q68" t="str">
        <f>VLOOKUP($B68,Customers!$B:$J,8,0)</f>
        <v>T5J 2R4</v>
      </c>
      <c r="R68" t="str">
        <f>VLOOKUP($B68,Customers!$B:$J,9,0)</f>
        <v>780-485-2704</v>
      </c>
      <c r="S68" t="str">
        <f>VLOOKUP($B68,Customers!$B:$T,16,0)</f>
        <v>Debit</v>
      </c>
      <c r="T68" t="str">
        <f>VLOOKUP($B68,Customers!$B:$T,18,0)</f>
        <v>Visa</v>
      </c>
      <c r="U68" t="str">
        <f>VLOOKUP($B68,Customers!$B:$T,19,0)</f>
        <v>2064</v>
      </c>
      <c r="V68">
        <f ca="1">COUNTIF(C:C,C68)-1</f>
        <v>3</v>
      </c>
      <c r="W68">
        <f>SUM(X68:Z68)</f>
        <v>207.95000000000002</v>
      </c>
      <c r="X68">
        <f>SUM(X65:X67)</f>
        <v>179.61</v>
      </c>
      <c r="Y68">
        <f>SUM(Y65:Y67)</f>
        <v>23.35</v>
      </c>
      <c r="Z68">
        <v>4.99</v>
      </c>
      <c r="AF68" s="54"/>
      <c r="AG68" s="48">
        <f>AG67</f>
        <v>44870</v>
      </c>
      <c r="AH68" s="48"/>
      <c r="AI68" t="str">
        <f t="shared" si="55"/>
        <v>Delivered</v>
      </c>
      <c r="AJ68" s="48">
        <f t="shared" si="55"/>
        <v>44870</v>
      </c>
    </row>
    <row r="69" spans="1:39" s="58" customFormat="1" ht="58" x14ac:dyDescent="0.35">
      <c r="A69" s="60" t="s">
        <v>760</v>
      </c>
      <c r="B69" s="60" t="str">
        <f>IF(B68="","","'"&amp;B$3&amp;"' : '"&amp;B68&amp;"', ")</f>
        <v xml:space="preserve">'emailAddress' : 'rhett_fuller@gmail.com', </v>
      </c>
      <c r="C69" s="60" t="str">
        <f>IF(C68="","","'"&amp;C$3&amp;"' : '"&amp;C68&amp;"', ")</f>
        <v xml:space="preserve">'orderId' : '20221105082400', </v>
      </c>
      <c r="D69" s="60" t="str">
        <f>IF(D68="","","'"&amp;D$3&amp;"' : '"&amp;D68&amp;"', ")</f>
        <v xml:space="preserve">'employeeUserName' : 'lzapanta', </v>
      </c>
      <c r="E69" s="60" t="str">
        <f>IF(E68="","","'"&amp;$F$2&amp;"' : { '"&amp;E$3&amp;"' : '"&amp;E68&amp;"' , ")</f>
        <v xml:space="preserve">'deliveryAddress' : { 'name' : 'Rhett Fuller' , </v>
      </c>
      <c r="F69" s="60" t="str">
        <f>IF(F68="","","'"&amp;F$3&amp;"' : '"&amp;F68&amp;"' , ")</f>
        <v xml:space="preserve">'street' : '1958 Weir Crescent' , </v>
      </c>
      <c r="G69" s="60" t="str">
        <f>IF(G68="","","'"&amp;G$3&amp;"' : '"&amp;G68&amp;"' , ")</f>
        <v xml:space="preserve">'unit' : '71' , </v>
      </c>
      <c r="H69" s="60" t="str">
        <f>IF(H68="","","'"&amp;H$3&amp;"' : '"&amp;H68&amp;"' , ")</f>
        <v xml:space="preserve">'city' : 'Toronto' , </v>
      </c>
      <c r="I69" s="60" t="str">
        <f>IF(I68="","","'"&amp;I$3&amp;"' : '"&amp;I68&amp;"' , ")</f>
        <v xml:space="preserve">'province' : 'Ontario' , </v>
      </c>
      <c r="J69" s="60" t="str">
        <f>IF(J68="","","'"&amp;J$3&amp;"' : '"&amp;J68&amp;"' , ")</f>
        <v xml:space="preserve">'zip' : 'M1E 3T8' , </v>
      </c>
      <c r="K69" s="60" t="str">
        <f>IF(K68="","","'"&amp;K$3&amp;"' : '"&amp;K68&amp;"' } , ")</f>
        <v xml:space="preserve">'mobileNumber' : '647-828-4520' } , </v>
      </c>
      <c r="L69" s="60" t="str">
        <f>IF(L68="","","'"&amp;$L$2&amp;"' : { '"&amp;L$3&amp;"' : '"&amp;L68&amp;"' , ")</f>
        <v xml:space="preserve">'billingsAddress' : { 'name' : 'Rhett Fuller' , </v>
      </c>
      <c r="M69" s="60" t="str">
        <f>IF(M68="","","'"&amp;M$3&amp;"' : '"&amp;M68&amp;"' , ")</f>
        <v xml:space="preserve">'street' : '2267 184th Street' , </v>
      </c>
      <c r="N69" s="60" t="str">
        <f>IF(N68="","","'"&amp;N$3&amp;"' : '"&amp;N68&amp;"' , ")</f>
        <v/>
      </c>
      <c r="O69" s="60" t="str">
        <f>IF(O68="","","'"&amp;O$3&amp;"' : '"&amp;O68&amp;"' , ")</f>
        <v xml:space="preserve">'city' : 'Edmonton' , </v>
      </c>
      <c r="P69" s="60" t="str">
        <f>IF(P68="","","'"&amp;P$3&amp;"' : '"&amp;P68&amp;"' , ")</f>
        <v xml:space="preserve">'province' : 'Alberta' , </v>
      </c>
      <c r="Q69" s="60" t="str">
        <f>IF(Q68="","","'"&amp;Q$3&amp;"' : '"&amp;Q68&amp;"' , ")</f>
        <v xml:space="preserve">'zip' : 'T5J 2R4' , </v>
      </c>
      <c r="R69" s="60" t="str">
        <f>IF(R68="","","'"&amp;R$3&amp;"' : '"&amp;R68&amp;"' } , ")</f>
        <v xml:space="preserve">'mobileNumber' : '780-485-2704' } , </v>
      </c>
      <c r="S69" s="60" t="str">
        <f>IF(S68="","","'"&amp;$S$2&amp;"' : { '"&amp;S$3&amp;"' : '"&amp;S68&amp;"' , ")</f>
        <v xml:space="preserve">'paymentMethod' : { 'paymentType' : 'Debit' , </v>
      </c>
      <c r="T69" s="60" t="str">
        <f>IF(T68="","","'"&amp;T$3&amp;"' : '"&amp;T68&amp;"' , ")</f>
        <v xml:space="preserve">'cardScheme' : 'Visa' , </v>
      </c>
      <c r="U69" s="60" t="str">
        <f>IF(U68="","","'"&amp;U$3&amp;"' : '"&amp;U68&amp;"' } , ")</f>
        <v xml:space="preserve">'cardLast4' : '2064' } , </v>
      </c>
      <c r="V69" s="60" t="str">
        <f ca="1">IF(V68="","","'"&amp;V$3&amp;"' : "&amp;V68&amp;", ")</f>
        <v xml:space="preserve">'totalQty' : 3, </v>
      </c>
      <c r="W69" s="60" t="str">
        <f>IF(W68="","","'"&amp;W$3&amp;"' : "&amp;W68&amp;", ")</f>
        <v xml:space="preserve">'orderTotal' : 207.95, </v>
      </c>
      <c r="X69" s="60" t="str">
        <f>IF(X68="","","'"&amp;X$3&amp;"' : "&amp;X68&amp;", ")</f>
        <v xml:space="preserve">'grossTotal' : 179.61, </v>
      </c>
      <c r="Y69" s="60" t="str">
        <f>IF(Y68="","","'"&amp;Y$3&amp;"' : "&amp;Y68&amp;", ")</f>
        <v xml:space="preserve">'tax' : 23.35, </v>
      </c>
      <c r="Z69" s="60" t="str">
        <f>IF(Z68="","","'"&amp;Z$3&amp;"' : "&amp;Z68&amp;", ")</f>
        <v xml:space="preserve">'deliveryFee' : 4.99, </v>
      </c>
      <c r="AA69" s="60"/>
      <c r="AB69" s="60"/>
      <c r="AC69" s="60"/>
      <c r="AD69" s="60"/>
      <c r="AE69" s="60"/>
      <c r="AF69" s="60" t="str">
        <f>$AA$2&amp;" : "&amp;_xlfn.CONCAT("[ ",AF65:AF67,"], ")</f>
        <v xml:space="preserve">orderDetails : [ { 'productId' : '5001', 'productName' : 'Hot Chocolait', 'quantity' : 15, 'price' : 3.99, 'subTotal' : 59.85 },{ 'productId' : '5002', 'productName' : 'Greek Yougurt with mixed Berries', 'quantity' : 9, 'price' : 4.99, 'subTotal' : 44.91 },{ 'productId' : '5002', 'productName' : 'Greek Yougurt with mixed Berries', 'quantity' : 15, 'price' : 4.99, 'subTotal' : 74.85 }], </v>
      </c>
      <c r="AG69" s="60" t="str">
        <f>IF(AG68="","","'"&amp;AG$3&amp;"' : new Date('"&amp;TEXT(AG68,"yyyy-mm-dd")&amp;"'), ")</f>
        <v xml:space="preserve">'orderDate' : new Date('2022-11-05'), </v>
      </c>
      <c r="AH69" s="60"/>
      <c r="AI69" s="60" t="str">
        <f>IF(AI68="","","'"&amp;AI$3&amp;"' : '"&amp;AI68&amp;"', ")</f>
        <v xml:space="preserve">'orderStatus' : 'Delivered', </v>
      </c>
      <c r="AJ69" s="60" t="str">
        <f>IF(AJ68="","","'"&amp;AJ$3&amp;"' : new Date('"&amp;TEXT(AJ68,"yyyy-mm-dd")&amp;"') ")</f>
        <v xml:space="preserve">'statusDate' : new Date('2022-11-05') </v>
      </c>
      <c r="AK69" s="60"/>
      <c r="AL69" s="59"/>
      <c r="AM69" s="58" t="str">
        <f ca="1">_xlfn.CONCAT("{ ",B69:AJ69,"} ,")</f>
        <v>{ 'emailAddress' : 'rhett_fuller@gmail.com', 'orderId' : '20221105082400', 'employeeUserName' : 'lzapanta', 'deliveryAddress' : { 'name' : 'Rhett Fuller' , 'street' : '1958 Weir Crescent' , 'unit' : '71' , 'city' : 'Toronto' , 'province' : 'Ontario' , 'zip' : 'M1E 3T8' , 'mobileNumber' : '647-828-4520' } , 'billingsAddress' : { 'name' : 'Rhett Fuller' , 'street' : '2267 184th Street' , 'city' : 'Edmonton' , 'province' : 'Alberta' , 'zip' : 'T5J 2R4' , 'mobileNumber' : '780-485-2704' } , 'paymentMethod' : { 'paymentType' : 'Debit' , 'cardScheme' : 'Visa' , 'cardLast4' : '2064' } , 'totalQty' : 3, 'orderTotal' : 207.95, 'grossTotal' : 179.61, 'tax' : 23.35, 'deliveryFee' : 4.99, orderDetails : [ { 'productId' : '5001', 'productName' : 'Hot Chocolait', 'quantity' : 15, 'price' : 3.99, 'subTotal' : 59.85 },{ 'productId' : '5002', 'productName' : 'Greek Yougurt with mixed Berries', 'quantity' : 9, 'price' : 4.99, 'subTotal' : 44.91 },{ 'productId' : '5002', 'productName' : 'Greek Yougurt with mixed Berries', 'quantity' : 15, 'price' : 4.99, 'subTotal' : 74.85 }], 'orderDate' : new Date('2022-11-05'), 'orderStatus' : 'Delivered', 'statusDate' : new Date('2022-11-05') } ,</v>
      </c>
    </row>
    <row r="70" spans="1:39" x14ac:dyDescent="0.35">
      <c r="B70" t="s">
        <v>709</v>
      </c>
      <c r="C70" s="49" t="s">
        <v>728</v>
      </c>
      <c r="D70" t="s">
        <v>682</v>
      </c>
      <c r="E70" t="s">
        <v>323</v>
      </c>
      <c r="F70" t="s">
        <v>418</v>
      </c>
      <c r="G70" t="s">
        <v>575</v>
      </c>
      <c r="H70" t="s">
        <v>442</v>
      </c>
      <c r="I70" t="s">
        <v>26</v>
      </c>
      <c r="J70" t="s">
        <v>476</v>
      </c>
      <c r="K70" t="s">
        <v>506</v>
      </c>
      <c r="L70" t="str">
        <f t="shared" ref="L70:L73" si="56">E70</f>
        <v>Donovan Markle</v>
      </c>
      <c r="M70" t="str">
        <f>VLOOKUP($B70,Customers!$B:$J,4,0)</f>
        <v>4337 Algonquin Blvd</v>
      </c>
      <c r="N70" t="str">
        <f>VLOOKUP($B70,Customers!$B:$J,5,0)</f>
        <v>216</v>
      </c>
      <c r="O70" t="str">
        <f>VLOOKUP($B70,Customers!$B:$J,6,0)</f>
        <v>Timmins</v>
      </c>
      <c r="P70" t="str">
        <f>VLOOKUP($B70,Customers!$B:$J,7,0)</f>
        <v>Ontario</v>
      </c>
      <c r="Q70" t="str">
        <f>VLOOKUP($B70,Customers!$B:$J,8,0)</f>
        <v>P4N 7C4</v>
      </c>
      <c r="R70" t="str">
        <f>VLOOKUP($B70,Customers!$B:$J,9,0)</f>
        <v>705-668-1540</v>
      </c>
      <c r="S70" t="str">
        <f>VLOOKUP($B70,Customers!$B:$T,16,0)</f>
        <v>Credit</v>
      </c>
      <c r="T70" t="str">
        <f>VLOOKUP($B70,Customers!$B:$T,18,0)</f>
        <v>Visa</v>
      </c>
      <c r="U70" t="str">
        <f>VLOOKUP($B70,Customers!$B:$T,19,0)</f>
        <v>4070</v>
      </c>
      <c r="V70">
        <f ca="1">COUNTIF(C:C,C70)-1</f>
        <v>3</v>
      </c>
      <c r="X70">
        <f t="shared" ref="X70:X72" si="57">AC70*AD70</f>
        <v>90.3</v>
      </c>
      <c r="Y70">
        <f t="shared" ref="Y70:Y72" si="58">ROUND(X70*13%,2)</f>
        <v>11.74</v>
      </c>
      <c r="AA70">
        <v>4019</v>
      </c>
      <c r="AB70" t="s">
        <v>86</v>
      </c>
      <c r="AC70">
        <v>14</v>
      </c>
      <c r="AD70">
        <v>6.45</v>
      </c>
      <c r="AE70">
        <f>AC70*AD70</f>
        <v>90.3</v>
      </c>
      <c r="AF70" s="54" t="str">
        <f>"{ '"&amp;AA$3&amp;"' : '"&amp;AA70&amp;"', '"&amp;AB$3&amp;"' : '"&amp;AB70&amp;"', '"&amp;AC$3&amp;"' : "&amp;AC70&amp;", '"&amp;AD$3&amp;"' : "&amp;AD70&amp;", '"&amp;AE$3&amp;"' : "&amp;AE70&amp;" },"</f>
        <v>{ 'productId' : '4019', 'productName' : 'Cinnammon Swirl and Raisen Bagel', 'quantity' : 14, 'price' : 6.45, 'subTotal' : 90.3 },</v>
      </c>
      <c r="AG70" s="48">
        <v>44870</v>
      </c>
      <c r="AH70" s="50" t="s">
        <v>729</v>
      </c>
      <c r="AI70" t="s">
        <v>755</v>
      </c>
      <c r="AJ70" s="48">
        <f>AG70</f>
        <v>44870</v>
      </c>
      <c r="AK70" t="s">
        <v>708</v>
      </c>
    </row>
    <row r="71" spans="1:39" x14ac:dyDescent="0.35">
      <c r="B71" t="s">
        <v>709</v>
      </c>
      <c r="C71" t="s">
        <v>728</v>
      </c>
      <c r="D71" t="s">
        <v>682</v>
      </c>
      <c r="E71" t="s">
        <v>323</v>
      </c>
      <c r="F71" t="s">
        <v>418</v>
      </c>
      <c r="G71" t="s">
        <v>575</v>
      </c>
      <c r="H71" t="s">
        <v>442</v>
      </c>
      <c r="I71" t="s">
        <v>26</v>
      </c>
      <c r="J71" t="s">
        <v>476</v>
      </c>
      <c r="K71" t="s">
        <v>506</v>
      </c>
      <c r="L71" t="str">
        <f t="shared" si="56"/>
        <v>Donovan Markle</v>
      </c>
      <c r="M71" t="str">
        <f>VLOOKUP($B71,Customers!$B:$J,4,0)</f>
        <v>4337 Algonquin Blvd</v>
      </c>
      <c r="N71" t="str">
        <f>VLOOKUP($B71,Customers!$B:$J,5,0)</f>
        <v>216</v>
      </c>
      <c r="O71" t="str">
        <f>VLOOKUP($B71,Customers!$B:$J,6,0)</f>
        <v>Timmins</v>
      </c>
      <c r="P71" t="str">
        <f>VLOOKUP($B71,Customers!$B:$J,7,0)</f>
        <v>Ontario</v>
      </c>
      <c r="Q71" t="str">
        <f>VLOOKUP($B71,Customers!$B:$J,8,0)</f>
        <v>P4N 7C4</v>
      </c>
      <c r="R71" t="str">
        <f>VLOOKUP($B71,Customers!$B:$J,9,0)</f>
        <v>705-668-1540</v>
      </c>
      <c r="S71" t="str">
        <f>VLOOKUP($B71,Customers!$B:$T,16,0)</f>
        <v>Credit</v>
      </c>
      <c r="T71" t="str">
        <f>VLOOKUP($B71,Customers!$B:$T,18,0)</f>
        <v>Visa</v>
      </c>
      <c r="U71" t="str">
        <f>VLOOKUP($B71,Customers!$B:$T,19,0)</f>
        <v>4070</v>
      </c>
      <c r="V71">
        <f ca="1">COUNTIF(C:C,C71)-1</f>
        <v>3</v>
      </c>
      <c r="X71">
        <f t="shared" si="57"/>
        <v>112.5</v>
      </c>
      <c r="Y71">
        <f t="shared" si="58"/>
        <v>14.63</v>
      </c>
      <c r="AA71">
        <v>4003</v>
      </c>
      <c r="AB71" t="s">
        <v>67</v>
      </c>
      <c r="AC71">
        <v>18</v>
      </c>
      <c r="AD71">
        <v>6.25</v>
      </c>
      <c r="AE71">
        <f>AC71*AD71</f>
        <v>112.5</v>
      </c>
      <c r="AF71" s="54" t="str">
        <f>"{ '"&amp;AA$3&amp;"' : '"&amp;AA71&amp;"', '"&amp;AB$3&amp;"' : '"&amp;AB71&amp;"', '"&amp;AC$3&amp;"' : "&amp;AC71&amp;", '"&amp;AD$3&amp;"' : "&amp;AD71&amp;", '"&amp;AE$3&amp;"' : "&amp;AE71&amp;" },"</f>
        <v>{ 'productId' : '4003', 'productName' : 'Cinnamon Crunch Bagel', 'quantity' : 18, 'price' : 6.25, 'subTotal' : 112.5 },</v>
      </c>
      <c r="AG71" s="48">
        <v>44871</v>
      </c>
      <c r="AH71" s="48" t="str">
        <f t="shared" ref="AH71:AJ73" si="59">AH70</f>
        <v>090712</v>
      </c>
      <c r="AI71" t="str">
        <f t="shared" si="59"/>
        <v>Delivered</v>
      </c>
      <c r="AJ71" s="48">
        <f t="shared" si="59"/>
        <v>44870</v>
      </c>
    </row>
    <row r="72" spans="1:39" x14ac:dyDescent="0.35">
      <c r="B72" t="s">
        <v>709</v>
      </c>
      <c r="C72" t="s">
        <v>728</v>
      </c>
      <c r="D72" t="s">
        <v>682</v>
      </c>
      <c r="E72" t="s">
        <v>323</v>
      </c>
      <c r="F72" t="s">
        <v>418</v>
      </c>
      <c r="G72" t="s">
        <v>575</v>
      </c>
      <c r="H72" t="s">
        <v>442</v>
      </c>
      <c r="I72" t="s">
        <v>26</v>
      </c>
      <c r="J72" t="s">
        <v>476</v>
      </c>
      <c r="K72" t="s">
        <v>506</v>
      </c>
      <c r="L72" t="str">
        <f t="shared" si="56"/>
        <v>Donovan Markle</v>
      </c>
      <c r="M72" t="str">
        <f>VLOOKUP($B72,Customers!$B:$J,4,0)</f>
        <v>4337 Algonquin Blvd</v>
      </c>
      <c r="N72" t="str">
        <f>VLOOKUP($B72,Customers!$B:$J,5,0)</f>
        <v>216</v>
      </c>
      <c r="O72" t="str">
        <f>VLOOKUP($B72,Customers!$B:$J,6,0)</f>
        <v>Timmins</v>
      </c>
      <c r="P72" t="str">
        <f>VLOOKUP($B72,Customers!$B:$J,7,0)</f>
        <v>Ontario</v>
      </c>
      <c r="Q72" t="str">
        <f>VLOOKUP($B72,Customers!$B:$J,8,0)</f>
        <v>P4N 7C4</v>
      </c>
      <c r="R72" t="str">
        <f>VLOOKUP($B72,Customers!$B:$J,9,0)</f>
        <v>705-668-1540</v>
      </c>
      <c r="S72" t="str">
        <f>VLOOKUP($B72,Customers!$B:$T,16,0)</f>
        <v>Credit</v>
      </c>
      <c r="T72" t="str">
        <f>VLOOKUP($B72,Customers!$B:$T,18,0)</f>
        <v>Visa</v>
      </c>
      <c r="U72" t="str">
        <f>VLOOKUP($B72,Customers!$B:$T,19,0)</f>
        <v>4070</v>
      </c>
      <c r="V72">
        <f ca="1">COUNTIF(C:C,C72)-1</f>
        <v>3</v>
      </c>
      <c r="X72">
        <f t="shared" si="57"/>
        <v>135.60000000000002</v>
      </c>
      <c r="Y72">
        <f t="shared" si="58"/>
        <v>17.63</v>
      </c>
      <c r="AA72">
        <v>4017</v>
      </c>
      <c r="AB72" t="s">
        <v>84</v>
      </c>
      <c r="AC72">
        <v>24</v>
      </c>
      <c r="AD72">
        <v>5.65</v>
      </c>
      <c r="AE72">
        <f>AC72*AD72</f>
        <v>135.60000000000002</v>
      </c>
      <c r="AF72" s="54" t="str">
        <f>"{ '"&amp;AA$3&amp;"' : '"&amp;AA72&amp;"', '"&amp;AB$3&amp;"' : '"&amp;AB72&amp;"', '"&amp;AC$3&amp;"' : "&amp;AC72&amp;", '"&amp;AD$3&amp;"' : "&amp;AD72&amp;", '"&amp;AE$3&amp;"' : "&amp;AE72&amp;" }"</f>
        <v>{ 'productId' : '4017', 'productName' : 'Malunggay Bread', 'quantity' : 24, 'price' : 5.65, 'subTotal' : 135.6 }</v>
      </c>
      <c r="AG72" s="48">
        <v>44871</v>
      </c>
      <c r="AH72" s="48" t="str">
        <f t="shared" si="59"/>
        <v>090712</v>
      </c>
      <c r="AI72" t="str">
        <f t="shared" si="59"/>
        <v>Delivered</v>
      </c>
      <c r="AJ72" s="48">
        <f t="shared" si="59"/>
        <v>44870</v>
      </c>
    </row>
    <row r="73" spans="1:39" x14ac:dyDescent="0.35">
      <c r="A73" t="s">
        <v>759</v>
      </c>
      <c r="B73" t="s">
        <v>709</v>
      </c>
      <c r="C73" t="s">
        <v>728</v>
      </c>
      <c r="D73" t="s">
        <v>682</v>
      </c>
      <c r="E73" t="s">
        <v>323</v>
      </c>
      <c r="F73" t="s">
        <v>418</v>
      </c>
      <c r="G73" t="s">
        <v>575</v>
      </c>
      <c r="H73" t="s">
        <v>442</v>
      </c>
      <c r="I73" t="s">
        <v>26</v>
      </c>
      <c r="J73" t="s">
        <v>476</v>
      </c>
      <c r="K73" t="s">
        <v>506</v>
      </c>
      <c r="L73" t="str">
        <f t="shared" si="56"/>
        <v>Donovan Markle</v>
      </c>
      <c r="M73" t="str">
        <f>VLOOKUP($B73,Customers!$B:$J,4,0)</f>
        <v>4337 Algonquin Blvd</v>
      </c>
      <c r="N73" t="str">
        <f>VLOOKUP($B73,Customers!$B:$J,5,0)</f>
        <v>216</v>
      </c>
      <c r="O73" t="str">
        <f>VLOOKUP($B73,Customers!$B:$J,6,0)</f>
        <v>Timmins</v>
      </c>
      <c r="P73" t="str">
        <f>VLOOKUP($B73,Customers!$B:$J,7,0)</f>
        <v>Ontario</v>
      </c>
      <c r="Q73" t="str">
        <f>VLOOKUP($B73,Customers!$B:$J,8,0)</f>
        <v>P4N 7C4</v>
      </c>
      <c r="R73" t="str">
        <f>VLOOKUP($B73,Customers!$B:$J,9,0)</f>
        <v>705-668-1540</v>
      </c>
      <c r="S73" t="str">
        <f>VLOOKUP($B73,Customers!$B:$T,16,0)</f>
        <v>Credit</v>
      </c>
      <c r="T73" t="str">
        <f>VLOOKUP($B73,Customers!$B:$T,18,0)</f>
        <v>Visa</v>
      </c>
      <c r="U73" t="str">
        <f>VLOOKUP($B73,Customers!$B:$T,19,0)</f>
        <v>4070</v>
      </c>
      <c r="V73">
        <f ca="1">COUNTIF(C:C,C73)-1</f>
        <v>3</v>
      </c>
      <c r="W73">
        <f>SUM(X73:Z73)</f>
        <v>387.39000000000004</v>
      </c>
      <c r="X73">
        <f>SUM(X70:X72)</f>
        <v>338.40000000000003</v>
      </c>
      <c r="Y73">
        <f>SUM(Y70:Y72)</f>
        <v>44</v>
      </c>
      <c r="Z73">
        <v>4.99</v>
      </c>
      <c r="AF73" s="54"/>
      <c r="AG73" s="48">
        <f>AG72</f>
        <v>44871</v>
      </c>
      <c r="AH73" s="48"/>
      <c r="AI73" t="str">
        <f t="shared" si="59"/>
        <v>Delivered</v>
      </c>
      <c r="AJ73" s="48">
        <f t="shared" si="59"/>
        <v>44870</v>
      </c>
    </row>
    <row r="74" spans="1:39" s="58" customFormat="1" ht="58" x14ac:dyDescent="0.35">
      <c r="A74" s="60" t="s">
        <v>760</v>
      </c>
      <c r="B74" s="60" t="str">
        <f>IF(B73="","","'"&amp;B$3&amp;"' : '"&amp;B73&amp;"', ")</f>
        <v xml:space="preserve">'emailAddress' : 'donovanmarkle@gmail.com', </v>
      </c>
      <c r="C74" s="60" t="str">
        <f>IF(C73="","","'"&amp;C$3&amp;"' : '"&amp;C73&amp;"', ")</f>
        <v xml:space="preserve">'orderId' : '20221105090712', </v>
      </c>
      <c r="D74" s="60" t="str">
        <f>IF(D73="","","'"&amp;D$3&amp;"' : '"&amp;D73&amp;"', ")</f>
        <v xml:space="preserve">'employeeUserName' : 'mjones', </v>
      </c>
      <c r="E74" s="60" t="str">
        <f>IF(E73="","","'"&amp;$F$2&amp;"' : { '"&amp;E$3&amp;"' : '"&amp;E73&amp;"' , ")</f>
        <v xml:space="preserve">'deliveryAddress' : { 'name' : 'Donovan Markle' , </v>
      </c>
      <c r="F74" s="60" t="str">
        <f>IF(F73="","","'"&amp;F$3&amp;"' : '"&amp;F73&amp;"' , ")</f>
        <v xml:space="preserve">'street' : '4337 Algonquin Blvd' , </v>
      </c>
      <c r="G74" s="60" t="str">
        <f>IF(G73="","","'"&amp;G$3&amp;"' : '"&amp;G73&amp;"' , ")</f>
        <v xml:space="preserve">'unit' : '216' , </v>
      </c>
      <c r="H74" s="60" t="str">
        <f>IF(H73="","","'"&amp;H$3&amp;"' : '"&amp;H73&amp;"' , ")</f>
        <v xml:space="preserve">'city' : 'Timmins' , </v>
      </c>
      <c r="I74" s="60" t="str">
        <f>IF(I73="","","'"&amp;I$3&amp;"' : '"&amp;I73&amp;"' , ")</f>
        <v xml:space="preserve">'province' : 'Ontario' , </v>
      </c>
      <c r="J74" s="60" t="str">
        <f>IF(J73="","","'"&amp;J$3&amp;"' : '"&amp;J73&amp;"' , ")</f>
        <v xml:space="preserve">'zip' : 'P4N 7C4' , </v>
      </c>
      <c r="K74" s="60" t="str">
        <f>IF(K73="","","'"&amp;K$3&amp;"' : '"&amp;K73&amp;"' } , ")</f>
        <v xml:space="preserve">'mobileNumber' : '705-668-1540' } , </v>
      </c>
      <c r="L74" s="60" t="str">
        <f>IF(L73="","","'"&amp;$L$2&amp;"' : { '"&amp;L$3&amp;"' : '"&amp;L73&amp;"' , ")</f>
        <v xml:space="preserve">'billingsAddress' : { 'name' : 'Donovan Markle' , </v>
      </c>
      <c r="M74" s="60" t="str">
        <f>IF(M73="","","'"&amp;M$3&amp;"' : '"&amp;M73&amp;"' , ")</f>
        <v xml:space="preserve">'street' : '4337 Algonquin Blvd' , </v>
      </c>
      <c r="N74" s="60" t="str">
        <f>IF(N73="","","'"&amp;N$3&amp;"' : '"&amp;N73&amp;"' , ")</f>
        <v xml:space="preserve">'unit' : '216' , </v>
      </c>
      <c r="O74" s="60" t="str">
        <f>IF(O73="","","'"&amp;O$3&amp;"' : '"&amp;O73&amp;"' , ")</f>
        <v xml:space="preserve">'city' : 'Timmins' , </v>
      </c>
      <c r="P74" s="60" t="str">
        <f>IF(P73="","","'"&amp;P$3&amp;"' : '"&amp;P73&amp;"' , ")</f>
        <v xml:space="preserve">'province' : 'Ontario' , </v>
      </c>
      <c r="Q74" s="60" t="str">
        <f>IF(Q73="","","'"&amp;Q$3&amp;"' : '"&amp;Q73&amp;"' , ")</f>
        <v xml:space="preserve">'zip' : 'P4N 7C4' , </v>
      </c>
      <c r="R74" s="60" t="str">
        <f>IF(R73="","","'"&amp;R$3&amp;"' : '"&amp;R73&amp;"' } , ")</f>
        <v xml:space="preserve">'mobileNumber' : '705-668-1540' } , </v>
      </c>
      <c r="S74" s="60" t="str">
        <f>IF(S73="","","'"&amp;$S$2&amp;"' : { '"&amp;S$3&amp;"' : '"&amp;S73&amp;"' , ")</f>
        <v xml:space="preserve">'paymentMethod' : { 'paymentType' : 'Credit' , </v>
      </c>
      <c r="T74" s="60" t="str">
        <f>IF(T73="","","'"&amp;T$3&amp;"' : '"&amp;T73&amp;"' , ")</f>
        <v xml:space="preserve">'cardScheme' : 'Visa' , </v>
      </c>
      <c r="U74" s="60" t="str">
        <f>IF(U73="","","'"&amp;U$3&amp;"' : '"&amp;U73&amp;"' } , ")</f>
        <v xml:space="preserve">'cardLast4' : '4070' } , </v>
      </c>
      <c r="V74" s="60" t="str">
        <f ca="1">IF(V73="","","'"&amp;V$3&amp;"' : "&amp;V73&amp;", ")</f>
        <v xml:space="preserve">'totalQty' : 3, </v>
      </c>
      <c r="W74" s="60" t="str">
        <f>IF(W73="","","'"&amp;W$3&amp;"' : "&amp;W73&amp;", ")</f>
        <v xml:space="preserve">'orderTotal' : 387.39, </v>
      </c>
      <c r="X74" s="60" t="str">
        <f>IF(X73="","","'"&amp;X$3&amp;"' : "&amp;X73&amp;", ")</f>
        <v xml:space="preserve">'grossTotal' : 338.4, </v>
      </c>
      <c r="Y74" s="60" t="str">
        <f>IF(Y73="","","'"&amp;Y$3&amp;"' : "&amp;Y73&amp;", ")</f>
        <v xml:space="preserve">'tax' : 44, </v>
      </c>
      <c r="Z74" s="60" t="str">
        <f>IF(Z73="","","'"&amp;Z$3&amp;"' : "&amp;Z73&amp;", ")</f>
        <v xml:space="preserve">'deliveryFee' : 4.99, </v>
      </c>
      <c r="AA74" s="60"/>
      <c r="AB74" s="60"/>
      <c r="AC74" s="60"/>
      <c r="AD74" s="60"/>
      <c r="AE74" s="60"/>
      <c r="AF74" s="60" t="str">
        <f>$AA$2&amp;" : "&amp;_xlfn.CONCAT("[ ",AF70:AF72,"], ")</f>
        <v xml:space="preserve">orderDetails : [ { 'productId' : '4019', 'productName' : 'Cinnammon Swirl and Raisen Bagel', 'quantity' : 14, 'price' : 6.45, 'subTotal' : 90.3 },{ 'productId' : '4003', 'productName' : 'Cinnamon Crunch Bagel', 'quantity' : 18, 'price' : 6.25, 'subTotal' : 112.5 },{ 'productId' : '4017', 'productName' : 'Malunggay Bread', 'quantity' : 24, 'price' : 5.65, 'subTotal' : 135.6 }], </v>
      </c>
      <c r="AG74" s="60" t="str">
        <f>IF(AG73="","","'"&amp;AG$3&amp;"' : new Date('"&amp;TEXT(AG73,"yyyy-mm-dd")&amp;"'), ")</f>
        <v xml:space="preserve">'orderDate' : new Date('2022-11-06'), </v>
      </c>
      <c r="AH74" s="60"/>
      <c r="AI74" s="60" t="str">
        <f>IF(AI73="","","'"&amp;AI$3&amp;"' : '"&amp;AI73&amp;"', ")</f>
        <v xml:space="preserve">'orderStatus' : 'Delivered', </v>
      </c>
      <c r="AJ74" s="60" t="str">
        <f>IF(AJ73="","","'"&amp;AJ$3&amp;"' : new Date('"&amp;TEXT(AJ73,"yyyy-mm-dd")&amp;"') ")</f>
        <v xml:space="preserve">'statusDate' : new Date('2022-11-05') </v>
      </c>
      <c r="AK74" s="60"/>
      <c r="AL74" s="59"/>
      <c r="AM74" s="58" t="str">
        <f ca="1">_xlfn.CONCAT("{ ",B74:AJ74,"} ,")</f>
        <v>{ 'emailAddress' : 'donovanmarkle@gmail.com', 'orderId' : '20221105090712', 'employeeUserName' : 'mjones', 'deliveryAddress' : { 'name' : 'Donovan Markle' , 'street' : '4337 Algonquin Blvd' , 'unit' : '216' , 'city' : 'Timmins' , 'province' : 'Ontario' , 'zip' : 'P4N 7C4' , 'mobileNumber' : '705-668-1540' } , 'billingsAddress' : { 'name' : 'Donovan Markle' , 'street' : '4337 Algonquin Blvd' , 'unit' : '216' , 'city' : 'Timmins' , 'province' : 'Ontario' , 'zip' : 'P4N 7C4' , 'mobileNumber' : '705-668-1540' } , 'paymentMethod' : { 'paymentType' : 'Credit' , 'cardScheme' : 'Visa' , 'cardLast4' : '4070' } , 'totalQty' : 3, 'orderTotal' : 387.39, 'grossTotal' : 338.4, 'tax' : 44, 'deliveryFee' : 4.99, orderDetails : [ { 'productId' : '4019', 'productName' : 'Cinnammon Swirl and Raisen Bagel', 'quantity' : 14, 'price' : 6.45, 'subTotal' : 90.3 },{ 'productId' : '4003', 'productName' : 'Cinnamon Crunch Bagel', 'quantity' : 18, 'price' : 6.25, 'subTotal' : 112.5 },{ 'productId' : '4017', 'productName' : 'Malunggay Bread', 'quantity' : 24, 'price' : 5.65, 'subTotal' : 135.6 }], 'orderDate' : new Date('2022-11-06'), 'orderStatus' : 'Delivered', 'statusDate' : new Date('2022-11-05') } ,</v>
      </c>
    </row>
    <row r="75" spans="1:39" x14ac:dyDescent="0.35">
      <c r="B75" t="s">
        <v>694</v>
      </c>
      <c r="C75" s="49" t="s">
        <v>730</v>
      </c>
      <c r="D75" t="s">
        <v>682</v>
      </c>
      <c r="E75" t="s">
        <v>329</v>
      </c>
      <c r="F75" t="s">
        <v>583</v>
      </c>
      <c r="G75" t="s">
        <v>602</v>
      </c>
      <c r="H75" t="s">
        <v>431</v>
      </c>
      <c r="I75" t="s">
        <v>26</v>
      </c>
      <c r="J75" t="s">
        <v>465</v>
      </c>
      <c r="K75" t="s">
        <v>624</v>
      </c>
      <c r="L75" t="str">
        <f t="shared" ref="L75:L77" si="60">E75</f>
        <v>Norah Fessenden</v>
      </c>
      <c r="M75" t="str">
        <f>VLOOKUP($B75,Customers!$B:$J,4,0)</f>
        <v>1751 Wallbridge Loyalist Rd</v>
      </c>
      <c r="O75" t="str">
        <f>VLOOKUP($B75,Customers!$B:$J,6,0)</f>
        <v>Belleville</v>
      </c>
      <c r="P75" t="str">
        <f>VLOOKUP($B75,Customers!$B:$J,7,0)</f>
        <v>Ontario</v>
      </c>
      <c r="Q75" t="str">
        <f>VLOOKUP($B75,Customers!$B:$J,8,0)</f>
        <v>K8N 1L9</v>
      </c>
      <c r="R75" t="str">
        <f>VLOOKUP($B75,Customers!$B:$J,9,0)</f>
        <v>613-847-5941</v>
      </c>
      <c r="S75" t="str">
        <f>VLOOKUP($B75,Customers!$B:$T,16,0)</f>
        <v>Debit</v>
      </c>
      <c r="T75" t="str">
        <f>VLOOKUP($B75,Customers!$B:$T,18,0)</f>
        <v>Visa</v>
      </c>
      <c r="U75" t="str">
        <f>VLOOKUP($B75,Customers!$B:$T,19,0)</f>
        <v>2541</v>
      </c>
      <c r="V75">
        <f ca="1">COUNTIF(C:C,C75)-1</f>
        <v>2</v>
      </c>
      <c r="X75">
        <f t="shared" ref="X75:X76" si="61">AC75*AD75</f>
        <v>5.99</v>
      </c>
      <c r="Y75">
        <f t="shared" ref="Y75:Y76" si="62">ROUND(X75*13%,2)</f>
        <v>0.78</v>
      </c>
      <c r="AA75">
        <v>4018</v>
      </c>
      <c r="AB75" t="s">
        <v>85</v>
      </c>
      <c r="AC75">
        <v>1</v>
      </c>
      <c r="AD75">
        <v>5.99</v>
      </c>
      <c r="AE75">
        <f>AC75*AD75</f>
        <v>5.99</v>
      </c>
      <c r="AF75" s="54" t="str">
        <f>"{ '"&amp;AA$3&amp;"' : '"&amp;AA75&amp;"', '"&amp;AB$3&amp;"' : '"&amp;AB75&amp;"', '"&amp;AC$3&amp;"' : "&amp;AC75&amp;", '"&amp;AD$3&amp;"' : "&amp;AD75&amp;", '"&amp;AE$3&amp;"' : "&amp;AE75&amp;" },"</f>
        <v>{ 'productId' : '4018', 'productName' : 'Cheese Bread', 'quantity' : 1, 'price' : 5.99, 'subTotal' : 5.99 },</v>
      </c>
      <c r="AG75" s="48">
        <v>44871</v>
      </c>
      <c r="AH75" s="50" t="s">
        <v>731</v>
      </c>
      <c r="AI75" t="s">
        <v>755</v>
      </c>
      <c r="AJ75" s="48">
        <f>AG75</f>
        <v>44871</v>
      </c>
      <c r="AK75" t="s">
        <v>709</v>
      </c>
    </row>
    <row r="76" spans="1:39" x14ac:dyDescent="0.35">
      <c r="B76" t="s">
        <v>694</v>
      </c>
      <c r="C76" t="s">
        <v>730</v>
      </c>
      <c r="D76" t="s">
        <v>682</v>
      </c>
      <c r="E76" t="s">
        <v>329</v>
      </c>
      <c r="F76" t="s">
        <v>583</v>
      </c>
      <c r="G76" t="s">
        <v>602</v>
      </c>
      <c r="H76" t="s">
        <v>431</v>
      </c>
      <c r="I76" t="s">
        <v>26</v>
      </c>
      <c r="J76" t="s">
        <v>465</v>
      </c>
      <c r="K76" t="s">
        <v>624</v>
      </c>
      <c r="L76" t="str">
        <f t="shared" si="60"/>
        <v>Norah Fessenden</v>
      </c>
      <c r="M76" t="str">
        <f>VLOOKUP($B76,Customers!$B:$J,4,0)</f>
        <v>1751 Wallbridge Loyalist Rd</v>
      </c>
      <c r="O76" t="str">
        <f>VLOOKUP($B76,Customers!$B:$J,6,0)</f>
        <v>Belleville</v>
      </c>
      <c r="P76" t="str">
        <f>VLOOKUP($B76,Customers!$B:$J,7,0)</f>
        <v>Ontario</v>
      </c>
      <c r="Q76" t="str">
        <f>VLOOKUP($B76,Customers!$B:$J,8,0)</f>
        <v>K8N 1L9</v>
      </c>
      <c r="R76" t="str">
        <f>VLOOKUP($B76,Customers!$B:$J,9,0)</f>
        <v>613-847-5941</v>
      </c>
      <c r="S76" t="str">
        <f>VLOOKUP($B76,Customers!$B:$T,16,0)</f>
        <v>Debit</v>
      </c>
      <c r="T76" t="str">
        <f>VLOOKUP($B76,Customers!$B:$T,18,0)</f>
        <v>Visa</v>
      </c>
      <c r="U76" t="str">
        <f>VLOOKUP($B76,Customers!$B:$T,19,0)</f>
        <v>2541</v>
      </c>
      <c r="V76">
        <f ca="1">COUNTIF(C:C,C76)-1</f>
        <v>2</v>
      </c>
      <c r="X76">
        <f t="shared" si="61"/>
        <v>23.96</v>
      </c>
      <c r="Y76">
        <f t="shared" si="62"/>
        <v>3.11</v>
      </c>
      <c r="AA76">
        <v>4018</v>
      </c>
      <c r="AB76" t="s">
        <v>85</v>
      </c>
      <c r="AC76">
        <v>4</v>
      </c>
      <c r="AD76">
        <v>5.99</v>
      </c>
      <c r="AE76">
        <f>AC76*AD76</f>
        <v>23.96</v>
      </c>
      <c r="AF76" s="54" t="str">
        <f>"{ '"&amp;AA$3&amp;"' : '"&amp;AA76&amp;"', '"&amp;AB$3&amp;"' : '"&amp;AB76&amp;"', '"&amp;AC$3&amp;"' : "&amp;AC76&amp;", '"&amp;AD$3&amp;"' : "&amp;AD76&amp;", '"&amp;AE$3&amp;"' : "&amp;AE76&amp;" }"</f>
        <v>{ 'productId' : '4018', 'productName' : 'Cheese Bread', 'quantity' : 4, 'price' : 5.99, 'subTotal' : 23.96 }</v>
      </c>
      <c r="AG76" s="48">
        <v>44871</v>
      </c>
      <c r="AH76" s="48" t="str">
        <f>AH75</f>
        <v>111648</v>
      </c>
      <c r="AI76" t="str">
        <f t="shared" ref="AI76:AJ77" si="63">AI75</f>
        <v>Delivered</v>
      </c>
      <c r="AJ76" s="48">
        <f t="shared" si="63"/>
        <v>44871</v>
      </c>
    </row>
    <row r="77" spans="1:39" x14ac:dyDescent="0.35">
      <c r="A77" t="s">
        <v>759</v>
      </c>
      <c r="B77" t="s">
        <v>694</v>
      </c>
      <c r="C77" t="s">
        <v>730</v>
      </c>
      <c r="D77" t="s">
        <v>682</v>
      </c>
      <c r="E77" t="s">
        <v>329</v>
      </c>
      <c r="F77" t="s">
        <v>583</v>
      </c>
      <c r="G77" t="s">
        <v>602</v>
      </c>
      <c r="H77" t="s">
        <v>431</v>
      </c>
      <c r="I77" t="s">
        <v>26</v>
      </c>
      <c r="J77" t="s">
        <v>465</v>
      </c>
      <c r="K77" t="s">
        <v>624</v>
      </c>
      <c r="L77" t="str">
        <f t="shared" si="60"/>
        <v>Norah Fessenden</v>
      </c>
      <c r="M77" t="str">
        <f>VLOOKUP($B77,Customers!$B:$J,4,0)</f>
        <v>1751 Wallbridge Loyalist Rd</v>
      </c>
      <c r="O77" t="str">
        <f>VLOOKUP($B77,Customers!$B:$J,6,0)</f>
        <v>Belleville</v>
      </c>
      <c r="P77" t="str">
        <f>VLOOKUP($B77,Customers!$B:$J,7,0)</f>
        <v>Ontario</v>
      </c>
      <c r="Q77" t="str">
        <f>VLOOKUP($B77,Customers!$B:$J,8,0)</f>
        <v>K8N 1L9</v>
      </c>
      <c r="R77" t="str">
        <f>VLOOKUP($B77,Customers!$B:$J,9,0)</f>
        <v>613-847-5941</v>
      </c>
      <c r="S77" t="str">
        <f>VLOOKUP($B77,Customers!$B:$T,16,0)</f>
        <v>Debit</v>
      </c>
      <c r="T77" t="str">
        <f>VLOOKUP($B77,Customers!$B:$T,18,0)</f>
        <v>Visa</v>
      </c>
      <c r="U77" t="str">
        <f>VLOOKUP($B77,Customers!$B:$T,19,0)</f>
        <v>2541</v>
      </c>
      <c r="V77">
        <f ca="1">COUNTIF(C:C,C77)-1</f>
        <v>2</v>
      </c>
      <c r="W77">
        <f>SUM(X77:Z77)</f>
        <v>38.830000000000005</v>
      </c>
      <c r="X77">
        <f>SUM(X75:X76)</f>
        <v>29.950000000000003</v>
      </c>
      <c r="Y77">
        <f>SUM(Y75:Y76)</f>
        <v>3.8899999999999997</v>
      </c>
      <c r="Z77">
        <v>4.99</v>
      </c>
      <c r="AF77" s="54"/>
      <c r="AG77" s="48">
        <f>AG76</f>
        <v>44871</v>
      </c>
      <c r="AH77" s="48"/>
      <c r="AI77" t="str">
        <f t="shared" si="63"/>
        <v>Delivered</v>
      </c>
      <c r="AJ77" s="48">
        <f t="shared" si="63"/>
        <v>44871</v>
      </c>
    </row>
    <row r="78" spans="1:39" s="58" customFormat="1" ht="43.5" x14ac:dyDescent="0.35">
      <c r="A78" s="60" t="s">
        <v>760</v>
      </c>
      <c r="B78" s="60" t="str">
        <f>IF(B77="","","'"&amp;B$3&amp;"' : '"&amp;B77&amp;"', ")</f>
        <v xml:space="preserve">'emailAddress' : 'norah_fessenden@gmail.com', </v>
      </c>
      <c r="C78" s="60" t="str">
        <f>IF(C77="","","'"&amp;C$3&amp;"' : '"&amp;C77&amp;"', ")</f>
        <v xml:space="preserve">'orderId' : '20221106111648', </v>
      </c>
      <c r="D78" s="60" t="str">
        <f>IF(D77="","","'"&amp;D$3&amp;"' : '"&amp;D77&amp;"', ")</f>
        <v xml:space="preserve">'employeeUserName' : 'mjones', </v>
      </c>
      <c r="E78" s="60" t="str">
        <f>IF(E77="","","'"&amp;$F$2&amp;"' : { '"&amp;E$3&amp;"' : '"&amp;E77&amp;"' , ")</f>
        <v xml:space="preserve">'deliveryAddress' : { 'name' : 'Norah Fessenden' , </v>
      </c>
      <c r="F78" s="60" t="str">
        <f>IF(F77="","","'"&amp;F$3&amp;"' : '"&amp;F77&amp;"' , ")</f>
        <v xml:space="preserve">'street' : '694 Yonge Street' , </v>
      </c>
      <c r="G78" s="60" t="str">
        <f>IF(G77="","","'"&amp;G$3&amp;"' : '"&amp;G77&amp;"' , ")</f>
        <v xml:space="preserve">'unit' : '102' , </v>
      </c>
      <c r="H78" s="60" t="str">
        <f>IF(H77="","","'"&amp;H$3&amp;"' : '"&amp;H77&amp;"' , ")</f>
        <v xml:space="preserve">'city' : 'Toronto' , </v>
      </c>
      <c r="I78" s="60" t="str">
        <f>IF(I77="","","'"&amp;I$3&amp;"' : '"&amp;I77&amp;"' , ")</f>
        <v xml:space="preserve">'province' : 'Ontario' , </v>
      </c>
      <c r="J78" s="60" t="str">
        <f>IF(J77="","","'"&amp;J$3&amp;"' : '"&amp;J77&amp;"' , ")</f>
        <v xml:space="preserve">'zip' : 'M4W 1J7' , </v>
      </c>
      <c r="K78" s="60" t="str">
        <f>IF(K77="","","'"&amp;K$3&amp;"' : '"&amp;K77&amp;"' } , ")</f>
        <v xml:space="preserve">'mobileNumber' : '416-963-8125' } , </v>
      </c>
      <c r="L78" s="60" t="str">
        <f>IF(L77="","","'"&amp;$L$2&amp;"' : { '"&amp;L$3&amp;"' : '"&amp;L77&amp;"' , ")</f>
        <v xml:space="preserve">'billingsAddress' : { 'name' : 'Norah Fessenden' , </v>
      </c>
      <c r="M78" s="60" t="str">
        <f>IF(M77="","","'"&amp;M$3&amp;"' : '"&amp;M77&amp;"' , ")</f>
        <v xml:space="preserve">'street' : '1751 Wallbridge Loyalist Rd' , </v>
      </c>
      <c r="N78" s="60" t="str">
        <f>IF(N77="","","'"&amp;N$3&amp;"' : '"&amp;N77&amp;"' , ")</f>
        <v/>
      </c>
      <c r="O78" s="60" t="str">
        <f>IF(O77="","","'"&amp;O$3&amp;"' : '"&amp;O77&amp;"' , ")</f>
        <v xml:space="preserve">'city' : 'Belleville' , </v>
      </c>
      <c r="P78" s="60" t="str">
        <f>IF(P77="","","'"&amp;P$3&amp;"' : '"&amp;P77&amp;"' , ")</f>
        <v xml:space="preserve">'province' : 'Ontario' , </v>
      </c>
      <c r="Q78" s="60" t="str">
        <f>IF(Q77="","","'"&amp;Q$3&amp;"' : '"&amp;Q77&amp;"' , ")</f>
        <v xml:space="preserve">'zip' : 'K8N 1L9' , </v>
      </c>
      <c r="R78" s="60" t="str">
        <f>IF(R77="","","'"&amp;R$3&amp;"' : '"&amp;R77&amp;"' } , ")</f>
        <v xml:space="preserve">'mobileNumber' : '613-847-5941' } , </v>
      </c>
      <c r="S78" s="60" t="str">
        <f>IF(S77="","","'"&amp;$S$2&amp;"' : { '"&amp;S$3&amp;"' : '"&amp;S77&amp;"' , ")</f>
        <v xml:space="preserve">'paymentMethod' : { 'paymentType' : 'Debit' , </v>
      </c>
      <c r="T78" s="60" t="str">
        <f>IF(T77="","","'"&amp;T$3&amp;"' : '"&amp;T77&amp;"' , ")</f>
        <v xml:space="preserve">'cardScheme' : 'Visa' , </v>
      </c>
      <c r="U78" s="60" t="str">
        <f>IF(U77="","","'"&amp;U$3&amp;"' : '"&amp;U77&amp;"' } , ")</f>
        <v xml:space="preserve">'cardLast4' : '2541' } , </v>
      </c>
      <c r="V78" s="60" t="str">
        <f ca="1">IF(V77="","","'"&amp;V$3&amp;"' : "&amp;V77&amp;", ")</f>
        <v xml:space="preserve">'totalQty' : 2, </v>
      </c>
      <c r="W78" s="60" t="str">
        <f>IF(W77="","","'"&amp;W$3&amp;"' : "&amp;W77&amp;", ")</f>
        <v xml:space="preserve">'orderTotal' : 38.83, </v>
      </c>
      <c r="X78" s="60" t="str">
        <f>IF(X77="","","'"&amp;X$3&amp;"' : "&amp;X77&amp;", ")</f>
        <v xml:space="preserve">'grossTotal' : 29.95, </v>
      </c>
      <c r="Y78" s="60" t="str">
        <f>IF(Y77="","","'"&amp;Y$3&amp;"' : "&amp;Y77&amp;", ")</f>
        <v xml:space="preserve">'tax' : 3.89, </v>
      </c>
      <c r="Z78" s="60" t="str">
        <f>IF(Z77="","","'"&amp;Z$3&amp;"' : "&amp;Z77&amp;", ")</f>
        <v xml:space="preserve">'deliveryFee' : 4.99, </v>
      </c>
      <c r="AA78" s="60"/>
      <c r="AB78" s="60"/>
      <c r="AC78" s="60"/>
      <c r="AD78" s="60"/>
      <c r="AE78" s="60"/>
      <c r="AF78" s="60" t="str">
        <f>$AA$2&amp;" : "&amp;_xlfn.CONCAT("[ ",AF75:AF76,"], ")</f>
        <v xml:space="preserve">orderDetails : [ { 'productId' : '4018', 'productName' : 'Cheese Bread', 'quantity' : 1, 'price' : 5.99, 'subTotal' : 5.99 },{ 'productId' : '4018', 'productName' : 'Cheese Bread', 'quantity' : 4, 'price' : 5.99, 'subTotal' : 23.96 }], </v>
      </c>
      <c r="AG78" s="60" t="str">
        <f>IF(AG77="","","'"&amp;AG$3&amp;"' : new Date('"&amp;TEXT(AG77,"yyyy-mm-dd")&amp;"'), ")</f>
        <v xml:space="preserve">'orderDate' : new Date('2022-11-06'), </v>
      </c>
      <c r="AH78" s="60"/>
      <c r="AI78" s="60" t="str">
        <f>IF(AI77="","","'"&amp;AI$3&amp;"' : '"&amp;AI77&amp;"', ")</f>
        <v xml:space="preserve">'orderStatus' : 'Delivered', </v>
      </c>
      <c r="AJ78" s="60" t="str">
        <f>IF(AJ77="","","'"&amp;AJ$3&amp;"' : new Date('"&amp;TEXT(AJ77,"yyyy-mm-dd")&amp;"') ")</f>
        <v xml:space="preserve">'statusDate' : new Date('2022-11-06') </v>
      </c>
      <c r="AK78" s="60"/>
      <c r="AL78" s="59"/>
      <c r="AM78" s="58" t="str">
        <f ca="1">_xlfn.CONCAT("{ ",B78:AJ78,"} ,")</f>
        <v>{ 'emailAddress' : 'norah_fessenden@gmail.com', 'orderId' : '20221106111648', 'employeeUserName' : 'mjones', 'deliveryAddress' : { 'name' : 'Norah Fessenden' , 'street' : '694 Yonge Street' , 'unit' : '102' , 'city' : 'Toronto' , 'province' : 'Ontario' , 'zip' : 'M4W 1J7' , 'mobileNumber' : '416-963-8125' } , 'billingsAddress' : { 'name' : 'Norah Fessenden' , 'street' : '1751 Wallbridge Loyalist Rd' , 'city' : 'Belleville' , 'province' : 'Ontario' , 'zip' : 'K8N 1L9' , 'mobileNumber' : '613-847-5941' } , 'paymentMethod' : { 'paymentType' : 'Debit' , 'cardScheme' : 'Visa' , 'cardLast4' : '2541' } , 'totalQty' : 2, 'orderTotal' : 38.83, 'grossTotal' : 29.95, 'tax' : 3.89, 'deliveryFee' : 4.99, orderDetails : [ { 'productId' : '4018', 'productName' : 'Cheese Bread', 'quantity' : 1, 'price' : 5.99, 'subTotal' : 5.99 },{ 'productId' : '4018', 'productName' : 'Cheese Bread', 'quantity' : 4, 'price' : 5.99, 'subTotal' : 23.96 }], 'orderDate' : new Date('2022-11-06'), 'orderStatus' : 'Delivered', 'statusDate' : new Date('2022-11-06') } ,</v>
      </c>
    </row>
    <row r="79" spans="1:39" x14ac:dyDescent="0.35">
      <c r="B79" t="s">
        <v>732</v>
      </c>
      <c r="C79" s="49" t="str">
        <f t="shared" ref="C79:C83" si="64">TEXT(AG79,"yyyymmdd")&amp;AH79</f>
        <v>20221106101912</v>
      </c>
      <c r="D79" t="s">
        <v>680</v>
      </c>
      <c r="E79" t="s">
        <v>332</v>
      </c>
      <c r="F79" t="s">
        <v>416</v>
      </c>
      <c r="G79" t="s">
        <v>573</v>
      </c>
      <c r="H79" t="s">
        <v>440</v>
      </c>
      <c r="I79" t="s">
        <v>453</v>
      </c>
      <c r="J79" t="s">
        <v>474</v>
      </c>
      <c r="K79" t="s">
        <v>504</v>
      </c>
      <c r="L79" t="str">
        <f t="shared" ref="L79:L81" si="65">E79</f>
        <v>Octavia Boyd</v>
      </c>
      <c r="M79" t="str">
        <f>VLOOKUP($B79,Customers!$B:$J,4,0)</f>
        <v>2179 Côte Joyeuse</v>
      </c>
      <c r="N79" t="str">
        <f>VLOOKUP($B79,Customers!$B:$J,5,0)</f>
        <v>314</v>
      </c>
      <c r="O79" t="str">
        <f>VLOOKUP($B79,Customers!$B:$J,6,0)</f>
        <v>L'etape</v>
      </c>
      <c r="P79" t="str">
        <f>VLOOKUP($B79,Customers!$B:$J,7,0)</f>
        <v>Quebec</v>
      </c>
      <c r="Q79" t="str">
        <f>VLOOKUP($B79,Customers!$B:$J,8,0)</f>
        <v>H0H 0H0</v>
      </c>
      <c r="R79" t="str">
        <f>VLOOKUP($B79,Customers!$B:$J,9,0)</f>
        <v>418-859-5959</v>
      </c>
      <c r="S79" t="str">
        <f>VLOOKUP($B79,Customers!$B:$T,16,0)</f>
        <v>Credit</v>
      </c>
      <c r="T79" t="str">
        <f>VLOOKUP($B79,Customers!$B:$T,18,0)</f>
        <v>Mastercard</v>
      </c>
      <c r="U79" t="str">
        <f>VLOOKUP($B79,Customers!$B:$T,19,0)</f>
        <v>5941</v>
      </c>
      <c r="V79">
        <f ca="1">COUNTIF(C:C,C79)-1</f>
        <v>2</v>
      </c>
      <c r="X79">
        <f t="shared" ref="X79:X80" si="66">AC79*AD79</f>
        <v>56.5</v>
      </c>
      <c r="Y79">
        <f t="shared" ref="Y79:Y80" si="67">ROUND(X79*13%,2)</f>
        <v>7.35</v>
      </c>
      <c r="AA79">
        <v>4017</v>
      </c>
      <c r="AB79" t="s">
        <v>84</v>
      </c>
      <c r="AC79">
        <v>10</v>
      </c>
      <c r="AD79">
        <v>5.65</v>
      </c>
      <c r="AE79">
        <f>AC79*AD79</f>
        <v>56.5</v>
      </c>
      <c r="AF79" s="54" t="str">
        <f>"{ '"&amp;AA$3&amp;"' : '"&amp;AA79&amp;"', '"&amp;AB$3&amp;"' : '"&amp;AB79&amp;"', '"&amp;AC$3&amp;"' : "&amp;AC79&amp;", '"&amp;AD$3&amp;"' : "&amp;AD79&amp;", '"&amp;AE$3&amp;"' : "&amp;AE79&amp;" },"</f>
        <v>{ 'productId' : '4017', 'productName' : 'Malunggay Bread', 'quantity' : 10, 'price' : 5.65, 'subTotal' : 56.5 },</v>
      </c>
      <c r="AG79" s="48">
        <v>44871</v>
      </c>
      <c r="AH79" s="50" t="s">
        <v>685</v>
      </c>
      <c r="AI79" t="s">
        <v>678</v>
      </c>
      <c r="AJ79" s="48">
        <f>AG79</f>
        <v>44871</v>
      </c>
      <c r="AK79" t="s">
        <v>733</v>
      </c>
    </row>
    <row r="80" spans="1:39" x14ac:dyDescent="0.35">
      <c r="B80" t="s">
        <v>732</v>
      </c>
      <c r="C80" t="str">
        <f>C79</f>
        <v>20221106101912</v>
      </c>
      <c r="D80" t="s">
        <v>680</v>
      </c>
      <c r="E80" t="s">
        <v>332</v>
      </c>
      <c r="F80" t="s">
        <v>416</v>
      </c>
      <c r="G80" t="s">
        <v>573</v>
      </c>
      <c r="H80" t="s">
        <v>440</v>
      </c>
      <c r="I80" t="s">
        <v>453</v>
      </c>
      <c r="J80" t="s">
        <v>474</v>
      </c>
      <c r="K80" t="s">
        <v>504</v>
      </c>
      <c r="L80" t="str">
        <f t="shared" si="65"/>
        <v>Octavia Boyd</v>
      </c>
      <c r="M80" t="str">
        <f>VLOOKUP($B80,Customers!$B:$J,4,0)</f>
        <v>2179 Côte Joyeuse</v>
      </c>
      <c r="N80" t="str">
        <f>VLOOKUP($B80,Customers!$B:$J,5,0)</f>
        <v>314</v>
      </c>
      <c r="O80" t="str">
        <f>VLOOKUP($B80,Customers!$B:$J,6,0)</f>
        <v>L'etape</v>
      </c>
      <c r="P80" t="str">
        <f>VLOOKUP($B80,Customers!$B:$J,7,0)</f>
        <v>Quebec</v>
      </c>
      <c r="Q80" t="str">
        <f>VLOOKUP($B80,Customers!$B:$J,8,0)</f>
        <v>H0H 0H0</v>
      </c>
      <c r="R80" t="str">
        <f>VLOOKUP($B80,Customers!$B:$J,9,0)</f>
        <v>418-859-5959</v>
      </c>
      <c r="S80" t="str">
        <f>VLOOKUP($B80,Customers!$B:$T,16,0)</f>
        <v>Credit</v>
      </c>
      <c r="T80" t="str">
        <f>VLOOKUP($B80,Customers!$B:$T,18,0)</f>
        <v>Mastercard</v>
      </c>
      <c r="U80" t="str">
        <f>VLOOKUP($B80,Customers!$B:$T,19,0)</f>
        <v>5941</v>
      </c>
      <c r="V80">
        <f ca="1">COUNTIF(C:C,C80)-1</f>
        <v>2</v>
      </c>
      <c r="X80">
        <f t="shared" si="66"/>
        <v>39.92</v>
      </c>
      <c r="Y80">
        <f t="shared" si="67"/>
        <v>5.19</v>
      </c>
      <c r="AA80">
        <v>4013</v>
      </c>
      <c r="AB80" t="s">
        <v>79</v>
      </c>
      <c r="AC80">
        <v>8</v>
      </c>
      <c r="AD80">
        <v>4.99</v>
      </c>
      <c r="AE80">
        <f>AC80*AD80</f>
        <v>39.92</v>
      </c>
      <c r="AF80" s="54" t="str">
        <f>"{ '"&amp;AA$3&amp;"' : '"&amp;AA80&amp;"', '"&amp;AB$3&amp;"' : '"&amp;AB80&amp;"', '"&amp;AC$3&amp;"' : "&amp;AC80&amp;", '"&amp;AD$3&amp;"' : "&amp;AD80&amp;", '"&amp;AE$3&amp;"' : "&amp;AE80&amp;" }"</f>
        <v>{ 'productId' : '4013', 'productName' : 'Pandesal', 'quantity' : 8, 'price' : 4.99, 'subTotal' : 39.92 }</v>
      </c>
      <c r="AG80" s="48">
        <v>44871</v>
      </c>
      <c r="AH80" s="48" t="str">
        <f>AH79</f>
        <v>101912</v>
      </c>
      <c r="AI80" t="str">
        <f t="shared" ref="AI80:AJ81" si="68">AI79</f>
        <v>Cancelled</v>
      </c>
      <c r="AJ80" s="48">
        <f t="shared" si="68"/>
        <v>44871</v>
      </c>
    </row>
    <row r="81" spans="1:39" x14ac:dyDescent="0.35">
      <c r="A81" t="s">
        <v>759</v>
      </c>
      <c r="B81" t="s">
        <v>732</v>
      </c>
      <c r="C81" t="str">
        <f>C80</f>
        <v>20221106101912</v>
      </c>
      <c r="D81" t="s">
        <v>680</v>
      </c>
      <c r="E81" t="s">
        <v>332</v>
      </c>
      <c r="F81" t="s">
        <v>416</v>
      </c>
      <c r="G81" t="s">
        <v>573</v>
      </c>
      <c r="H81" t="s">
        <v>440</v>
      </c>
      <c r="I81" t="s">
        <v>453</v>
      </c>
      <c r="J81" t="s">
        <v>474</v>
      </c>
      <c r="K81" t="s">
        <v>504</v>
      </c>
      <c r="L81" t="str">
        <f t="shared" si="65"/>
        <v>Octavia Boyd</v>
      </c>
      <c r="M81" t="str">
        <f>VLOOKUP($B81,Customers!$B:$J,4,0)</f>
        <v>2179 Côte Joyeuse</v>
      </c>
      <c r="N81" t="str">
        <f>VLOOKUP($B81,Customers!$B:$J,5,0)</f>
        <v>314</v>
      </c>
      <c r="O81" t="str">
        <f>VLOOKUP($B81,Customers!$B:$J,6,0)</f>
        <v>L'etape</v>
      </c>
      <c r="P81" t="str">
        <f>VLOOKUP($B81,Customers!$B:$J,7,0)</f>
        <v>Quebec</v>
      </c>
      <c r="Q81" t="str">
        <f>VLOOKUP($B81,Customers!$B:$J,8,0)</f>
        <v>H0H 0H0</v>
      </c>
      <c r="R81" t="str">
        <f>VLOOKUP($B81,Customers!$B:$J,9,0)</f>
        <v>418-859-5959</v>
      </c>
      <c r="S81" t="str">
        <f>VLOOKUP($B81,Customers!$B:$T,16,0)</f>
        <v>Credit</v>
      </c>
      <c r="T81" t="str">
        <f>VLOOKUP($B81,Customers!$B:$T,18,0)</f>
        <v>Mastercard</v>
      </c>
      <c r="U81" t="str">
        <f>VLOOKUP($B81,Customers!$B:$T,19,0)</f>
        <v>5941</v>
      </c>
      <c r="V81">
        <f ca="1">COUNTIF(C:C,C81)-1</f>
        <v>2</v>
      </c>
      <c r="W81">
        <f>SUM(X81:Z81)</f>
        <v>113.95</v>
      </c>
      <c r="X81">
        <f>SUM(X79:X80)</f>
        <v>96.42</v>
      </c>
      <c r="Y81">
        <f>SUM(Y79:Y80)</f>
        <v>12.54</v>
      </c>
      <c r="Z81">
        <v>4.99</v>
      </c>
      <c r="AF81" s="54"/>
      <c r="AG81" s="48">
        <f>AG80</f>
        <v>44871</v>
      </c>
      <c r="AH81" s="48"/>
      <c r="AI81" t="str">
        <f t="shared" si="68"/>
        <v>Cancelled</v>
      </c>
      <c r="AJ81" s="48">
        <f t="shared" si="68"/>
        <v>44871</v>
      </c>
    </row>
    <row r="82" spans="1:39" s="58" customFormat="1" ht="43.5" x14ac:dyDescent="0.35">
      <c r="A82" s="60" t="s">
        <v>760</v>
      </c>
      <c r="B82" s="60" t="str">
        <f>IF(B81="","","'"&amp;B$3&amp;"' : '"&amp;B81&amp;"', ")</f>
        <v xml:space="preserve">'emailAddress' : 'octaviaboyd@gmail.com', </v>
      </c>
      <c r="C82" s="60" t="str">
        <f>IF(C81="","","'"&amp;C$3&amp;"' : '"&amp;C81&amp;"', ")</f>
        <v xml:space="preserve">'orderId' : '20221106101912', </v>
      </c>
      <c r="D82" s="60" t="str">
        <f>IF(D81="","","'"&amp;D$3&amp;"' : '"&amp;D81&amp;"', ")</f>
        <v xml:space="preserve">'employeeUserName' : 'lzapanta', </v>
      </c>
      <c r="E82" s="60" t="str">
        <f>IF(E81="","","'"&amp;$F$2&amp;"' : { '"&amp;E$3&amp;"' : '"&amp;E81&amp;"' , ")</f>
        <v xml:space="preserve">'deliveryAddress' : { 'name' : 'Octavia Boyd' , </v>
      </c>
      <c r="F82" s="60" t="str">
        <f>IF(F81="","","'"&amp;F$3&amp;"' : '"&amp;F81&amp;"' , ")</f>
        <v xml:space="preserve">'street' : '2179 Côte Joyeuse' , </v>
      </c>
      <c r="G82" s="60" t="str">
        <f>IF(G81="","","'"&amp;G$3&amp;"' : '"&amp;G81&amp;"' , ")</f>
        <v xml:space="preserve">'unit' : '314' , </v>
      </c>
      <c r="H82" s="60" t="str">
        <f>IF(H81="","","'"&amp;H$3&amp;"' : '"&amp;H81&amp;"' , ")</f>
        <v xml:space="preserve">'city' : 'L'etape' , </v>
      </c>
      <c r="I82" s="60" t="str">
        <f>IF(I81="","","'"&amp;I$3&amp;"' : '"&amp;I81&amp;"' , ")</f>
        <v xml:space="preserve">'province' : 'Quebec' , </v>
      </c>
      <c r="J82" s="60" t="str">
        <f>IF(J81="","","'"&amp;J$3&amp;"' : '"&amp;J81&amp;"' , ")</f>
        <v xml:space="preserve">'zip' : 'H0H 0H0' , </v>
      </c>
      <c r="K82" s="60" t="str">
        <f>IF(K81="","","'"&amp;K$3&amp;"' : '"&amp;K81&amp;"' } , ")</f>
        <v xml:space="preserve">'mobileNumber' : '418-859-5959' } , </v>
      </c>
      <c r="L82" s="60" t="str">
        <f>IF(L81="","","'"&amp;$L$2&amp;"' : { '"&amp;L$3&amp;"' : '"&amp;L81&amp;"' , ")</f>
        <v xml:space="preserve">'billingsAddress' : { 'name' : 'Octavia Boyd' , </v>
      </c>
      <c r="M82" s="60" t="str">
        <f>IF(M81="","","'"&amp;M$3&amp;"' : '"&amp;M81&amp;"' , ")</f>
        <v xml:space="preserve">'street' : '2179 Côte Joyeuse' , </v>
      </c>
      <c r="N82" s="60" t="str">
        <f>IF(N81="","","'"&amp;N$3&amp;"' : '"&amp;N81&amp;"' , ")</f>
        <v xml:space="preserve">'unit' : '314' , </v>
      </c>
      <c r="O82" s="60" t="str">
        <f>IF(O81="","","'"&amp;O$3&amp;"' : '"&amp;O81&amp;"' , ")</f>
        <v xml:space="preserve">'city' : 'L'etape' , </v>
      </c>
      <c r="P82" s="60" t="str">
        <f>IF(P81="","","'"&amp;P$3&amp;"' : '"&amp;P81&amp;"' , ")</f>
        <v xml:space="preserve">'province' : 'Quebec' , </v>
      </c>
      <c r="Q82" s="60" t="str">
        <f>IF(Q81="","","'"&amp;Q$3&amp;"' : '"&amp;Q81&amp;"' , ")</f>
        <v xml:space="preserve">'zip' : 'H0H 0H0' , </v>
      </c>
      <c r="R82" s="60" t="str">
        <f>IF(R81="","","'"&amp;R$3&amp;"' : '"&amp;R81&amp;"' } , ")</f>
        <v xml:space="preserve">'mobileNumber' : '418-859-5959' } , </v>
      </c>
      <c r="S82" s="60" t="str">
        <f>IF(S81="","","'"&amp;$S$2&amp;"' : { '"&amp;S$3&amp;"' : '"&amp;S81&amp;"' , ")</f>
        <v xml:space="preserve">'paymentMethod' : { 'paymentType' : 'Credit' , </v>
      </c>
      <c r="T82" s="60" t="str">
        <f>IF(T81="","","'"&amp;T$3&amp;"' : '"&amp;T81&amp;"' , ")</f>
        <v xml:space="preserve">'cardScheme' : 'Mastercard' , </v>
      </c>
      <c r="U82" s="60" t="str">
        <f>IF(U81="","","'"&amp;U$3&amp;"' : '"&amp;U81&amp;"' } , ")</f>
        <v xml:space="preserve">'cardLast4' : '5941' } , </v>
      </c>
      <c r="V82" s="60" t="str">
        <f ca="1">IF(V81="","","'"&amp;V$3&amp;"' : "&amp;V81&amp;", ")</f>
        <v xml:space="preserve">'totalQty' : 2, </v>
      </c>
      <c r="W82" s="60" t="str">
        <f>IF(W81="","","'"&amp;W$3&amp;"' : "&amp;W81&amp;", ")</f>
        <v xml:space="preserve">'orderTotal' : 113.95, </v>
      </c>
      <c r="X82" s="60" t="str">
        <f>IF(X81="","","'"&amp;X$3&amp;"' : "&amp;X81&amp;", ")</f>
        <v xml:space="preserve">'grossTotal' : 96.42, </v>
      </c>
      <c r="Y82" s="60" t="str">
        <f>IF(Y81="","","'"&amp;Y$3&amp;"' : "&amp;Y81&amp;", ")</f>
        <v xml:space="preserve">'tax' : 12.54, </v>
      </c>
      <c r="Z82" s="60" t="str">
        <f>IF(Z81="","","'"&amp;Z$3&amp;"' : "&amp;Z81&amp;", ")</f>
        <v xml:space="preserve">'deliveryFee' : 4.99, </v>
      </c>
      <c r="AA82" s="60"/>
      <c r="AB82" s="60"/>
      <c r="AC82" s="60"/>
      <c r="AD82" s="60"/>
      <c r="AE82" s="60"/>
      <c r="AF82" s="60" t="str">
        <f>$AA$2&amp;" : "&amp;_xlfn.CONCAT("[ ",AF79:AF80,"], ")</f>
        <v xml:space="preserve">orderDetails : [ { 'productId' : '4017', 'productName' : 'Malunggay Bread', 'quantity' : 10, 'price' : 5.65, 'subTotal' : 56.5 },{ 'productId' : '4013', 'productName' : 'Pandesal', 'quantity' : 8, 'price' : 4.99, 'subTotal' : 39.92 }], </v>
      </c>
      <c r="AG82" s="60" t="str">
        <f>IF(AG81="","","'"&amp;AG$3&amp;"' : new Date('"&amp;TEXT(AG81,"yyyy-mm-dd")&amp;"'), ")</f>
        <v xml:space="preserve">'orderDate' : new Date('2022-11-06'), </v>
      </c>
      <c r="AH82" s="60"/>
      <c r="AI82" s="60" t="str">
        <f>IF(AI81="","","'"&amp;AI$3&amp;"' : '"&amp;AI81&amp;"', ")</f>
        <v xml:space="preserve">'orderStatus' : 'Cancelled', </v>
      </c>
      <c r="AJ82" s="60" t="str">
        <f>IF(AJ81="","","'"&amp;AJ$3&amp;"' : new Date('"&amp;TEXT(AJ81,"yyyy-mm-dd")&amp;"') ")</f>
        <v xml:space="preserve">'statusDate' : new Date('2022-11-06') </v>
      </c>
      <c r="AK82" s="60"/>
      <c r="AL82" s="59"/>
      <c r="AM82" s="58" t="str">
        <f ca="1">_xlfn.CONCAT("{ ",B82:AJ82,"} ,")</f>
        <v>{ 'emailAddress' : 'octaviaboyd@gmail.com', 'orderId' : '20221106101912', 'employeeUserName' : 'lzapanta', 'deliveryAddress' : { 'name' : 'Octavia Boyd' , 'street' : '2179 Côte Joyeuse' , 'unit' : '314' , 'city' : 'L'etape' , 'province' : 'Quebec' , 'zip' : 'H0H 0H0' , 'mobileNumber' : '418-859-5959' } , 'billingsAddress' : { 'name' : 'Octavia Boyd' , 'street' : '2179 Côte Joyeuse' , 'unit' : '314' , 'city' : 'L'etape' , 'province' : 'Quebec' , 'zip' : 'H0H 0H0' , 'mobileNumber' : '418-859-5959' } , 'paymentMethod' : { 'paymentType' : 'Credit' , 'cardScheme' : 'Mastercard' , 'cardLast4' : '5941' } , 'totalQty' : 2, 'orderTotal' : 113.95, 'grossTotal' : 96.42, 'tax' : 12.54, 'deliveryFee' : 4.99, orderDetails : [ { 'productId' : '4017', 'productName' : 'Malunggay Bread', 'quantity' : 10, 'price' : 5.65, 'subTotal' : 56.5 },{ 'productId' : '4013', 'productName' : 'Pandesal', 'quantity' : 8, 'price' : 4.99, 'subTotal' : 39.92 }], 'orderDate' : new Date('2022-11-06'), 'orderStatus' : 'Cancelled', 'statusDate' : new Date('2022-11-06') } ,</v>
      </c>
    </row>
    <row r="83" spans="1:39" x14ac:dyDescent="0.35">
      <c r="B83" t="s">
        <v>709</v>
      </c>
      <c r="C83" s="49" t="str">
        <f t="shared" si="64"/>
        <v>20221106101913</v>
      </c>
      <c r="D83" t="s">
        <v>681</v>
      </c>
      <c r="E83" t="s">
        <v>323</v>
      </c>
      <c r="F83" t="s">
        <v>418</v>
      </c>
      <c r="G83" t="s">
        <v>575</v>
      </c>
      <c r="H83" t="s">
        <v>442</v>
      </c>
      <c r="I83" t="s">
        <v>26</v>
      </c>
      <c r="J83" t="s">
        <v>476</v>
      </c>
      <c r="K83" t="s">
        <v>506</v>
      </c>
      <c r="L83" t="str">
        <f t="shared" ref="L83:L86" si="69">E83</f>
        <v>Donovan Markle</v>
      </c>
      <c r="M83" t="str">
        <f>VLOOKUP($B83,Customers!$B:$J,4,0)</f>
        <v>4337 Algonquin Blvd</v>
      </c>
      <c r="N83" t="str">
        <f>VLOOKUP($B83,Customers!$B:$J,5,0)</f>
        <v>216</v>
      </c>
      <c r="O83" t="str">
        <f>VLOOKUP($B83,Customers!$B:$J,6,0)</f>
        <v>Timmins</v>
      </c>
      <c r="P83" t="str">
        <f>VLOOKUP($B83,Customers!$B:$J,7,0)</f>
        <v>Ontario</v>
      </c>
      <c r="Q83" t="str">
        <f>VLOOKUP($B83,Customers!$B:$J,8,0)</f>
        <v>P4N 7C4</v>
      </c>
      <c r="R83" t="str">
        <f>VLOOKUP($B83,Customers!$B:$J,9,0)</f>
        <v>705-668-1540</v>
      </c>
      <c r="S83" t="str">
        <f>VLOOKUP($B83,Customers!$B:$T,16,0)</f>
        <v>Credit</v>
      </c>
      <c r="T83" t="str">
        <f>VLOOKUP($B83,Customers!$B:$T,18,0)</f>
        <v>Visa</v>
      </c>
      <c r="U83" t="str">
        <f>VLOOKUP($B83,Customers!$B:$T,19,0)</f>
        <v>4070</v>
      </c>
      <c r="V83">
        <f ca="1">COUNTIF(C:C,C83)-1</f>
        <v>3</v>
      </c>
      <c r="X83">
        <f t="shared" ref="X83:X85" si="70">AC83*AD83</f>
        <v>24.950000000000003</v>
      </c>
      <c r="Y83">
        <f t="shared" ref="Y83:Y85" si="71">ROUND(X83*13%,2)</f>
        <v>3.24</v>
      </c>
      <c r="AA83">
        <v>4001</v>
      </c>
      <c r="AB83" t="s">
        <v>63</v>
      </c>
      <c r="AC83">
        <v>5</v>
      </c>
      <c r="AD83">
        <v>4.99</v>
      </c>
      <c r="AE83">
        <f>AC83*AD83</f>
        <v>24.950000000000003</v>
      </c>
      <c r="AF83" s="54" t="str">
        <f>"{ '"&amp;AA$3&amp;"' : '"&amp;AA83&amp;"', '"&amp;AB$3&amp;"' : '"&amp;AB83&amp;"', '"&amp;AC$3&amp;"' : "&amp;AC83&amp;", '"&amp;AD$3&amp;"' : "&amp;AD83&amp;", '"&amp;AE$3&amp;"' : "&amp;AE83&amp;" },"</f>
        <v>{ 'productId' : '4001', 'productName' : 'Plain Bagel', 'quantity' : 5, 'price' : 4.99, 'subTotal' : 24.95 },</v>
      </c>
      <c r="AG83" s="48">
        <v>44871</v>
      </c>
      <c r="AH83" s="61" t="s">
        <v>762</v>
      </c>
      <c r="AI83" t="s">
        <v>755</v>
      </c>
      <c r="AJ83" s="48">
        <f>AG83</f>
        <v>44871</v>
      </c>
      <c r="AK83" t="s">
        <v>734</v>
      </c>
    </row>
    <row r="84" spans="1:39" x14ac:dyDescent="0.35">
      <c r="B84" t="s">
        <v>709</v>
      </c>
      <c r="C84" t="str">
        <f t="shared" ref="C84:C86" si="72">C83</f>
        <v>20221106101913</v>
      </c>
      <c r="D84" t="s">
        <v>681</v>
      </c>
      <c r="E84" t="s">
        <v>323</v>
      </c>
      <c r="F84" t="s">
        <v>418</v>
      </c>
      <c r="G84" t="s">
        <v>575</v>
      </c>
      <c r="H84" t="s">
        <v>442</v>
      </c>
      <c r="I84" t="s">
        <v>26</v>
      </c>
      <c r="J84" t="s">
        <v>476</v>
      </c>
      <c r="K84" t="s">
        <v>506</v>
      </c>
      <c r="L84" t="str">
        <f t="shared" si="69"/>
        <v>Donovan Markle</v>
      </c>
      <c r="M84" t="str">
        <f>VLOOKUP($B84,Customers!$B:$J,4,0)</f>
        <v>4337 Algonquin Blvd</v>
      </c>
      <c r="N84" t="str">
        <f>VLOOKUP($B84,Customers!$B:$J,5,0)</f>
        <v>216</v>
      </c>
      <c r="O84" t="str">
        <f>VLOOKUP($B84,Customers!$B:$J,6,0)</f>
        <v>Timmins</v>
      </c>
      <c r="P84" t="str">
        <f>VLOOKUP($B84,Customers!$B:$J,7,0)</f>
        <v>Ontario</v>
      </c>
      <c r="Q84" t="str">
        <f>VLOOKUP($B84,Customers!$B:$J,8,0)</f>
        <v>P4N 7C4</v>
      </c>
      <c r="R84" t="str">
        <f>VLOOKUP($B84,Customers!$B:$J,9,0)</f>
        <v>705-668-1540</v>
      </c>
      <c r="S84" t="str">
        <f>VLOOKUP($B84,Customers!$B:$T,16,0)</f>
        <v>Credit</v>
      </c>
      <c r="T84" t="str">
        <f>VLOOKUP($B84,Customers!$B:$T,18,0)</f>
        <v>Visa</v>
      </c>
      <c r="U84" t="str">
        <f>VLOOKUP($B84,Customers!$B:$T,19,0)</f>
        <v>4070</v>
      </c>
      <c r="V84">
        <f ca="1">COUNTIF(C:C,C84)-1</f>
        <v>3</v>
      </c>
      <c r="X84">
        <f t="shared" si="70"/>
        <v>59.31</v>
      </c>
      <c r="Y84">
        <f t="shared" si="71"/>
        <v>7.71</v>
      </c>
      <c r="AA84">
        <v>4015</v>
      </c>
      <c r="AB84" t="s">
        <v>82</v>
      </c>
      <c r="AC84">
        <v>9</v>
      </c>
      <c r="AD84">
        <v>6.59</v>
      </c>
      <c r="AE84">
        <f>AC84*AD84</f>
        <v>59.31</v>
      </c>
      <c r="AF84" s="54" t="str">
        <f>"{ '"&amp;AA$3&amp;"' : '"&amp;AA84&amp;"', '"&amp;AB$3&amp;"' : '"&amp;AB84&amp;"', '"&amp;AC$3&amp;"' : "&amp;AC84&amp;", '"&amp;AD$3&amp;"' : "&amp;AD84&amp;", '"&amp;AE$3&amp;"' : "&amp;AE84&amp;" },"</f>
        <v>{ 'productId' : '4015', 'productName' : 'Sprouted Grain Flat Bagel', 'quantity' : 9, 'price' : 6.59, 'subTotal' : 59.31 },</v>
      </c>
      <c r="AG84" s="48">
        <v>44872</v>
      </c>
      <c r="AH84" s="48" t="str">
        <f t="shared" ref="AH84:AJ86" si="73">AH83</f>
        <v>101913</v>
      </c>
      <c r="AI84" t="str">
        <f t="shared" si="73"/>
        <v>Delivered</v>
      </c>
      <c r="AJ84" s="48">
        <f t="shared" si="73"/>
        <v>44871</v>
      </c>
    </row>
    <row r="85" spans="1:39" x14ac:dyDescent="0.35">
      <c r="B85" t="s">
        <v>709</v>
      </c>
      <c r="C85" t="str">
        <f t="shared" si="72"/>
        <v>20221106101913</v>
      </c>
      <c r="D85" t="s">
        <v>681</v>
      </c>
      <c r="E85" t="s">
        <v>323</v>
      </c>
      <c r="F85" t="s">
        <v>418</v>
      </c>
      <c r="G85" t="s">
        <v>575</v>
      </c>
      <c r="H85" t="s">
        <v>442</v>
      </c>
      <c r="I85" t="s">
        <v>26</v>
      </c>
      <c r="J85" t="s">
        <v>476</v>
      </c>
      <c r="K85" t="s">
        <v>506</v>
      </c>
      <c r="L85" t="str">
        <f t="shared" si="69"/>
        <v>Donovan Markle</v>
      </c>
      <c r="M85" t="str">
        <f>VLOOKUP($B85,Customers!$B:$J,4,0)</f>
        <v>4337 Algonquin Blvd</v>
      </c>
      <c r="N85" t="str">
        <f>VLOOKUP($B85,Customers!$B:$J,5,0)</f>
        <v>216</v>
      </c>
      <c r="O85" t="str">
        <f>VLOOKUP($B85,Customers!$B:$J,6,0)</f>
        <v>Timmins</v>
      </c>
      <c r="P85" t="str">
        <f>VLOOKUP($B85,Customers!$B:$J,7,0)</f>
        <v>Ontario</v>
      </c>
      <c r="Q85" t="str">
        <f>VLOOKUP($B85,Customers!$B:$J,8,0)</f>
        <v>P4N 7C4</v>
      </c>
      <c r="R85" t="str">
        <f>VLOOKUP($B85,Customers!$B:$J,9,0)</f>
        <v>705-668-1540</v>
      </c>
      <c r="S85" t="str">
        <f>VLOOKUP($B85,Customers!$B:$T,16,0)</f>
        <v>Credit</v>
      </c>
      <c r="T85" t="str">
        <f>VLOOKUP($B85,Customers!$B:$T,18,0)</f>
        <v>Visa</v>
      </c>
      <c r="U85" t="str">
        <f>VLOOKUP($B85,Customers!$B:$T,19,0)</f>
        <v>4070</v>
      </c>
      <c r="V85">
        <f ca="1">COUNTIF(C:C,C85)-1</f>
        <v>3</v>
      </c>
      <c r="X85">
        <f t="shared" si="70"/>
        <v>125</v>
      </c>
      <c r="Y85">
        <f t="shared" si="71"/>
        <v>16.25</v>
      </c>
      <c r="AA85">
        <v>4003</v>
      </c>
      <c r="AB85" t="s">
        <v>67</v>
      </c>
      <c r="AC85">
        <v>20</v>
      </c>
      <c r="AD85">
        <v>6.25</v>
      </c>
      <c r="AE85">
        <f>AC85*AD85</f>
        <v>125</v>
      </c>
      <c r="AF85" s="54" t="str">
        <f>"{ '"&amp;AA$3&amp;"' : '"&amp;AA85&amp;"', '"&amp;AB$3&amp;"' : '"&amp;AB85&amp;"', '"&amp;AC$3&amp;"' : "&amp;AC85&amp;", '"&amp;AD$3&amp;"' : "&amp;AD85&amp;", '"&amp;AE$3&amp;"' : "&amp;AE85&amp;" }"</f>
        <v>{ 'productId' : '4003', 'productName' : 'Cinnamon Crunch Bagel', 'quantity' : 20, 'price' : 6.25, 'subTotal' : 125 }</v>
      </c>
      <c r="AG85" s="48">
        <v>44872</v>
      </c>
      <c r="AH85" s="48" t="str">
        <f t="shared" si="73"/>
        <v>101913</v>
      </c>
      <c r="AI85" t="str">
        <f t="shared" si="73"/>
        <v>Delivered</v>
      </c>
      <c r="AJ85" s="48">
        <f t="shared" si="73"/>
        <v>44871</v>
      </c>
    </row>
    <row r="86" spans="1:39" x14ac:dyDescent="0.35">
      <c r="A86" t="s">
        <v>759</v>
      </c>
      <c r="B86" t="s">
        <v>709</v>
      </c>
      <c r="C86" t="str">
        <f t="shared" si="72"/>
        <v>20221106101913</v>
      </c>
      <c r="D86" t="s">
        <v>681</v>
      </c>
      <c r="E86" t="s">
        <v>323</v>
      </c>
      <c r="F86" t="s">
        <v>418</v>
      </c>
      <c r="G86" t="s">
        <v>575</v>
      </c>
      <c r="H86" t="s">
        <v>442</v>
      </c>
      <c r="I86" t="s">
        <v>26</v>
      </c>
      <c r="J86" t="s">
        <v>476</v>
      </c>
      <c r="K86" t="s">
        <v>506</v>
      </c>
      <c r="L86" t="str">
        <f t="shared" si="69"/>
        <v>Donovan Markle</v>
      </c>
      <c r="M86" t="str">
        <f>VLOOKUP($B86,Customers!$B:$J,4,0)</f>
        <v>4337 Algonquin Blvd</v>
      </c>
      <c r="N86" t="str">
        <f>VLOOKUP($B86,Customers!$B:$J,5,0)</f>
        <v>216</v>
      </c>
      <c r="O86" t="str">
        <f>VLOOKUP($B86,Customers!$B:$J,6,0)</f>
        <v>Timmins</v>
      </c>
      <c r="P86" t="str">
        <f>VLOOKUP($B86,Customers!$B:$J,7,0)</f>
        <v>Ontario</v>
      </c>
      <c r="Q86" t="str">
        <f>VLOOKUP($B86,Customers!$B:$J,8,0)</f>
        <v>P4N 7C4</v>
      </c>
      <c r="R86" t="str">
        <f>VLOOKUP($B86,Customers!$B:$J,9,0)</f>
        <v>705-668-1540</v>
      </c>
      <c r="S86" t="str">
        <f>VLOOKUP($B86,Customers!$B:$T,16,0)</f>
        <v>Credit</v>
      </c>
      <c r="T86" t="str">
        <f>VLOOKUP($B86,Customers!$B:$T,18,0)</f>
        <v>Visa</v>
      </c>
      <c r="U86" t="str">
        <f>VLOOKUP($B86,Customers!$B:$T,19,0)</f>
        <v>4070</v>
      </c>
      <c r="V86">
        <f ca="1">COUNTIF(C:C,C86)-1</f>
        <v>3</v>
      </c>
      <c r="W86">
        <f>SUM(X86:Z86)</f>
        <v>241.45</v>
      </c>
      <c r="X86">
        <f>SUM(X83:X85)</f>
        <v>209.26</v>
      </c>
      <c r="Y86">
        <f>SUM(Y83:Y85)</f>
        <v>27.2</v>
      </c>
      <c r="Z86">
        <v>4.99</v>
      </c>
      <c r="AF86" s="54"/>
      <c r="AG86" s="48">
        <f>AG85</f>
        <v>44872</v>
      </c>
      <c r="AH86" s="48"/>
      <c r="AI86" t="str">
        <f t="shared" si="73"/>
        <v>Delivered</v>
      </c>
      <c r="AJ86" s="48">
        <f t="shared" si="73"/>
        <v>44871</v>
      </c>
    </row>
    <row r="87" spans="1:39" s="58" customFormat="1" ht="43.5" x14ac:dyDescent="0.35">
      <c r="A87" s="60" t="s">
        <v>760</v>
      </c>
      <c r="B87" s="60" t="str">
        <f>IF(B86="","","'"&amp;B$3&amp;"' : '"&amp;B86&amp;"', ")</f>
        <v xml:space="preserve">'emailAddress' : 'donovanmarkle@gmail.com', </v>
      </c>
      <c r="C87" s="60" t="str">
        <f>IF(C86="","","'"&amp;C$3&amp;"' : '"&amp;C86&amp;"', ")</f>
        <v xml:space="preserve">'orderId' : '20221106101913', </v>
      </c>
      <c r="D87" s="60" t="str">
        <f>IF(D86="","","'"&amp;D$3&amp;"' : '"&amp;D86&amp;"', ")</f>
        <v xml:space="preserve">'employeeUserName' : 'jbartolata', </v>
      </c>
      <c r="E87" s="60" t="str">
        <f>IF(E86="","","'"&amp;$F$2&amp;"' : { '"&amp;E$3&amp;"' : '"&amp;E86&amp;"' , ")</f>
        <v xml:space="preserve">'deliveryAddress' : { 'name' : 'Donovan Markle' , </v>
      </c>
      <c r="F87" s="60" t="str">
        <f>IF(F86="","","'"&amp;F$3&amp;"' : '"&amp;F86&amp;"' , ")</f>
        <v xml:space="preserve">'street' : '4337 Algonquin Blvd' , </v>
      </c>
      <c r="G87" s="60" t="str">
        <f>IF(G86="","","'"&amp;G$3&amp;"' : '"&amp;G86&amp;"' , ")</f>
        <v xml:space="preserve">'unit' : '216' , </v>
      </c>
      <c r="H87" s="60" t="str">
        <f>IF(H86="","","'"&amp;H$3&amp;"' : '"&amp;H86&amp;"' , ")</f>
        <v xml:space="preserve">'city' : 'Timmins' , </v>
      </c>
      <c r="I87" s="60" t="str">
        <f>IF(I86="","","'"&amp;I$3&amp;"' : '"&amp;I86&amp;"' , ")</f>
        <v xml:space="preserve">'province' : 'Ontario' , </v>
      </c>
      <c r="J87" s="60" t="str">
        <f>IF(J86="","","'"&amp;J$3&amp;"' : '"&amp;J86&amp;"' , ")</f>
        <v xml:space="preserve">'zip' : 'P4N 7C4' , </v>
      </c>
      <c r="K87" s="60" t="str">
        <f>IF(K86="","","'"&amp;K$3&amp;"' : '"&amp;K86&amp;"' } , ")</f>
        <v xml:space="preserve">'mobileNumber' : '705-668-1540' } , </v>
      </c>
      <c r="L87" s="60" t="str">
        <f>IF(L86="","","'"&amp;$L$2&amp;"' : { '"&amp;L$3&amp;"' : '"&amp;L86&amp;"' , ")</f>
        <v xml:space="preserve">'billingsAddress' : { 'name' : 'Donovan Markle' , </v>
      </c>
      <c r="M87" s="60" t="str">
        <f>IF(M86="","","'"&amp;M$3&amp;"' : '"&amp;M86&amp;"' , ")</f>
        <v xml:space="preserve">'street' : '4337 Algonquin Blvd' , </v>
      </c>
      <c r="N87" s="60" t="str">
        <f>IF(N86="","","'"&amp;N$3&amp;"' : '"&amp;N86&amp;"' , ")</f>
        <v xml:space="preserve">'unit' : '216' , </v>
      </c>
      <c r="O87" s="60" t="str">
        <f>IF(O86="","","'"&amp;O$3&amp;"' : '"&amp;O86&amp;"' , ")</f>
        <v xml:space="preserve">'city' : 'Timmins' , </v>
      </c>
      <c r="P87" s="60" t="str">
        <f>IF(P86="","","'"&amp;P$3&amp;"' : '"&amp;P86&amp;"' , ")</f>
        <v xml:space="preserve">'province' : 'Ontario' , </v>
      </c>
      <c r="Q87" s="60" t="str">
        <f>IF(Q86="","","'"&amp;Q$3&amp;"' : '"&amp;Q86&amp;"' , ")</f>
        <v xml:space="preserve">'zip' : 'P4N 7C4' , </v>
      </c>
      <c r="R87" s="60" t="str">
        <f>IF(R86="","","'"&amp;R$3&amp;"' : '"&amp;R86&amp;"' } , ")</f>
        <v xml:space="preserve">'mobileNumber' : '705-668-1540' } , </v>
      </c>
      <c r="S87" s="60" t="str">
        <f>IF(S86="","","'"&amp;$S$2&amp;"' : { '"&amp;S$3&amp;"' : '"&amp;S86&amp;"' , ")</f>
        <v xml:space="preserve">'paymentMethod' : { 'paymentType' : 'Credit' , </v>
      </c>
      <c r="T87" s="60" t="str">
        <f>IF(T86="","","'"&amp;T$3&amp;"' : '"&amp;T86&amp;"' , ")</f>
        <v xml:space="preserve">'cardScheme' : 'Visa' , </v>
      </c>
      <c r="U87" s="60" t="str">
        <f>IF(U86="","","'"&amp;U$3&amp;"' : '"&amp;U86&amp;"' } , ")</f>
        <v xml:space="preserve">'cardLast4' : '4070' } , </v>
      </c>
      <c r="V87" s="60" t="str">
        <f ca="1">IF(V86="","","'"&amp;V$3&amp;"' : "&amp;V86&amp;", ")</f>
        <v xml:space="preserve">'totalQty' : 3, </v>
      </c>
      <c r="W87" s="60" t="str">
        <f>IF(W86="","","'"&amp;W$3&amp;"' : "&amp;W86&amp;", ")</f>
        <v xml:space="preserve">'orderTotal' : 241.45, </v>
      </c>
      <c r="X87" s="60" t="str">
        <f>IF(X86="","","'"&amp;X$3&amp;"' : "&amp;X86&amp;", ")</f>
        <v xml:space="preserve">'grossTotal' : 209.26, </v>
      </c>
      <c r="Y87" s="60" t="str">
        <f>IF(Y86="","","'"&amp;Y$3&amp;"' : "&amp;Y86&amp;", ")</f>
        <v xml:space="preserve">'tax' : 27.2, </v>
      </c>
      <c r="Z87" s="60" t="str">
        <f>IF(Z86="","","'"&amp;Z$3&amp;"' : "&amp;Z86&amp;", ")</f>
        <v xml:space="preserve">'deliveryFee' : 4.99, </v>
      </c>
      <c r="AA87" s="60"/>
      <c r="AB87" s="60"/>
      <c r="AC87" s="60"/>
      <c r="AD87" s="60"/>
      <c r="AE87" s="60"/>
      <c r="AF87" s="60" t="str">
        <f>$AA$2&amp;" : "&amp;_xlfn.CONCAT("[ ",AF83:AF85,"], ")</f>
        <v xml:space="preserve">orderDetails : [ { 'productId' : '4001', 'productName' : 'Plain Bagel', 'quantity' : 5, 'price' : 4.99, 'subTotal' : 24.95 },{ 'productId' : '4015', 'productName' : 'Sprouted Grain Flat Bagel', 'quantity' : 9, 'price' : 6.59, 'subTotal' : 59.31 },{ 'productId' : '4003', 'productName' : 'Cinnamon Crunch Bagel', 'quantity' : 20, 'price' : 6.25, 'subTotal' : 125 }], </v>
      </c>
      <c r="AG87" s="60" t="str">
        <f>IF(AG86="","","'"&amp;AG$3&amp;"' : new Date('"&amp;TEXT(AG86,"yyyy-mm-dd")&amp;"'), ")</f>
        <v xml:space="preserve">'orderDate' : new Date('2022-11-07'), </v>
      </c>
      <c r="AH87" s="60"/>
      <c r="AI87" s="60" t="str">
        <f>IF(AI86="","","'"&amp;AI$3&amp;"' : '"&amp;AI86&amp;"', ")</f>
        <v xml:space="preserve">'orderStatus' : 'Delivered', </v>
      </c>
      <c r="AJ87" s="60" t="str">
        <f>IF(AJ86="","","'"&amp;AJ$3&amp;"' : new Date('"&amp;TEXT(AJ86,"yyyy-mm-dd")&amp;"') ")</f>
        <v xml:space="preserve">'statusDate' : new Date('2022-11-06') </v>
      </c>
      <c r="AK87" s="60"/>
      <c r="AL87" s="59"/>
      <c r="AM87" s="58" t="str">
        <f ca="1">_xlfn.CONCAT("{ ",B87:AJ87,"} ,")</f>
        <v>{ 'emailAddress' : 'donovanmarkle@gmail.com', 'orderId' : '20221106101913', 'employeeUserName' : 'jbartolata', 'deliveryAddress' : { 'name' : 'Donovan Markle' , 'street' : '4337 Algonquin Blvd' , 'unit' : '216' , 'city' : 'Timmins' , 'province' : 'Ontario' , 'zip' : 'P4N 7C4' , 'mobileNumber' : '705-668-1540' } , 'billingsAddress' : { 'name' : 'Donovan Markle' , 'street' : '4337 Algonquin Blvd' , 'unit' : '216' , 'city' : 'Timmins' , 'province' : 'Ontario' , 'zip' : 'P4N 7C4' , 'mobileNumber' : '705-668-1540' } , 'paymentMethod' : { 'paymentType' : 'Credit' , 'cardScheme' : 'Visa' , 'cardLast4' : '4070' } , 'totalQty' : 3, 'orderTotal' : 241.45, 'grossTotal' : 209.26, 'tax' : 27.2, 'deliveryFee' : 4.99, orderDetails : [ { 'productId' : '4001', 'productName' : 'Plain Bagel', 'quantity' : 5, 'price' : 4.99, 'subTotal' : 24.95 },{ 'productId' : '4015', 'productName' : 'Sprouted Grain Flat Bagel', 'quantity' : 9, 'price' : 6.59, 'subTotal' : 59.31 },{ 'productId' : '4003', 'productName' : 'Cinnamon Crunch Bagel', 'quantity' : 20, 'price' : 6.25, 'subTotal' : 125 }], 'orderDate' : new Date('2022-11-07'), 'orderStatus' : 'Delivered', 'statusDate' : new Date('2022-11-06') } ,</v>
      </c>
    </row>
    <row r="88" spans="1:39" x14ac:dyDescent="0.35">
      <c r="B88" t="s">
        <v>735</v>
      </c>
      <c r="C88" s="49" t="s">
        <v>736</v>
      </c>
      <c r="D88" t="s">
        <v>681</v>
      </c>
      <c r="E88" t="s">
        <v>328</v>
      </c>
      <c r="F88" t="s">
        <v>584</v>
      </c>
      <c r="G88" t="s">
        <v>603</v>
      </c>
      <c r="H88" t="s">
        <v>441</v>
      </c>
      <c r="I88" t="s">
        <v>26</v>
      </c>
      <c r="J88" t="s">
        <v>613</v>
      </c>
      <c r="K88" t="s">
        <v>625</v>
      </c>
      <c r="L88" t="str">
        <f t="shared" ref="L88:L92" si="74">E88</f>
        <v>Sawyer Oliver</v>
      </c>
      <c r="M88" t="str">
        <f>VLOOKUP($B88,Customers!$B:$J,4,0)</f>
        <v>2963 Pine Street</v>
      </c>
      <c r="O88" t="str">
        <f>VLOOKUP($B88,Customers!$B:$J,6,0)</f>
        <v>Nisku</v>
      </c>
      <c r="P88" t="str">
        <f>VLOOKUP($B88,Customers!$B:$J,7,0)</f>
        <v>Alberta</v>
      </c>
      <c r="Q88" t="str">
        <f>VLOOKUP($B88,Customers!$B:$J,8,0)</f>
        <v>T0C 2G0</v>
      </c>
      <c r="R88" t="str">
        <f>VLOOKUP($B88,Customers!$B:$J,9,0)</f>
        <v>780-955-0637</v>
      </c>
      <c r="S88" t="str">
        <f>VLOOKUP($B88,Customers!$B:$T,16,0)</f>
        <v>Debit</v>
      </c>
      <c r="T88" t="str">
        <f>VLOOKUP($B88,Customers!$B:$T,18,0)</f>
        <v>Mastercard</v>
      </c>
      <c r="U88" t="str">
        <f>VLOOKUP($B88,Customers!$B:$T,19,0)</f>
        <v>5161</v>
      </c>
      <c r="V88">
        <f ca="1">COUNTIF(C:C,C88)-1</f>
        <v>4</v>
      </c>
      <c r="X88">
        <f t="shared" ref="X88:X91" si="75">AC88*AD88</f>
        <v>39.900000000000006</v>
      </c>
      <c r="Y88">
        <f t="shared" ref="Y88:Y91" si="76">ROUND(X88*13%,2)</f>
        <v>5.19</v>
      </c>
      <c r="AA88">
        <v>5001</v>
      </c>
      <c r="AB88" t="s">
        <v>89</v>
      </c>
      <c r="AC88">
        <v>10</v>
      </c>
      <c r="AD88">
        <v>3.99</v>
      </c>
      <c r="AE88">
        <f>AC88*AD88</f>
        <v>39.900000000000006</v>
      </c>
      <c r="AF88" s="54" t="str">
        <f>"{ '"&amp;AA$3&amp;"' : '"&amp;AA88&amp;"', '"&amp;AB$3&amp;"' : '"&amp;AB88&amp;"', '"&amp;AC$3&amp;"' : "&amp;AC88&amp;", '"&amp;AD$3&amp;"' : "&amp;AD88&amp;", '"&amp;AE$3&amp;"' : "&amp;AE88&amp;" },"</f>
        <v>{ 'productId' : '5001', 'productName' : 'Hot Chocolait', 'quantity' : 10, 'price' : 3.99, 'subTotal' : 39.9 },</v>
      </c>
      <c r="AG88" s="48">
        <v>44872</v>
      </c>
      <c r="AH88" s="50" t="s">
        <v>711</v>
      </c>
      <c r="AI88" t="s">
        <v>755</v>
      </c>
      <c r="AJ88" s="48">
        <f>AG88</f>
        <v>44872</v>
      </c>
      <c r="AK88" t="s">
        <v>693</v>
      </c>
    </row>
    <row r="89" spans="1:39" x14ac:dyDescent="0.35">
      <c r="B89" t="s">
        <v>735</v>
      </c>
      <c r="C89" t="s">
        <v>736</v>
      </c>
      <c r="D89" t="s">
        <v>681</v>
      </c>
      <c r="E89" t="s">
        <v>328</v>
      </c>
      <c r="F89" t="s">
        <v>584</v>
      </c>
      <c r="G89" t="s">
        <v>603</v>
      </c>
      <c r="H89" t="s">
        <v>441</v>
      </c>
      <c r="I89" t="s">
        <v>26</v>
      </c>
      <c r="J89" t="s">
        <v>613</v>
      </c>
      <c r="K89" t="s">
        <v>625</v>
      </c>
      <c r="L89" t="str">
        <f t="shared" si="74"/>
        <v>Sawyer Oliver</v>
      </c>
      <c r="M89" t="str">
        <f>VLOOKUP($B89,Customers!$B:$J,4,0)</f>
        <v>2963 Pine Street</v>
      </c>
      <c r="O89" t="str">
        <f>VLOOKUP($B89,Customers!$B:$J,6,0)</f>
        <v>Nisku</v>
      </c>
      <c r="P89" t="str">
        <f>VLOOKUP($B89,Customers!$B:$J,7,0)</f>
        <v>Alberta</v>
      </c>
      <c r="Q89" t="str">
        <f>VLOOKUP($B89,Customers!$B:$J,8,0)</f>
        <v>T0C 2G0</v>
      </c>
      <c r="R89" t="str">
        <f>VLOOKUP($B89,Customers!$B:$J,9,0)</f>
        <v>780-955-0637</v>
      </c>
      <c r="S89" t="str">
        <f>VLOOKUP($B89,Customers!$B:$T,16,0)</f>
        <v>Debit</v>
      </c>
      <c r="T89" t="str">
        <f>VLOOKUP($B89,Customers!$B:$T,18,0)</f>
        <v>Mastercard</v>
      </c>
      <c r="U89" t="str">
        <f>VLOOKUP($B89,Customers!$B:$T,19,0)</f>
        <v>5161</v>
      </c>
      <c r="V89">
        <f ca="1">COUNTIF(C:C,C89)-1</f>
        <v>4</v>
      </c>
      <c r="X89">
        <f t="shared" si="75"/>
        <v>83.49</v>
      </c>
      <c r="Y89">
        <f t="shared" si="76"/>
        <v>10.85</v>
      </c>
      <c r="AA89">
        <v>4009</v>
      </c>
      <c r="AB89" t="s">
        <v>73</v>
      </c>
      <c r="AC89">
        <v>11</v>
      </c>
      <c r="AD89">
        <v>7.59</v>
      </c>
      <c r="AE89">
        <f>AC89*AD89</f>
        <v>83.49</v>
      </c>
      <c r="AF89" s="54" t="str">
        <f>"{ '"&amp;AA$3&amp;"' : '"&amp;AA89&amp;"', '"&amp;AB$3&amp;"' : '"&amp;AB89&amp;"', '"&amp;AC$3&amp;"' : "&amp;AC89&amp;", '"&amp;AD$3&amp;"' : "&amp;AD89&amp;", '"&amp;AE$3&amp;"' : "&amp;AE89&amp;" },"</f>
        <v>{ 'productId' : '4009', 'productName' : 'Pecan Braid', 'quantity' : 11, 'price' : 7.59, 'subTotal' : 83.49 },</v>
      </c>
      <c r="AG89" s="48">
        <v>44872</v>
      </c>
      <c r="AH89" s="48" t="str">
        <f t="shared" ref="AH89:AJ92" si="77">AH88</f>
        <v>082400</v>
      </c>
      <c r="AI89" t="str">
        <f t="shared" si="77"/>
        <v>Delivered</v>
      </c>
      <c r="AJ89" s="48">
        <f t="shared" si="77"/>
        <v>44872</v>
      </c>
    </row>
    <row r="90" spans="1:39" x14ac:dyDescent="0.35">
      <c r="B90" t="s">
        <v>735</v>
      </c>
      <c r="C90" t="s">
        <v>736</v>
      </c>
      <c r="D90" t="s">
        <v>681</v>
      </c>
      <c r="E90" t="s">
        <v>328</v>
      </c>
      <c r="F90" t="s">
        <v>584</v>
      </c>
      <c r="G90" t="s">
        <v>603</v>
      </c>
      <c r="H90" t="s">
        <v>441</v>
      </c>
      <c r="I90" t="s">
        <v>26</v>
      </c>
      <c r="J90" t="s">
        <v>613</v>
      </c>
      <c r="K90" t="s">
        <v>625</v>
      </c>
      <c r="L90" t="str">
        <f t="shared" si="74"/>
        <v>Sawyer Oliver</v>
      </c>
      <c r="M90" t="str">
        <f>VLOOKUP($B90,Customers!$B:$J,4,0)</f>
        <v>2963 Pine Street</v>
      </c>
      <c r="O90" t="str">
        <f>VLOOKUP($B90,Customers!$B:$J,6,0)</f>
        <v>Nisku</v>
      </c>
      <c r="P90" t="str">
        <f>VLOOKUP($B90,Customers!$B:$J,7,0)</f>
        <v>Alberta</v>
      </c>
      <c r="Q90" t="str">
        <f>VLOOKUP($B90,Customers!$B:$J,8,0)</f>
        <v>T0C 2G0</v>
      </c>
      <c r="R90" t="str">
        <f>VLOOKUP($B90,Customers!$B:$J,9,0)</f>
        <v>780-955-0637</v>
      </c>
      <c r="S90" t="str">
        <f>VLOOKUP($B90,Customers!$B:$T,16,0)</f>
        <v>Debit</v>
      </c>
      <c r="T90" t="str">
        <f>VLOOKUP($B90,Customers!$B:$T,18,0)</f>
        <v>Mastercard</v>
      </c>
      <c r="U90" t="str">
        <f>VLOOKUP($B90,Customers!$B:$T,19,0)</f>
        <v>5161</v>
      </c>
      <c r="V90">
        <f ca="1">COUNTIF(C:C,C90)-1</f>
        <v>4</v>
      </c>
      <c r="X90">
        <f t="shared" si="75"/>
        <v>118.62</v>
      </c>
      <c r="Y90">
        <f t="shared" si="76"/>
        <v>15.42</v>
      </c>
      <c r="AA90">
        <v>4015</v>
      </c>
      <c r="AB90" t="s">
        <v>82</v>
      </c>
      <c r="AC90">
        <v>18</v>
      </c>
      <c r="AD90">
        <v>6.59</v>
      </c>
      <c r="AE90">
        <f>AC90*AD90</f>
        <v>118.62</v>
      </c>
      <c r="AF90" s="54" t="str">
        <f>"{ '"&amp;AA$3&amp;"' : '"&amp;AA90&amp;"', '"&amp;AB$3&amp;"' : '"&amp;AB90&amp;"', '"&amp;AC$3&amp;"' : "&amp;AC90&amp;", '"&amp;AD$3&amp;"' : "&amp;AD90&amp;", '"&amp;AE$3&amp;"' : "&amp;AE90&amp;" },"</f>
        <v>{ 'productId' : '4015', 'productName' : 'Sprouted Grain Flat Bagel', 'quantity' : 18, 'price' : 6.59, 'subTotal' : 118.62 },</v>
      </c>
      <c r="AG90" s="48">
        <v>44872</v>
      </c>
      <c r="AH90" s="48" t="str">
        <f t="shared" si="77"/>
        <v>082400</v>
      </c>
      <c r="AI90" t="str">
        <f t="shared" si="77"/>
        <v>Delivered</v>
      </c>
      <c r="AJ90" s="48">
        <f t="shared" si="77"/>
        <v>44872</v>
      </c>
    </row>
    <row r="91" spans="1:39" x14ac:dyDescent="0.35">
      <c r="B91" t="s">
        <v>735</v>
      </c>
      <c r="C91" t="s">
        <v>736</v>
      </c>
      <c r="D91" t="s">
        <v>681</v>
      </c>
      <c r="E91" t="s">
        <v>328</v>
      </c>
      <c r="F91" t="s">
        <v>584</v>
      </c>
      <c r="G91" t="s">
        <v>603</v>
      </c>
      <c r="H91" t="s">
        <v>441</v>
      </c>
      <c r="I91" t="s">
        <v>26</v>
      </c>
      <c r="J91" t="s">
        <v>613</v>
      </c>
      <c r="K91" t="s">
        <v>625</v>
      </c>
      <c r="L91" t="str">
        <f t="shared" si="74"/>
        <v>Sawyer Oliver</v>
      </c>
      <c r="M91" t="str">
        <f>VLOOKUP($B91,Customers!$B:$J,4,0)</f>
        <v>2963 Pine Street</v>
      </c>
      <c r="O91" t="str">
        <f>VLOOKUP($B91,Customers!$B:$J,6,0)</f>
        <v>Nisku</v>
      </c>
      <c r="P91" t="str">
        <f>VLOOKUP($B91,Customers!$B:$J,7,0)</f>
        <v>Alberta</v>
      </c>
      <c r="Q91" t="str">
        <f>VLOOKUP($B91,Customers!$B:$J,8,0)</f>
        <v>T0C 2G0</v>
      </c>
      <c r="R91" t="str">
        <f>VLOOKUP($B91,Customers!$B:$J,9,0)</f>
        <v>780-955-0637</v>
      </c>
      <c r="S91" t="str">
        <f>VLOOKUP($B91,Customers!$B:$T,16,0)</f>
        <v>Debit</v>
      </c>
      <c r="T91" t="str">
        <f>VLOOKUP($B91,Customers!$B:$T,18,0)</f>
        <v>Mastercard</v>
      </c>
      <c r="U91" t="str">
        <f>VLOOKUP($B91,Customers!$B:$T,19,0)</f>
        <v>5161</v>
      </c>
      <c r="V91">
        <f ca="1">COUNTIF(C:C,C91)-1</f>
        <v>4</v>
      </c>
      <c r="X91">
        <f t="shared" si="75"/>
        <v>106.25</v>
      </c>
      <c r="Y91">
        <f t="shared" si="76"/>
        <v>13.81</v>
      </c>
      <c r="AA91">
        <v>4003</v>
      </c>
      <c r="AB91" t="s">
        <v>67</v>
      </c>
      <c r="AC91">
        <v>17</v>
      </c>
      <c r="AD91">
        <v>6.25</v>
      </c>
      <c r="AE91">
        <f>AC91*AD91</f>
        <v>106.25</v>
      </c>
      <c r="AF91" s="54" t="str">
        <f>"{ '"&amp;AA$3&amp;"' : '"&amp;AA91&amp;"', '"&amp;AB$3&amp;"' : '"&amp;AB91&amp;"', '"&amp;AC$3&amp;"' : "&amp;AC91&amp;", '"&amp;AD$3&amp;"' : "&amp;AD91&amp;", '"&amp;AE$3&amp;"' : "&amp;AE91&amp;" }"</f>
        <v>{ 'productId' : '4003', 'productName' : 'Cinnamon Crunch Bagel', 'quantity' : 17, 'price' : 6.25, 'subTotal' : 106.25 }</v>
      </c>
      <c r="AG91" s="48">
        <v>44872</v>
      </c>
      <c r="AH91" s="48" t="str">
        <f t="shared" si="77"/>
        <v>082400</v>
      </c>
      <c r="AI91" t="str">
        <f t="shared" si="77"/>
        <v>Delivered</v>
      </c>
      <c r="AJ91" s="48">
        <f t="shared" si="77"/>
        <v>44872</v>
      </c>
    </row>
    <row r="92" spans="1:39" x14ac:dyDescent="0.35">
      <c r="A92" t="s">
        <v>759</v>
      </c>
      <c r="B92" t="s">
        <v>735</v>
      </c>
      <c r="C92" t="s">
        <v>736</v>
      </c>
      <c r="D92" t="s">
        <v>681</v>
      </c>
      <c r="E92" t="s">
        <v>328</v>
      </c>
      <c r="F92" t="s">
        <v>584</v>
      </c>
      <c r="G92" t="s">
        <v>603</v>
      </c>
      <c r="H92" t="s">
        <v>441</v>
      </c>
      <c r="I92" t="s">
        <v>26</v>
      </c>
      <c r="J92" t="s">
        <v>613</v>
      </c>
      <c r="K92" t="s">
        <v>625</v>
      </c>
      <c r="L92" t="str">
        <f t="shared" si="74"/>
        <v>Sawyer Oliver</v>
      </c>
      <c r="M92" t="str">
        <f>VLOOKUP($B92,Customers!$B:$J,4,0)</f>
        <v>2963 Pine Street</v>
      </c>
      <c r="O92" t="str">
        <f>VLOOKUP($B92,Customers!$B:$J,6,0)</f>
        <v>Nisku</v>
      </c>
      <c r="P92" t="str">
        <f>VLOOKUP($B92,Customers!$B:$J,7,0)</f>
        <v>Alberta</v>
      </c>
      <c r="Q92" t="str">
        <f>VLOOKUP($B92,Customers!$B:$J,8,0)</f>
        <v>T0C 2G0</v>
      </c>
      <c r="R92" t="str">
        <f>VLOOKUP($B92,Customers!$B:$J,9,0)</f>
        <v>780-955-0637</v>
      </c>
      <c r="S92" t="str">
        <f>VLOOKUP($B92,Customers!$B:$T,16,0)</f>
        <v>Debit</v>
      </c>
      <c r="T92" t="str">
        <f>VLOOKUP($B92,Customers!$B:$T,18,0)</f>
        <v>Mastercard</v>
      </c>
      <c r="U92" t="str">
        <f>VLOOKUP($B92,Customers!$B:$T,19,0)</f>
        <v>5161</v>
      </c>
      <c r="V92">
        <f ca="1">COUNTIF(C:C,C92)-1</f>
        <v>4</v>
      </c>
      <c r="W92">
        <f>SUM(X92:Z92)</f>
        <v>398.52</v>
      </c>
      <c r="X92">
        <f>SUM(X88:X91)</f>
        <v>348.26</v>
      </c>
      <c r="Y92">
        <f>SUM(Y88:Y91)</f>
        <v>45.27</v>
      </c>
      <c r="Z92">
        <v>4.99</v>
      </c>
      <c r="AF92" s="54"/>
      <c r="AG92" s="48">
        <f>AG91</f>
        <v>44872</v>
      </c>
      <c r="AH92" s="48"/>
      <c r="AI92" t="str">
        <f t="shared" si="77"/>
        <v>Delivered</v>
      </c>
      <c r="AJ92" s="48">
        <f t="shared" si="77"/>
        <v>44872</v>
      </c>
    </row>
    <row r="93" spans="1:39" s="58" customFormat="1" ht="58" x14ac:dyDescent="0.35">
      <c r="A93" s="60" t="s">
        <v>760</v>
      </c>
      <c r="B93" s="60" t="str">
        <f>IF(B92="","","'"&amp;B$3&amp;"' : '"&amp;B92&amp;"', ")</f>
        <v xml:space="preserve">'emailAddress' : 'sawyer_oliver@gmail.com', </v>
      </c>
      <c r="C93" s="60" t="str">
        <f>IF(C92="","","'"&amp;C$3&amp;"' : '"&amp;C92&amp;"', ")</f>
        <v xml:space="preserve">'orderId' : '20221107082400', </v>
      </c>
      <c r="D93" s="60" t="str">
        <f>IF(D92="","","'"&amp;D$3&amp;"' : '"&amp;D92&amp;"', ")</f>
        <v xml:space="preserve">'employeeUserName' : 'jbartolata', </v>
      </c>
      <c r="E93" s="60" t="str">
        <f>IF(E92="","","'"&amp;$F$2&amp;"' : { '"&amp;E$3&amp;"' : '"&amp;E92&amp;"' , ")</f>
        <v xml:space="preserve">'deliveryAddress' : { 'name' : 'Sawyer Oliver' , </v>
      </c>
      <c r="F93" s="60" t="str">
        <f>IF(F92="","","'"&amp;F$3&amp;"' : '"&amp;F92&amp;"' , ")</f>
        <v xml:space="preserve">'street' : '674 Montreal Road' , </v>
      </c>
      <c r="G93" s="60" t="str">
        <f>IF(G92="","","'"&amp;G$3&amp;"' : '"&amp;G92&amp;"' , ")</f>
        <v xml:space="preserve">'unit' : '13' , </v>
      </c>
      <c r="H93" s="60" t="str">
        <f>IF(H92="","","'"&amp;H$3&amp;"' : '"&amp;H92&amp;"' , ")</f>
        <v xml:space="preserve">'city' : 'Ottawa' , </v>
      </c>
      <c r="I93" s="60" t="str">
        <f>IF(I92="","","'"&amp;I$3&amp;"' : '"&amp;I92&amp;"' , ")</f>
        <v xml:space="preserve">'province' : 'Ontario' , </v>
      </c>
      <c r="J93" s="60" t="str">
        <f>IF(J92="","","'"&amp;J$3&amp;"' : '"&amp;J92&amp;"' , ")</f>
        <v xml:space="preserve">'zip' : 'K1L 6C7' , </v>
      </c>
      <c r="K93" s="60" t="str">
        <f>IF(K92="","","'"&amp;K$3&amp;"' : '"&amp;K92&amp;"' } , ")</f>
        <v xml:space="preserve">'mobileNumber' : '613-744-0751' } , </v>
      </c>
      <c r="L93" s="60" t="str">
        <f>IF(L92="","","'"&amp;$L$2&amp;"' : { '"&amp;L$3&amp;"' : '"&amp;L92&amp;"' , ")</f>
        <v xml:space="preserve">'billingsAddress' : { 'name' : 'Sawyer Oliver' , </v>
      </c>
      <c r="M93" s="60" t="str">
        <f>IF(M92="","","'"&amp;M$3&amp;"' : '"&amp;M92&amp;"' , ")</f>
        <v xml:space="preserve">'street' : '2963 Pine Street' , </v>
      </c>
      <c r="N93" s="60" t="str">
        <f>IF(N92="","","'"&amp;N$3&amp;"' : '"&amp;N92&amp;"' , ")</f>
        <v/>
      </c>
      <c r="O93" s="60" t="str">
        <f>IF(O92="","","'"&amp;O$3&amp;"' : '"&amp;O92&amp;"' , ")</f>
        <v xml:space="preserve">'city' : 'Nisku' , </v>
      </c>
      <c r="P93" s="60" t="str">
        <f>IF(P92="","","'"&amp;P$3&amp;"' : '"&amp;P92&amp;"' , ")</f>
        <v xml:space="preserve">'province' : 'Alberta' , </v>
      </c>
      <c r="Q93" s="60" t="str">
        <f>IF(Q92="","","'"&amp;Q$3&amp;"' : '"&amp;Q92&amp;"' , ")</f>
        <v xml:space="preserve">'zip' : 'T0C 2G0' , </v>
      </c>
      <c r="R93" s="60" t="str">
        <f>IF(R92="","","'"&amp;R$3&amp;"' : '"&amp;R92&amp;"' } , ")</f>
        <v xml:space="preserve">'mobileNumber' : '780-955-0637' } , </v>
      </c>
      <c r="S93" s="60" t="str">
        <f>IF(S92="","","'"&amp;$S$2&amp;"' : { '"&amp;S$3&amp;"' : '"&amp;S92&amp;"' , ")</f>
        <v xml:space="preserve">'paymentMethod' : { 'paymentType' : 'Debit' , </v>
      </c>
      <c r="T93" s="60" t="str">
        <f>IF(T92="","","'"&amp;T$3&amp;"' : '"&amp;T92&amp;"' , ")</f>
        <v xml:space="preserve">'cardScheme' : 'Mastercard' , </v>
      </c>
      <c r="U93" s="60" t="str">
        <f>IF(U92="","","'"&amp;U$3&amp;"' : '"&amp;U92&amp;"' } , ")</f>
        <v xml:space="preserve">'cardLast4' : '5161' } , </v>
      </c>
      <c r="V93" s="60" t="str">
        <f ca="1">IF(V92="","","'"&amp;V$3&amp;"' : "&amp;V92&amp;", ")</f>
        <v xml:space="preserve">'totalQty' : 4, </v>
      </c>
      <c r="W93" s="60" t="str">
        <f>IF(W92="","","'"&amp;W$3&amp;"' : "&amp;W92&amp;", ")</f>
        <v xml:space="preserve">'orderTotal' : 398.52, </v>
      </c>
      <c r="X93" s="60" t="str">
        <f>IF(X92="","","'"&amp;X$3&amp;"' : "&amp;X92&amp;", ")</f>
        <v xml:space="preserve">'grossTotal' : 348.26, </v>
      </c>
      <c r="Y93" s="60" t="str">
        <f>IF(Y92="","","'"&amp;Y$3&amp;"' : "&amp;Y92&amp;", ")</f>
        <v xml:space="preserve">'tax' : 45.27, </v>
      </c>
      <c r="Z93" s="60" t="str">
        <f>IF(Z92="","","'"&amp;Z$3&amp;"' : "&amp;Z92&amp;", ")</f>
        <v xml:space="preserve">'deliveryFee' : 4.99, </v>
      </c>
      <c r="AA93" s="60"/>
      <c r="AB93" s="60"/>
      <c r="AC93" s="60"/>
      <c r="AD93" s="60"/>
      <c r="AE93" s="60"/>
      <c r="AF93" s="60" t="str">
        <f>$AA$2&amp;" : "&amp;_xlfn.CONCAT("[ ",AF88:AF91,"], ")</f>
        <v xml:space="preserve">orderDetails : [ { 'productId' : '5001', 'productName' : 'Hot Chocolait', 'quantity' : 10, 'price' : 3.99, 'subTotal' : 39.9 },{ 'productId' : '4009', 'productName' : 'Pecan Braid', 'quantity' : 11, 'price' : 7.59, 'subTotal' : 83.49 },{ 'productId' : '4015', 'productName' : 'Sprouted Grain Flat Bagel', 'quantity' : 18, 'price' : 6.59, 'subTotal' : 118.62 },{ 'productId' : '4003', 'productName' : 'Cinnamon Crunch Bagel', 'quantity' : 17, 'price' : 6.25, 'subTotal' : 106.25 }], </v>
      </c>
      <c r="AG93" s="60" t="str">
        <f>IF(AG92="","","'"&amp;AG$3&amp;"' : new Date('"&amp;TEXT(AG92,"yyyy-mm-dd")&amp;"'), ")</f>
        <v xml:space="preserve">'orderDate' : new Date('2022-11-07'), </v>
      </c>
      <c r="AH93" s="60"/>
      <c r="AI93" s="60" t="str">
        <f>IF(AI92="","","'"&amp;AI$3&amp;"' : '"&amp;AI92&amp;"', ")</f>
        <v xml:space="preserve">'orderStatus' : 'Delivered', </v>
      </c>
      <c r="AJ93" s="60" t="str">
        <f>IF(AJ92="","","'"&amp;AJ$3&amp;"' : new Date('"&amp;TEXT(AJ92,"yyyy-mm-dd")&amp;"') ")</f>
        <v xml:space="preserve">'statusDate' : new Date('2022-11-07') </v>
      </c>
      <c r="AK93" s="60"/>
      <c r="AL93" s="59"/>
      <c r="AM93" s="58" t="str">
        <f ca="1">_xlfn.CONCAT("{ ",B93:AJ93,"} ,")</f>
        <v>{ 'emailAddress' : 'sawyer_oliver@gmail.com', 'orderId' : '20221107082400', 'employeeUserName' : 'jbartolata', 'deliveryAddress' : { 'name' : 'Sawyer Oliver' , 'street' : '674 Montreal Road' , 'unit' : '13' , 'city' : 'Ottawa' , 'province' : 'Ontario' , 'zip' : 'K1L 6C7' , 'mobileNumber' : '613-744-0751' } , 'billingsAddress' : { 'name' : 'Sawyer Oliver' , 'street' : '2963 Pine Street' , 'city' : 'Nisku' , 'province' : 'Alberta' , 'zip' : 'T0C 2G0' , 'mobileNumber' : '780-955-0637' } , 'paymentMethod' : { 'paymentType' : 'Debit' , 'cardScheme' : 'Mastercard' , 'cardLast4' : '5161' } , 'totalQty' : 4, 'orderTotal' : 398.52, 'grossTotal' : 348.26, 'tax' : 45.27, 'deliveryFee' : 4.99, orderDetails : [ { 'productId' : '5001', 'productName' : 'Hot Chocolait', 'quantity' : 10, 'price' : 3.99, 'subTotal' : 39.9 },{ 'productId' : '4009', 'productName' : 'Pecan Braid', 'quantity' : 11, 'price' : 7.59, 'subTotal' : 83.49 },{ 'productId' : '4015', 'productName' : 'Sprouted Grain Flat Bagel', 'quantity' : 18, 'price' : 6.59, 'subTotal' : 118.62 },{ 'productId' : '4003', 'productName' : 'Cinnamon Crunch Bagel', 'quantity' : 17, 'price' : 6.25, 'subTotal' : 106.25 }], 'orderDate' : new Date('2022-11-07'), 'orderStatus' : 'Delivered', 'statusDate' : new Date('2022-11-07') } ,</v>
      </c>
    </row>
    <row r="94" spans="1:39" x14ac:dyDescent="0.35">
      <c r="B94" t="s">
        <v>709</v>
      </c>
      <c r="C94" s="49" t="s">
        <v>737</v>
      </c>
      <c r="D94" t="s">
        <v>681</v>
      </c>
      <c r="E94" t="s">
        <v>323</v>
      </c>
      <c r="F94" t="s">
        <v>418</v>
      </c>
      <c r="G94" t="s">
        <v>575</v>
      </c>
      <c r="H94" t="s">
        <v>442</v>
      </c>
      <c r="I94" t="s">
        <v>26</v>
      </c>
      <c r="J94" t="s">
        <v>476</v>
      </c>
      <c r="K94" t="s">
        <v>506</v>
      </c>
      <c r="L94" t="str">
        <f t="shared" ref="L94:L97" si="78">E94</f>
        <v>Donovan Markle</v>
      </c>
      <c r="M94" t="str">
        <f>VLOOKUP($B94,Customers!$B:$J,4,0)</f>
        <v>4337 Algonquin Blvd</v>
      </c>
      <c r="N94" t="str">
        <f>VLOOKUP($B94,Customers!$B:$J,5,0)</f>
        <v>216</v>
      </c>
      <c r="O94" t="str">
        <f>VLOOKUP($B94,Customers!$B:$J,6,0)</f>
        <v>Timmins</v>
      </c>
      <c r="P94" t="str">
        <f>VLOOKUP($B94,Customers!$B:$J,7,0)</f>
        <v>Ontario</v>
      </c>
      <c r="Q94" t="str">
        <f>VLOOKUP($B94,Customers!$B:$J,8,0)</f>
        <v>P4N 7C4</v>
      </c>
      <c r="R94" t="str">
        <f>VLOOKUP($B94,Customers!$B:$J,9,0)</f>
        <v>705-668-1540</v>
      </c>
      <c r="S94" t="str">
        <f>VLOOKUP($B94,Customers!$B:$T,16,0)</f>
        <v>Credit</v>
      </c>
      <c r="T94" t="str">
        <f>VLOOKUP($B94,Customers!$B:$T,18,0)</f>
        <v>Visa</v>
      </c>
      <c r="U94" t="str">
        <f>VLOOKUP($B94,Customers!$B:$T,19,0)</f>
        <v>4070</v>
      </c>
      <c r="V94">
        <f ca="1">COUNTIF(C:C,C94)-1</f>
        <v>3</v>
      </c>
      <c r="X94">
        <f t="shared" ref="X94:X96" si="79">AC94*AD94</f>
        <v>67.900000000000006</v>
      </c>
      <c r="Y94">
        <f t="shared" ref="Y94:Y96" si="80">ROUND(X94*13%,2)</f>
        <v>8.83</v>
      </c>
      <c r="AA94">
        <v>4012</v>
      </c>
      <c r="AB94" t="s">
        <v>76</v>
      </c>
      <c r="AC94">
        <v>10</v>
      </c>
      <c r="AD94">
        <v>6.79</v>
      </c>
      <c r="AE94">
        <f>AC94*AD94</f>
        <v>67.900000000000006</v>
      </c>
      <c r="AF94" s="54" t="str">
        <f>"{ '"&amp;AA$3&amp;"' : '"&amp;AA94&amp;"', '"&amp;AB$3&amp;"' : '"&amp;AB94&amp;"', '"&amp;AC$3&amp;"' : "&amp;AC94&amp;", '"&amp;AD$3&amp;"' : "&amp;AD94&amp;", '"&amp;AE$3&amp;"' : "&amp;AE94&amp;" },"</f>
        <v>{ 'productId' : '4012', 'productName' : 'Empanada', 'quantity' : 10, 'price' : 6.79, 'subTotal' : 67.9 },</v>
      </c>
      <c r="AG94" s="48">
        <v>44872</v>
      </c>
      <c r="AH94" s="50" t="s">
        <v>714</v>
      </c>
      <c r="AI94" t="s">
        <v>755</v>
      </c>
      <c r="AJ94" s="48">
        <f>AG94</f>
        <v>44872</v>
      </c>
      <c r="AK94" t="s">
        <v>725</v>
      </c>
    </row>
    <row r="95" spans="1:39" x14ac:dyDescent="0.35">
      <c r="B95" t="s">
        <v>709</v>
      </c>
      <c r="C95" t="s">
        <v>737</v>
      </c>
      <c r="D95" t="s">
        <v>681</v>
      </c>
      <c r="E95" t="s">
        <v>323</v>
      </c>
      <c r="F95" t="s">
        <v>418</v>
      </c>
      <c r="G95" t="s">
        <v>575</v>
      </c>
      <c r="H95" t="s">
        <v>442</v>
      </c>
      <c r="I95" t="s">
        <v>26</v>
      </c>
      <c r="J95" t="s">
        <v>476</v>
      </c>
      <c r="K95" t="s">
        <v>506</v>
      </c>
      <c r="L95" t="str">
        <f t="shared" si="78"/>
        <v>Donovan Markle</v>
      </c>
      <c r="M95" t="str">
        <f>VLOOKUP($B95,Customers!$B:$J,4,0)</f>
        <v>4337 Algonquin Blvd</v>
      </c>
      <c r="N95" t="str">
        <f>VLOOKUP($B95,Customers!$B:$J,5,0)</f>
        <v>216</v>
      </c>
      <c r="O95" t="str">
        <f>VLOOKUP($B95,Customers!$B:$J,6,0)</f>
        <v>Timmins</v>
      </c>
      <c r="P95" t="str">
        <f>VLOOKUP($B95,Customers!$B:$J,7,0)</f>
        <v>Ontario</v>
      </c>
      <c r="Q95" t="str">
        <f>VLOOKUP($B95,Customers!$B:$J,8,0)</f>
        <v>P4N 7C4</v>
      </c>
      <c r="R95" t="str">
        <f>VLOOKUP($B95,Customers!$B:$J,9,0)</f>
        <v>705-668-1540</v>
      </c>
      <c r="S95" t="str">
        <f>VLOOKUP($B95,Customers!$B:$T,16,0)</f>
        <v>Credit</v>
      </c>
      <c r="T95" t="str">
        <f>VLOOKUP($B95,Customers!$B:$T,18,0)</f>
        <v>Visa</v>
      </c>
      <c r="U95" t="str">
        <f>VLOOKUP($B95,Customers!$B:$T,19,0)</f>
        <v>4070</v>
      </c>
      <c r="V95">
        <f ca="1">COUNTIF(C:C,C95)-1</f>
        <v>3</v>
      </c>
      <c r="X95">
        <f t="shared" si="79"/>
        <v>59.85</v>
      </c>
      <c r="Y95">
        <f t="shared" si="80"/>
        <v>7.78</v>
      </c>
      <c r="AA95">
        <v>5003</v>
      </c>
      <c r="AB95" t="s">
        <v>94</v>
      </c>
      <c r="AC95">
        <v>15</v>
      </c>
      <c r="AD95">
        <v>3.99</v>
      </c>
      <c r="AE95">
        <f>AC95*AD95</f>
        <v>59.85</v>
      </c>
      <c r="AF95" s="54" t="str">
        <f>"{ '"&amp;AA$3&amp;"' : '"&amp;AA95&amp;"', '"&amp;AB$3&amp;"' : '"&amp;AB95&amp;"', '"&amp;AC$3&amp;"' : "&amp;AC95&amp;", '"&amp;AD$3&amp;"' : "&amp;AD95&amp;", '"&amp;AE$3&amp;"' : "&amp;AE95&amp;" },"</f>
        <v>{ 'productId' : '5003', 'productName' : 'Continental Drinks', 'quantity' : 15, 'price' : 3.99, 'subTotal' : 59.85 },</v>
      </c>
      <c r="AG95" s="48">
        <v>44872</v>
      </c>
      <c r="AH95" s="48" t="str">
        <f t="shared" ref="AH95:AJ97" si="81">AH94</f>
        <v>085248</v>
      </c>
      <c r="AI95" t="str">
        <f t="shared" si="81"/>
        <v>Delivered</v>
      </c>
      <c r="AJ95" s="48">
        <f t="shared" si="81"/>
        <v>44872</v>
      </c>
    </row>
    <row r="96" spans="1:39" x14ac:dyDescent="0.35">
      <c r="B96" t="s">
        <v>709</v>
      </c>
      <c r="C96" t="s">
        <v>737</v>
      </c>
      <c r="D96" t="s">
        <v>681</v>
      </c>
      <c r="E96" t="s">
        <v>323</v>
      </c>
      <c r="F96" t="s">
        <v>418</v>
      </c>
      <c r="G96" t="s">
        <v>575</v>
      </c>
      <c r="H96" t="s">
        <v>442</v>
      </c>
      <c r="I96" t="s">
        <v>26</v>
      </c>
      <c r="J96" t="s">
        <v>476</v>
      </c>
      <c r="K96" t="s">
        <v>506</v>
      </c>
      <c r="L96" t="str">
        <f t="shared" si="78"/>
        <v>Donovan Markle</v>
      </c>
      <c r="M96" t="str">
        <f>VLOOKUP($B96,Customers!$B:$J,4,0)</f>
        <v>4337 Algonquin Blvd</v>
      </c>
      <c r="N96" t="str">
        <f>VLOOKUP($B96,Customers!$B:$J,5,0)</f>
        <v>216</v>
      </c>
      <c r="O96" t="str">
        <f>VLOOKUP($B96,Customers!$B:$J,6,0)</f>
        <v>Timmins</v>
      </c>
      <c r="P96" t="str">
        <f>VLOOKUP($B96,Customers!$B:$J,7,0)</f>
        <v>Ontario</v>
      </c>
      <c r="Q96" t="str">
        <f>VLOOKUP($B96,Customers!$B:$J,8,0)</f>
        <v>P4N 7C4</v>
      </c>
      <c r="R96" t="str">
        <f>VLOOKUP($B96,Customers!$B:$J,9,0)</f>
        <v>705-668-1540</v>
      </c>
      <c r="S96" t="str">
        <f>VLOOKUP($B96,Customers!$B:$T,16,0)</f>
        <v>Credit</v>
      </c>
      <c r="T96" t="str">
        <f>VLOOKUP($B96,Customers!$B:$T,18,0)</f>
        <v>Visa</v>
      </c>
      <c r="U96" t="str">
        <f>VLOOKUP($B96,Customers!$B:$T,19,0)</f>
        <v>4070</v>
      </c>
      <c r="V96">
        <f ca="1">COUNTIF(C:C,C96)-1</f>
        <v>3</v>
      </c>
      <c r="X96">
        <f t="shared" si="79"/>
        <v>59.900000000000006</v>
      </c>
      <c r="Y96">
        <f t="shared" si="80"/>
        <v>7.79</v>
      </c>
      <c r="AA96">
        <v>4005</v>
      </c>
      <c r="AB96" t="s">
        <v>69</v>
      </c>
      <c r="AC96">
        <v>10</v>
      </c>
      <c r="AD96">
        <v>5.99</v>
      </c>
      <c r="AE96">
        <f>AC96*AD96</f>
        <v>59.900000000000006</v>
      </c>
      <c r="AF96" s="54" t="str">
        <f>"{ '"&amp;AA$3&amp;"' : '"&amp;AA96&amp;"', '"&amp;AB$3&amp;"' : '"&amp;AB96&amp;"', '"&amp;AC$3&amp;"' : "&amp;AC96&amp;", '"&amp;AD$3&amp;"' : "&amp;AD96&amp;", '"&amp;AE$3&amp;"' : "&amp;AE96&amp;" }"</f>
        <v>{ 'productId' : '4005', 'productName' : 'Bear Claw', 'quantity' : 10, 'price' : 5.99, 'subTotal' : 59.9 }</v>
      </c>
      <c r="AG96" s="48">
        <v>44872</v>
      </c>
      <c r="AH96" s="48" t="str">
        <f t="shared" si="81"/>
        <v>085248</v>
      </c>
      <c r="AI96" t="str">
        <f t="shared" si="81"/>
        <v>Delivered</v>
      </c>
      <c r="AJ96" s="48">
        <f t="shared" si="81"/>
        <v>44872</v>
      </c>
    </row>
    <row r="97" spans="1:39" x14ac:dyDescent="0.35">
      <c r="A97" t="s">
        <v>759</v>
      </c>
      <c r="B97" t="s">
        <v>709</v>
      </c>
      <c r="C97" t="s">
        <v>737</v>
      </c>
      <c r="D97" t="s">
        <v>681</v>
      </c>
      <c r="E97" t="s">
        <v>323</v>
      </c>
      <c r="F97" t="s">
        <v>418</v>
      </c>
      <c r="G97" t="s">
        <v>575</v>
      </c>
      <c r="H97" t="s">
        <v>442</v>
      </c>
      <c r="I97" t="s">
        <v>26</v>
      </c>
      <c r="J97" t="s">
        <v>476</v>
      </c>
      <c r="K97" t="s">
        <v>506</v>
      </c>
      <c r="L97" t="str">
        <f t="shared" si="78"/>
        <v>Donovan Markle</v>
      </c>
      <c r="M97" t="str">
        <f>VLOOKUP($B97,Customers!$B:$J,4,0)</f>
        <v>4337 Algonquin Blvd</v>
      </c>
      <c r="N97" t="str">
        <f>VLOOKUP($B97,Customers!$B:$J,5,0)</f>
        <v>216</v>
      </c>
      <c r="O97" t="str">
        <f>VLOOKUP($B97,Customers!$B:$J,6,0)</f>
        <v>Timmins</v>
      </c>
      <c r="P97" t="str">
        <f>VLOOKUP($B97,Customers!$B:$J,7,0)</f>
        <v>Ontario</v>
      </c>
      <c r="Q97" t="str">
        <f>VLOOKUP($B97,Customers!$B:$J,8,0)</f>
        <v>P4N 7C4</v>
      </c>
      <c r="R97" t="str">
        <f>VLOOKUP($B97,Customers!$B:$J,9,0)</f>
        <v>705-668-1540</v>
      </c>
      <c r="S97" t="str">
        <f>VLOOKUP($B97,Customers!$B:$T,16,0)</f>
        <v>Credit</v>
      </c>
      <c r="T97" t="str">
        <f>VLOOKUP($B97,Customers!$B:$T,18,0)</f>
        <v>Visa</v>
      </c>
      <c r="U97" t="str">
        <f>VLOOKUP($B97,Customers!$B:$T,19,0)</f>
        <v>4070</v>
      </c>
      <c r="V97">
        <f ca="1">COUNTIF(C:C,C97)-1</f>
        <v>3</v>
      </c>
      <c r="W97">
        <f>SUM(X97:Z97)</f>
        <v>217.04000000000002</v>
      </c>
      <c r="X97">
        <f>SUM(X94:X96)</f>
        <v>187.65</v>
      </c>
      <c r="Y97">
        <f>SUM(Y94:Y96)</f>
        <v>24.4</v>
      </c>
      <c r="Z97">
        <v>4.99</v>
      </c>
      <c r="AF97" s="54"/>
      <c r="AG97" s="48">
        <f>AG96</f>
        <v>44872</v>
      </c>
      <c r="AH97" s="48"/>
      <c r="AI97" t="str">
        <f t="shared" si="81"/>
        <v>Delivered</v>
      </c>
      <c r="AJ97" s="48">
        <f t="shared" si="81"/>
        <v>44872</v>
      </c>
    </row>
    <row r="98" spans="1:39" s="58" customFormat="1" ht="43.5" x14ac:dyDescent="0.35">
      <c r="A98" s="60" t="s">
        <v>760</v>
      </c>
      <c r="B98" s="60" t="str">
        <f>IF(B97="","","'"&amp;B$3&amp;"' : '"&amp;B97&amp;"', ")</f>
        <v xml:space="preserve">'emailAddress' : 'donovanmarkle@gmail.com', </v>
      </c>
      <c r="C98" s="60" t="str">
        <f>IF(C97="","","'"&amp;C$3&amp;"' : '"&amp;C97&amp;"', ")</f>
        <v xml:space="preserve">'orderId' : '20221107085248', </v>
      </c>
      <c r="D98" s="60" t="str">
        <f>IF(D97="","","'"&amp;D$3&amp;"' : '"&amp;D97&amp;"', ")</f>
        <v xml:space="preserve">'employeeUserName' : 'jbartolata', </v>
      </c>
      <c r="E98" s="60" t="str">
        <f>IF(E97="","","'"&amp;$F$2&amp;"' : { '"&amp;E$3&amp;"' : '"&amp;E97&amp;"' , ")</f>
        <v xml:space="preserve">'deliveryAddress' : { 'name' : 'Donovan Markle' , </v>
      </c>
      <c r="F98" s="60" t="str">
        <f>IF(F97="","","'"&amp;F$3&amp;"' : '"&amp;F97&amp;"' , ")</f>
        <v xml:space="preserve">'street' : '4337 Algonquin Blvd' , </v>
      </c>
      <c r="G98" s="60" t="str">
        <f>IF(G97="","","'"&amp;G$3&amp;"' : '"&amp;G97&amp;"' , ")</f>
        <v xml:space="preserve">'unit' : '216' , </v>
      </c>
      <c r="H98" s="60" t="str">
        <f>IF(H97="","","'"&amp;H$3&amp;"' : '"&amp;H97&amp;"' , ")</f>
        <v xml:space="preserve">'city' : 'Timmins' , </v>
      </c>
      <c r="I98" s="60" t="str">
        <f>IF(I97="","","'"&amp;I$3&amp;"' : '"&amp;I97&amp;"' , ")</f>
        <v xml:space="preserve">'province' : 'Ontario' , </v>
      </c>
      <c r="J98" s="60" t="str">
        <f>IF(J97="","","'"&amp;J$3&amp;"' : '"&amp;J97&amp;"' , ")</f>
        <v xml:space="preserve">'zip' : 'P4N 7C4' , </v>
      </c>
      <c r="K98" s="60" t="str">
        <f>IF(K97="","","'"&amp;K$3&amp;"' : '"&amp;K97&amp;"' } , ")</f>
        <v xml:space="preserve">'mobileNumber' : '705-668-1540' } , </v>
      </c>
      <c r="L98" s="60" t="str">
        <f>IF(L97="","","'"&amp;$L$2&amp;"' : { '"&amp;L$3&amp;"' : '"&amp;L97&amp;"' , ")</f>
        <v xml:space="preserve">'billingsAddress' : { 'name' : 'Donovan Markle' , </v>
      </c>
      <c r="M98" s="60" t="str">
        <f>IF(M97="","","'"&amp;M$3&amp;"' : '"&amp;M97&amp;"' , ")</f>
        <v xml:space="preserve">'street' : '4337 Algonquin Blvd' , </v>
      </c>
      <c r="N98" s="60" t="str">
        <f>IF(N97="","","'"&amp;N$3&amp;"' : '"&amp;N97&amp;"' , ")</f>
        <v xml:space="preserve">'unit' : '216' , </v>
      </c>
      <c r="O98" s="60" t="str">
        <f>IF(O97="","","'"&amp;O$3&amp;"' : '"&amp;O97&amp;"' , ")</f>
        <v xml:space="preserve">'city' : 'Timmins' , </v>
      </c>
      <c r="P98" s="60" t="str">
        <f>IF(P97="","","'"&amp;P$3&amp;"' : '"&amp;P97&amp;"' , ")</f>
        <v xml:space="preserve">'province' : 'Ontario' , </v>
      </c>
      <c r="Q98" s="60" t="str">
        <f>IF(Q97="","","'"&amp;Q$3&amp;"' : '"&amp;Q97&amp;"' , ")</f>
        <v xml:space="preserve">'zip' : 'P4N 7C4' , </v>
      </c>
      <c r="R98" s="60" t="str">
        <f>IF(R97="","","'"&amp;R$3&amp;"' : '"&amp;R97&amp;"' } , ")</f>
        <v xml:space="preserve">'mobileNumber' : '705-668-1540' } , </v>
      </c>
      <c r="S98" s="60" t="str">
        <f>IF(S97="","","'"&amp;$S$2&amp;"' : { '"&amp;S$3&amp;"' : '"&amp;S97&amp;"' , ")</f>
        <v xml:space="preserve">'paymentMethod' : { 'paymentType' : 'Credit' , </v>
      </c>
      <c r="T98" s="60" t="str">
        <f>IF(T97="","","'"&amp;T$3&amp;"' : '"&amp;T97&amp;"' , ")</f>
        <v xml:space="preserve">'cardScheme' : 'Visa' , </v>
      </c>
      <c r="U98" s="60" t="str">
        <f>IF(U97="","","'"&amp;U$3&amp;"' : '"&amp;U97&amp;"' } , ")</f>
        <v xml:space="preserve">'cardLast4' : '4070' } , </v>
      </c>
      <c r="V98" s="60" t="str">
        <f ca="1">IF(V97="","","'"&amp;V$3&amp;"' : "&amp;V97&amp;", ")</f>
        <v xml:space="preserve">'totalQty' : 3, </v>
      </c>
      <c r="W98" s="60" t="str">
        <f>IF(W97="","","'"&amp;W$3&amp;"' : "&amp;W97&amp;", ")</f>
        <v xml:space="preserve">'orderTotal' : 217.04, </v>
      </c>
      <c r="X98" s="60" t="str">
        <f>IF(X97="","","'"&amp;X$3&amp;"' : "&amp;X97&amp;", ")</f>
        <v xml:space="preserve">'grossTotal' : 187.65, </v>
      </c>
      <c r="Y98" s="60" t="str">
        <f>IF(Y97="","","'"&amp;Y$3&amp;"' : "&amp;Y97&amp;", ")</f>
        <v xml:space="preserve">'tax' : 24.4, </v>
      </c>
      <c r="Z98" s="60" t="str">
        <f>IF(Z97="","","'"&amp;Z$3&amp;"' : "&amp;Z97&amp;", ")</f>
        <v xml:space="preserve">'deliveryFee' : 4.99, </v>
      </c>
      <c r="AA98" s="60"/>
      <c r="AB98" s="60"/>
      <c r="AC98" s="60"/>
      <c r="AD98" s="60"/>
      <c r="AE98" s="60"/>
      <c r="AF98" s="60" t="str">
        <f>$AA$2&amp;" : "&amp;_xlfn.CONCAT("[ ",AF94:AF96,"], ")</f>
        <v xml:space="preserve">orderDetails : [ { 'productId' : '4012', 'productName' : 'Empanada', 'quantity' : 10, 'price' : 6.79, 'subTotal' : 67.9 },{ 'productId' : '5003', 'productName' : 'Continental Drinks', 'quantity' : 15, 'price' : 3.99, 'subTotal' : 59.85 },{ 'productId' : '4005', 'productName' : 'Bear Claw', 'quantity' : 10, 'price' : 5.99, 'subTotal' : 59.9 }], </v>
      </c>
      <c r="AG98" s="60" t="str">
        <f>IF(AG97="","","'"&amp;AG$3&amp;"' : new Date('"&amp;TEXT(AG97,"yyyy-mm-dd")&amp;"'), ")</f>
        <v xml:space="preserve">'orderDate' : new Date('2022-11-07'), </v>
      </c>
      <c r="AH98" s="60"/>
      <c r="AI98" s="60" t="str">
        <f>IF(AI97="","","'"&amp;AI$3&amp;"' : '"&amp;AI97&amp;"', ")</f>
        <v xml:space="preserve">'orderStatus' : 'Delivered', </v>
      </c>
      <c r="AJ98" s="60" t="str">
        <f>IF(AJ97="","","'"&amp;AJ$3&amp;"' : new Date('"&amp;TEXT(AJ97,"yyyy-mm-dd")&amp;"') ")</f>
        <v xml:space="preserve">'statusDate' : new Date('2022-11-07') </v>
      </c>
      <c r="AK98" s="60"/>
      <c r="AL98" s="59"/>
      <c r="AM98" s="58" t="str">
        <f ca="1">_xlfn.CONCAT("{ ",B98:AJ98,"} ,")</f>
        <v>{ 'emailAddress' : 'donovanmarkle@gmail.com', 'orderId' : '20221107085248', 'employeeUserName' : 'jbartolata', 'deliveryAddress' : { 'name' : 'Donovan Markle' , 'street' : '4337 Algonquin Blvd' , 'unit' : '216' , 'city' : 'Timmins' , 'province' : 'Ontario' , 'zip' : 'P4N 7C4' , 'mobileNumber' : '705-668-1540' } , 'billingsAddress' : { 'name' : 'Donovan Markle' , 'street' : '4337 Algonquin Blvd' , 'unit' : '216' , 'city' : 'Timmins' , 'province' : 'Ontario' , 'zip' : 'P4N 7C4' , 'mobileNumber' : '705-668-1540' } , 'paymentMethod' : { 'paymentType' : 'Credit' , 'cardScheme' : 'Visa' , 'cardLast4' : '4070' } , 'totalQty' : 3, 'orderTotal' : 217.04, 'grossTotal' : 187.65, 'tax' : 24.4, 'deliveryFee' : 4.99, orderDetails : [ { 'productId' : '4012', 'productName' : 'Empanada', 'quantity' : 10, 'price' : 6.79, 'subTotal' : 67.9 },{ 'productId' : '5003', 'productName' : 'Continental Drinks', 'quantity' : 15, 'price' : 3.99, 'subTotal' : 59.85 },{ 'productId' : '4005', 'productName' : 'Bear Claw', 'quantity' : 10, 'price' : 5.99, 'subTotal' : 59.9 }], 'orderDate' : new Date('2022-11-07'), 'orderStatus' : 'Delivered', 'statusDate' : new Date('2022-11-07') } ,</v>
      </c>
    </row>
    <row r="99" spans="1:39" x14ac:dyDescent="0.35">
      <c r="A99" t="s">
        <v>759</v>
      </c>
      <c r="B99" t="s">
        <v>725</v>
      </c>
      <c r="C99" s="49" t="s">
        <v>738</v>
      </c>
      <c r="D99" t="s">
        <v>682</v>
      </c>
      <c r="E99" t="s">
        <v>318</v>
      </c>
      <c r="F99" t="s">
        <v>582</v>
      </c>
      <c r="G99" t="s">
        <v>601</v>
      </c>
      <c r="H99" t="s">
        <v>431</v>
      </c>
      <c r="I99" t="s">
        <v>26</v>
      </c>
      <c r="J99" t="s">
        <v>612</v>
      </c>
      <c r="K99" t="s">
        <v>623</v>
      </c>
      <c r="L99" t="str">
        <f t="shared" ref="L99" si="82">E99</f>
        <v>Rhett Fuller</v>
      </c>
      <c r="M99" t="str">
        <f>VLOOKUP($B99,Customers!$B:$J,4,0)</f>
        <v>2267 184th Street</v>
      </c>
      <c r="O99" t="str">
        <f>VLOOKUP($B99,Customers!$B:$J,6,0)</f>
        <v>Edmonton</v>
      </c>
      <c r="P99" t="str">
        <f>VLOOKUP($B99,Customers!$B:$J,7,0)</f>
        <v>Alberta</v>
      </c>
      <c r="Q99" t="str">
        <f>VLOOKUP($B99,Customers!$B:$J,8,0)</f>
        <v>T5J 2R4</v>
      </c>
      <c r="R99" t="str">
        <f>VLOOKUP($B99,Customers!$B:$J,9,0)</f>
        <v>780-485-2704</v>
      </c>
      <c r="S99" t="str">
        <f>VLOOKUP($B99,Customers!$B:$T,16,0)</f>
        <v>Debit</v>
      </c>
      <c r="T99" t="str">
        <f>VLOOKUP($B99,Customers!$B:$T,18,0)</f>
        <v>Visa</v>
      </c>
      <c r="U99" t="str">
        <f>VLOOKUP($B99,Customers!$B:$T,19,0)</f>
        <v>2064</v>
      </c>
      <c r="V99">
        <v>1</v>
      </c>
      <c r="X99">
        <f t="shared" ref="X99:X105" si="83">AC99*AD99</f>
        <v>5.99</v>
      </c>
      <c r="Y99">
        <f t="shared" ref="Y99:Y105" si="84">ROUND(X99*13%,2)</f>
        <v>0.78</v>
      </c>
      <c r="AA99">
        <v>4018</v>
      </c>
      <c r="AB99" t="s">
        <v>85</v>
      </c>
      <c r="AC99">
        <v>1</v>
      </c>
      <c r="AD99">
        <v>5.99</v>
      </c>
      <c r="AE99">
        <f>AC99*AD99</f>
        <v>5.99</v>
      </c>
      <c r="AF99" s="54" t="str">
        <f>"{ '"&amp;AA$3&amp;"' : '"&amp;AA99&amp;"', '"&amp;AB$3&amp;"' : '"&amp;AB99&amp;"', '"&amp;AC$3&amp;"' : "&amp;AC99&amp;", '"&amp;AD$3&amp;"' : "&amp;AD99&amp;", '"&amp;AE$3&amp;"' : "&amp;AE99&amp;" }"</f>
        <v>{ 'productId' : '4018', 'productName' : 'Cheese Bread', 'quantity' : 1, 'price' : 5.99, 'subTotal' : 5.99 }</v>
      </c>
      <c r="AG99" s="48">
        <v>44873</v>
      </c>
      <c r="AH99" s="50" t="s">
        <v>688</v>
      </c>
      <c r="AI99" t="s">
        <v>755</v>
      </c>
      <c r="AJ99" s="48">
        <f>AG99</f>
        <v>44873</v>
      </c>
      <c r="AK99" t="s">
        <v>715</v>
      </c>
    </row>
    <row r="100" spans="1:39" s="58" customFormat="1" ht="43.5" x14ac:dyDescent="0.35">
      <c r="A100" s="60" t="s">
        <v>760</v>
      </c>
      <c r="B100" s="60" t="str">
        <f>IF(B99="","","'"&amp;B$3&amp;"' : '"&amp;B99&amp;"', ")</f>
        <v xml:space="preserve">'emailAddress' : 'rhett_fuller@gmail.com', </v>
      </c>
      <c r="C100" s="60" t="str">
        <f>IF(C99="","","'"&amp;C$3&amp;"' : '"&amp;C99&amp;"', ")</f>
        <v xml:space="preserve">'orderId' : '20221108104800', </v>
      </c>
      <c r="D100" s="60" t="str">
        <f>IF(D99="","","'"&amp;D$3&amp;"' : '"&amp;D99&amp;"', ")</f>
        <v xml:space="preserve">'employeeUserName' : 'mjones', </v>
      </c>
      <c r="E100" s="60" t="str">
        <f>IF(E99="","","'"&amp;$F$2&amp;"' : { '"&amp;E$3&amp;"' : '"&amp;E99&amp;"' , ")</f>
        <v xml:space="preserve">'deliveryAddress' : { 'name' : 'Rhett Fuller' , </v>
      </c>
      <c r="F100" s="60" t="str">
        <f>IF(F99="","","'"&amp;F$3&amp;"' : '"&amp;F99&amp;"' , ")</f>
        <v xml:space="preserve">'street' : '1958 Weir Crescent' , </v>
      </c>
      <c r="G100" s="60" t="str">
        <f>IF(G99="","","'"&amp;G$3&amp;"' : '"&amp;G99&amp;"' , ")</f>
        <v xml:space="preserve">'unit' : '71' , </v>
      </c>
      <c r="H100" s="60" t="str">
        <f>IF(H99="","","'"&amp;H$3&amp;"' : '"&amp;H99&amp;"' , ")</f>
        <v xml:space="preserve">'city' : 'Toronto' , </v>
      </c>
      <c r="I100" s="60" t="str">
        <f>IF(I99="","","'"&amp;I$3&amp;"' : '"&amp;I99&amp;"' , ")</f>
        <v xml:space="preserve">'province' : 'Ontario' , </v>
      </c>
      <c r="J100" s="60" t="str">
        <f>IF(J99="","","'"&amp;J$3&amp;"' : '"&amp;J99&amp;"' , ")</f>
        <v xml:space="preserve">'zip' : 'M1E 3T8' , </v>
      </c>
      <c r="K100" s="60" t="str">
        <f>IF(K99="","","'"&amp;K$3&amp;"' : '"&amp;K99&amp;"' } , ")</f>
        <v xml:space="preserve">'mobileNumber' : '647-828-4520' } , </v>
      </c>
      <c r="L100" s="60" t="str">
        <f>IF(L99="","","'"&amp;$L$2&amp;"' : { '"&amp;L$3&amp;"' : '"&amp;L99&amp;"' , ")</f>
        <v xml:space="preserve">'billingsAddress' : { 'name' : 'Rhett Fuller' , </v>
      </c>
      <c r="M100" s="60" t="str">
        <f>IF(M99="","","'"&amp;M$3&amp;"' : '"&amp;M99&amp;"' , ")</f>
        <v xml:space="preserve">'street' : '2267 184th Street' , </v>
      </c>
      <c r="N100" s="60" t="str">
        <f>IF(N99="","","'"&amp;N$3&amp;"' : '"&amp;N99&amp;"' , ")</f>
        <v/>
      </c>
      <c r="O100" s="60" t="str">
        <f>IF(O99="","","'"&amp;O$3&amp;"' : '"&amp;O99&amp;"' , ")</f>
        <v xml:space="preserve">'city' : 'Edmonton' , </v>
      </c>
      <c r="P100" s="60" t="str">
        <f>IF(P99="","","'"&amp;P$3&amp;"' : '"&amp;P99&amp;"' , ")</f>
        <v xml:space="preserve">'province' : 'Alberta' , </v>
      </c>
      <c r="Q100" s="60" t="str">
        <f>IF(Q99="","","'"&amp;Q$3&amp;"' : '"&amp;Q99&amp;"' , ")</f>
        <v xml:space="preserve">'zip' : 'T5J 2R4' , </v>
      </c>
      <c r="R100" s="60" t="str">
        <f>IF(R99="","","'"&amp;R$3&amp;"' : '"&amp;R99&amp;"' } , ")</f>
        <v xml:space="preserve">'mobileNumber' : '780-485-2704' } , </v>
      </c>
      <c r="S100" s="60" t="str">
        <f>IF(S99="","","'"&amp;$S$2&amp;"' : { '"&amp;S$3&amp;"' : '"&amp;S99&amp;"' , ")</f>
        <v xml:space="preserve">'paymentMethod' : { 'paymentType' : 'Debit' , </v>
      </c>
      <c r="T100" s="60" t="str">
        <f>IF(T99="","","'"&amp;T$3&amp;"' : '"&amp;T99&amp;"' , ")</f>
        <v xml:space="preserve">'cardScheme' : 'Visa' , </v>
      </c>
      <c r="U100" s="60" t="str">
        <f>IF(U99="","","'"&amp;U$3&amp;"' : '"&amp;U99&amp;"' } , ")</f>
        <v xml:space="preserve">'cardLast4' : '2064' } , </v>
      </c>
      <c r="V100" s="60" t="str">
        <f>IF(V99="","","'"&amp;V$3&amp;"' : "&amp;V99&amp;", ")</f>
        <v xml:space="preserve">'totalQty' : 1, </v>
      </c>
      <c r="W100" s="60" t="str">
        <f>IF(W99="","","'"&amp;W$3&amp;"' : "&amp;W99&amp;", ")</f>
        <v/>
      </c>
      <c r="X100" s="60" t="str">
        <f>IF(X99="","","'"&amp;X$3&amp;"' : "&amp;X99&amp;", ")</f>
        <v xml:space="preserve">'grossTotal' : 5.99, </v>
      </c>
      <c r="Y100" s="60" t="str">
        <f>IF(Y99="","","'"&amp;Y$3&amp;"' : "&amp;Y99&amp;", ")</f>
        <v xml:space="preserve">'tax' : 0.78, </v>
      </c>
      <c r="Z100" s="60" t="str">
        <f>IF(Z99="","","'"&amp;Z$3&amp;"' : "&amp;Z99&amp;", ")</f>
        <v/>
      </c>
      <c r="AA100" s="60"/>
      <c r="AB100" s="60"/>
      <c r="AC100" s="60"/>
      <c r="AD100" s="60"/>
      <c r="AE100" s="60"/>
      <c r="AF100" s="60" t="str">
        <f>$AA$2&amp;" : "&amp;_xlfn.CONCAT("[ ",AF99,"], ")</f>
        <v xml:space="preserve">orderDetails : [ { 'productId' : '4018', 'productName' : 'Cheese Bread', 'quantity' : 1, 'price' : 5.99, 'subTotal' : 5.99 }], </v>
      </c>
      <c r="AG100" s="60" t="str">
        <f>IF(AG99="","","'"&amp;AG$3&amp;"' : new Date('"&amp;TEXT(AG99,"yyyy-mm-dd")&amp;"'), ")</f>
        <v xml:space="preserve">'orderDate' : new Date('2022-11-08'), </v>
      </c>
      <c r="AH100" s="60"/>
      <c r="AI100" s="60" t="str">
        <f>IF(AI99="","","'"&amp;AI$3&amp;"' : '"&amp;AI99&amp;"', ")</f>
        <v xml:space="preserve">'orderStatus' : 'Delivered', </v>
      </c>
      <c r="AJ100" s="60" t="str">
        <f>IF(AJ99="","","'"&amp;AJ$3&amp;"' : new Date('"&amp;TEXT(AJ99,"yyyy-mm-dd")&amp;"') ")</f>
        <v xml:space="preserve">'statusDate' : new Date('2022-11-08') </v>
      </c>
      <c r="AK100" s="60"/>
      <c r="AL100" s="59"/>
      <c r="AM100" s="58" t="str">
        <f>_xlfn.CONCAT("{ ",B100:AJ100,"} ,")</f>
        <v>{ 'emailAddress' : 'rhett_fuller@gmail.com', 'orderId' : '20221108104800', 'employeeUserName' : 'mjones', 'deliveryAddress' : { 'name' : 'Rhett Fuller' , 'street' : '1958 Weir Crescent' , 'unit' : '71' , 'city' : 'Toronto' , 'province' : 'Ontario' , 'zip' : 'M1E 3T8' , 'mobileNumber' : '647-828-4520' } , 'billingsAddress' : { 'name' : 'Rhett Fuller' , 'street' : '2267 184th Street' , 'city' : 'Edmonton' , 'province' : 'Alberta' , 'zip' : 'T5J 2R4' , 'mobileNumber' : '780-485-2704' } , 'paymentMethod' : { 'paymentType' : 'Debit' , 'cardScheme' : 'Visa' , 'cardLast4' : '2064' } , 'totalQty' : 1, 'grossTotal' : 5.99, 'tax' : 0.78, orderDetails : [ { 'productId' : '4018', 'productName' : 'Cheese Bread', 'quantity' : 1, 'price' : 5.99, 'subTotal' : 5.99 }], 'orderDate' : new Date('2022-11-08'), 'orderStatus' : 'Delivered', 'statusDate' : new Date('2022-11-08') } ,</v>
      </c>
    </row>
    <row r="101" spans="1:39" x14ac:dyDescent="0.35">
      <c r="A101" t="s">
        <v>759</v>
      </c>
      <c r="B101" t="s">
        <v>686</v>
      </c>
      <c r="C101" s="49" t="s">
        <v>739</v>
      </c>
      <c r="D101" t="s">
        <v>681</v>
      </c>
      <c r="E101" t="s">
        <v>336</v>
      </c>
      <c r="F101" t="s">
        <v>400</v>
      </c>
      <c r="G101" t="s">
        <v>601</v>
      </c>
      <c r="H101" t="s">
        <v>429</v>
      </c>
      <c r="I101" t="s">
        <v>454</v>
      </c>
      <c r="J101" t="s">
        <v>463</v>
      </c>
      <c r="K101" t="s">
        <v>488</v>
      </c>
      <c r="L101" t="str">
        <f t="shared" ref="L101" si="85">E101</f>
        <v>Trinity Gosling</v>
      </c>
      <c r="M101" t="str">
        <f>VLOOKUP($B101,Customers!$B:$J,4,0)</f>
        <v>3504 Rose Street</v>
      </c>
      <c r="O101" t="str">
        <f>VLOOKUP($B101,Customers!$B:$J,6,0)</f>
        <v>Regina</v>
      </c>
      <c r="P101" t="str">
        <f>VLOOKUP($B101,Customers!$B:$J,7,0)</f>
        <v>Saskatchewan</v>
      </c>
      <c r="Q101" t="str">
        <f>VLOOKUP($B101,Customers!$B:$J,8,0)</f>
        <v>S4P 3Y2</v>
      </c>
      <c r="R101" t="str">
        <f>VLOOKUP($B101,Customers!$B:$J,9,0)</f>
        <v>306-569-6952</v>
      </c>
      <c r="S101" t="str">
        <f>VLOOKUP($B101,Customers!$B:$T,16,0)</f>
        <v>Credit</v>
      </c>
      <c r="T101" t="str">
        <f>VLOOKUP($B101,Customers!$B:$T,18,0)</f>
        <v>Mastercard</v>
      </c>
      <c r="U101" t="str">
        <f>VLOOKUP($B101,Customers!$B:$T,19,0)</f>
        <v>5230</v>
      </c>
      <c r="V101">
        <v>1</v>
      </c>
      <c r="X101">
        <f t="shared" si="83"/>
        <v>92.65</v>
      </c>
      <c r="Y101">
        <f t="shared" si="84"/>
        <v>12.04</v>
      </c>
      <c r="AA101">
        <v>4011</v>
      </c>
      <c r="AB101" t="s">
        <v>75</v>
      </c>
      <c r="AC101">
        <v>17</v>
      </c>
      <c r="AD101">
        <v>5.45</v>
      </c>
      <c r="AE101">
        <f>AC101*AD101</f>
        <v>92.65</v>
      </c>
      <c r="AF101" s="54" t="str">
        <f>"{ '"&amp;AA$3&amp;"' : '"&amp;AA101&amp;"', '"&amp;AB$3&amp;"' : '"&amp;AB101&amp;"', '"&amp;AC$3&amp;"' : "&amp;AC101&amp;", '"&amp;AD$3&amp;"' : "&amp;AD101&amp;", '"&amp;AE$3&amp;"' : "&amp;AE101&amp;" }"</f>
        <v>{ 'productId' : '4011', 'productName' : 'Sesame Bagel', 'quantity' : 17, 'price' : 5.45, 'subTotal' : 92.65 }</v>
      </c>
      <c r="AG101" s="48">
        <v>44873</v>
      </c>
      <c r="AH101" s="50" t="s">
        <v>740</v>
      </c>
      <c r="AI101" t="s">
        <v>755</v>
      </c>
      <c r="AJ101" s="48">
        <f>AG101</f>
        <v>44873</v>
      </c>
      <c r="AK101" t="s">
        <v>712</v>
      </c>
    </row>
    <row r="102" spans="1:39" s="58" customFormat="1" ht="43.5" x14ac:dyDescent="0.35">
      <c r="A102" s="60" t="s">
        <v>760</v>
      </c>
      <c r="B102" s="60" t="str">
        <f>IF(B101="","","'"&amp;B$3&amp;"' : '"&amp;B101&amp;"', ")</f>
        <v xml:space="preserve">'emailAddress' : 'trinity_gosling@gmail.com', </v>
      </c>
      <c r="C102" s="60" t="str">
        <f>IF(C101="","","'"&amp;C$3&amp;"' : '"&amp;C101&amp;"', ")</f>
        <v xml:space="preserve">'orderId' : '20221108114536', </v>
      </c>
      <c r="D102" s="60" t="str">
        <f>IF(D101="","","'"&amp;D$3&amp;"' : '"&amp;D101&amp;"', ")</f>
        <v xml:space="preserve">'employeeUserName' : 'jbartolata', </v>
      </c>
      <c r="E102" s="60" t="str">
        <f>IF(E101="","","'"&amp;$F$2&amp;"' : { '"&amp;E$3&amp;"' : '"&amp;E101&amp;"' , ")</f>
        <v xml:space="preserve">'deliveryAddress' : { 'name' : 'Trinity Gosling' , </v>
      </c>
      <c r="F102" s="60" t="str">
        <f>IF(F101="","","'"&amp;F$3&amp;"' : '"&amp;F101&amp;"' , ")</f>
        <v xml:space="preserve">'street' : '3504 Rose Street' , </v>
      </c>
      <c r="G102" s="60" t="str">
        <f>IF(G101="","","'"&amp;G$3&amp;"' : '"&amp;G101&amp;"' , ")</f>
        <v xml:space="preserve">'unit' : '71' , </v>
      </c>
      <c r="H102" s="60" t="str">
        <f>IF(H101="","","'"&amp;H$3&amp;"' : '"&amp;H101&amp;"' , ")</f>
        <v xml:space="preserve">'city' : 'Regina' , </v>
      </c>
      <c r="I102" s="60" t="str">
        <f>IF(I101="","","'"&amp;I$3&amp;"' : '"&amp;I101&amp;"' , ")</f>
        <v xml:space="preserve">'province' : 'Saskatchewan' , </v>
      </c>
      <c r="J102" s="60" t="str">
        <f>IF(J101="","","'"&amp;J$3&amp;"' : '"&amp;J101&amp;"' , ")</f>
        <v xml:space="preserve">'zip' : 'S4P 3Y2' , </v>
      </c>
      <c r="K102" s="60" t="str">
        <f>IF(K101="","","'"&amp;K$3&amp;"' : '"&amp;K101&amp;"' } , ")</f>
        <v xml:space="preserve">'mobileNumber' : '306-569-6952' } , </v>
      </c>
      <c r="L102" s="60" t="str">
        <f>IF(L101="","","'"&amp;$L$2&amp;"' : { '"&amp;L$3&amp;"' : '"&amp;L101&amp;"' , ")</f>
        <v xml:space="preserve">'billingsAddress' : { 'name' : 'Trinity Gosling' , </v>
      </c>
      <c r="M102" s="60" t="str">
        <f>IF(M101="","","'"&amp;M$3&amp;"' : '"&amp;M101&amp;"' , ")</f>
        <v xml:space="preserve">'street' : '3504 Rose Street' , </v>
      </c>
      <c r="N102" s="60" t="str">
        <f>IF(N101="","","'"&amp;N$3&amp;"' : '"&amp;N101&amp;"' , ")</f>
        <v/>
      </c>
      <c r="O102" s="60" t="str">
        <f>IF(O101="","","'"&amp;O$3&amp;"' : '"&amp;O101&amp;"' , ")</f>
        <v xml:space="preserve">'city' : 'Regina' , </v>
      </c>
      <c r="P102" s="60" t="str">
        <f>IF(P101="","","'"&amp;P$3&amp;"' : '"&amp;P101&amp;"' , ")</f>
        <v xml:space="preserve">'province' : 'Saskatchewan' , </v>
      </c>
      <c r="Q102" s="60" t="str">
        <f>IF(Q101="","","'"&amp;Q$3&amp;"' : '"&amp;Q101&amp;"' , ")</f>
        <v xml:space="preserve">'zip' : 'S4P 3Y2' , </v>
      </c>
      <c r="R102" s="60" t="str">
        <f>IF(R101="","","'"&amp;R$3&amp;"' : '"&amp;R101&amp;"' } , ")</f>
        <v xml:space="preserve">'mobileNumber' : '306-569-6952' } , </v>
      </c>
      <c r="S102" s="60" t="str">
        <f>IF(S101="","","'"&amp;$S$2&amp;"' : { '"&amp;S$3&amp;"' : '"&amp;S101&amp;"' , ")</f>
        <v xml:space="preserve">'paymentMethod' : { 'paymentType' : 'Credit' , </v>
      </c>
      <c r="T102" s="60" t="str">
        <f>IF(T101="","","'"&amp;T$3&amp;"' : '"&amp;T101&amp;"' , ")</f>
        <v xml:space="preserve">'cardScheme' : 'Mastercard' , </v>
      </c>
      <c r="U102" s="60" t="str">
        <f>IF(U101="","","'"&amp;U$3&amp;"' : '"&amp;U101&amp;"' } , ")</f>
        <v xml:space="preserve">'cardLast4' : '5230' } , </v>
      </c>
      <c r="V102" s="60" t="str">
        <f>IF(V101="","","'"&amp;V$3&amp;"' : "&amp;V101&amp;", ")</f>
        <v xml:space="preserve">'totalQty' : 1, </v>
      </c>
      <c r="W102" s="60" t="str">
        <f>IF(W101="","","'"&amp;W$3&amp;"' : "&amp;W101&amp;", ")</f>
        <v/>
      </c>
      <c r="X102" s="60" t="str">
        <f>IF(X101="","","'"&amp;X$3&amp;"' : "&amp;X101&amp;", ")</f>
        <v xml:space="preserve">'grossTotal' : 92.65, </v>
      </c>
      <c r="Y102" s="60" t="str">
        <f>IF(Y101="","","'"&amp;Y$3&amp;"' : "&amp;Y101&amp;", ")</f>
        <v xml:space="preserve">'tax' : 12.04, </v>
      </c>
      <c r="Z102" s="60" t="str">
        <f>IF(Z101="","","'"&amp;Z$3&amp;"' : "&amp;Z101&amp;", ")</f>
        <v/>
      </c>
      <c r="AA102" s="60"/>
      <c r="AB102" s="60"/>
      <c r="AC102" s="60"/>
      <c r="AD102" s="60"/>
      <c r="AE102" s="60"/>
      <c r="AF102" s="60" t="str">
        <f>$AA$2&amp;" : "&amp;_xlfn.CONCAT("[ ",AF101,"], ")</f>
        <v xml:space="preserve">orderDetails : [ { 'productId' : '4011', 'productName' : 'Sesame Bagel', 'quantity' : 17, 'price' : 5.45, 'subTotal' : 92.65 }], </v>
      </c>
      <c r="AG102" s="60" t="str">
        <f>IF(AG101="","","'"&amp;AG$3&amp;"' : new Date('"&amp;TEXT(AG101,"yyyy-mm-dd")&amp;"'), ")</f>
        <v xml:space="preserve">'orderDate' : new Date('2022-11-08'), </v>
      </c>
      <c r="AH102" s="60"/>
      <c r="AI102" s="60" t="str">
        <f>IF(AI101="","","'"&amp;AI$3&amp;"' : '"&amp;AI101&amp;"', ")</f>
        <v xml:space="preserve">'orderStatus' : 'Delivered', </v>
      </c>
      <c r="AJ102" s="60" t="str">
        <f>IF(AJ101="","","'"&amp;AJ$3&amp;"' : new Date('"&amp;TEXT(AJ101,"yyyy-mm-dd")&amp;"') ")</f>
        <v xml:space="preserve">'statusDate' : new Date('2022-11-08') </v>
      </c>
      <c r="AK102" s="60"/>
      <c r="AL102" s="59"/>
      <c r="AM102" s="58" t="str">
        <f>_xlfn.CONCAT("{ ",B102:AJ102,"} ,")</f>
        <v>{ 'emailAddress' : 'trinity_gosling@gmail.com', 'orderId' : '20221108114536', 'employeeUserName' : 'jbartolata', 'deliveryAddress' : { 'name' : 'Trinity Gosling' , 'street' : '3504 Rose Street' , 'unit' : '71' , 'city' : 'Regina' , 'province' : 'Saskatchewan' , 'zip' : 'S4P 3Y2' , 'mobileNumber' : '306-569-6952' } , 'billingsAddress' : { 'name' : 'Trinity Gosling' , 'street' : '3504 Rose Street' , 'city' : 'Regina' , 'province' : 'Saskatchewan' , 'zip' : 'S4P 3Y2' , 'mobileNumber' : '306-569-6952' } , 'paymentMethod' : { 'paymentType' : 'Credit' , 'cardScheme' : 'Mastercard' , 'cardLast4' : '5230' } , 'totalQty' : 1, 'grossTotal' : 92.65, 'tax' : 12.04, orderDetails : [ { 'productId' : '4011', 'productName' : 'Sesame Bagel', 'quantity' : 17, 'price' : 5.45, 'subTotal' : 92.65 }], 'orderDate' : new Date('2022-11-08'), 'orderStatus' : 'Delivered', 'statusDate' : new Date('2022-11-08') } ,</v>
      </c>
    </row>
    <row r="103" spans="1:39" x14ac:dyDescent="0.35">
      <c r="B103" t="s">
        <v>698</v>
      </c>
      <c r="C103" s="49" t="s">
        <v>741</v>
      </c>
      <c r="D103" t="s">
        <v>680</v>
      </c>
      <c r="E103" t="s">
        <v>315</v>
      </c>
      <c r="F103" t="s">
        <v>403</v>
      </c>
      <c r="G103" t="s">
        <v>601</v>
      </c>
      <c r="H103" t="s">
        <v>432</v>
      </c>
      <c r="I103" t="s">
        <v>26</v>
      </c>
      <c r="J103" t="s">
        <v>466</v>
      </c>
      <c r="K103" t="s">
        <v>491</v>
      </c>
      <c r="L103" t="str">
        <f t="shared" ref="L103:L106" si="86">E103</f>
        <v>Declan Johnson</v>
      </c>
      <c r="M103" t="str">
        <f>VLOOKUP($B103,Customers!$B:$J,4,0)</f>
        <v>1676 Speers Road</v>
      </c>
      <c r="O103" t="str">
        <f>VLOOKUP($B103,Customers!$B:$J,6,0)</f>
        <v>Oakville</v>
      </c>
      <c r="P103" t="str">
        <f>VLOOKUP($B103,Customers!$B:$J,7,0)</f>
        <v>Ontario</v>
      </c>
      <c r="Q103" t="str">
        <f>VLOOKUP($B103,Customers!$B:$J,8,0)</f>
        <v>L6J 3X4</v>
      </c>
      <c r="R103" t="str">
        <f>VLOOKUP($B103,Customers!$B:$J,9,0)</f>
        <v>905-815-1914</v>
      </c>
      <c r="S103" t="str">
        <f>VLOOKUP($B103,Customers!$B:$T,16,0)</f>
        <v>Credit</v>
      </c>
      <c r="T103" t="str">
        <f>VLOOKUP($B103,Customers!$B:$T,18,0)</f>
        <v>Mastercard</v>
      </c>
      <c r="U103" t="str">
        <f>VLOOKUP($B103,Customers!$B:$T,19,0)</f>
        <v>1490</v>
      </c>
      <c r="V103">
        <f ca="1">COUNTIF(C:C,C103)-1</f>
        <v>3</v>
      </c>
      <c r="X103">
        <f t="shared" si="83"/>
        <v>88.27</v>
      </c>
      <c r="Y103">
        <f t="shared" si="84"/>
        <v>11.48</v>
      </c>
      <c r="AA103">
        <v>4012</v>
      </c>
      <c r="AB103" t="s">
        <v>76</v>
      </c>
      <c r="AC103">
        <v>13</v>
      </c>
      <c r="AD103">
        <v>6.79</v>
      </c>
      <c r="AE103">
        <f>AC103*AD103</f>
        <v>88.27</v>
      </c>
      <c r="AF103" s="54" t="str">
        <f>"{ '"&amp;AA$3&amp;"' : '"&amp;AA103&amp;"', '"&amp;AB$3&amp;"' : '"&amp;AB103&amp;"', '"&amp;AC$3&amp;"' : "&amp;AC103&amp;", '"&amp;AD$3&amp;"' : "&amp;AD103&amp;", '"&amp;AE$3&amp;"' : "&amp;AE103&amp;" },"</f>
        <v>{ 'productId' : '4012', 'productName' : 'Empanada', 'quantity' : 13, 'price' : 6.79, 'subTotal' : 88.27 },</v>
      </c>
      <c r="AG103" s="48">
        <v>44873</v>
      </c>
      <c r="AH103" s="50" t="s">
        <v>731</v>
      </c>
      <c r="AI103" t="s">
        <v>755</v>
      </c>
      <c r="AJ103" s="48">
        <f>AG103</f>
        <v>44873</v>
      </c>
      <c r="AK103" t="s">
        <v>693</v>
      </c>
    </row>
    <row r="104" spans="1:39" x14ac:dyDescent="0.35">
      <c r="B104" t="s">
        <v>698</v>
      </c>
      <c r="C104" t="s">
        <v>741</v>
      </c>
      <c r="D104" t="s">
        <v>680</v>
      </c>
      <c r="E104" t="s">
        <v>315</v>
      </c>
      <c r="F104" t="s">
        <v>403</v>
      </c>
      <c r="G104" t="s">
        <v>601</v>
      </c>
      <c r="H104" t="s">
        <v>432</v>
      </c>
      <c r="I104" t="s">
        <v>26</v>
      </c>
      <c r="J104" t="s">
        <v>466</v>
      </c>
      <c r="K104" t="s">
        <v>491</v>
      </c>
      <c r="L104" t="str">
        <f t="shared" si="86"/>
        <v>Declan Johnson</v>
      </c>
      <c r="M104" t="str">
        <f>VLOOKUP($B104,Customers!$B:$J,4,0)</f>
        <v>1676 Speers Road</v>
      </c>
      <c r="O104" t="str">
        <f>VLOOKUP($B104,Customers!$B:$J,6,0)</f>
        <v>Oakville</v>
      </c>
      <c r="P104" t="str">
        <f>VLOOKUP($B104,Customers!$B:$J,7,0)</f>
        <v>Ontario</v>
      </c>
      <c r="Q104" t="str">
        <f>VLOOKUP($B104,Customers!$B:$J,8,0)</f>
        <v>L6J 3X4</v>
      </c>
      <c r="R104" t="str">
        <f>VLOOKUP($B104,Customers!$B:$J,9,0)</f>
        <v>905-815-1914</v>
      </c>
      <c r="S104" t="str">
        <f>VLOOKUP($B104,Customers!$B:$T,16,0)</f>
        <v>Credit</v>
      </c>
      <c r="T104" t="str">
        <f>VLOOKUP($B104,Customers!$B:$T,18,0)</f>
        <v>Mastercard</v>
      </c>
      <c r="U104" t="str">
        <f>VLOOKUP($B104,Customers!$B:$T,19,0)</f>
        <v>1490</v>
      </c>
      <c r="V104">
        <f ca="1">COUNTIF(C:C,C104)-1</f>
        <v>3</v>
      </c>
      <c r="X104">
        <f t="shared" si="83"/>
        <v>50.61</v>
      </c>
      <c r="Y104">
        <f t="shared" si="84"/>
        <v>6.58</v>
      </c>
      <c r="AA104">
        <v>4016</v>
      </c>
      <c r="AB104" t="s">
        <v>83</v>
      </c>
      <c r="AC104">
        <v>7</v>
      </c>
      <c r="AD104">
        <v>7.23</v>
      </c>
      <c r="AE104">
        <f>AC104*AD104</f>
        <v>50.61</v>
      </c>
      <c r="AF104" s="54" t="str">
        <f>"{ '"&amp;AA$3&amp;"' : '"&amp;AA104&amp;"', '"&amp;AB$3&amp;"' : '"&amp;AB104&amp;"', '"&amp;AC$3&amp;"' : "&amp;AC104&amp;", '"&amp;AD$3&amp;"' : "&amp;AD104&amp;", '"&amp;AE$3&amp;"' : "&amp;AE104&amp;" },"</f>
        <v>{ 'productId' : '4016', 'productName' : 'Chocolate Chip Bagel', 'quantity' : 7, 'price' : 7.23, 'subTotal' : 50.61 },</v>
      </c>
      <c r="AG104" s="48">
        <v>44873</v>
      </c>
      <c r="AH104" s="48" t="str">
        <f t="shared" ref="AH104:AJ106" si="87">AH103</f>
        <v>111648</v>
      </c>
      <c r="AI104" t="str">
        <f t="shared" si="87"/>
        <v>Delivered</v>
      </c>
      <c r="AJ104" s="48">
        <f t="shared" si="87"/>
        <v>44873</v>
      </c>
    </row>
    <row r="105" spans="1:39" x14ac:dyDescent="0.35">
      <c r="B105" t="s">
        <v>698</v>
      </c>
      <c r="C105" t="s">
        <v>741</v>
      </c>
      <c r="D105" t="s">
        <v>680</v>
      </c>
      <c r="E105" t="s">
        <v>315</v>
      </c>
      <c r="F105" t="s">
        <v>403</v>
      </c>
      <c r="G105" t="s">
        <v>601</v>
      </c>
      <c r="H105" t="s">
        <v>432</v>
      </c>
      <c r="I105" t="s">
        <v>26</v>
      </c>
      <c r="J105" t="s">
        <v>466</v>
      </c>
      <c r="K105" t="s">
        <v>491</v>
      </c>
      <c r="L105" t="str">
        <f t="shared" si="86"/>
        <v>Declan Johnson</v>
      </c>
      <c r="M105" t="str">
        <f>VLOOKUP($B105,Customers!$B:$J,4,0)</f>
        <v>1676 Speers Road</v>
      </c>
      <c r="O105" t="str">
        <f>VLOOKUP($B105,Customers!$B:$J,6,0)</f>
        <v>Oakville</v>
      </c>
      <c r="P105" t="str">
        <f>VLOOKUP($B105,Customers!$B:$J,7,0)</f>
        <v>Ontario</v>
      </c>
      <c r="Q105" t="str">
        <f>VLOOKUP($B105,Customers!$B:$J,8,0)</f>
        <v>L6J 3X4</v>
      </c>
      <c r="R105" t="str">
        <f>VLOOKUP($B105,Customers!$B:$J,9,0)</f>
        <v>905-815-1914</v>
      </c>
      <c r="S105" t="str">
        <f>VLOOKUP($B105,Customers!$B:$T,16,0)</f>
        <v>Credit</v>
      </c>
      <c r="T105" t="str">
        <f>VLOOKUP($B105,Customers!$B:$T,18,0)</f>
        <v>Mastercard</v>
      </c>
      <c r="U105" t="str">
        <f>VLOOKUP($B105,Customers!$B:$T,19,0)</f>
        <v>1490</v>
      </c>
      <c r="V105">
        <f ca="1">COUNTIF(C:C,C105)-1</f>
        <v>3</v>
      </c>
      <c r="X105">
        <f t="shared" si="83"/>
        <v>41.93</v>
      </c>
      <c r="Y105">
        <f t="shared" si="84"/>
        <v>5.45</v>
      </c>
      <c r="AA105">
        <v>4005</v>
      </c>
      <c r="AB105" t="s">
        <v>69</v>
      </c>
      <c r="AC105">
        <v>7</v>
      </c>
      <c r="AD105">
        <v>5.99</v>
      </c>
      <c r="AE105">
        <f>AC105*AD105</f>
        <v>41.93</v>
      </c>
      <c r="AF105" s="54" t="str">
        <f>"{ '"&amp;AA$3&amp;"' : '"&amp;AA105&amp;"', '"&amp;AB$3&amp;"' : '"&amp;AB105&amp;"', '"&amp;AC$3&amp;"' : "&amp;AC105&amp;", '"&amp;AD$3&amp;"' : "&amp;AD105&amp;", '"&amp;AE$3&amp;"' : "&amp;AE105&amp;" }"</f>
        <v>{ 'productId' : '4005', 'productName' : 'Bear Claw', 'quantity' : 7, 'price' : 5.99, 'subTotal' : 41.93 }</v>
      </c>
      <c r="AG105" s="48">
        <v>44873</v>
      </c>
      <c r="AH105" s="48" t="str">
        <f t="shared" si="87"/>
        <v>111648</v>
      </c>
      <c r="AI105" t="str">
        <f t="shared" si="87"/>
        <v>Delivered</v>
      </c>
      <c r="AJ105" s="48">
        <f t="shared" si="87"/>
        <v>44873</v>
      </c>
    </row>
    <row r="106" spans="1:39" x14ac:dyDescent="0.35">
      <c r="A106" t="s">
        <v>759</v>
      </c>
      <c r="B106" t="s">
        <v>698</v>
      </c>
      <c r="C106" t="s">
        <v>741</v>
      </c>
      <c r="D106" t="s">
        <v>680</v>
      </c>
      <c r="E106" t="s">
        <v>315</v>
      </c>
      <c r="F106" t="s">
        <v>403</v>
      </c>
      <c r="G106" t="s">
        <v>601</v>
      </c>
      <c r="H106" t="s">
        <v>432</v>
      </c>
      <c r="I106" t="s">
        <v>26</v>
      </c>
      <c r="J106" t="s">
        <v>466</v>
      </c>
      <c r="K106" t="s">
        <v>491</v>
      </c>
      <c r="L106" t="str">
        <f t="shared" si="86"/>
        <v>Declan Johnson</v>
      </c>
      <c r="M106" t="str">
        <f>VLOOKUP($B106,Customers!$B:$J,4,0)</f>
        <v>1676 Speers Road</v>
      </c>
      <c r="O106" t="str">
        <f>VLOOKUP($B106,Customers!$B:$J,6,0)</f>
        <v>Oakville</v>
      </c>
      <c r="P106" t="str">
        <f>VLOOKUP($B106,Customers!$B:$J,7,0)</f>
        <v>Ontario</v>
      </c>
      <c r="Q106" t="str">
        <f>VLOOKUP($B106,Customers!$B:$J,8,0)</f>
        <v>L6J 3X4</v>
      </c>
      <c r="R106" t="str">
        <f>VLOOKUP($B106,Customers!$B:$J,9,0)</f>
        <v>905-815-1914</v>
      </c>
      <c r="S106" t="str">
        <f>VLOOKUP($B106,Customers!$B:$T,16,0)</f>
        <v>Credit</v>
      </c>
      <c r="T106" t="str">
        <f>VLOOKUP($B106,Customers!$B:$T,18,0)</f>
        <v>Mastercard</v>
      </c>
      <c r="U106" t="str">
        <f>VLOOKUP($B106,Customers!$B:$T,19,0)</f>
        <v>1490</v>
      </c>
      <c r="V106">
        <f ca="1">COUNTIF(C:C,C106)-1</f>
        <v>3</v>
      </c>
      <c r="W106">
        <f>SUM(X106:Z106)</f>
        <v>320.77</v>
      </c>
      <c r="X106">
        <f>SUM(X99:X105)</f>
        <v>279.45</v>
      </c>
      <c r="Y106">
        <f>SUM(Y99:Y105)</f>
        <v>36.33</v>
      </c>
      <c r="Z106">
        <v>4.99</v>
      </c>
      <c r="AF106" s="54"/>
      <c r="AG106" s="48">
        <f>AG105</f>
        <v>44873</v>
      </c>
      <c r="AH106" s="48"/>
      <c r="AI106" t="str">
        <f t="shared" si="87"/>
        <v>Delivered</v>
      </c>
      <c r="AJ106" s="48">
        <f t="shared" si="87"/>
        <v>44873</v>
      </c>
    </row>
    <row r="107" spans="1:39" s="58" customFormat="1" ht="43.5" x14ac:dyDescent="0.35">
      <c r="A107" s="60" t="s">
        <v>760</v>
      </c>
      <c r="B107" s="60" t="str">
        <f>IF(B106="","","'"&amp;B$3&amp;"' : '"&amp;B106&amp;"', ")</f>
        <v xml:space="preserve">'emailAddress' : 'johnsondeclan@gmail.com', </v>
      </c>
      <c r="C107" s="60" t="str">
        <f>IF(C106="","","'"&amp;C$3&amp;"' : '"&amp;C106&amp;"', ")</f>
        <v xml:space="preserve">'orderId' : '20221108111648', </v>
      </c>
      <c r="D107" s="60" t="str">
        <f>IF(D106="","","'"&amp;D$3&amp;"' : '"&amp;D106&amp;"', ")</f>
        <v xml:space="preserve">'employeeUserName' : 'lzapanta', </v>
      </c>
      <c r="E107" s="60" t="str">
        <f>IF(E106="","","'"&amp;$F$2&amp;"' : { '"&amp;E$3&amp;"' : '"&amp;E106&amp;"' , ")</f>
        <v xml:space="preserve">'deliveryAddress' : { 'name' : 'Declan Johnson' , </v>
      </c>
      <c r="F107" s="60" t="str">
        <f>IF(F106="","","'"&amp;F$3&amp;"' : '"&amp;F106&amp;"' , ")</f>
        <v xml:space="preserve">'street' : '1676 Speers Road' , </v>
      </c>
      <c r="G107" s="60" t="str">
        <f>IF(G106="","","'"&amp;G$3&amp;"' : '"&amp;G106&amp;"' , ")</f>
        <v xml:space="preserve">'unit' : '71' , </v>
      </c>
      <c r="H107" s="60" t="str">
        <f>IF(H106="","","'"&amp;H$3&amp;"' : '"&amp;H106&amp;"' , ")</f>
        <v xml:space="preserve">'city' : 'Oakville' , </v>
      </c>
      <c r="I107" s="60" t="str">
        <f>IF(I106="","","'"&amp;I$3&amp;"' : '"&amp;I106&amp;"' , ")</f>
        <v xml:space="preserve">'province' : 'Ontario' , </v>
      </c>
      <c r="J107" s="60" t="str">
        <f>IF(J106="","","'"&amp;J$3&amp;"' : '"&amp;J106&amp;"' , ")</f>
        <v xml:space="preserve">'zip' : 'L6J 3X4' , </v>
      </c>
      <c r="K107" s="60" t="str">
        <f>IF(K106="","","'"&amp;K$3&amp;"' : '"&amp;K106&amp;"' } , ")</f>
        <v xml:space="preserve">'mobileNumber' : '905-815-1914' } , </v>
      </c>
      <c r="L107" s="60" t="str">
        <f>IF(L106="","","'"&amp;$L$2&amp;"' : { '"&amp;L$3&amp;"' : '"&amp;L106&amp;"' , ")</f>
        <v xml:space="preserve">'billingsAddress' : { 'name' : 'Declan Johnson' , </v>
      </c>
      <c r="M107" s="60" t="str">
        <f>IF(M106="","","'"&amp;M$3&amp;"' : '"&amp;M106&amp;"' , ")</f>
        <v xml:space="preserve">'street' : '1676 Speers Road' , </v>
      </c>
      <c r="N107" s="60" t="str">
        <f>IF(N106="","","'"&amp;N$3&amp;"' : '"&amp;N106&amp;"' , ")</f>
        <v/>
      </c>
      <c r="O107" s="60" t="str">
        <f>IF(O106="","","'"&amp;O$3&amp;"' : '"&amp;O106&amp;"' , ")</f>
        <v xml:space="preserve">'city' : 'Oakville' , </v>
      </c>
      <c r="P107" s="60" t="str">
        <f>IF(P106="","","'"&amp;P$3&amp;"' : '"&amp;P106&amp;"' , ")</f>
        <v xml:space="preserve">'province' : 'Ontario' , </v>
      </c>
      <c r="Q107" s="60" t="str">
        <f>IF(Q106="","","'"&amp;Q$3&amp;"' : '"&amp;Q106&amp;"' , ")</f>
        <v xml:space="preserve">'zip' : 'L6J 3X4' , </v>
      </c>
      <c r="R107" s="60" t="str">
        <f>IF(R106="","","'"&amp;R$3&amp;"' : '"&amp;R106&amp;"' } , ")</f>
        <v xml:space="preserve">'mobileNumber' : '905-815-1914' } , </v>
      </c>
      <c r="S107" s="60" t="str">
        <f>IF(S106="","","'"&amp;$S$2&amp;"' : { '"&amp;S$3&amp;"' : '"&amp;S106&amp;"' , ")</f>
        <v xml:space="preserve">'paymentMethod' : { 'paymentType' : 'Credit' , </v>
      </c>
      <c r="T107" s="60" t="str">
        <f>IF(T106="","","'"&amp;T$3&amp;"' : '"&amp;T106&amp;"' , ")</f>
        <v xml:space="preserve">'cardScheme' : 'Mastercard' , </v>
      </c>
      <c r="U107" s="60" t="str">
        <f>IF(U106="","","'"&amp;U$3&amp;"' : '"&amp;U106&amp;"' } , ")</f>
        <v xml:space="preserve">'cardLast4' : '1490' } , </v>
      </c>
      <c r="V107" s="60" t="str">
        <f ca="1">IF(V106="","","'"&amp;V$3&amp;"' : "&amp;V106&amp;", ")</f>
        <v xml:space="preserve">'totalQty' : 3, </v>
      </c>
      <c r="W107" s="60" t="str">
        <f>IF(W106="","","'"&amp;W$3&amp;"' : "&amp;W106&amp;", ")</f>
        <v xml:space="preserve">'orderTotal' : 320.77, </v>
      </c>
      <c r="X107" s="60" t="str">
        <f>IF(X106="","","'"&amp;X$3&amp;"' : "&amp;X106&amp;", ")</f>
        <v xml:space="preserve">'grossTotal' : 279.45, </v>
      </c>
      <c r="Y107" s="60" t="str">
        <f>IF(Y106="","","'"&amp;Y$3&amp;"' : "&amp;Y106&amp;", ")</f>
        <v xml:space="preserve">'tax' : 36.33, </v>
      </c>
      <c r="Z107" s="60" t="str">
        <f>IF(Z106="","","'"&amp;Z$3&amp;"' : "&amp;Z106&amp;", ")</f>
        <v xml:space="preserve">'deliveryFee' : 4.99, </v>
      </c>
      <c r="AA107" s="60"/>
      <c r="AB107" s="60"/>
      <c r="AC107" s="60"/>
      <c r="AD107" s="60"/>
      <c r="AE107" s="60"/>
      <c r="AF107" s="60" t="str">
        <f>$AA$2&amp;" : "&amp;_xlfn.CONCAT("[ ",AF103:AF105,"], ")</f>
        <v xml:space="preserve">orderDetails : [ { 'productId' : '4012', 'productName' : 'Empanada', 'quantity' : 13, 'price' : 6.79, 'subTotal' : 88.27 },{ 'productId' : '4016', 'productName' : 'Chocolate Chip Bagel', 'quantity' : 7, 'price' : 7.23, 'subTotal' : 50.61 },{ 'productId' : '4005', 'productName' : 'Bear Claw', 'quantity' : 7, 'price' : 5.99, 'subTotal' : 41.93 }], </v>
      </c>
      <c r="AG107" s="60" t="str">
        <f>IF(AG106="","","'"&amp;AG$3&amp;"' : new Date('"&amp;TEXT(AG106,"yyyy-mm-dd")&amp;"'), ")</f>
        <v xml:space="preserve">'orderDate' : new Date('2022-11-08'), </v>
      </c>
      <c r="AH107" s="60"/>
      <c r="AI107" s="60" t="str">
        <f>IF(AI106="","","'"&amp;AI$3&amp;"' : '"&amp;AI106&amp;"', ")</f>
        <v xml:space="preserve">'orderStatus' : 'Delivered', </v>
      </c>
      <c r="AJ107" s="60" t="str">
        <f>IF(AJ106="","","'"&amp;AJ$3&amp;"' : new Date('"&amp;TEXT(AJ106,"yyyy-mm-dd")&amp;"') ")</f>
        <v xml:space="preserve">'statusDate' : new Date('2022-11-08') </v>
      </c>
      <c r="AK107" s="60"/>
      <c r="AL107" s="59"/>
      <c r="AM107" s="58" t="str">
        <f ca="1">_xlfn.CONCAT("{ ",B107:AJ107,"} ,")</f>
        <v>{ 'emailAddress' : 'johnsondeclan@gmail.com', 'orderId' : '20221108111648', 'employeeUserName' : 'lzapanta', 'deliveryAddress' : { 'name' : 'Declan Johnson' , 'street' : '1676 Speers Road' , 'unit' : '71' , 'city' : 'Oakville' , 'province' : 'Ontario' , 'zip' : 'L6J 3X4' , 'mobileNumber' : '905-815-1914' } , 'billingsAddress' : { 'name' : 'Declan Johnson' , 'street' : '1676 Speers Road' , 'city' : 'Oakville' , 'province' : 'Ontario' , 'zip' : 'L6J 3X4' , 'mobileNumber' : '905-815-1914' } , 'paymentMethod' : { 'paymentType' : 'Credit' , 'cardScheme' : 'Mastercard' , 'cardLast4' : '1490' } , 'totalQty' : 3, 'orderTotal' : 320.77, 'grossTotal' : 279.45, 'tax' : 36.33, 'deliveryFee' : 4.99, orderDetails : [ { 'productId' : '4012', 'productName' : 'Empanada', 'quantity' : 13, 'price' : 6.79, 'subTotal' : 88.27 },{ 'productId' : '4016', 'productName' : 'Chocolate Chip Bagel', 'quantity' : 7, 'price' : 7.23, 'subTotal' : 50.61 },{ 'productId' : '4005', 'productName' : 'Bear Claw', 'quantity' : 7, 'price' : 5.99, 'subTotal' : 41.93 }], 'orderDate' : new Date('2022-11-08'), 'orderStatus' : 'Delivered', 'statusDate' : new Date('2022-11-08') } ,</v>
      </c>
    </row>
    <row r="108" spans="1:39" x14ac:dyDescent="0.35">
      <c r="B108" t="s">
        <v>727</v>
      </c>
      <c r="C108" s="49" t="str">
        <f>TEXT(AG108,"yyyymmdd")&amp;AH108</f>
        <v>20221108114537</v>
      </c>
      <c r="D108" t="s">
        <v>681</v>
      </c>
      <c r="E108" t="s">
        <v>334</v>
      </c>
      <c r="F108" t="s">
        <v>414</v>
      </c>
      <c r="G108" t="s">
        <v>571</v>
      </c>
      <c r="H108" t="s">
        <v>438</v>
      </c>
      <c r="I108" t="s">
        <v>26</v>
      </c>
      <c r="J108" t="s">
        <v>472</v>
      </c>
      <c r="K108" t="s">
        <v>502</v>
      </c>
      <c r="L108" t="str">
        <f t="shared" ref="L108:L111" si="88">E108</f>
        <v>Ivy Clarkson</v>
      </c>
      <c r="M108" t="str">
        <f>VLOOKUP($B108,Customers!$B:$J,4,0)</f>
        <v>1028 Garafraxa St</v>
      </c>
      <c r="N108" t="str">
        <f>VLOOKUP($B108,Customers!$B:$J,5,0)</f>
        <v>312</v>
      </c>
      <c r="O108" t="str">
        <f>VLOOKUP($B108,Customers!$B:$J,6,0)</f>
        <v>Tara</v>
      </c>
      <c r="P108" t="str">
        <f>VLOOKUP($B108,Customers!$B:$J,7,0)</f>
        <v>Ontario</v>
      </c>
      <c r="Q108" t="str">
        <f>VLOOKUP($B108,Customers!$B:$J,8,0)</f>
        <v>N0H 2N0</v>
      </c>
      <c r="R108" t="str">
        <f>VLOOKUP($B108,Customers!$B:$J,9,0)</f>
        <v>519-934-6315</v>
      </c>
      <c r="S108" t="str">
        <f>VLOOKUP($B108,Customers!$B:$T,16,0)</f>
        <v>Credit</v>
      </c>
      <c r="T108" t="str">
        <f>VLOOKUP($B108,Customers!$B:$T,18,0)</f>
        <v>Visa</v>
      </c>
      <c r="U108" t="str">
        <f>VLOOKUP($B108,Customers!$B:$T,19,0)</f>
        <v>1551</v>
      </c>
      <c r="V108">
        <f ca="1">COUNTIF(C:C,C108)-1</f>
        <v>3</v>
      </c>
      <c r="X108">
        <f t="shared" ref="X108:X110" si="89">AC108*AD108</f>
        <v>107.58</v>
      </c>
      <c r="Y108">
        <f t="shared" ref="Y108:Y110" si="90">ROUND(X108*13%,2)</f>
        <v>13.99</v>
      </c>
      <c r="AA108">
        <v>4014</v>
      </c>
      <c r="AB108" t="s">
        <v>81</v>
      </c>
      <c r="AC108">
        <v>22</v>
      </c>
      <c r="AD108">
        <v>4.8899999999999997</v>
      </c>
      <c r="AE108">
        <f>AC108*AD108</f>
        <v>107.58</v>
      </c>
      <c r="AF108" s="54" t="str">
        <f>"{ '"&amp;AA$3&amp;"' : '"&amp;AA108&amp;"', '"&amp;AB$3&amp;"' : '"&amp;AB108&amp;"', '"&amp;AC$3&amp;"' : "&amp;AC108&amp;", '"&amp;AD$3&amp;"' : "&amp;AD108&amp;", '"&amp;AE$3&amp;"' : "&amp;AE108&amp;" },"</f>
        <v>{ 'productId' : '4014', 'productName' : 'Pan de Coco', 'quantity' : 22, 'price' : 4.89, 'subTotal' : 107.58 },</v>
      </c>
      <c r="AG108" s="48">
        <v>44873</v>
      </c>
      <c r="AH108" s="61" t="s">
        <v>763</v>
      </c>
      <c r="AI108" t="s">
        <v>755</v>
      </c>
      <c r="AJ108" s="48">
        <f>AG108</f>
        <v>44873</v>
      </c>
      <c r="AK108" t="s">
        <v>698</v>
      </c>
    </row>
    <row r="109" spans="1:39" x14ac:dyDescent="0.35">
      <c r="B109" t="s">
        <v>727</v>
      </c>
      <c r="C109" t="str">
        <f>C108</f>
        <v>20221108114537</v>
      </c>
      <c r="D109" t="s">
        <v>681</v>
      </c>
      <c r="E109" t="s">
        <v>334</v>
      </c>
      <c r="F109" t="s">
        <v>414</v>
      </c>
      <c r="G109" t="s">
        <v>571</v>
      </c>
      <c r="H109" t="s">
        <v>438</v>
      </c>
      <c r="I109" t="s">
        <v>26</v>
      </c>
      <c r="J109" t="s">
        <v>472</v>
      </c>
      <c r="K109" t="s">
        <v>502</v>
      </c>
      <c r="L109" t="str">
        <f t="shared" si="88"/>
        <v>Ivy Clarkson</v>
      </c>
      <c r="M109" t="str">
        <f>VLOOKUP($B109,Customers!$B:$J,4,0)</f>
        <v>1028 Garafraxa St</v>
      </c>
      <c r="N109" t="str">
        <f>VLOOKUP($B109,Customers!$B:$J,5,0)</f>
        <v>312</v>
      </c>
      <c r="O109" t="str">
        <f>VLOOKUP($B109,Customers!$B:$J,6,0)</f>
        <v>Tara</v>
      </c>
      <c r="P109" t="str">
        <f>VLOOKUP($B109,Customers!$B:$J,7,0)</f>
        <v>Ontario</v>
      </c>
      <c r="Q109" t="str">
        <f>VLOOKUP($B109,Customers!$B:$J,8,0)</f>
        <v>N0H 2N0</v>
      </c>
      <c r="R109" t="str">
        <f>VLOOKUP($B109,Customers!$B:$J,9,0)</f>
        <v>519-934-6315</v>
      </c>
      <c r="S109" t="str">
        <f>VLOOKUP($B109,Customers!$B:$T,16,0)</f>
        <v>Credit</v>
      </c>
      <c r="T109" t="str">
        <f>VLOOKUP($B109,Customers!$B:$T,18,0)</f>
        <v>Visa</v>
      </c>
      <c r="U109" t="str">
        <f>VLOOKUP($B109,Customers!$B:$T,19,0)</f>
        <v>1551</v>
      </c>
      <c r="V109">
        <f ca="1">COUNTIF(C:C,C109)-1</f>
        <v>3</v>
      </c>
      <c r="X109">
        <f t="shared" si="89"/>
        <v>4.8899999999999997</v>
      </c>
      <c r="Y109">
        <f t="shared" si="90"/>
        <v>0.64</v>
      </c>
      <c r="AA109">
        <v>4014</v>
      </c>
      <c r="AB109" t="s">
        <v>81</v>
      </c>
      <c r="AC109">
        <v>1</v>
      </c>
      <c r="AD109">
        <v>4.8899999999999997</v>
      </c>
      <c r="AE109">
        <f>AC109*AD109</f>
        <v>4.8899999999999997</v>
      </c>
      <c r="AF109" s="54" t="str">
        <f>"{ '"&amp;AA$3&amp;"' : '"&amp;AA109&amp;"', '"&amp;AB$3&amp;"' : '"&amp;AB109&amp;"', '"&amp;AC$3&amp;"' : "&amp;AC109&amp;", '"&amp;AD$3&amp;"' : "&amp;AD109&amp;", '"&amp;AE$3&amp;"' : "&amp;AE109&amp;" },"</f>
        <v>{ 'productId' : '4014', 'productName' : 'Pan de Coco', 'quantity' : 1, 'price' : 4.89, 'subTotal' : 4.89 },</v>
      </c>
      <c r="AG109" s="48">
        <v>44873</v>
      </c>
      <c r="AH109" s="48" t="str">
        <f t="shared" ref="AH109:AJ111" si="91">AH108</f>
        <v>114537</v>
      </c>
      <c r="AI109" t="str">
        <f t="shared" si="91"/>
        <v>Delivered</v>
      </c>
      <c r="AJ109" s="48">
        <f t="shared" si="91"/>
        <v>44873</v>
      </c>
    </row>
    <row r="110" spans="1:39" x14ac:dyDescent="0.35">
      <c r="B110" t="s">
        <v>727</v>
      </c>
      <c r="C110" t="str">
        <f t="shared" ref="C110:C111" si="92">C109</f>
        <v>20221108114537</v>
      </c>
      <c r="D110" t="s">
        <v>681</v>
      </c>
      <c r="E110" t="s">
        <v>334</v>
      </c>
      <c r="F110" t="s">
        <v>414</v>
      </c>
      <c r="G110" t="s">
        <v>571</v>
      </c>
      <c r="H110" t="s">
        <v>438</v>
      </c>
      <c r="I110" t="s">
        <v>26</v>
      </c>
      <c r="J110" t="s">
        <v>472</v>
      </c>
      <c r="K110" t="s">
        <v>502</v>
      </c>
      <c r="L110" t="str">
        <f t="shared" si="88"/>
        <v>Ivy Clarkson</v>
      </c>
      <c r="M110" t="str">
        <f>VLOOKUP($B110,Customers!$B:$J,4,0)</f>
        <v>1028 Garafraxa St</v>
      </c>
      <c r="N110" t="str">
        <f>VLOOKUP($B110,Customers!$B:$J,5,0)</f>
        <v>312</v>
      </c>
      <c r="O110" t="str">
        <f>VLOOKUP($B110,Customers!$B:$J,6,0)</f>
        <v>Tara</v>
      </c>
      <c r="P110" t="str">
        <f>VLOOKUP($B110,Customers!$B:$J,7,0)</f>
        <v>Ontario</v>
      </c>
      <c r="Q110" t="str">
        <f>VLOOKUP($B110,Customers!$B:$J,8,0)</f>
        <v>N0H 2N0</v>
      </c>
      <c r="R110" t="str">
        <f>VLOOKUP($B110,Customers!$B:$J,9,0)</f>
        <v>519-934-6315</v>
      </c>
      <c r="S110" t="str">
        <f>VLOOKUP($B110,Customers!$B:$T,16,0)</f>
        <v>Credit</v>
      </c>
      <c r="T110" t="str">
        <f>VLOOKUP($B110,Customers!$B:$T,18,0)</f>
        <v>Visa</v>
      </c>
      <c r="U110" t="str">
        <f>VLOOKUP($B110,Customers!$B:$T,19,0)</f>
        <v>1551</v>
      </c>
      <c r="V110">
        <f ca="1">COUNTIF(C:C,C110)-1</f>
        <v>3</v>
      </c>
      <c r="X110">
        <f t="shared" si="89"/>
        <v>112.47</v>
      </c>
      <c r="Y110">
        <f t="shared" si="90"/>
        <v>14.62</v>
      </c>
      <c r="AA110">
        <v>4014</v>
      </c>
      <c r="AB110" t="s">
        <v>81</v>
      </c>
      <c r="AC110">
        <v>23</v>
      </c>
      <c r="AD110">
        <v>4.8899999999999997</v>
      </c>
      <c r="AE110">
        <f>AC110*AD110</f>
        <v>112.47</v>
      </c>
      <c r="AF110" s="54" t="str">
        <f>"{ '"&amp;AA$3&amp;"' : '"&amp;AA110&amp;"', '"&amp;AB$3&amp;"' : '"&amp;AB110&amp;"', '"&amp;AC$3&amp;"' : "&amp;AC110&amp;", '"&amp;AD$3&amp;"' : "&amp;AD110&amp;", '"&amp;AE$3&amp;"' : "&amp;AE110&amp;" }"</f>
        <v>{ 'productId' : '4014', 'productName' : 'Pan de Coco', 'quantity' : 23, 'price' : 4.89, 'subTotal' : 112.47 }</v>
      </c>
      <c r="AG110" s="48">
        <v>44873</v>
      </c>
      <c r="AH110" s="48" t="str">
        <f t="shared" si="91"/>
        <v>114537</v>
      </c>
      <c r="AI110" t="str">
        <f t="shared" si="91"/>
        <v>Delivered</v>
      </c>
      <c r="AJ110" s="48">
        <f t="shared" si="91"/>
        <v>44873</v>
      </c>
    </row>
    <row r="111" spans="1:39" x14ac:dyDescent="0.35">
      <c r="A111" t="s">
        <v>759</v>
      </c>
      <c r="B111" t="s">
        <v>727</v>
      </c>
      <c r="C111" t="str">
        <f t="shared" si="92"/>
        <v>20221108114537</v>
      </c>
      <c r="D111" t="s">
        <v>681</v>
      </c>
      <c r="E111" t="s">
        <v>334</v>
      </c>
      <c r="F111" t="s">
        <v>414</v>
      </c>
      <c r="G111" t="s">
        <v>571</v>
      </c>
      <c r="H111" t="s">
        <v>438</v>
      </c>
      <c r="I111" t="s">
        <v>26</v>
      </c>
      <c r="J111" t="s">
        <v>472</v>
      </c>
      <c r="K111" t="s">
        <v>502</v>
      </c>
      <c r="L111" t="str">
        <f t="shared" si="88"/>
        <v>Ivy Clarkson</v>
      </c>
      <c r="M111" t="str">
        <f>VLOOKUP($B111,Customers!$B:$J,4,0)</f>
        <v>1028 Garafraxa St</v>
      </c>
      <c r="N111" t="str">
        <f>VLOOKUP($B111,Customers!$B:$J,5,0)</f>
        <v>312</v>
      </c>
      <c r="O111" t="str">
        <f>VLOOKUP($B111,Customers!$B:$J,6,0)</f>
        <v>Tara</v>
      </c>
      <c r="P111" t="str">
        <f>VLOOKUP($B111,Customers!$B:$J,7,0)</f>
        <v>Ontario</v>
      </c>
      <c r="Q111" t="str">
        <f>VLOOKUP($B111,Customers!$B:$J,8,0)</f>
        <v>N0H 2N0</v>
      </c>
      <c r="R111" t="str">
        <f>VLOOKUP($B111,Customers!$B:$J,9,0)</f>
        <v>519-934-6315</v>
      </c>
      <c r="S111" t="str">
        <f>VLOOKUP($B111,Customers!$B:$T,16,0)</f>
        <v>Credit</v>
      </c>
      <c r="T111" t="str">
        <f>VLOOKUP($B111,Customers!$B:$T,18,0)</f>
        <v>Visa</v>
      </c>
      <c r="U111" t="str">
        <f>VLOOKUP($B111,Customers!$B:$T,19,0)</f>
        <v>1551</v>
      </c>
      <c r="V111">
        <f ca="1">COUNTIF(C:C,C111)-1</f>
        <v>3</v>
      </c>
      <c r="W111">
        <f>SUM(X111:Z111)</f>
        <v>259.18</v>
      </c>
      <c r="X111">
        <f>SUM(X108:X110)</f>
        <v>224.94</v>
      </c>
      <c r="Y111">
        <f>SUM(Y108:Y110)</f>
        <v>29.25</v>
      </c>
      <c r="Z111">
        <v>4.99</v>
      </c>
      <c r="AF111" s="54"/>
      <c r="AG111" s="48">
        <f>AG110</f>
        <v>44873</v>
      </c>
      <c r="AH111" s="48"/>
      <c r="AI111" t="str">
        <f t="shared" si="91"/>
        <v>Delivered</v>
      </c>
      <c r="AJ111" s="48">
        <f t="shared" si="91"/>
        <v>44873</v>
      </c>
    </row>
    <row r="112" spans="1:39" s="58" customFormat="1" ht="43.5" x14ac:dyDescent="0.35">
      <c r="A112" s="60" t="s">
        <v>760</v>
      </c>
      <c r="B112" s="60" t="str">
        <f>IF(B111="","","'"&amp;B$3&amp;"' : '"&amp;B111&amp;"', ")</f>
        <v xml:space="preserve">'emailAddress' : 'ivyclarkson@gmail.com', </v>
      </c>
      <c r="C112" s="60" t="str">
        <f>IF(C111="","","'"&amp;C$3&amp;"' : '"&amp;C111&amp;"', ")</f>
        <v xml:space="preserve">'orderId' : '20221108114537', </v>
      </c>
      <c r="D112" s="60" t="str">
        <f>IF(D111="","","'"&amp;D$3&amp;"' : '"&amp;D111&amp;"', ")</f>
        <v xml:space="preserve">'employeeUserName' : 'jbartolata', </v>
      </c>
      <c r="E112" s="60" t="str">
        <f>IF(E111="","","'"&amp;$F$2&amp;"' : { '"&amp;E$3&amp;"' : '"&amp;E111&amp;"' , ")</f>
        <v xml:space="preserve">'deliveryAddress' : { 'name' : 'Ivy Clarkson' , </v>
      </c>
      <c r="F112" s="60" t="str">
        <f>IF(F111="","","'"&amp;F$3&amp;"' : '"&amp;F111&amp;"' , ")</f>
        <v xml:space="preserve">'street' : '1028 Garafraxa St' , </v>
      </c>
      <c r="G112" s="60" t="str">
        <f>IF(G111="","","'"&amp;G$3&amp;"' : '"&amp;G111&amp;"' , ")</f>
        <v xml:space="preserve">'unit' : '312' , </v>
      </c>
      <c r="H112" s="60" t="str">
        <f>IF(H111="","","'"&amp;H$3&amp;"' : '"&amp;H111&amp;"' , ")</f>
        <v xml:space="preserve">'city' : 'Tara' , </v>
      </c>
      <c r="I112" s="60" t="str">
        <f>IF(I111="","","'"&amp;I$3&amp;"' : '"&amp;I111&amp;"' , ")</f>
        <v xml:space="preserve">'province' : 'Ontario' , </v>
      </c>
      <c r="J112" s="60" t="str">
        <f>IF(J111="","","'"&amp;J$3&amp;"' : '"&amp;J111&amp;"' , ")</f>
        <v xml:space="preserve">'zip' : 'N0H 2N0' , </v>
      </c>
      <c r="K112" s="60" t="str">
        <f>IF(K111="","","'"&amp;K$3&amp;"' : '"&amp;K111&amp;"' } , ")</f>
        <v xml:space="preserve">'mobileNumber' : '519-934-6315' } , </v>
      </c>
      <c r="L112" s="60" t="str">
        <f>IF(L111="","","'"&amp;$L$2&amp;"' : { '"&amp;L$3&amp;"' : '"&amp;L111&amp;"' , ")</f>
        <v xml:space="preserve">'billingsAddress' : { 'name' : 'Ivy Clarkson' , </v>
      </c>
      <c r="M112" s="60" t="str">
        <f>IF(M111="","","'"&amp;M$3&amp;"' : '"&amp;M111&amp;"' , ")</f>
        <v xml:space="preserve">'street' : '1028 Garafraxa St' , </v>
      </c>
      <c r="N112" s="60" t="str">
        <f>IF(N111="","","'"&amp;N$3&amp;"' : '"&amp;N111&amp;"' , ")</f>
        <v xml:space="preserve">'unit' : '312' , </v>
      </c>
      <c r="O112" s="60" t="str">
        <f>IF(O111="","","'"&amp;O$3&amp;"' : '"&amp;O111&amp;"' , ")</f>
        <v xml:space="preserve">'city' : 'Tara' , </v>
      </c>
      <c r="P112" s="60" t="str">
        <f>IF(P111="","","'"&amp;P$3&amp;"' : '"&amp;P111&amp;"' , ")</f>
        <v xml:space="preserve">'province' : 'Ontario' , </v>
      </c>
      <c r="Q112" s="60" t="str">
        <f>IF(Q111="","","'"&amp;Q$3&amp;"' : '"&amp;Q111&amp;"' , ")</f>
        <v xml:space="preserve">'zip' : 'N0H 2N0' , </v>
      </c>
      <c r="R112" s="60" t="str">
        <f>IF(R111="","","'"&amp;R$3&amp;"' : '"&amp;R111&amp;"' } , ")</f>
        <v xml:space="preserve">'mobileNumber' : '519-934-6315' } , </v>
      </c>
      <c r="S112" s="60" t="str">
        <f>IF(S111="","","'"&amp;$S$2&amp;"' : { '"&amp;S$3&amp;"' : '"&amp;S111&amp;"' , ")</f>
        <v xml:space="preserve">'paymentMethod' : { 'paymentType' : 'Credit' , </v>
      </c>
      <c r="T112" s="60" t="str">
        <f>IF(T111="","","'"&amp;T$3&amp;"' : '"&amp;T111&amp;"' , ")</f>
        <v xml:space="preserve">'cardScheme' : 'Visa' , </v>
      </c>
      <c r="U112" s="60" t="str">
        <f>IF(U111="","","'"&amp;U$3&amp;"' : '"&amp;U111&amp;"' } , ")</f>
        <v xml:space="preserve">'cardLast4' : '1551' } , </v>
      </c>
      <c r="V112" s="60" t="str">
        <f ca="1">IF(V111="","","'"&amp;V$3&amp;"' : "&amp;V111&amp;", ")</f>
        <v xml:space="preserve">'totalQty' : 3, </v>
      </c>
      <c r="W112" s="60" t="str">
        <f>IF(W111="","","'"&amp;W$3&amp;"' : "&amp;W111&amp;", ")</f>
        <v xml:space="preserve">'orderTotal' : 259.18, </v>
      </c>
      <c r="X112" s="60" t="str">
        <f>IF(X111="","","'"&amp;X$3&amp;"' : "&amp;X111&amp;", ")</f>
        <v xml:space="preserve">'grossTotal' : 224.94, </v>
      </c>
      <c r="Y112" s="60" t="str">
        <f>IF(Y111="","","'"&amp;Y$3&amp;"' : "&amp;Y111&amp;", ")</f>
        <v xml:space="preserve">'tax' : 29.25, </v>
      </c>
      <c r="Z112" s="60" t="str">
        <f>IF(Z111="","","'"&amp;Z$3&amp;"' : "&amp;Z111&amp;", ")</f>
        <v xml:space="preserve">'deliveryFee' : 4.99, </v>
      </c>
      <c r="AA112" s="60"/>
      <c r="AB112" s="60"/>
      <c r="AC112" s="60"/>
      <c r="AD112" s="60"/>
      <c r="AE112" s="60"/>
      <c r="AF112" s="60" t="str">
        <f>$AA$2&amp;" : "&amp;_xlfn.CONCAT("[ ",AF108:AF110,"], ")</f>
        <v xml:space="preserve">orderDetails : [ { 'productId' : '4014', 'productName' : 'Pan de Coco', 'quantity' : 22, 'price' : 4.89, 'subTotal' : 107.58 },{ 'productId' : '4014', 'productName' : 'Pan de Coco', 'quantity' : 1, 'price' : 4.89, 'subTotal' : 4.89 },{ 'productId' : '4014', 'productName' : 'Pan de Coco', 'quantity' : 23, 'price' : 4.89, 'subTotal' : 112.47 }], </v>
      </c>
      <c r="AG112" s="60" t="str">
        <f>IF(AG111="","","'"&amp;AG$3&amp;"' : new Date('"&amp;TEXT(AG111,"yyyy-mm-dd")&amp;"'), ")</f>
        <v xml:space="preserve">'orderDate' : new Date('2022-11-08'), </v>
      </c>
      <c r="AH112" s="60"/>
      <c r="AI112" s="60" t="str">
        <f>IF(AI111="","","'"&amp;AI$3&amp;"' : '"&amp;AI111&amp;"', ")</f>
        <v xml:space="preserve">'orderStatus' : 'Delivered', </v>
      </c>
      <c r="AJ112" s="60" t="str">
        <f>IF(AJ111="","","'"&amp;AJ$3&amp;"' : new Date('"&amp;TEXT(AJ111,"yyyy-mm-dd")&amp;"') ")</f>
        <v xml:space="preserve">'statusDate' : new Date('2022-11-08') </v>
      </c>
      <c r="AK112" s="60"/>
      <c r="AL112" s="59"/>
      <c r="AM112" s="58" t="str">
        <f ca="1">_xlfn.CONCAT("{ ",B112:AJ112,"} ,")</f>
        <v>{ 'emailAddress' : 'ivyclarkson@gmail.com', 'orderId' : '20221108114537', 'employeeUserName' : 'jbartolata', 'deliveryAddress' : { 'name' : 'Ivy Clarkson' , 'street' : '1028 Garafraxa St' , 'unit' : '312' , 'city' : 'Tara' , 'province' : 'Ontario' , 'zip' : 'N0H 2N0' , 'mobileNumber' : '519-934-6315' } , 'billingsAddress' : { 'name' : 'Ivy Clarkson' , 'street' : '1028 Garafraxa St' , 'unit' : '312' , 'city' : 'Tara' , 'province' : 'Ontario' , 'zip' : 'N0H 2N0' , 'mobileNumber' : '519-934-6315' } , 'paymentMethod' : { 'paymentType' : 'Credit' , 'cardScheme' : 'Visa' , 'cardLast4' : '1551' } , 'totalQty' : 3, 'orderTotal' : 259.18, 'grossTotal' : 224.94, 'tax' : 29.25, 'deliveryFee' : 4.99, orderDetails : [ { 'productId' : '4014', 'productName' : 'Pan de Coco', 'quantity' : 22, 'price' : 4.89, 'subTotal' : 107.58 },{ 'productId' : '4014', 'productName' : 'Pan de Coco', 'quantity' : 1, 'price' : 4.89, 'subTotal' : 4.89 },{ 'productId' : '4014', 'productName' : 'Pan de Coco', 'quantity' : 23, 'price' : 4.89, 'subTotal' : 112.47 }], 'orderDate' : new Date('2022-11-08'), 'orderStatus' : 'Delivered', 'statusDate' : new Date('2022-11-08') } ,</v>
      </c>
    </row>
    <row r="113" spans="1:39" x14ac:dyDescent="0.35">
      <c r="B113" t="s">
        <v>732</v>
      </c>
      <c r="C113" s="49" t="s">
        <v>742</v>
      </c>
      <c r="D113" t="s">
        <v>680</v>
      </c>
      <c r="E113" t="s">
        <v>332</v>
      </c>
      <c r="F113" t="s">
        <v>416</v>
      </c>
      <c r="G113" t="s">
        <v>573</v>
      </c>
      <c r="H113" t="s">
        <v>440</v>
      </c>
      <c r="I113" t="s">
        <v>453</v>
      </c>
      <c r="J113" t="s">
        <v>474</v>
      </c>
      <c r="K113" t="s">
        <v>504</v>
      </c>
      <c r="L113" t="str">
        <f t="shared" ref="L113:L116" si="93">E113</f>
        <v>Octavia Boyd</v>
      </c>
      <c r="M113" t="str">
        <f>VLOOKUP($B113,Customers!$B:$J,4,0)</f>
        <v>2179 Côte Joyeuse</v>
      </c>
      <c r="N113" t="str">
        <f>VLOOKUP($B113,Customers!$B:$J,5,0)</f>
        <v>314</v>
      </c>
      <c r="O113" t="str">
        <f>VLOOKUP($B113,Customers!$B:$J,6,0)</f>
        <v>L'etape</v>
      </c>
      <c r="P113" t="str">
        <f>VLOOKUP($B113,Customers!$B:$J,7,0)</f>
        <v>Quebec</v>
      </c>
      <c r="Q113" t="str">
        <f>VLOOKUP($B113,Customers!$B:$J,8,0)</f>
        <v>H0H 0H0</v>
      </c>
      <c r="R113" t="str">
        <f>VLOOKUP($B113,Customers!$B:$J,9,0)</f>
        <v>418-859-5959</v>
      </c>
      <c r="S113" t="str">
        <f>VLOOKUP($B113,Customers!$B:$T,16,0)</f>
        <v>Credit</v>
      </c>
      <c r="T113" t="str">
        <f>VLOOKUP($B113,Customers!$B:$T,18,0)</f>
        <v>Mastercard</v>
      </c>
      <c r="U113" t="str">
        <f>VLOOKUP($B113,Customers!$B:$T,19,0)</f>
        <v>5941</v>
      </c>
      <c r="V113">
        <f ca="1">COUNTIF(C:C,C113)-1</f>
        <v>3</v>
      </c>
      <c r="X113">
        <f t="shared" ref="X113:X115" si="94">AC113*AD113</f>
        <v>96.75</v>
      </c>
      <c r="Y113">
        <f t="shared" ref="Y113:Y115" si="95">ROUND(X113*13%,2)</f>
        <v>12.58</v>
      </c>
      <c r="AA113">
        <v>4008</v>
      </c>
      <c r="AB113" t="s">
        <v>72</v>
      </c>
      <c r="AC113">
        <v>15</v>
      </c>
      <c r="AD113">
        <v>6.45</v>
      </c>
      <c r="AE113">
        <f>AC113*AD113</f>
        <v>96.75</v>
      </c>
      <c r="AF113" s="54" t="str">
        <f>"{ '"&amp;AA$3&amp;"' : '"&amp;AA113&amp;"', '"&amp;AB$3&amp;"' : '"&amp;AB113&amp;"', '"&amp;AC$3&amp;"' : "&amp;AC113&amp;", '"&amp;AD$3&amp;"' : "&amp;AD113&amp;", '"&amp;AE$3&amp;"' : "&amp;AE113&amp;" },"</f>
        <v>{ 'productId' : '4008', 'productName' : 'Vanilla Cinnamon Roll', 'quantity' : 15, 'price' : 6.45, 'subTotal' : 96.75 },</v>
      </c>
      <c r="AG113" s="48">
        <v>44874</v>
      </c>
      <c r="AH113" s="50" t="s">
        <v>743</v>
      </c>
      <c r="AI113" t="s">
        <v>755</v>
      </c>
      <c r="AJ113" s="48">
        <f>AG113</f>
        <v>44874</v>
      </c>
      <c r="AK113" t="s">
        <v>715</v>
      </c>
    </row>
    <row r="114" spans="1:39" x14ac:dyDescent="0.35">
      <c r="B114" t="s">
        <v>732</v>
      </c>
      <c r="C114" t="s">
        <v>742</v>
      </c>
      <c r="D114" t="s">
        <v>680</v>
      </c>
      <c r="E114" t="s">
        <v>332</v>
      </c>
      <c r="F114" t="s">
        <v>416</v>
      </c>
      <c r="G114" t="s">
        <v>573</v>
      </c>
      <c r="H114" t="s">
        <v>440</v>
      </c>
      <c r="I114" t="s">
        <v>453</v>
      </c>
      <c r="J114" t="s">
        <v>474</v>
      </c>
      <c r="K114" t="s">
        <v>504</v>
      </c>
      <c r="L114" t="str">
        <f t="shared" si="93"/>
        <v>Octavia Boyd</v>
      </c>
      <c r="M114" t="str">
        <f>VLOOKUP($B114,Customers!$B:$J,4,0)</f>
        <v>2179 Côte Joyeuse</v>
      </c>
      <c r="N114" t="str">
        <f>VLOOKUP($B114,Customers!$B:$J,5,0)</f>
        <v>314</v>
      </c>
      <c r="O114" t="str">
        <f>VLOOKUP($B114,Customers!$B:$J,6,0)</f>
        <v>L'etape</v>
      </c>
      <c r="P114" t="str">
        <f>VLOOKUP($B114,Customers!$B:$J,7,0)</f>
        <v>Quebec</v>
      </c>
      <c r="Q114" t="str">
        <f>VLOOKUP($B114,Customers!$B:$J,8,0)</f>
        <v>H0H 0H0</v>
      </c>
      <c r="R114" t="str">
        <f>VLOOKUP($B114,Customers!$B:$J,9,0)</f>
        <v>418-859-5959</v>
      </c>
      <c r="S114" t="str">
        <f>VLOOKUP($B114,Customers!$B:$T,16,0)</f>
        <v>Credit</v>
      </c>
      <c r="T114" t="str">
        <f>VLOOKUP($B114,Customers!$B:$T,18,0)</f>
        <v>Mastercard</v>
      </c>
      <c r="U114" t="str">
        <f>VLOOKUP($B114,Customers!$B:$T,19,0)</f>
        <v>5941</v>
      </c>
      <c r="V114">
        <f ca="1">COUNTIF(C:C,C114)-1</f>
        <v>3</v>
      </c>
      <c r="X114">
        <f t="shared" si="94"/>
        <v>10.9</v>
      </c>
      <c r="Y114">
        <f t="shared" si="95"/>
        <v>1.42</v>
      </c>
      <c r="AA114">
        <v>4011</v>
      </c>
      <c r="AB114" t="s">
        <v>75</v>
      </c>
      <c r="AC114">
        <v>2</v>
      </c>
      <c r="AD114">
        <v>5.45</v>
      </c>
      <c r="AE114">
        <f>AC114*AD114</f>
        <v>10.9</v>
      </c>
      <c r="AF114" s="54" t="str">
        <f>"{ '"&amp;AA$3&amp;"' : '"&amp;AA114&amp;"', '"&amp;AB$3&amp;"' : '"&amp;AB114&amp;"', '"&amp;AC$3&amp;"' : "&amp;AC114&amp;", '"&amp;AD$3&amp;"' : "&amp;AD114&amp;", '"&amp;AE$3&amp;"' : "&amp;AE114&amp;" },"</f>
        <v>{ 'productId' : '4011', 'productName' : 'Sesame Bagel', 'quantity' : 2, 'price' : 5.45, 'subTotal' : 10.9 },</v>
      </c>
      <c r="AG114" s="48">
        <v>44874</v>
      </c>
      <c r="AH114" s="48" t="str">
        <f t="shared" ref="AH114:AJ116" si="96">AH113</f>
        <v>093600</v>
      </c>
      <c r="AI114" t="str">
        <f t="shared" si="96"/>
        <v>Delivered</v>
      </c>
      <c r="AJ114" s="48">
        <f t="shared" si="96"/>
        <v>44874</v>
      </c>
    </row>
    <row r="115" spans="1:39" x14ac:dyDescent="0.35">
      <c r="B115" t="s">
        <v>732</v>
      </c>
      <c r="C115" t="s">
        <v>742</v>
      </c>
      <c r="D115" t="s">
        <v>680</v>
      </c>
      <c r="E115" t="s">
        <v>332</v>
      </c>
      <c r="F115" t="s">
        <v>416</v>
      </c>
      <c r="G115" t="s">
        <v>573</v>
      </c>
      <c r="H115" t="s">
        <v>440</v>
      </c>
      <c r="I115" t="s">
        <v>453</v>
      </c>
      <c r="J115" t="s">
        <v>474</v>
      </c>
      <c r="K115" t="s">
        <v>504</v>
      </c>
      <c r="L115" t="str">
        <f t="shared" si="93"/>
        <v>Octavia Boyd</v>
      </c>
      <c r="M115" t="str">
        <f>VLOOKUP($B115,Customers!$B:$J,4,0)</f>
        <v>2179 Côte Joyeuse</v>
      </c>
      <c r="N115" t="str">
        <f>VLOOKUP($B115,Customers!$B:$J,5,0)</f>
        <v>314</v>
      </c>
      <c r="O115" t="str">
        <f>VLOOKUP($B115,Customers!$B:$J,6,0)</f>
        <v>L'etape</v>
      </c>
      <c r="P115" t="str">
        <f>VLOOKUP($B115,Customers!$B:$J,7,0)</f>
        <v>Quebec</v>
      </c>
      <c r="Q115" t="str">
        <f>VLOOKUP($B115,Customers!$B:$J,8,0)</f>
        <v>H0H 0H0</v>
      </c>
      <c r="R115" t="str">
        <f>VLOOKUP($B115,Customers!$B:$J,9,0)</f>
        <v>418-859-5959</v>
      </c>
      <c r="S115" t="str">
        <f>VLOOKUP($B115,Customers!$B:$T,16,0)</f>
        <v>Credit</v>
      </c>
      <c r="T115" t="str">
        <f>VLOOKUP($B115,Customers!$B:$T,18,0)</f>
        <v>Mastercard</v>
      </c>
      <c r="U115" t="str">
        <f>VLOOKUP($B115,Customers!$B:$T,19,0)</f>
        <v>5941</v>
      </c>
      <c r="V115">
        <f ca="1">COUNTIF(C:C,C115)-1</f>
        <v>3</v>
      </c>
      <c r="X115">
        <f t="shared" si="94"/>
        <v>135.45000000000002</v>
      </c>
      <c r="Y115">
        <f t="shared" si="95"/>
        <v>17.61</v>
      </c>
      <c r="AA115">
        <v>4019</v>
      </c>
      <c r="AB115" t="s">
        <v>86</v>
      </c>
      <c r="AC115">
        <v>21</v>
      </c>
      <c r="AD115">
        <v>6.45</v>
      </c>
      <c r="AE115">
        <f>AC115*AD115</f>
        <v>135.45000000000002</v>
      </c>
      <c r="AF115" s="54" t="str">
        <f>"{ '"&amp;AA$3&amp;"' : '"&amp;AA115&amp;"', '"&amp;AB$3&amp;"' : '"&amp;AB115&amp;"', '"&amp;AC$3&amp;"' : "&amp;AC115&amp;", '"&amp;AD$3&amp;"' : "&amp;AD115&amp;", '"&amp;AE$3&amp;"' : "&amp;AE115&amp;" }"</f>
        <v>{ 'productId' : '4019', 'productName' : 'Cinnammon Swirl and Raisen Bagel', 'quantity' : 21, 'price' : 6.45, 'subTotal' : 135.45 }</v>
      </c>
      <c r="AG115" s="48">
        <v>44874</v>
      </c>
      <c r="AH115" s="48" t="str">
        <f t="shared" si="96"/>
        <v>093600</v>
      </c>
      <c r="AI115" t="str">
        <f t="shared" si="96"/>
        <v>Delivered</v>
      </c>
      <c r="AJ115" s="48">
        <f t="shared" si="96"/>
        <v>44874</v>
      </c>
    </row>
    <row r="116" spans="1:39" x14ac:dyDescent="0.35">
      <c r="A116" t="s">
        <v>759</v>
      </c>
      <c r="B116" t="s">
        <v>732</v>
      </c>
      <c r="C116" t="s">
        <v>742</v>
      </c>
      <c r="D116" t="s">
        <v>680</v>
      </c>
      <c r="E116" t="s">
        <v>332</v>
      </c>
      <c r="F116" t="s">
        <v>416</v>
      </c>
      <c r="G116" t="s">
        <v>573</v>
      </c>
      <c r="H116" t="s">
        <v>440</v>
      </c>
      <c r="I116" t="s">
        <v>453</v>
      </c>
      <c r="J116" t="s">
        <v>474</v>
      </c>
      <c r="K116" t="s">
        <v>504</v>
      </c>
      <c r="L116" t="str">
        <f t="shared" si="93"/>
        <v>Octavia Boyd</v>
      </c>
      <c r="M116" t="str">
        <f>VLOOKUP($B116,Customers!$B:$J,4,0)</f>
        <v>2179 Côte Joyeuse</v>
      </c>
      <c r="N116" t="str">
        <f>VLOOKUP($B116,Customers!$B:$J,5,0)</f>
        <v>314</v>
      </c>
      <c r="O116" t="str">
        <f>VLOOKUP($B116,Customers!$B:$J,6,0)</f>
        <v>L'etape</v>
      </c>
      <c r="P116" t="str">
        <f>VLOOKUP($B116,Customers!$B:$J,7,0)</f>
        <v>Quebec</v>
      </c>
      <c r="Q116" t="str">
        <f>VLOOKUP($B116,Customers!$B:$J,8,0)</f>
        <v>H0H 0H0</v>
      </c>
      <c r="R116" t="str">
        <f>VLOOKUP($B116,Customers!$B:$J,9,0)</f>
        <v>418-859-5959</v>
      </c>
      <c r="S116" t="str">
        <f>VLOOKUP($B116,Customers!$B:$T,16,0)</f>
        <v>Credit</v>
      </c>
      <c r="T116" t="str">
        <f>VLOOKUP($B116,Customers!$B:$T,18,0)</f>
        <v>Mastercard</v>
      </c>
      <c r="U116" t="str">
        <f>VLOOKUP($B116,Customers!$B:$T,19,0)</f>
        <v>5941</v>
      </c>
      <c r="V116">
        <f ca="1">COUNTIF(C:C,C116)-1</f>
        <v>3</v>
      </c>
      <c r="W116">
        <f>SUM(X116:Z116)</f>
        <v>279.70000000000005</v>
      </c>
      <c r="X116">
        <f>SUM(X113:X115)</f>
        <v>243.10000000000002</v>
      </c>
      <c r="Y116">
        <f>SUM(Y113:Y115)</f>
        <v>31.61</v>
      </c>
      <c r="Z116">
        <v>4.99</v>
      </c>
      <c r="AF116" s="54"/>
      <c r="AG116" s="48">
        <f>AG115</f>
        <v>44874</v>
      </c>
      <c r="AH116" s="48"/>
      <c r="AI116" t="str">
        <f t="shared" si="96"/>
        <v>Delivered</v>
      </c>
      <c r="AJ116" s="48">
        <f t="shared" si="96"/>
        <v>44874</v>
      </c>
    </row>
    <row r="117" spans="1:39" s="58" customFormat="1" ht="43.5" x14ac:dyDescent="0.35">
      <c r="A117" s="60" t="s">
        <v>760</v>
      </c>
      <c r="B117" s="60" t="str">
        <f>IF(B116="","","'"&amp;B$3&amp;"' : '"&amp;B116&amp;"', ")</f>
        <v xml:space="preserve">'emailAddress' : 'octaviaboyd@gmail.com', </v>
      </c>
      <c r="C117" s="60" t="str">
        <f>IF(C116="","","'"&amp;C$3&amp;"' : '"&amp;C116&amp;"', ")</f>
        <v xml:space="preserve">'orderId' : '20221109093600', </v>
      </c>
      <c r="D117" s="60" t="str">
        <f>IF(D116="","","'"&amp;D$3&amp;"' : '"&amp;D116&amp;"', ")</f>
        <v xml:space="preserve">'employeeUserName' : 'lzapanta', </v>
      </c>
      <c r="E117" s="60" t="str">
        <f>IF(E116="","","'"&amp;$F$2&amp;"' : { '"&amp;E$3&amp;"' : '"&amp;E116&amp;"' , ")</f>
        <v xml:space="preserve">'deliveryAddress' : { 'name' : 'Octavia Boyd' , </v>
      </c>
      <c r="F117" s="60" t="str">
        <f>IF(F116="","","'"&amp;F$3&amp;"' : '"&amp;F116&amp;"' , ")</f>
        <v xml:space="preserve">'street' : '2179 Côte Joyeuse' , </v>
      </c>
      <c r="G117" s="60" t="str">
        <f>IF(G116="","","'"&amp;G$3&amp;"' : '"&amp;G116&amp;"' , ")</f>
        <v xml:space="preserve">'unit' : '314' , </v>
      </c>
      <c r="H117" s="60" t="str">
        <f>IF(H116="","","'"&amp;H$3&amp;"' : '"&amp;H116&amp;"' , ")</f>
        <v xml:space="preserve">'city' : 'L'etape' , </v>
      </c>
      <c r="I117" s="60" t="str">
        <f>IF(I116="","","'"&amp;I$3&amp;"' : '"&amp;I116&amp;"' , ")</f>
        <v xml:space="preserve">'province' : 'Quebec' , </v>
      </c>
      <c r="J117" s="60" t="str">
        <f>IF(J116="","","'"&amp;J$3&amp;"' : '"&amp;J116&amp;"' , ")</f>
        <v xml:space="preserve">'zip' : 'H0H 0H0' , </v>
      </c>
      <c r="K117" s="60" t="str">
        <f>IF(K116="","","'"&amp;K$3&amp;"' : '"&amp;K116&amp;"' } , ")</f>
        <v xml:space="preserve">'mobileNumber' : '418-859-5959' } , </v>
      </c>
      <c r="L117" s="60" t="str">
        <f>IF(L116="","","'"&amp;$L$2&amp;"' : { '"&amp;L$3&amp;"' : '"&amp;L116&amp;"' , ")</f>
        <v xml:space="preserve">'billingsAddress' : { 'name' : 'Octavia Boyd' , </v>
      </c>
      <c r="M117" s="60" t="str">
        <f>IF(M116="","","'"&amp;M$3&amp;"' : '"&amp;M116&amp;"' , ")</f>
        <v xml:space="preserve">'street' : '2179 Côte Joyeuse' , </v>
      </c>
      <c r="N117" s="60" t="str">
        <f>IF(N116="","","'"&amp;N$3&amp;"' : '"&amp;N116&amp;"' , ")</f>
        <v xml:space="preserve">'unit' : '314' , </v>
      </c>
      <c r="O117" s="60" t="str">
        <f>IF(O116="","","'"&amp;O$3&amp;"' : '"&amp;O116&amp;"' , ")</f>
        <v xml:space="preserve">'city' : 'L'etape' , </v>
      </c>
      <c r="P117" s="60" t="str">
        <f>IF(P116="","","'"&amp;P$3&amp;"' : '"&amp;P116&amp;"' , ")</f>
        <v xml:space="preserve">'province' : 'Quebec' , </v>
      </c>
      <c r="Q117" s="60" t="str">
        <f>IF(Q116="","","'"&amp;Q$3&amp;"' : '"&amp;Q116&amp;"' , ")</f>
        <v xml:space="preserve">'zip' : 'H0H 0H0' , </v>
      </c>
      <c r="R117" s="60" t="str">
        <f>IF(R116="","","'"&amp;R$3&amp;"' : '"&amp;R116&amp;"' } , ")</f>
        <v xml:space="preserve">'mobileNumber' : '418-859-5959' } , </v>
      </c>
      <c r="S117" s="60" t="str">
        <f>IF(S116="","","'"&amp;$S$2&amp;"' : { '"&amp;S$3&amp;"' : '"&amp;S116&amp;"' , ")</f>
        <v xml:space="preserve">'paymentMethod' : { 'paymentType' : 'Credit' , </v>
      </c>
      <c r="T117" s="60" t="str">
        <f>IF(T116="","","'"&amp;T$3&amp;"' : '"&amp;T116&amp;"' , ")</f>
        <v xml:space="preserve">'cardScheme' : 'Mastercard' , </v>
      </c>
      <c r="U117" s="60" t="str">
        <f>IF(U116="","","'"&amp;U$3&amp;"' : '"&amp;U116&amp;"' } , ")</f>
        <v xml:space="preserve">'cardLast4' : '5941' } , </v>
      </c>
      <c r="V117" s="60" t="str">
        <f ca="1">IF(V116="","","'"&amp;V$3&amp;"' : "&amp;V116&amp;", ")</f>
        <v xml:space="preserve">'totalQty' : 3, </v>
      </c>
      <c r="W117" s="60" t="str">
        <f>IF(W116="","","'"&amp;W$3&amp;"' : "&amp;W116&amp;", ")</f>
        <v xml:space="preserve">'orderTotal' : 279.7, </v>
      </c>
      <c r="X117" s="60" t="str">
        <f>IF(X116="","","'"&amp;X$3&amp;"' : "&amp;X116&amp;", ")</f>
        <v xml:space="preserve">'grossTotal' : 243.1, </v>
      </c>
      <c r="Y117" s="60" t="str">
        <f>IF(Y116="","","'"&amp;Y$3&amp;"' : "&amp;Y116&amp;", ")</f>
        <v xml:space="preserve">'tax' : 31.61, </v>
      </c>
      <c r="Z117" s="60" t="str">
        <f>IF(Z116="","","'"&amp;Z$3&amp;"' : "&amp;Z116&amp;", ")</f>
        <v xml:space="preserve">'deliveryFee' : 4.99, </v>
      </c>
      <c r="AA117" s="60"/>
      <c r="AB117" s="60"/>
      <c r="AC117" s="60"/>
      <c r="AD117" s="60"/>
      <c r="AE117" s="60"/>
      <c r="AF117" s="60" t="str">
        <f>$AA$2&amp;" : "&amp;_xlfn.CONCAT("[ ",AF113:AF115,"], ")</f>
        <v xml:space="preserve">orderDetails : [ { 'productId' : '4008', 'productName' : 'Vanilla Cinnamon Roll', 'quantity' : 15, 'price' : 6.45, 'subTotal' : 96.75 },{ 'productId' : '4011', 'productName' : 'Sesame Bagel', 'quantity' : 2, 'price' : 5.45, 'subTotal' : 10.9 },{ 'productId' : '4019', 'productName' : 'Cinnammon Swirl and Raisen Bagel', 'quantity' : 21, 'price' : 6.45, 'subTotal' : 135.45 }], </v>
      </c>
      <c r="AG117" s="60" t="str">
        <f>IF(AG116="","","'"&amp;AG$3&amp;"' : new Date('"&amp;TEXT(AG116,"yyyy-mm-dd")&amp;"'), ")</f>
        <v xml:space="preserve">'orderDate' : new Date('2022-11-09'), </v>
      </c>
      <c r="AH117" s="60"/>
      <c r="AI117" s="60" t="str">
        <f>IF(AI116="","","'"&amp;AI$3&amp;"' : '"&amp;AI116&amp;"', ")</f>
        <v xml:space="preserve">'orderStatus' : 'Delivered', </v>
      </c>
      <c r="AJ117" s="60" t="str">
        <f>IF(AJ116="","","'"&amp;AJ$3&amp;"' : new Date('"&amp;TEXT(AJ116,"yyyy-mm-dd")&amp;"') ")</f>
        <v xml:space="preserve">'statusDate' : new Date('2022-11-09') </v>
      </c>
      <c r="AK117" s="60"/>
      <c r="AL117" s="59"/>
      <c r="AM117" s="58" t="str">
        <f ca="1">_xlfn.CONCAT("{ ",B117:AJ117,"} ,")</f>
        <v>{ 'emailAddress' : 'octaviaboyd@gmail.com', 'orderId' : '20221109093600', 'employeeUserName' : 'lzapanta', 'deliveryAddress' : { 'name' : 'Octavia Boyd' , 'street' : '2179 Côte Joyeuse' , 'unit' : '314' , 'city' : 'L'etape' , 'province' : 'Quebec' , 'zip' : 'H0H 0H0' , 'mobileNumber' : '418-859-5959' } , 'billingsAddress' : { 'name' : 'Octavia Boyd' , 'street' : '2179 Côte Joyeuse' , 'unit' : '314' , 'city' : 'L'etape' , 'province' : 'Quebec' , 'zip' : 'H0H 0H0' , 'mobileNumber' : '418-859-5959' } , 'paymentMethod' : { 'paymentType' : 'Credit' , 'cardScheme' : 'Mastercard' , 'cardLast4' : '5941' } , 'totalQty' : 3, 'orderTotal' : 279.7, 'grossTotal' : 243.1, 'tax' : 31.61, 'deliveryFee' : 4.99, orderDetails : [ { 'productId' : '4008', 'productName' : 'Vanilla Cinnamon Roll', 'quantity' : 15, 'price' : 6.45, 'subTotal' : 96.75 },{ 'productId' : '4011', 'productName' : 'Sesame Bagel', 'quantity' : 2, 'price' : 5.45, 'subTotal' : 10.9 },{ 'productId' : '4019', 'productName' : 'Cinnammon Swirl and Raisen Bagel', 'quantity' : 21, 'price' : 6.45, 'subTotal' : 135.45 }], 'orderDate' : new Date('2022-11-09'), 'orderStatus' : 'Delivered', 'statusDate' : new Date('2022-11-09') } ,</v>
      </c>
    </row>
    <row r="118" spans="1:39" x14ac:dyDescent="0.35">
      <c r="B118" t="s">
        <v>686</v>
      </c>
      <c r="C118" s="49" t="s">
        <v>744</v>
      </c>
      <c r="D118" t="s">
        <v>681</v>
      </c>
      <c r="E118" t="s">
        <v>336</v>
      </c>
      <c r="F118" t="s">
        <v>400</v>
      </c>
      <c r="G118" t="s">
        <v>573</v>
      </c>
      <c r="H118" t="s">
        <v>429</v>
      </c>
      <c r="I118" t="s">
        <v>454</v>
      </c>
      <c r="J118" t="s">
        <v>463</v>
      </c>
      <c r="K118" t="s">
        <v>488</v>
      </c>
      <c r="L118" t="str">
        <f t="shared" ref="L118:L120" si="97">E118</f>
        <v>Trinity Gosling</v>
      </c>
      <c r="M118" t="str">
        <f>VLOOKUP($B118,Customers!$B:$J,4,0)</f>
        <v>3504 Rose Street</v>
      </c>
      <c r="O118" t="str">
        <f>VLOOKUP($B118,Customers!$B:$J,6,0)</f>
        <v>Regina</v>
      </c>
      <c r="P118" t="str">
        <f>VLOOKUP($B118,Customers!$B:$J,7,0)</f>
        <v>Saskatchewan</v>
      </c>
      <c r="Q118" t="str">
        <f>VLOOKUP($B118,Customers!$B:$J,8,0)</f>
        <v>S4P 3Y2</v>
      </c>
      <c r="R118" t="str">
        <f>VLOOKUP($B118,Customers!$B:$J,9,0)</f>
        <v>306-569-6952</v>
      </c>
      <c r="S118" t="str">
        <f>VLOOKUP($B118,Customers!$B:$T,16,0)</f>
        <v>Credit</v>
      </c>
      <c r="T118" t="str">
        <f>VLOOKUP($B118,Customers!$B:$T,18,0)</f>
        <v>Mastercard</v>
      </c>
      <c r="U118" t="str">
        <f>VLOOKUP($B118,Customers!$B:$T,19,0)</f>
        <v>5230</v>
      </c>
      <c r="V118">
        <f ca="1">COUNTIF(C:C,C118)-1</f>
        <v>2</v>
      </c>
      <c r="X118">
        <f t="shared" ref="X118:X119" si="98">AC118*AD118</f>
        <v>6.45</v>
      </c>
      <c r="Y118">
        <f t="shared" ref="Y118:Y119" si="99">ROUND(X118*13%,2)</f>
        <v>0.84</v>
      </c>
      <c r="AA118">
        <v>4008</v>
      </c>
      <c r="AB118" t="s">
        <v>72</v>
      </c>
      <c r="AC118">
        <v>1</v>
      </c>
      <c r="AD118">
        <v>6.45</v>
      </c>
      <c r="AE118">
        <f>AC118*AD118</f>
        <v>6.45</v>
      </c>
      <c r="AF118" s="54" t="str">
        <f>"{ '"&amp;AA$3&amp;"' : '"&amp;AA118&amp;"', '"&amp;AB$3&amp;"' : '"&amp;AB118&amp;"', '"&amp;AC$3&amp;"' : "&amp;AC118&amp;", '"&amp;AD$3&amp;"' : "&amp;AD118&amp;", '"&amp;AE$3&amp;"' : "&amp;AE118&amp;" },"</f>
        <v>{ 'productId' : '4008', 'productName' : 'Vanilla Cinnamon Roll', 'quantity' : 1, 'price' : 6.45, 'subTotal' : 6.45 },</v>
      </c>
      <c r="AG118" s="48">
        <v>44874</v>
      </c>
      <c r="AH118" s="50" t="s">
        <v>745</v>
      </c>
      <c r="AI118" t="s">
        <v>755</v>
      </c>
      <c r="AJ118" s="48">
        <f>AG118</f>
        <v>44874</v>
      </c>
      <c r="AK118" t="s">
        <v>723</v>
      </c>
    </row>
    <row r="119" spans="1:39" x14ac:dyDescent="0.35">
      <c r="B119" t="s">
        <v>686</v>
      </c>
      <c r="C119" t="s">
        <v>744</v>
      </c>
      <c r="D119" t="s">
        <v>681</v>
      </c>
      <c r="E119" t="s">
        <v>336</v>
      </c>
      <c r="F119" t="s">
        <v>400</v>
      </c>
      <c r="G119" t="s">
        <v>573</v>
      </c>
      <c r="H119" t="s">
        <v>429</v>
      </c>
      <c r="I119" t="s">
        <v>454</v>
      </c>
      <c r="J119" t="s">
        <v>463</v>
      </c>
      <c r="K119" t="s">
        <v>488</v>
      </c>
      <c r="L119" t="str">
        <f t="shared" si="97"/>
        <v>Trinity Gosling</v>
      </c>
      <c r="M119" t="str">
        <f>VLOOKUP($B119,Customers!$B:$J,4,0)</f>
        <v>3504 Rose Street</v>
      </c>
      <c r="O119" t="str">
        <f>VLOOKUP($B119,Customers!$B:$J,6,0)</f>
        <v>Regina</v>
      </c>
      <c r="P119" t="str">
        <f>VLOOKUP($B119,Customers!$B:$J,7,0)</f>
        <v>Saskatchewan</v>
      </c>
      <c r="Q119" t="str">
        <f>VLOOKUP($B119,Customers!$B:$J,8,0)</f>
        <v>S4P 3Y2</v>
      </c>
      <c r="R119" t="str">
        <f>VLOOKUP($B119,Customers!$B:$J,9,0)</f>
        <v>306-569-6952</v>
      </c>
      <c r="S119" t="str">
        <f>VLOOKUP($B119,Customers!$B:$T,16,0)</f>
        <v>Credit</v>
      </c>
      <c r="T119" t="str">
        <f>VLOOKUP($B119,Customers!$B:$T,18,0)</f>
        <v>Mastercard</v>
      </c>
      <c r="U119" t="str">
        <f>VLOOKUP($B119,Customers!$B:$T,19,0)</f>
        <v>5230</v>
      </c>
      <c r="V119">
        <f ca="1">COUNTIF(C:C,C119)-1</f>
        <v>2</v>
      </c>
      <c r="X119">
        <f t="shared" si="98"/>
        <v>77.87</v>
      </c>
      <c r="Y119">
        <f t="shared" si="99"/>
        <v>10.119999999999999</v>
      </c>
      <c r="AA119">
        <v>4005</v>
      </c>
      <c r="AB119" t="s">
        <v>69</v>
      </c>
      <c r="AC119">
        <v>13</v>
      </c>
      <c r="AD119">
        <v>5.99</v>
      </c>
      <c r="AE119">
        <f>AC119*AD119</f>
        <v>77.87</v>
      </c>
      <c r="AF119" s="54" t="str">
        <f>"{ '"&amp;AA$3&amp;"' : '"&amp;AA119&amp;"', '"&amp;AB$3&amp;"' : '"&amp;AB119&amp;"', '"&amp;AC$3&amp;"' : "&amp;AC119&amp;", '"&amp;AD$3&amp;"' : "&amp;AD119&amp;", '"&amp;AE$3&amp;"' : "&amp;AE119&amp;" }"</f>
        <v>{ 'productId' : '4005', 'productName' : 'Bear Claw', 'quantity' : 13, 'price' : 5.99, 'subTotal' : 77.87 }</v>
      </c>
      <c r="AG119" s="48">
        <v>44874</v>
      </c>
      <c r="AH119" s="48" t="str">
        <f>AH118</f>
        <v>095024</v>
      </c>
      <c r="AI119" t="str">
        <f t="shared" ref="AI119:AJ120" si="100">AI118</f>
        <v>Delivered</v>
      </c>
      <c r="AJ119" s="48">
        <f t="shared" si="100"/>
        <v>44874</v>
      </c>
    </row>
    <row r="120" spans="1:39" x14ac:dyDescent="0.35">
      <c r="A120" t="s">
        <v>759</v>
      </c>
      <c r="B120" t="s">
        <v>686</v>
      </c>
      <c r="C120" t="s">
        <v>744</v>
      </c>
      <c r="D120" t="s">
        <v>681</v>
      </c>
      <c r="E120" t="s">
        <v>336</v>
      </c>
      <c r="F120" t="s">
        <v>400</v>
      </c>
      <c r="G120" t="s">
        <v>573</v>
      </c>
      <c r="H120" t="s">
        <v>429</v>
      </c>
      <c r="I120" t="s">
        <v>454</v>
      </c>
      <c r="J120" t="s">
        <v>463</v>
      </c>
      <c r="K120" t="s">
        <v>488</v>
      </c>
      <c r="L120" t="str">
        <f t="shared" si="97"/>
        <v>Trinity Gosling</v>
      </c>
      <c r="M120" t="str">
        <f>VLOOKUP($B120,Customers!$B:$J,4,0)</f>
        <v>3504 Rose Street</v>
      </c>
      <c r="O120" t="str">
        <f>VLOOKUP($B120,Customers!$B:$J,6,0)</f>
        <v>Regina</v>
      </c>
      <c r="P120" t="str">
        <f>VLOOKUP($B120,Customers!$B:$J,7,0)</f>
        <v>Saskatchewan</v>
      </c>
      <c r="Q120" t="str">
        <f>VLOOKUP($B120,Customers!$B:$J,8,0)</f>
        <v>S4P 3Y2</v>
      </c>
      <c r="R120" t="str">
        <f>VLOOKUP($B120,Customers!$B:$J,9,0)</f>
        <v>306-569-6952</v>
      </c>
      <c r="S120" t="str">
        <f>VLOOKUP($B120,Customers!$B:$T,16,0)</f>
        <v>Credit</v>
      </c>
      <c r="T120" t="str">
        <f>VLOOKUP($B120,Customers!$B:$T,18,0)</f>
        <v>Mastercard</v>
      </c>
      <c r="U120" t="str">
        <f>VLOOKUP($B120,Customers!$B:$T,19,0)</f>
        <v>5230</v>
      </c>
      <c r="V120">
        <f ca="1">COUNTIF(C:C,C120)-1</f>
        <v>2</v>
      </c>
      <c r="W120">
        <f>SUM(X120:Z120)</f>
        <v>100.27</v>
      </c>
      <c r="X120">
        <f>SUM(X118:X119)</f>
        <v>84.320000000000007</v>
      </c>
      <c r="Y120">
        <f>SUM(Y118:Y119)</f>
        <v>10.959999999999999</v>
      </c>
      <c r="Z120">
        <v>4.99</v>
      </c>
      <c r="AF120" s="54"/>
      <c r="AG120" s="48">
        <f>AG119</f>
        <v>44874</v>
      </c>
      <c r="AH120" s="48"/>
      <c r="AI120" t="str">
        <f t="shared" si="100"/>
        <v>Delivered</v>
      </c>
      <c r="AJ120" s="48">
        <f t="shared" si="100"/>
        <v>44874</v>
      </c>
    </row>
    <row r="121" spans="1:39" s="58" customFormat="1" ht="43.5" x14ac:dyDescent="0.35">
      <c r="A121" s="60" t="s">
        <v>760</v>
      </c>
      <c r="B121" s="60" t="str">
        <f>IF(B120="","","'"&amp;B$3&amp;"' : '"&amp;B120&amp;"', ")</f>
        <v xml:space="preserve">'emailAddress' : 'trinity_gosling@gmail.com', </v>
      </c>
      <c r="C121" s="60" t="str">
        <f>IF(C120="","","'"&amp;C$3&amp;"' : '"&amp;C120&amp;"', ")</f>
        <v xml:space="preserve">'orderId' : '20221109095024', </v>
      </c>
      <c r="D121" s="60" t="str">
        <f>IF(D120="","","'"&amp;D$3&amp;"' : '"&amp;D120&amp;"', ")</f>
        <v xml:space="preserve">'employeeUserName' : 'jbartolata', </v>
      </c>
      <c r="E121" s="60" t="str">
        <f>IF(E120="","","'"&amp;$F$2&amp;"' : { '"&amp;E$3&amp;"' : '"&amp;E120&amp;"' , ")</f>
        <v xml:space="preserve">'deliveryAddress' : { 'name' : 'Trinity Gosling' , </v>
      </c>
      <c r="F121" s="60" t="str">
        <f>IF(F120="","","'"&amp;F$3&amp;"' : '"&amp;F120&amp;"' , ")</f>
        <v xml:space="preserve">'street' : '3504 Rose Street' , </v>
      </c>
      <c r="G121" s="60" t="str">
        <f>IF(G120="","","'"&amp;G$3&amp;"' : '"&amp;G120&amp;"' , ")</f>
        <v xml:space="preserve">'unit' : '314' , </v>
      </c>
      <c r="H121" s="60" t="str">
        <f>IF(H120="","","'"&amp;H$3&amp;"' : '"&amp;H120&amp;"' , ")</f>
        <v xml:space="preserve">'city' : 'Regina' , </v>
      </c>
      <c r="I121" s="60" t="str">
        <f>IF(I120="","","'"&amp;I$3&amp;"' : '"&amp;I120&amp;"' , ")</f>
        <v xml:space="preserve">'province' : 'Saskatchewan' , </v>
      </c>
      <c r="J121" s="60" t="str">
        <f>IF(J120="","","'"&amp;J$3&amp;"' : '"&amp;J120&amp;"' , ")</f>
        <v xml:space="preserve">'zip' : 'S4P 3Y2' , </v>
      </c>
      <c r="K121" s="60" t="str">
        <f>IF(K120="","","'"&amp;K$3&amp;"' : '"&amp;K120&amp;"' } , ")</f>
        <v xml:space="preserve">'mobileNumber' : '306-569-6952' } , </v>
      </c>
      <c r="L121" s="60" t="str">
        <f>IF(L120="","","'"&amp;$L$2&amp;"' : { '"&amp;L$3&amp;"' : '"&amp;L120&amp;"' , ")</f>
        <v xml:space="preserve">'billingsAddress' : { 'name' : 'Trinity Gosling' , </v>
      </c>
      <c r="M121" s="60" t="str">
        <f>IF(M120="","","'"&amp;M$3&amp;"' : '"&amp;M120&amp;"' , ")</f>
        <v xml:space="preserve">'street' : '3504 Rose Street' , </v>
      </c>
      <c r="N121" s="60" t="str">
        <f>IF(N120="","","'"&amp;N$3&amp;"' : '"&amp;N120&amp;"' , ")</f>
        <v/>
      </c>
      <c r="O121" s="60" t="str">
        <f>IF(O120="","","'"&amp;O$3&amp;"' : '"&amp;O120&amp;"' , ")</f>
        <v xml:space="preserve">'city' : 'Regina' , </v>
      </c>
      <c r="P121" s="60" t="str">
        <f>IF(P120="","","'"&amp;P$3&amp;"' : '"&amp;P120&amp;"' , ")</f>
        <v xml:space="preserve">'province' : 'Saskatchewan' , </v>
      </c>
      <c r="Q121" s="60" t="str">
        <f>IF(Q120="","","'"&amp;Q$3&amp;"' : '"&amp;Q120&amp;"' , ")</f>
        <v xml:space="preserve">'zip' : 'S4P 3Y2' , </v>
      </c>
      <c r="R121" s="60" t="str">
        <f>IF(R120="","","'"&amp;R$3&amp;"' : '"&amp;R120&amp;"' } , ")</f>
        <v xml:space="preserve">'mobileNumber' : '306-569-6952' } , </v>
      </c>
      <c r="S121" s="60" t="str">
        <f>IF(S120="","","'"&amp;$S$2&amp;"' : { '"&amp;S$3&amp;"' : '"&amp;S120&amp;"' , ")</f>
        <v xml:space="preserve">'paymentMethod' : { 'paymentType' : 'Credit' , </v>
      </c>
      <c r="T121" s="60" t="str">
        <f>IF(T120="","","'"&amp;T$3&amp;"' : '"&amp;T120&amp;"' , ")</f>
        <v xml:space="preserve">'cardScheme' : 'Mastercard' , </v>
      </c>
      <c r="U121" s="60" t="str">
        <f>IF(U120="","","'"&amp;U$3&amp;"' : '"&amp;U120&amp;"' } , ")</f>
        <v xml:space="preserve">'cardLast4' : '5230' } , </v>
      </c>
      <c r="V121" s="60" t="str">
        <f ca="1">IF(V120="","","'"&amp;V$3&amp;"' : "&amp;V120&amp;", ")</f>
        <v xml:space="preserve">'totalQty' : 2, </v>
      </c>
      <c r="W121" s="60" t="str">
        <f>IF(W120="","","'"&amp;W$3&amp;"' : "&amp;W120&amp;", ")</f>
        <v xml:space="preserve">'orderTotal' : 100.27, </v>
      </c>
      <c r="X121" s="60" t="str">
        <f>IF(X120="","","'"&amp;X$3&amp;"' : "&amp;X120&amp;", ")</f>
        <v xml:space="preserve">'grossTotal' : 84.32, </v>
      </c>
      <c r="Y121" s="60" t="str">
        <f>IF(Y120="","","'"&amp;Y$3&amp;"' : "&amp;Y120&amp;", ")</f>
        <v xml:space="preserve">'tax' : 10.96, </v>
      </c>
      <c r="Z121" s="60" t="str">
        <f>IF(Z120="","","'"&amp;Z$3&amp;"' : "&amp;Z120&amp;", ")</f>
        <v xml:space="preserve">'deliveryFee' : 4.99, </v>
      </c>
      <c r="AA121" s="60"/>
      <c r="AB121" s="60"/>
      <c r="AC121" s="60"/>
      <c r="AD121" s="60"/>
      <c r="AE121" s="60"/>
      <c r="AF121" s="60" t="str">
        <f>$AA$2&amp;" : "&amp;_xlfn.CONCAT("[ ",AF118:AF119,"], ")</f>
        <v xml:space="preserve">orderDetails : [ { 'productId' : '4008', 'productName' : 'Vanilla Cinnamon Roll', 'quantity' : 1, 'price' : 6.45, 'subTotal' : 6.45 },{ 'productId' : '4005', 'productName' : 'Bear Claw', 'quantity' : 13, 'price' : 5.99, 'subTotal' : 77.87 }], </v>
      </c>
      <c r="AG121" s="60" t="str">
        <f>IF(AG120="","","'"&amp;AG$3&amp;"' : new Date('"&amp;TEXT(AG120,"yyyy-mm-dd")&amp;"'), ")</f>
        <v xml:space="preserve">'orderDate' : new Date('2022-11-09'), </v>
      </c>
      <c r="AH121" s="60"/>
      <c r="AI121" s="60" t="str">
        <f>IF(AI120="","","'"&amp;AI$3&amp;"' : '"&amp;AI120&amp;"', ")</f>
        <v xml:space="preserve">'orderStatus' : 'Delivered', </v>
      </c>
      <c r="AJ121" s="60" t="str">
        <f>IF(AJ120="","","'"&amp;AJ$3&amp;"' : new Date('"&amp;TEXT(AJ120,"yyyy-mm-dd")&amp;"') ")</f>
        <v xml:space="preserve">'statusDate' : new Date('2022-11-09') </v>
      </c>
      <c r="AK121" s="60"/>
      <c r="AL121" s="59"/>
      <c r="AM121" s="58" t="str">
        <f ca="1">_xlfn.CONCAT("{ ",B121:AJ121,"} ,")</f>
        <v>{ 'emailAddress' : 'trinity_gosling@gmail.com', 'orderId' : '20221109095024', 'employeeUserName' : 'jbartolata', 'deliveryAddress' : { 'name' : 'Trinity Gosling' , 'street' : '3504 Rose Street' , 'unit' : '314' , 'city' : 'Regina' , 'province' : 'Saskatchewan' , 'zip' : 'S4P 3Y2' , 'mobileNumber' : '306-569-6952' } , 'billingsAddress' : { 'name' : 'Trinity Gosling' , 'street' : '3504 Rose Street' , 'city' : 'Regina' , 'province' : 'Saskatchewan' , 'zip' : 'S4P 3Y2' , 'mobileNumber' : '306-569-6952' } , 'paymentMethod' : { 'paymentType' : 'Credit' , 'cardScheme' : 'Mastercard' , 'cardLast4' : '5230' } , 'totalQty' : 2, 'orderTotal' : 100.27, 'grossTotal' : 84.32, 'tax' : 10.96, 'deliveryFee' : 4.99, orderDetails : [ { 'productId' : '4008', 'productName' : 'Vanilla Cinnamon Roll', 'quantity' : 1, 'price' : 6.45, 'subTotal' : 6.45 },{ 'productId' : '4005', 'productName' : 'Bear Claw', 'quantity' : 13, 'price' : 5.99, 'subTotal' : 77.87 }], 'orderDate' : new Date('2022-11-09'), 'orderStatus' : 'Delivered', 'statusDate' : new Date('2022-11-09') } ,</v>
      </c>
    </row>
    <row r="122" spans="1:39" x14ac:dyDescent="0.35">
      <c r="B122" t="s">
        <v>689</v>
      </c>
      <c r="C122" s="49" t="s">
        <v>746</v>
      </c>
      <c r="D122" t="s">
        <v>681</v>
      </c>
      <c r="E122" t="s">
        <v>325</v>
      </c>
      <c r="F122" t="s">
        <v>587</v>
      </c>
      <c r="G122" t="s">
        <v>606</v>
      </c>
      <c r="H122" t="s">
        <v>432</v>
      </c>
      <c r="I122" t="s">
        <v>26</v>
      </c>
      <c r="J122" t="s">
        <v>616</v>
      </c>
      <c r="K122" t="s">
        <v>628</v>
      </c>
      <c r="L122" t="str">
        <f t="shared" ref="L122:L125" si="101">E122</f>
        <v>Penelope Piers</v>
      </c>
      <c r="M122" t="str">
        <f>VLOOKUP($B122,Customers!$B:$J,4,0)</f>
        <v>1228 A Avenue</v>
      </c>
      <c r="O122" t="str">
        <f>VLOOKUP($B122,Customers!$B:$J,6,0)</f>
        <v>Edmonton</v>
      </c>
      <c r="P122" t="str">
        <f>VLOOKUP($B122,Customers!$B:$J,7,0)</f>
        <v>Alberta</v>
      </c>
      <c r="Q122" t="str">
        <f>VLOOKUP($B122,Customers!$B:$J,8,0)</f>
        <v>T5J 0K7</v>
      </c>
      <c r="R122" t="str">
        <f>VLOOKUP($B122,Customers!$B:$J,9,0)</f>
        <v>780-917-8428</v>
      </c>
      <c r="S122" t="str">
        <f>VLOOKUP($B122,Customers!$B:$T,16,0)</f>
        <v>Debit</v>
      </c>
      <c r="T122" t="str">
        <f>VLOOKUP($B122,Customers!$B:$T,18,0)</f>
        <v>Visa</v>
      </c>
      <c r="U122" t="str">
        <f>VLOOKUP($B122,Customers!$B:$T,19,0)</f>
        <v>2990</v>
      </c>
      <c r="V122">
        <f ca="1">COUNTIF(C:C,C122)-1</f>
        <v>3</v>
      </c>
      <c r="X122">
        <f t="shared" ref="X122:X124" si="102">AC122*AD122</f>
        <v>162.96</v>
      </c>
      <c r="Y122">
        <f t="shared" ref="Y122:Y124" si="103">ROUND(X122*13%,2)</f>
        <v>21.18</v>
      </c>
      <c r="AA122">
        <v>4012</v>
      </c>
      <c r="AB122" t="s">
        <v>76</v>
      </c>
      <c r="AC122">
        <v>24</v>
      </c>
      <c r="AD122">
        <v>6.79</v>
      </c>
      <c r="AE122">
        <f>AC122*AD122</f>
        <v>162.96</v>
      </c>
      <c r="AF122" s="54" t="str">
        <f>"{ '"&amp;AA$3&amp;"' : '"&amp;AA122&amp;"', '"&amp;AB$3&amp;"' : '"&amp;AB122&amp;"', '"&amp;AC$3&amp;"' : "&amp;AC122&amp;", '"&amp;AD$3&amp;"' : "&amp;AD122&amp;", '"&amp;AE$3&amp;"' : "&amp;AE122&amp;" },"</f>
        <v>{ 'productId' : '4012', 'productName' : 'Empanada', 'quantity' : 24, 'price' : 6.79, 'subTotal' : 162.96 },</v>
      </c>
      <c r="AG122" s="48">
        <v>44875</v>
      </c>
      <c r="AH122" s="50" t="s">
        <v>688</v>
      </c>
      <c r="AI122" t="s">
        <v>755</v>
      </c>
      <c r="AJ122" s="48">
        <f>AG122</f>
        <v>44875</v>
      </c>
      <c r="AK122" t="s">
        <v>747</v>
      </c>
    </row>
    <row r="123" spans="1:39" x14ac:dyDescent="0.35">
      <c r="B123" t="s">
        <v>689</v>
      </c>
      <c r="C123" t="s">
        <v>746</v>
      </c>
      <c r="D123" t="s">
        <v>681</v>
      </c>
      <c r="E123" t="s">
        <v>325</v>
      </c>
      <c r="F123" t="s">
        <v>587</v>
      </c>
      <c r="G123" t="s">
        <v>606</v>
      </c>
      <c r="H123" t="s">
        <v>432</v>
      </c>
      <c r="I123" t="s">
        <v>26</v>
      </c>
      <c r="J123" t="s">
        <v>616</v>
      </c>
      <c r="K123" t="s">
        <v>628</v>
      </c>
      <c r="L123" t="str">
        <f t="shared" si="101"/>
        <v>Penelope Piers</v>
      </c>
      <c r="M123" t="str">
        <f>VLOOKUP($B123,Customers!$B:$J,4,0)</f>
        <v>1228 A Avenue</v>
      </c>
      <c r="O123" t="str">
        <f>VLOOKUP($B123,Customers!$B:$J,6,0)</f>
        <v>Edmonton</v>
      </c>
      <c r="P123" t="str">
        <f>VLOOKUP($B123,Customers!$B:$J,7,0)</f>
        <v>Alberta</v>
      </c>
      <c r="Q123" t="str">
        <f>VLOOKUP($B123,Customers!$B:$J,8,0)</f>
        <v>T5J 0K7</v>
      </c>
      <c r="R123" t="str">
        <f>VLOOKUP($B123,Customers!$B:$J,9,0)</f>
        <v>780-917-8428</v>
      </c>
      <c r="S123" t="str">
        <f>VLOOKUP($B123,Customers!$B:$T,16,0)</f>
        <v>Debit</v>
      </c>
      <c r="T123" t="str">
        <f>VLOOKUP($B123,Customers!$B:$T,18,0)</f>
        <v>Visa</v>
      </c>
      <c r="U123" t="str">
        <f>VLOOKUP($B123,Customers!$B:$T,19,0)</f>
        <v>2990</v>
      </c>
      <c r="V123">
        <f ca="1">COUNTIF(C:C,C123)-1</f>
        <v>3</v>
      </c>
      <c r="X123">
        <f t="shared" si="102"/>
        <v>84.83</v>
      </c>
      <c r="Y123">
        <f t="shared" si="103"/>
        <v>11.03</v>
      </c>
      <c r="AA123">
        <v>5002</v>
      </c>
      <c r="AB123" t="s">
        <v>92</v>
      </c>
      <c r="AC123">
        <v>17</v>
      </c>
      <c r="AD123">
        <v>4.99</v>
      </c>
      <c r="AE123">
        <f>AC123*AD123</f>
        <v>84.83</v>
      </c>
      <c r="AF123" s="54" t="str">
        <f>"{ '"&amp;AA$3&amp;"' : '"&amp;AA123&amp;"', '"&amp;AB$3&amp;"' : '"&amp;AB123&amp;"', '"&amp;AC$3&amp;"' : "&amp;AC123&amp;", '"&amp;AD$3&amp;"' : "&amp;AD123&amp;", '"&amp;AE$3&amp;"' : "&amp;AE123&amp;" },"</f>
        <v>{ 'productId' : '5002', 'productName' : 'Greek Yougurt with mixed Berries', 'quantity' : 17, 'price' : 4.99, 'subTotal' : 84.83 },</v>
      </c>
      <c r="AG123" s="48">
        <v>44875</v>
      </c>
      <c r="AH123" s="48" t="str">
        <f t="shared" ref="AH123:AJ125" si="104">AH122</f>
        <v>104800</v>
      </c>
      <c r="AI123" t="str">
        <f t="shared" si="104"/>
        <v>Delivered</v>
      </c>
      <c r="AJ123" s="48">
        <f t="shared" si="104"/>
        <v>44875</v>
      </c>
    </row>
    <row r="124" spans="1:39" x14ac:dyDescent="0.35">
      <c r="B124" t="s">
        <v>689</v>
      </c>
      <c r="C124" t="s">
        <v>746</v>
      </c>
      <c r="D124" t="s">
        <v>681</v>
      </c>
      <c r="E124" t="s">
        <v>325</v>
      </c>
      <c r="F124" t="s">
        <v>587</v>
      </c>
      <c r="G124" t="s">
        <v>606</v>
      </c>
      <c r="H124" t="s">
        <v>432</v>
      </c>
      <c r="I124" t="s">
        <v>26</v>
      </c>
      <c r="J124" t="s">
        <v>616</v>
      </c>
      <c r="K124" t="s">
        <v>628</v>
      </c>
      <c r="L124" t="str">
        <f t="shared" si="101"/>
        <v>Penelope Piers</v>
      </c>
      <c r="M124" t="str">
        <f>VLOOKUP($B124,Customers!$B:$J,4,0)</f>
        <v>1228 A Avenue</v>
      </c>
      <c r="O124" t="str">
        <f>VLOOKUP($B124,Customers!$B:$J,6,0)</f>
        <v>Edmonton</v>
      </c>
      <c r="P124" t="str">
        <f>VLOOKUP($B124,Customers!$B:$J,7,0)</f>
        <v>Alberta</v>
      </c>
      <c r="Q124" t="str">
        <f>VLOOKUP($B124,Customers!$B:$J,8,0)</f>
        <v>T5J 0K7</v>
      </c>
      <c r="R124" t="str">
        <f>VLOOKUP($B124,Customers!$B:$J,9,0)</f>
        <v>780-917-8428</v>
      </c>
      <c r="S124" t="str">
        <f>VLOOKUP($B124,Customers!$B:$T,16,0)</f>
        <v>Debit</v>
      </c>
      <c r="T124" t="str">
        <f>VLOOKUP($B124,Customers!$B:$T,18,0)</f>
        <v>Visa</v>
      </c>
      <c r="U124" t="str">
        <f>VLOOKUP($B124,Customers!$B:$T,19,0)</f>
        <v>2990</v>
      </c>
      <c r="V124">
        <f ca="1">COUNTIF(C:C,C124)-1</f>
        <v>3</v>
      </c>
      <c r="X124">
        <f t="shared" si="102"/>
        <v>94.5</v>
      </c>
      <c r="Y124">
        <f t="shared" si="103"/>
        <v>12.29</v>
      </c>
      <c r="AA124">
        <v>4020</v>
      </c>
      <c r="AB124" t="s">
        <v>87</v>
      </c>
      <c r="AC124">
        <v>14</v>
      </c>
      <c r="AD124">
        <v>6.75</v>
      </c>
      <c r="AE124">
        <f>AC124*AD124</f>
        <v>94.5</v>
      </c>
      <c r="AF124" s="54" t="str">
        <f>"{ '"&amp;AA$3&amp;"' : '"&amp;AA124&amp;"', '"&amp;AB$3&amp;"' : '"&amp;AB124&amp;"', '"&amp;AC$3&amp;"' : "&amp;AC124&amp;", '"&amp;AD$3&amp;"' : "&amp;AD124&amp;", '"&amp;AE$3&amp;"' : "&amp;AE124&amp;" }"</f>
        <v>{ 'productId' : '4020', 'productName' : 'Cherry Vanilla Bagel', 'quantity' : 14, 'price' : 6.75, 'subTotal' : 94.5 }</v>
      </c>
      <c r="AG124" s="48">
        <v>44875</v>
      </c>
      <c r="AH124" s="48" t="str">
        <f t="shared" si="104"/>
        <v>104800</v>
      </c>
      <c r="AI124" t="str">
        <f t="shared" si="104"/>
        <v>Delivered</v>
      </c>
      <c r="AJ124" s="48">
        <f t="shared" si="104"/>
        <v>44875</v>
      </c>
    </row>
    <row r="125" spans="1:39" x14ac:dyDescent="0.35">
      <c r="A125" t="s">
        <v>759</v>
      </c>
      <c r="B125" t="s">
        <v>689</v>
      </c>
      <c r="C125" t="s">
        <v>746</v>
      </c>
      <c r="D125" t="s">
        <v>681</v>
      </c>
      <c r="E125" t="s">
        <v>325</v>
      </c>
      <c r="F125" t="s">
        <v>587</v>
      </c>
      <c r="G125" t="s">
        <v>606</v>
      </c>
      <c r="H125" t="s">
        <v>432</v>
      </c>
      <c r="I125" t="s">
        <v>26</v>
      </c>
      <c r="J125" t="s">
        <v>616</v>
      </c>
      <c r="K125" t="s">
        <v>628</v>
      </c>
      <c r="L125" t="str">
        <f t="shared" si="101"/>
        <v>Penelope Piers</v>
      </c>
      <c r="M125" t="str">
        <f>VLOOKUP($B125,Customers!$B:$J,4,0)</f>
        <v>1228 A Avenue</v>
      </c>
      <c r="O125" t="str">
        <f>VLOOKUP($B125,Customers!$B:$J,6,0)</f>
        <v>Edmonton</v>
      </c>
      <c r="P125" t="str">
        <f>VLOOKUP($B125,Customers!$B:$J,7,0)</f>
        <v>Alberta</v>
      </c>
      <c r="Q125" t="str">
        <f>VLOOKUP($B125,Customers!$B:$J,8,0)</f>
        <v>T5J 0K7</v>
      </c>
      <c r="R125" t="str">
        <f>VLOOKUP($B125,Customers!$B:$J,9,0)</f>
        <v>780-917-8428</v>
      </c>
      <c r="S125" t="str">
        <f>VLOOKUP($B125,Customers!$B:$T,16,0)</f>
        <v>Debit</v>
      </c>
      <c r="T125" t="str">
        <f>VLOOKUP($B125,Customers!$B:$T,18,0)</f>
        <v>Visa</v>
      </c>
      <c r="U125" t="str">
        <f>VLOOKUP($B125,Customers!$B:$T,19,0)</f>
        <v>2990</v>
      </c>
      <c r="V125">
        <f ca="1">COUNTIF(C:C,C125)-1</f>
        <v>3</v>
      </c>
      <c r="W125">
        <f>SUM(X125:Z125)</f>
        <v>391.78000000000003</v>
      </c>
      <c r="X125">
        <f>SUM(X122:X124)</f>
        <v>342.29</v>
      </c>
      <c r="Y125">
        <f>SUM(Y122:Y124)</f>
        <v>44.5</v>
      </c>
      <c r="Z125">
        <v>4.99</v>
      </c>
      <c r="AF125" s="54"/>
      <c r="AG125" s="48">
        <f>AG124</f>
        <v>44875</v>
      </c>
      <c r="AH125" s="48"/>
      <c r="AI125" t="str">
        <f t="shared" si="104"/>
        <v>Delivered</v>
      </c>
      <c r="AJ125" s="48">
        <f t="shared" si="104"/>
        <v>44875</v>
      </c>
    </row>
    <row r="126" spans="1:39" s="58" customFormat="1" ht="43.5" x14ac:dyDescent="0.35">
      <c r="A126" s="60" t="s">
        <v>760</v>
      </c>
      <c r="B126" s="60" t="str">
        <f>IF(B125="","","'"&amp;B$3&amp;"' : '"&amp;B125&amp;"', ")</f>
        <v xml:space="preserve">'emailAddress' : 'penelope_piers@gmail.com', </v>
      </c>
      <c r="C126" s="60" t="str">
        <f>IF(C125="","","'"&amp;C$3&amp;"' : '"&amp;C125&amp;"', ")</f>
        <v xml:space="preserve">'orderId' : '20221110104800', </v>
      </c>
      <c r="D126" s="60" t="str">
        <f>IF(D125="","","'"&amp;D$3&amp;"' : '"&amp;D125&amp;"', ")</f>
        <v xml:space="preserve">'employeeUserName' : 'jbartolata', </v>
      </c>
      <c r="E126" s="60" t="str">
        <f>IF(E125="","","'"&amp;$F$2&amp;"' : { '"&amp;E$3&amp;"' : '"&amp;E125&amp;"' , ")</f>
        <v xml:space="preserve">'deliveryAddress' : { 'name' : 'Penelope Piers' , </v>
      </c>
      <c r="F126" s="60" t="str">
        <f>IF(F125="","","'"&amp;F$3&amp;"' : '"&amp;F125&amp;"' , ")</f>
        <v xml:space="preserve">'street' : '3050 Speers Road' , </v>
      </c>
      <c r="G126" s="60" t="str">
        <f>IF(G125="","","'"&amp;G$3&amp;"' : '"&amp;G125&amp;"' , ")</f>
        <v xml:space="preserve">'unit' : '86' , </v>
      </c>
      <c r="H126" s="60" t="str">
        <f>IF(H125="","","'"&amp;H$3&amp;"' : '"&amp;H125&amp;"' , ")</f>
        <v xml:space="preserve">'city' : 'Oakville' , </v>
      </c>
      <c r="I126" s="60" t="str">
        <f>IF(I125="","","'"&amp;I$3&amp;"' : '"&amp;I125&amp;"' , ")</f>
        <v xml:space="preserve">'province' : 'Ontario' , </v>
      </c>
      <c r="J126" s="60" t="str">
        <f>IF(J125="","","'"&amp;J$3&amp;"' : '"&amp;J125&amp;"' , ")</f>
        <v xml:space="preserve">'zip' : 'L6H 3H5' , </v>
      </c>
      <c r="K126" s="60" t="str">
        <f>IF(K125="","","'"&amp;K$3&amp;"' : '"&amp;K125&amp;"' } , ")</f>
        <v xml:space="preserve">'mobileNumber' : '905-467-2429' } , </v>
      </c>
      <c r="L126" s="60" t="str">
        <f>IF(L125="","","'"&amp;$L$2&amp;"' : { '"&amp;L$3&amp;"' : '"&amp;L125&amp;"' , ")</f>
        <v xml:space="preserve">'billingsAddress' : { 'name' : 'Penelope Piers' , </v>
      </c>
      <c r="M126" s="60" t="str">
        <f>IF(M125="","","'"&amp;M$3&amp;"' : '"&amp;M125&amp;"' , ")</f>
        <v xml:space="preserve">'street' : '1228 A Avenue' , </v>
      </c>
      <c r="N126" s="60" t="str">
        <f>IF(N125="","","'"&amp;N$3&amp;"' : '"&amp;N125&amp;"' , ")</f>
        <v/>
      </c>
      <c r="O126" s="60" t="str">
        <f>IF(O125="","","'"&amp;O$3&amp;"' : '"&amp;O125&amp;"' , ")</f>
        <v xml:space="preserve">'city' : 'Edmonton' , </v>
      </c>
      <c r="P126" s="60" t="str">
        <f>IF(P125="","","'"&amp;P$3&amp;"' : '"&amp;P125&amp;"' , ")</f>
        <v xml:space="preserve">'province' : 'Alberta' , </v>
      </c>
      <c r="Q126" s="60" t="str">
        <f>IF(Q125="","","'"&amp;Q$3&amp;"' : '"&amp;Q125&amp;"' , ")</f>
        <v xml:space="preserve">'zip' : 'T5J 0K7' , </v>
      </c>
      <c r="R126" s="60" t="str">
        <f>IF(R125="","","'"&amp;R$3&amp;"' : '"&amp;R125&amp;"' } , ")</f>
        <v xml:space="preserve">'mobileNumber' : '780-917-8428' } , </v>
      </c>
      <c r="S126" s="60" t="str">
        <f>IF(S125="","","'"&amp;$S$2&amp;"' : { '"&amp;S$3&amp;"' : '"&amp;S125&amp;"' , ")</f>
        <v xml:space="preserve">'paymentMethod' : { 'paymentType' : 'Debit' , </v>
      </c>
      <c r="T126" s="60" t="str">
        <f>IF(T125="","","'"&amp;T$3&amp;"' : '"&amp;T125&amp;"' , ")</f>
        <v xml:space="preserve">'cardScheme' : 'Visa' , </v>
      </c>
      <c r="U126" s="60" t="str">
        <f>IF(U125="","","'"&amp;U$3&amp;"' : '"&amp;U125&amp;"' } , ")</f>
        <v xml:space="preserve">'cardLast4' : '2990' } , </v>
      </c>
      <c r="V126" s="60" t="str">
        <f ca="1">IF(V125="","","'"&amp;V$3&amp;"' : "&amp;V125&amp;", ")</f>
        <v xml:space="preserve">'totalQty' : 3, </v>
      </c>
      <c r="W126" s="60" t="str">
        <f>IF(W125="","","'"&amp;W$3&amp;"' : "&amp;W125&amp;", ")</f>
        <v xml:space="preserve">'orderTotal' : 391.78, </v>
      </c>
      <c r="X126" s="60" t="str">
        <f>IF(X125="","","'"&amp;X$3&amp;"' : "&amp;X125&amp;", ")</f>
        <v xml:space="preserve">'grossTotal' : 342.29, </v>
      </c>
      <c r="Y126" s="60" t="str">
        <f>IF(Y125="","","'"&amp;Y$3&amp;"' : "&amp;Y125&amp;", ")</f>
        <v xml:space="preserve">'tax' : 44.5, </v>
      </c>
      <c r="Z126" s="60" t="str">
        <f>IF(Z125="","","'"&amp;Z$3&amp;"' : "&amp;Z125&amp;", ")</f>
        <v xml:space="preserve">'deliveryFee' : 4.99, </v>
      </c>
      <c r="AA126" s="60"/>
      <c r="AB126" s="60"/>
      <c r="AC126" s="60"/>
      <c r="AD126" s="60"/>
      <c r="AE126" s="60"/>
      <c r="AF126" s="60" t="str">
        <f>$AA$2&amp;" : "&amp;_xlfn.CONCAT("[ ",AF122:AF124,"], ")</f>
        <v xml:space="preserve">orderDetails : [ { 'productId' : '4012', 'productName' : 'Empanada', 'quantity' : 24, 'price' : 6.79, 'subTotal' : 162.96 },{ 'productId' : '5002', 'productName' : 'Greek Yougurt with mixed Berries', 'quantity' : 17, 'price' : 4.99, 'subTotal' : 84.83 },{ 'productId' : '4020', 'productName' : 'Cherry Vanilla Bagel', 'quantity' : 14, 'price' : 6.75, 'subTotal' : 94.5 }], </v>
      </c>
      <c r="AG126" s="60" t="str">
        <f>IF(AG125="","","'"&amp;AG$3&amp;"' : new Date('"&amp;TEXT(AG125,"yyyy-mm-dd")&amp;"'), ")</f>
        <v xml:space="preserve">'orderDate' : new Date('2022-11-10'), </v>
      </c>
      <c r="AH126" s="60"/>
      <c r="AI126" s="60" t="str">
        <f>IF(AI125="","","'"&amp;AI$3&amp;"' : '"&amp;AI125&amp;"', ")</f>
        <v xml:space="preserve">'orderStatus' : 'Delivered', </v>
      </c>
      <c r="AJ126" s="60" t="str">
        <f>IF(AJ125="","","'"&amp;AJ$3&amp;"' : new Date('"&amp;TEXT(AJ125,"yyyy-mm-dd")&amp;"') ")</f>
        <v xml:space="preserve">'statusDate' : new Date('2022-11-10') </v>
      </c>
      <c r="AK126" s="60"/>
      <c r="AL126" s="59"/>
      <c r="AM126" s="58" t="str">
        <f ca="1">_xlfn.CONCAT("{ ",B126:AJ126,"} ,")</f>
        <v>{ 'emailAddress' : 'penelope_piers@gmail.com', 'orderId' : '20221110104800', 'employeeUserName' : 'jbartolata', 'deliveryAddress' : { 'name' : 'Penelope Piers' , 'street' : '3050 Speers Road' , 'unit' : '86' , 'city' : 'Oakville' , 'province' : 'Ontario' , 'zip' : 'L6H 3H5' , 'mobileNumber' : '905-467-2429' } , 'billingsAddress' : { 'name' : 'Penelope Piers' , 'street' : '1228 A Avenue' , 'city' : 'Edmonton' , 'province' : 'Alberta' , 'zip' : 'T5J 0K7' , 'mobileNumber' : '780-917-8428' } , 'paymentMethod' : { 'paymentType' : 'Debit' , 'cardScheme' : 'Visa' , 'cardLast4' : '2990' } , 'totalQty' : 3, 'orderTotal' : 391.78, 'grossTotal' : 342.29, 'tax' : 44.5, 'deliveryFee' : 4.99, orderDetails : [ { 'productId' : '4012', 'productName' : 'Empanada', 'quantity' : 24, 'price' : 6.79, 'subTotal' : 162.96 },{ 'productId' : '5002', 'productName' : 'Greek Yougurt with mixed Berries', 'quantity' : 17, 'price' : 4.99, 'subTotal' : 84.83 },{ 'productId' : '4020', 'productName' : 'Cherry Vanilla Bagel', 'quantity' : 14, 'price' : 6.75, 'subTotal' : 94.5 }], 'orderDate' : new Date('2022-11-10'), 'orderStatus' : 'Delivered', 'statusDate' : new Date('2022-11-10') } ,</v>
      </c>
    </row>
    <row r="127" spans="1:39" x14ac:dyDescent="0.35">
      <c r="B127" t="s">
        <v>748</v>
      </c>
      <c r="C127" s="49" t="s">
        <v>749</v>
      </c>
      <c r="D127" t="s">
        <v>681</v>
      </c>
      <c r="E127" t="s">
        <v>331</v>
      </c>
      <c r="F127" t="s">
        <v>405</v>
      </c>
      <c r="G127" t="s">
        <v>606</v>
      </c>
      <c r="H127" t="s">
        <v>434</v>
      </c>
      <c r="I127" t="s">
        <v>454</v>
      </c>
      <c r="J127" t="s">
        <v>463</v>
      </c>
      <c r="K127" t="s">
        <v>493</v>
      </c>
      <c r="L127" t="str">
        <f t="shared" ref="L127:L129" si="105">E127</f>
        <v>Ariana Evans</v>
      </c>
      <c r="M127" t="str">
        <f>VLOOKUP($B127,Customers!$B:$J,4,0)</f>
        <v>1188 St. John Street</v>
      </c>
      <c r="O127" t="str">
        <f>VLOOKUP($B127,Customers!$B:$J,6,0)</f>
        <v>Big River</v>
      </c>
      <c r="P127" t="str">
        <f>VLOOKUP($B127,Customers!$B:$J,7,0)</f>
        <v>Saskatchewan</v>
      </c>
      <c r="Q127" t="str">
        <f>VLOOKUP($B127,Customers!$B:$J,8,0)</f>
        <v>S4P 3Y2</v>
      </c>
      <c r="R127" t="str">
        <f>VLOOKUP($B127,Customers!$B:$J,9,0)</f>
        <v>306-469-8013</v>
      </c>
      <c r="S127" t="str">
        <f>VLOOKUP($B127,Customers!$B:$T,16,0)</f>
        <v>Credit</v>
      </c>
      <c r="T127" t="str">
        <f>VLOOKUP($B127,Customers!$B:$T,18,0)</f>
        <v>Visa</v>
      </c>
      <c r="U127" t="str">
        <f>VLOOKUP($B127,Customers!$B:$T,19,0)</f>
        <v>1330</v>
      </c>
      <c r="V127">
        <f ca="1">COUNTIF(C:C,C127)-1</f>
        <v>2</v>
      </c>
      <c r="X127">
        <f t="shared" ref="X127:X128" si="106">AC127*AD127</f>
        <v>77.87</v>
      </c>
      <c r="Y127">
        <f t="shared" ref="Y127:Y128" si="107">ROUND(X127*13%,2)</f>
        <v>10.119999999999999</v>
      </c>
      <c r="AA127">
        <v>4005</v>
      </c>
      <c r="AB127" t="s">
        <v>69</v>
      </c>
      <c r="AC127">
        <v>13</v>
      </c>
      <c r="AD127">
        <v>5.99</v>
      </c>
      <c r="AE127">
        <f>AC127*AD127</f>
        <v>77.87</v>
      </c>
      <c r="AF127" s="54" t="str">
        <f>"{ '"&amp;AA$3&amp;"' : '"&amp;AA127&amp;"', '"&amp;AB$3&amp;"' : '"&amp;AB127&amp;"', '"&amp;AC$3&amp;"' : "&amp;AC127&amp;", '"&amp;AD$3&amp;"' : "&amp;AD127&amp;", '"&amp;AE$3&amp;"' : "&amp;AE127&amp;" },"</f>
        <v>{ 'productId' : '4005', 'productName' : 'Bear Claw', 'quantity' : 13, 'price' : 5.99, 'subTotal' : 77.87 },</v>
      </c>
      <c r="AG127" s="48">
        <v>44875</v>
      </c>
      <c r="AH127" s="50" t="s">
        <v>714</v>
      </c>
      <c r="AI127" t="s">
        <v>755</v>
      </c>
      <c r="AJ127" s="48">
        <f>AG127</f>
        <v>44875</v>
      </c>
      <c r="AK127" t="s">
        <v>750</v>
      </c>
    </row>
    <row r="128" spans="1:39" x14ac:dyDescent="0.35">
      <c r="B128" t="s">
        <v>748</v>
      </c>
      <c r="C128" t="s">
        <v>749</v>
      </c>
      <c r="D128" t="s">
        <v>681</v>
      </c>
      <c r="E128" t="s">
        <v>331</v>
      </c>
      <c r="F128" t="s">
        <v>405</v>
      </c>
      <c r="G128" t="s">
        <v>606</v>
      </c>
      <c r="H128" t="s">
        <v>434</v>
      </c>
      <c r="I128" t="s">
        <v>454</v>
      </c>
      <c r="J128" t="s">
        <v>463</v>
      </c>
      <c r="K128" t="s">
        <v>493</v>
      </c>
      <c r="L128" t="str">
        <f t="shared" si="105"/>
        <v>Ariana Evans</v>
      </c>
      <c r="M128" t="str">
        <f>VLOOKUP($B128,Customers!$B:$J,4,0)</f>
        <v>1188 St. John Street</v>
      </c>
      <c r="O128" t="str">
        <f>VLOOKUP($B128,Customers!$B:$J,6,0)</f>
        <v>Big River</v>
      </c>
      <c r="P128" t="str">
        <f>VLOOKUP($B128,Customers!$B:$J,7,0)</f>
        <v>Saskatchewan</v>
      </c>
      <c r="Q128" t="str">
        <f>VLOOKUP($B128,Customers!$B:$J,8,0)</f>
        <v>S4P 3Y2</v>
      </c>
      <c r="R128" t="str">
        <f>VLOOKUP($B128,Customers!$B:$J,9,0)</f>
        <v>306-469-8013</v>
      </c>
      <c r="S128" t="str">
        <f>VLOOKUP($B128,Customers!$B:$T,16,0)</f>
        <v>Credit</v>
      </c>
      <c r="T128" t="str">
        <f>VLOOKUP($B128,Customers!$B:$T,18,0)</f>
        <v>Visa</v>
      </c>
      <c r="U128" t="str">
        <f>VLOOKUP($B128,Customers!$B:$T,19,0)</f>
        <v>1330</v>
      </c>
      <c r="V128">
        <f ca="1">COUNTIF(C:C,C128)-1</f>
        <v>2</v>
      </c>
      <c r="X128">
        <f t="shared" si="106"/>
        <v>64.5</v>
      </c>
      <c r="Y128">
        <f t="shared" si="107"/>
        <v>8.39</v>
      </c>
      <c r="AA128">
        <v>4008</v>
      </c>
      <c r="AB128" t="s">
        <v>72</v>
      </c>
      <c r="AC128">
        <v>10</v>
      </c>
      <c r="AD128">
        <v>6.45</v>
      </c>
      <c r="AE128">
        <f>AC128*AD128</f>
        <v>64.5</v>
      </c>
      <c r="AF128" s="54" t="str">
        <f>"{ '"&amp;AA$3&amp;"' : '"&amp;AA128&amp;"', '"&amp;AB$3&amp;"' : '"&amp;AB128&amp;"', '"&amp;AC$3&amp;"' : "&amp;AC128&amp;", '"&amp;AD$3&amp;"' : "&amp;AD128&amp;", '"&amp;AE$3&amp;"' : "&amp;AE128&amp;" }"</f>
        <v>{ 'productId' : '4008', 'productName' : 'Vanilla Cinnamon Roll', 'quantity' : 10, 'price' : 6.45, 'subTotal' : 64.5 }</v>
      </c>
      <c r="AG128" s="48">
        <v>44875</v>
      </c>
      <c r="AH128" s="48" t="str">
        <f>AH127</f>
        <v>085248</v>
      </c>
      <c r="AI128" t="str">
        <f t="shared" ref="AI128:AJ129" si="108">AI127</f>
        <v>Delivered</v>
      </c>
      <c r="AJ128" s="48">
        <f t="shared" si="108"/>
        <v>44875</v>
      </c>
    </row>
    <row r="129" spans="1:39" x14ac:dyDescent="0.35">
      <c r="A129" t="s">
        <v>759</v>
      </c>
      <c r="B129" t="s">
        <v>748</v>
      </c>
      <c r="C129" t="s">
        <v>749</v>
      </c>
      <c r="D129" t="s">
        <v>681</v>
      </c>
      <c r="E129" t="s">
        <v>331</v>
      </c>
      <c r="F129" t="s">
        <v>405</v>
      </c>
      <c r="G129" t="s">
        <v>606</v>
      </c>
      <c r="H129" t="s">
        <v>434</v>
      </c>
      <c r="I129" t="s">
        <v>454</v>
      </c>
      <c r="J129" t="s">
        <v>463</v>
      </c>
      <c r="K129" t="s">
        <v>493</v>
      </c>
      <c r="L129" t="str">
        <f t="shared" si="105"/>
        <v>Ariana Evans</v>
      </c>
      <c r="M129" t="str">
        <f>VLOOKUP($B129,Customers!$B:$J,4,0)</f>
        <v>1188 St. John Street</v>
      </c>
      <c r="O129" t="str">
        <f>VLOOKUP($B129,Customers!$B:$J,6,0)</f>
        <v>Big River</v>
      </c>
      <c r="P129" t="str">
        <f>VLOOKUP($B129,Customers!$B:$J,7,0)</f>
        <v>Saskatchewan</v>
      </c>
      <c r="Q129" t="str">
        <f>VLOOKUP($B129,Customers!$B:$J,8,0)</f>
        <v>S4P 3Y2</v>
      </c>
      <c r="R129" t="str">
        <f>VLOOKUP($B129,Customers!$B:$J,9,0)</f>
        <v>306-469-8013</v>
      </c>
      <c r="S129" t="str">
        <f>VLOOKUP($B129,Customers!$B:$T,16,0)</f>
        <v>Credit</v>
      </c>
      <c r="T129" t="str">
        <f>VLOOKUP($B129,Customers!$B:$T,18,0)</f>
        <v>Visa</v>
      </c>
      <c r="U129" t="str">
        <f>VLOOKUP($B129,Customers!$B:$T,19,0)</f>
        <v>1330</v>
      </c>
      <c r="V129">
        <f ca="1">COUNTIF(C:C,C129)-1</f>
        <v>2</v>
      </c>
      <c r="W129">
        <f>SUM(X129:Z129)</f>
        <v>165.87</v>
      </c>
      <c r="X129">
        <f>SUM(X127:X128)</f>
        <v>142.37</v>
      </c>
      <c r="Y129">
        <f>SUM(Y127:Y128)</f>
        <v>18.509999999999998</v>
      </c>
      <c r="Z129">
        <v>4.99</v>
      </c>
      <c r="AF129" s="54"/>
      <c r="AG129" s="48">
        <f>AG128</f>
        <v>44875</v>
      </c>
      <c r="AH129" s="48"/>
      <c r="AI129" t="str">
        <f t="shared" si="108"/>
        <v>Delivered</v>
      </c>
      <c r="AJ129" s="48">
        <f t="shared" si="108"/>
        <v>44875</v>
      </c>
    </row>
    <row r="130" spans="1:39" s="58" customFormat="1" ht="43.5" x14ac:dyDescent="0.35">
      <c r="A130" s="60" t="s">
        <v>760</v>
      </c>
      <c r="B130" s="60" t="str">
        <f>IF(B129="","","'"&amp;B$3&amp;"' : '"&amp;B129&amp;"', ")</f>
        <v xml:space="preserve">'emailAddress' : 'evansariana@gmail.com', </v>
      </c>
      <c r="C130" s="60" t="str">
        <f>IF(C129="","","'"&amp;C$3&amp;"' : '"&amp;C129&amp;"', ")</f>
        <v xml:space="preserve">'orderId' : '20221110085248', </v>
      </c>
      <c r="D130" s="60" t="str">
        <f>IF(D129="","","'"&amp;D$3&amp;"' : '"&amp;D129&amp;"', ")</f>
        <v xml:space="preserve">'employeeUserName' : 'jbartolata', </v>
      </c>
      <c r="E130" s="60" t="str">
        <f>IF(E129="","","'"&amp;$F$2&amp;"' : { '"&amp;E$3&amp;"' : '"&amp;E129&amp;"' , ")</f>
        <v xml:space="preserve">'deliveryAddress' : { 'name' : 'Ariana Evans' , </v>
      </c>
      <c r="F130" s="60" t="str">
        <f>IF(F129="","","'"&amp;F$3&amp;"' : '"&amp;F129&amp;"' , ")</f>
        <v xml:space="preserve">'street' : '1188 St. John Street' , </v>
      </c>
      <c r="G130" s="60" t="str">
        <f>IF(G129="","","'"&amp;G$3&amp;"' : '"&amp;G129&amp;"' , ")</f>
        <v xml:space="preserve">'unit' : '86' , </v>
      </c>
      <c r="H130" s="60" t="str">
        <f>IF(H129="","","'"&amp;H$3&amp;"' : '"&amp;H129&amp;"' , ")</f>
        <v xml:space="preserve">'city' : 'Big River' , </v>
      </c>
      <c r="I130" s="60" t="str">
        <f>IF(I129="","","'"&amp;I$3&amp;"' : '"&amp;I129&amp;"' , ")</f>
        <v xml:space="preserve">'province' : 'Saskatchewan' , </v>
      </c>
      <c r="J130" s="60" t="str">
        <f>IF(J129="","","'"&amp;J$3&amp;"' : '"&amp;J129&amp;"' , ")</f>
        <v xml:space="preserve">'zip' : 'S4P 3Y2' , </v>
      </c>
      <c r="K130" s="60" t="str">
        <f>IF(K129="","","'"&amp;K$3&amp;"' : '"&amp;K129&amp;"' } , ")</f>
        <v xml:space="preserve">'mobileNumber' : '306-469-8013' } , </v>
      </c>
      <c r="L130" s="60" t="str">
        <f>IF(L129="","","'"&amp;$L$2&amp;"' : { '"&amp;L$3&amp;"' : '"&amp;L129&amp;"' , ")</f>
        <v xml:space="preserve">'billingsAddress' : { 'name' : 'Ariana Evans' , </v>
      </c>
      <c r="M130" s="60" t="str">
        <f>IF(M129="","","'"&amp;M$3&amp;"' : '"&amp;M129&amp;"' , ")</f>
        <v xml:space="preserve">'street' : '1188 St. John Street' , </v>
      </c>
      <c r="N130" s="60" t="str">
        <f>IF(N129="","","'"&amp;N$3&amp;"' : '"&amp;N129&amp;"' , ")</f>
        <v/>
      </c>
      <c r="O130" s="60" t="str">
        <f>IF(O129="","","'"&amp;O$3&amp;"' : '"&amp;O129&amp;"' , ")</f>
        <v xml:space="preserve">'city' : 'Big River' , </v>
      </c>
      <c r="P130" s="60" t="str">
        <f>IF(P129="","","'"&amp;P$3&amp;"' : '"&amp;P129&amp;"' , ")</f>
        <v xml:space="preserve">'province' : 'Saskatchewan' , </v>
      </c>
      <c r="Q130" s="60" t="str">
        <f>IF(Q129="","","'"&amp;Q$3&amp;"' : '"&amp;Q129&amp;"' , ")</f>
        <v xml:space="preserve">'zip' : 'S4P 3Y2' , </v>
      </c>
      <c r="R130" s="60" t="str">
        <f>IF(R129="","","'"&amp;R$3&amp;"' : '"&amp;R129&amp;"' } , ")</f>
        <v xml:space="preserve">'mobileNumber' : '306-469-8013' } , </v>
      </c>
      <c r="S130" s="60" t="str">
        <f>IF(S129="","","'"&amp;$S$2&amp;"' : { '"&amp;S$3&amp;"' : '"&amp;S129&amp;"' , ")</f>
        <v xml:space="preserve">'paymentMethod' : { 'paymentType' : 'Credit' , </v>
      </c>
      <c r="T130" s="60" t="str">
        <f>IF(T129="","","'"&amp;T$3&amp;"' : '"&amp;T129&amp;"' , ")</f>
        <v xml:space="preserve">'cardScheme' : 'Visa' , </v>
      </c>
      <c r="U130" s="60" t="str">
        <f>IF(U129="","","'"&amp;U$3&amp;"' : '"&amp;U129&amp;"' } , ")</f>
        <v xml:space="preserve">'cardLast4' : '1330' } , </v>
      </c>
      <c r="V130" s="60" t="str">
        <f ca="1">IF(V129="","","'"&amp;V$3&amp;"' : "&amp;V129&amp;", ")</f>
        <v xml:space="preserve">'totalQty' : 2, </v>
      </c>
      <c r="W130" s="60" t="str">
        <f>IF(W129="","","'"&amp;W$3&amp;"' : "&amp;W129&amp;", ")</f>
        <v xml:space="preserve">'orderTotal' : 165.87, </v>
      </c>
      <c r="X130" s="60" t="str">
        <f>IF(X129="","","'"&amp;X$3&amp;"' : "&amp;X129&amp;", ")</f>
        <v xml:space="preserve">'grossTotal' : 142.37, </v>
      </c>
      <c r="Y130" s="60" t="str">
        <f>IF(Y129="","","'"&amp;Y$3&amp;"' : "&amp;Y129&amp;", ")</f>
        <v xml:space="preserve">'tax' : 18.51, </v>
      </c>
      <c r="Z130" s="60" t="str">
        <f>IF(Z129="","","'"&amp;Z$3&amp;"' : "&amp;Z129&amp;", ")</f>
        <v xml:space="preserve">'deliveryFee' : 4.99, </v>
      </c>
      <c r="AA130" s="60"/>
      <c r="AB130" s="60"/>
      <c r="AC130" s="60"/>
      <c r="AD130" s="60"/>
      <c r="AE130" s="60"/>
      <c r="AF130" s="60" t="str">
        <f>$AA$2&amp;" : "&amp;_xlfn.CONCAT("[ ",AF127:AF128,"], ")</f>
        <v xml:space="preserve">orderDetails : [ { 'productId' : '4005', 'productName' : 'Bear Claw', 'quantity' : 13, 'price' : 5.99, 'subTotal' : 77.87 },{ 'productId' : '4008', 'productName' : 'Vanilla Cinnamon Roll', 'quantity' : 10, 'price' : 6.45, 'subTotal' : 64.5 }], </v>
      </c>
      <c r="AG130" s="60" t="str">
        <f>IF(AG129="","","'"&amp;AG$3&amp;"' : new Date('"&amp;TEXT(AG129,"yyyy-mm-dd")&amp;"'), ")</f>
        <v xml:space="preserve">'orderDate' : new Date('2022-11-10'), </v>
      </c>
      <c r="AH130" s="60"/>
      <c r="AI130" s="60" t="str">
        <f>IF(AI129="","","'"&amp;AI$3&amp;"' : '"&amp;AI129&amp;"', ")</f>
        <v xml:space="preserve">'orderStatus' : 'Delivered', </v>
      </c>
      <c r="AJ130" s="60" t="str">
        <f>IF(AJ129="","","'"&amp;AJ$3&amp;"' : new Date('"&amp;TEXT(AJ129,"yyyy-mm-dd")&amp;"') ")</f>
        <v xml:space="preserve">'statusDate' : new Date('2022-11-10') </v>
      </c>
      <c r="AK130" s="60"/>
      <c r="AL130" s="59"/>
      <c r="AM130" s="58" t="str">
        <f ca="1">_xlfn.CONCAT("{ ",B130:AJ130,"} ,")</f>
        <v>{ 'emailAddress' : 'evansariana@gmail.com', 'orderId' : '20221110085248', 'employeeUserName' : 'jbartolata', 'deliveryAddress' : { 'name' : 'Ariana Evans' , 'street' : '1188 St. John Street' , 'unit' : '86' , 'city' : 'Big River' , 'province' : 'Saskatchewan' , 'zip' : 'S4P 3Y2' , 'mobileNumber' : '306-469-8013' } , 'billingsAddress' : { 'name' : 'Ariana Evans' , 'street' : '1188 St. John Street' , 'city' : 'Big River' , 'province' : 'Saskatchewan' , 'zip' : 'S4P 3Y2' , 'mobileNumber' : '306-469-8013' } , 'paymentMethod' : { 'paymentType' : 'Credit' , 'cardScheme' : 'Visa' , 'cardLast4' : '1330' } , 'totalQty' : 2, 'orderTotal' : 165.87, 'grossTotal' : 142.37, 'tax' : 18.51, 'deliveryFee' : 4.99, orderDetails : [ { 'productId' : '4005', 'productName' : 'Bear Claw', 'quantity' : 13, 'price' : 5.99, 'subTotal' : 77.87 },{ 'productId' : '4008', 'productName' : 'Vanilla Cinnamon Roll', 'quantity' : 10, 'price' : 6.45, 'subTotal' : 64.5 }], 'orderDate' : new Date('2022-11-10'), 'orderStatus' : 'Delivered', 'statusDate' : new Date('2022-11-10') } ,</v>
      </c>
    </row>
    <row r="131" spans="1:39" x14ac:dyDescent="0.35">
      <c r="B131" t="s">
        <v>712</v>
      </c>
      <c r="C131" s="49" t="s">
        <v>751</v>
      </c>
      <c r="D131" t="s">
        <v>680</v>
      </c>
      <c r="E131" t="s">
        <v>340</v>
      </c>
      <c r="F131" t="s">
        <v>406</v>
      </c>
      <c r="G131" t="s">
        <v>606</v>
      </c>
      <c r="H131" t="s">
        <v>431</v>
      </c>
      <c r="I131" t="s">
        <v>26</v>
      </c>
      <c r="J131" t="s">
        <v>467</v>
      </c>
      <c r="K131" t="s">
        <v>494</v>
      </c>
      <c r="L131" t="str">
        <f t="shared" ref="L131:L134" si="109">E131</f>
        <v>Scarlett David</v>
      </c>
      <c r="M131" t="str">
        <f>VLOOKUP($B131,Customers!$B:$J,4,0)</f>
        <v>1220 Tycos Dr</v>
      </c>
      <c r="O131" t="str">
        <f>VLOOKUP($B131,Customers!$B:$J,6,0)</f>
        <v>Toronto</v>
      </c>
      <c r="P131" t="str">
        <f>VLOOKUP($B131,Customers!$B:$J,7,0)</f>
        <v>Ontario</v>
      </c>
      <c r="Q131" t="str">
        <f>VLOOKUP($B131,Customers!$B:$J,8,0)</f>
        <v>M5T 1T4</v>
      </c>
      <c r="R131" t="str">
        <f>VLOOKUP($B131,Customers!$B:$J,9,0)</f>
        <v>416-595-0997</v>
      </c>
      <c r="S131" t="str">
        <f>VLOOKUP($B131,Customers!$B:$T,16,0)</f>
        <v>Debit</v>
      </c>
      <c r="T131" t="str">
        <f>VLOOKUP($B131,Customers!$B:$T,18,0)</f>
        <v>Visa</v>
      </c>
      <c r="U131" t="str">
        <f>VLOOKUP($B131,Customers!$B:$T,19,0)</f>
        <v>9741</v>
      </c>
      <c r="V131">
        <f ca="1">COUNTIF(C:C,C131)-1</f>
        <v>3</v>
      </c>
      <c r="X131">
        <f t="shared" ref="X131:X133" si="110">AC131*AD131</f>
        <v>114.77000000000001</v>
      </c>
      <c r="Y131">
        <f t="shared" ref="Y131:Y133" si="111">ROUND(X131*13%,2)</f>
        <v>14.92</v>
      </c>
      <c r="AA131">
        <v>4001</v>
      </c>
      <c r="AB131" t="s">
        <v>63</v>
      </c>
      <c r="AC131">
        <v>23</v>
      </c>
      <c r="AD131">
        <v>4.99</v>
      </c>
      <c r="AE131">
        <f>AC131*AD131</f>
        <v>114.77000000000001</v>
      </c>
      <c r="AF131" s="54" t="str">
        <f>"{ '"&amp;AA$3&amp;"' : '"&amp;AA131&amp;"', '"&amp;AB$3&amp;"' : '"&amp;AB131&amp;"', '"&amp;AC$3&amp;"' : "&amp;AC131&amp;", '"&amp;AD$3&amp;"' : "&amp;AD131&amp;", '"&amp;AE$3&amp;"' : "&amp;AE131&amp;" },"</f>
        <v>{ 'productId' : '4001', 'productName' : 'Plain Bagel', 'quantity' : 23, 'price' : 4.99, 'subTotal' : 114.77 },</v>
      </c>
      <c r="AG131" s="48">
        <v>44876</v>
      </c>
      <c r="AH131" s="50" t="s">
        <v>731</v>
      </c>
      <c r="AI131" t="s">
        <v>676</v>
      </c>
      <c r="AJ131" s="48">
        <f>AG131</f>
        <v>44876</v>
      </c>
      <c r="AK131" t="s">
        <v>725</v>
      </c>
    </row>
    <row r="132" spans="1:39" x14ac:dyDescent="0.35">
      <c r="B132" t="s">
        <v>712</v>
      </c>
      <c r="C132" t="s">
        <v>751</v>
      </c>
      <c r="D132" t="s">
        <v>680</v>
      </c>
      <c r="E132" t="s">
        <v>340</v>
      </c>
      <c r="F132" t="s">
        <v>406</v>
      </c>
      <c r="G132" t="s">
        <v>606</v>
      </c>
      <c r="H132" t="s">
        <v>431</v>
      </c>
      <c r="I132" t="s">
        <v>26</v>
      </c>
      <c r="J132" t="s">
        <v>467</v>
      </c>
      <c r="K132" t="s">
        <v>494</v>
      </c>
      <c r="L132" t="str">
        <f t="shared" si="109"/>
        <v>Scarlett David</v>
      </c>
      <c r="M132" t="str">
        <f>VLOOKUP($B132,Customers!$B:$J,4,0)</f>
        <v>1220 Tycos Dr</v>
      </c>
      <c r="O132" t="str">
        <f>VLOOKUP($B132,Customers!$B:$J,6,0)</f>
        <v>Toronto</v>
      </c>
      <c r="P132" t="str">
        <f>VLOOKUP($B132,Customers!$B:$J,7,0)</f>
        <v>Ontario</v>
      </c>
      <c r="Q132" t="str">
        <f>VLOOKUP($B132,Customers!$B:$J,8,0)</f>
        <v>M5T 1T4</v>
      </c>
      <c r="R132" t="str">
        <f>VLOOKUP($B132,Customers!$B:$J,9,0)</f>
        <v>416-595-0997</v>
      </c>
      <c r="S132" t="str">
        <f>VLOOKUP($B132,Customers!$B:$T,16,0)</f>
        <v>Debit</v>
      </c>
      <c r="T132" t="str">
        <f>VLOOKUP($B132,Customers!$B:$T,18,0)</f>
        <v>Visa</v>
      </c>
      <c r="U132" t="str">
        <f>VLOOKUP($B132,Customers!$B:$T,19,0)</f>
        <v>9741</v>
      </c>
      <c r="V132">
        <f ca="1">COUNTIF(C:C,C132)-1</f>
        <v>3</v>
      </c>
      <c r="X132">
        <f t="shared" si="110"/>
        <v>125.21</v>
      </c>
      <c r="Y132">
        <f t="shared" si="111"/>
        <v>16.28</v>
      </c>
      <c r="AA132">
        <v>4015</v>
      </c>
      <c r="AB132" t="s">
        <v>82</v>
      </c>
      <c r="AC132">
        <v>19</v>
      </c>
      <c r="AD132">
        <v>6.59</v>
      </c>
      <c r="AE132">
        <f>AC132*AD132</f>
        <v>125.21</v>
      </c>
      <c r="AF132" s="54" t="str">
        <f>"{ '"&amp;AA$3&amp;"' : '"&amp;AA132&amp;"', '"&amp;AB$3&amp;"' : '"&amp;AB132&amp;"', '"&amp;AC$3&amp;"' : "&amp;AC132&amp;", '"&amp;AD$3&amp;"' : "&amp;AD132&amp;", '"&amp;AE$3&amp;"' : "&amp;AE132&amp;" },"</f>
        <v>{ 'productId' : '4015', 'productName' : 'Sprouted Grain Flat Bagel', 'quantity' : 19, 'price' : 6.59, 'subTotal' : 125.21 },</v>
      </c>
      <c r="AG132" s="48">
        <v>44876</v>
      </c>
      <c r="AH132" s="48" t="str">
        <f t="shared" ref="AH132:AJ134" si="112">AH131</f>
        <v>111648</v>
      </c>
      <c r="AI132" t="str">
        <f t="shared" si="112"/>
        <v>In Process</v>
      </c>
      <c r="AJ132" s="48">
        <f t="shared" si="112"/>
        <v>44876</v>
      </c>
    </row>
    <row r="133" spans="1:39" x14ac:dyDescent="0.35">
      <c r="B133" t="s">
        <v>712</v>
      </c>
      <c r="C133" t="s">
        <v>751</v>
      </c>
      <c r="D133" t="s">
        <v>680</v>
      </c>
      <c r="E133" t="s">
        <v>340</v>
      </c>
      <c r="F133" t="s">
        <v>406</v>
      </c>
      <c r="G133" t="s">
        <v>606</v>
      </c>
      <c r="H133" t="s">
        <v>431</v>
      </c>
      <c r="I133" t="s">
        <v>26</v>
      </c>
      <c r="J133" t="s">
        <v>467</v>
      </c>
      <c r="K133" t="s">
        <v>494</v>
      </c>
      <c r="L133" t="str">
        <f t="shared" si="109"/>
        <v>Scarlett David</v>
      </c>
      <c r="M133" t="str">
        <f>VLOOKUP($B133,Customers!$B:$J,4,0)</f>
        <v>1220 Tycos Dr</v>
      </c>
      <c r="O133" t="str">
        <f>VLOOKUP($B133,Customers!$B:$J,6,0)</f>
        <v>Toronto</v>
      </c>
      <c r="P133" t="str">
        <f>VLOOKUP($B133,Customers!$B:$J,7,0)</f>
        <v>Ontario</v>
      </c>
      <c r="Q133" t="str">
        <f>VLOOKUP($B133,Customers!$B:$J,8,0)</f>
        <v>M5T 1T4</v>
      </c>
      <c r="R133" t="str">
        <f>VLOOKUP($B133,Customers!$B:$J,9,0)</f>
        <v>416-595-0997</v>
      </c>
      <c r="S133" t="str">
        <f>VLOOKUP($B133,Customers!$B:$T,16,0)</f>
        <v>Debit</v>
      </c>
      <c r="T133" t="str">
        <f>VLOOKUP($B133,Customers!$B:$T,18,0)</f>
        <v>Visa</v>
      </c>
      <c r="U133" t="str">
        <f>VLOOKUP($B133,Customers!$B:$T,19,0)</f>
        <v>9741</v>
      </c>
      <c r="V133">
        <f ca="1">COUNTIF(C:C,C133)-1</f>
        <v>3</v>
      </c>
      <c r="X133">
        <f t="shared" si="110"/>
        <v>143.75</v>
      </c>
      <c r="Y133">
        <f t="shared" si="111"/>
        <v>18.690000000000001</v>
      </c>
      <c r="AA133">
        <v>4003</v>
      </c>
      <c r="AB133" t="s">
        <v>67</v>
      </c>
      <c r="AC133">
        <v>23</v>
      </c>
      <c r="AD133">
        <v>6.25</v>
      </c>
      <c r="AE133">
        <f>AC133*AD133</f>
        <v>143.75</v>
      </c>
      <c r="AF133" s="54" t="str">
        <f>"{ '"&amp;AA$3&amp;"' : '"&amp;AA133&amp;"', '"&amp;AB$3&amp;"' : '"&amp;AB133&amp;"', '"&amp;AC$3&amp;"' : "&amp;AC133&amp;", '"&amp;AD$3&amp;"' : "&amp;AD133&amp;", '"&amp;AE$3&amp;"' : "&amp;AE133&amp;" }"</f>
        <v>{ 'productId' : '4003', 'productName' : 'Cinnamon Crunch Bagel', 'quantity' : 23, 'price' : 6.25, 'subTotal' : 143.75 }</v>
      </c>
      <c r="AG133" s="48">
        <v>44876</v>
      </c>
      <c r="AH133" s="48" t="str">
        <f t="shared" si="112"/>
        <v>111648</v>
      </c>
      <c r="AI133" t="str">
        <f t="shared" si="112"/>
        <v>In Process</v>
      </c>
      <c r="AJ133" s="48">
        <f t="shared" si="112"/>
        <v>44876</v>
      </c>
    </row>
    <row r="134" spans="1:39" x14ac:dyDescent="0.35">
      <c r="A134" t="s">
        <v>759</v>
      </c>
      <c r="B134" t="s">
        <v>712</v>
      </c>
      <c r="C134" t="s">
        <v>751</v>
      </c>
      <c r="D134" t="s">
        <v>680</v>
      </c>
      <c r="E134" t="s">
        <v>340</v>
      </c>
      <c r="F134" t="s">
        <v>406</v>
      </c>
      <c r="G134" t="s">
        <v>606</v>
      </c>
      <c r="H134" t="s">
        <v>431</v>
      </c>
      <c r="I134" t="s">
        <v>26</v>
      </c>
      <c r="J134" t="s">
        <v>467</v>
      </c>
      <c r="K134" t="s">
        <v>494</v>
      </c>
      <c r="L134" t="str">
        <f t="shared" si="109"/>
        <v>Scarlett David</v>
      </c>
      <c r="M134" t="str">
        <f>VLOOKUP($B134,Customers!$B:$J,4,0)</f>
        <v>1220 Tycos Dr</v>
      </c>
      <c r="O134" t="str">
        <f>VLOOKUP($B134,Customers!$B:$J,6,0)</f>
        <v>Toronto</v>
      </c>
      <c r="P134" t="str">
        <f>VLOOKUP($B134,Customers!$B:$J,7,0)</f>
        <v>Ontario</v>
      </c>
      <c r="Q134" t="str">
        <f>VLOOKUP($B134,Customers!$B:$J,8,0)</f>
        <v>M5T 1T4</v>
      </c>
      <c r="R134" t="str">
        <f>VLOOKUP($B134,Customers!$B:$J,9,0)</f>
        <v>416-595-0997</v>
      </c>
      <c r="S134" t="str">
        <f>VLOOKUP($B134,Customers!$B:$T,16,0)</f>
        <v>Debit</v>
      </c>
      <c r="T134" t="str">
        <f>VLOOKUP($B134,Customers!$B:$T,18,0)</f>
        <v>Visa</v>
      </c>
      <c r="U134" t="str">
        <f>VLOOKUP($B134,Customers!$B:$T,19,0)</f>
        <v>9741</v>
      </c>
      <c r="V134">
        <f ca="1">COUNTIF(C:C,C134)-1</f>
        <v>3</v>
      </c>
      <c r="W134">
        <f>SUM(X134:Z134)</f>
        <v>438.61</v>
      </c>
      <c r="X134">
        <f>SUM(X131:X133)</f>
        <v>383.73</v>
      </c>
      <c r="Y134">
        <f>SUM(Y131:Y133)</f>
        <v>49.89</v>
      </c>
      <c r="Z134">
        <v>4.99</v>
      </c>
      <c r="AF134" s="54"/>
      <c r="AG134" s="48">
        <f>AG133</f>
        <v>44876</v>
      </c>
      <c r="AH134" s="48"/>
      <c r="AI134" t="str">
        <f t="shared" si="112"/>
        <v>In Process</v>
      </c>
      <c r="AJ134" s="48">
        <f t="shared" si="112"/>
        <v>44876</v>
      </c>
    </row>
    <row r="135" spans="1:39" s="58" customFormat="1" ht="43.5" x14ac:dyDescent="0.35">
      <c r="A135" s="60" t="s">
        <v>760</v>
      </c>
      <c r="B135" s="60" t="str">
        <f>IF(B134="","","'"&amp;B$3&amp;"' : '"&amp;B134&amp;"', ")</f>
        <v xml:space="preserve">'emailAddress' : 'davidscarlett@gmail.com', </v>
      </c>
      <c r="C135" s="60" t="str">
        <f>IF(C134="","","'"&amp;C$3&amp;"' : '"&amp;C134&amp;"', ")</f>
        <v xml:space="preserve">'orderId' : '20221111111648', </v>
      </c>
      <c r="D135" s="60" t="str">
        <f>IF(D134="","","'"&amp;D$3&amp;"' : '"&amp;D134&amp;"', ")</f>
        <v xml:space="preserve">'employeeUserName' : 'lzapanta', </v>
      </c>
      <c r="E135" s="60" t="str">
        <f>IF(E134="","","'"&amp;$F$2&amp;"' : { '"&amp;E$3&amp;"' : '"&amp;E134&amp;"' , ")</f>
        <v xml:space="preserve">'deliveryAddress' : { 'name' : 'Scarlett David' , </v>
      </c>
      <c r="F135" s="60" t="str">
        <f>IF(F134="","","'"&amp;F$3&amp;"' : '"&amp;F134&amp;"' , ")</f>
        <v xml:space="preserve">'street' : '1220 Tycos Dr' , </v>
      </c>
      <c r="G135" s="60" t="str">
        <f>IF(G134="","","'"&amp;G$3&amp;"' : '"&amp;G134&amp;"' , ")</f>
        <v xml:space="preserve">'unit' : '86' , </v>
      </c>
      <c r="H135" s="60" t="str">
        <f>IF(H134="","","'"&amp;H$3&amp;"' : '"&amp;H134&amp;"' , ")</f>
        <v xml:space="preserve">'city' : 'Toronto' , </v>
      </c>
      <c r="I135" s="60" t="str">
        <f>IF(I134="","","'"&amp;I$3&amp;"' : '"&amp;I134&amp;"' , ")</f>
        <v xml:space="preserve">'province' : 'Ontario' , </v>
      </c>
      <c r="J135" s="60" t="str">
        <f>IF(J134="","","'"&amp;J$3&amp;"' : '"&amp;J134&amp;"' , ")</f>
        <v xml:space="preserve">'zip' : 'M5T 1T4' , </v>
      </c>
      <c r="K135" s="60" t="str">
        <f>IF(K134="","","'"&amp;K$3&amp;"' : '"&amp;K134&amp;"' } , ")</f>
        <v xml:space="preserve">'mobileNumber' : '416-595-0997' } , </v>
      </c>
      <c r="L135" s="60" t="str">
        <f>IF(L134="","","'"&amp;$L$2&amp;"' : { '"&amp;L$3&amp;"' : '"&amp;L134&amp;"' , ")</f>
        <v xml:space="preserve">'billingsAddress' : { 'name' : 'Scarlett David' , </v>
      </c>
      <c r="M135" s="60" t="str">
        <f>IF(M134="","","'"&amp;M$3&amp;"' : '"&amp;M134&amp;"' , ")</f>
        <v xml:space="preserve">'street' : '1220 Tycos Dr' , </v>
      </c>
      <c r="N135" s="60" t="str">
        <f>IF(N134="","","'"&amp;N$3&amp;"' : '"&amp;N134&amp;"' , ")</f>
        <v/>
      </c>
      <c r="O135" s="60" t="str">
        <f>IF(O134="","","'"&amp;O$3&amp;"' : '"&amp;O134&amp;"' , ")</f>
        <v xml:space="preserve">'city' : 'Toronto' , </v>
      </c>
      <c r="P135" s="60" t="str">
        <f>IF(P134="","","'"&amp;P$3&amp;"' : '"&amp;P134&amp;"' , ")</f>
        <v xml:space="preserve">'province' : 'Ontario' , </v>
      </c>
      <c r="Q135" s="60" t="str">
        <f>IF(Q134="","","'"&amp;Q$3&amp;"' : '"&amp;Q134&amp;"' , ")</f>
        <v xml:space="preserve">'zip' : 'M5T 1T4' , </v>
      </c>
      <c r="R135" s="60" t="str">
        <f>IF(R134="","","'"&amp;R$3&amp;"' : '"&amp;R134&amp;"' } , ")</f>
        <v xml:space="preserve">'mobileNumber' : '416-595-0997' } , </v>
      </c>
      <c r="S135" s="60" t="str">
        <f>IF(S134="","","'"&amp;$S$2&amp;"' : { '"&amp;S$3&amp;"' : '"&amp;S134&amp;"' , ")</f>
        <v xml:space="preserve">'paymentMethod' : { 'paymentType' : 'Debit' , </v>
      </c>
      <c r="T135" s="60" t="str">
        <f>IF(T134="","","'"&amp;T$3&amp;"' : '"&amp;T134&amp;"' , ")</f>
        <v xml:space="preserve">'cardScheme' : 'Visa' , </v>
      </c>
      <c r="U135" s="60" t="str">
        <f>IF(U134="","","'"&amp;U$3&amp;"' : '"&amp;U134&amp;"' } , ")</f>
        <v xml:space="preserve">'cardLast4' : '9741' } , </v>
      </c>
      <c r="V135" s="60" t="str">
        <f ca="1">IF(V134="","","'"&amp;V$3&amp;"' : "&amp;V134&amp;", ")</f>
        <v xml:space="preserve">'totalQty' : 3, </v>
      </c>
      <c r="W135" s="60" t="str">
        <f>IF(W134="","","'"&amp;W$3&amp;"' : "&amp;W134&amp;", ")</f>
        <v xml:space="preserve">'orderTotal' : 438.61, </v>
      </c>
      <c r="X135" s="60" t="str">
        <f>IF(X134="","","'"&amp;X$3&amp;"' : "&amp;X134&amp;", ")</f>
        <v xml:space="preserve">'grossTotal' : 383.73, </v>
      </c>
      <c r="Y135" s="60" t="str">
        <f>IF(Y134="","","'"&amp;Y$3&amp;"' : "&amp;Y134&amp;", ")</f>
        <v xml:space="preserve">'tax' : 49.89, </v>
      </c>
      <c r="Z135" s="60" t="str">
        <f>IF(Z134="","","'"&amp;Z$3&amp;"' : "&amp;Z134&amp;", ")</f>
        <v xml:space="preserve">'deliveryFee' : 4.99, </v>
      </c>
      <c r="AA135" s="60"/>
      <c r="AB135" s="60"/>
      <c r="AC135" s="60"/>
      <c r="AD135" s="60"/>
      <c r="AE135" s="60"/>
      <c r="AF135" s="60" t="str">
        <f>$AA$2&amp;" : "&amp;_xlfn.CONCAT("[ ",AF131:AF133,"], ")</f>
        <v xml:space="preserve">orderDetails : [ { 'productId' : '4001', 'productName' : 'Plain Bagel', 'quantity' : 23, 'price' : 4.99, 'subTotal' : 114.77 },{ 'productId' : '4015', 'productName' : 'Sprouted Grain Flat Bagel', 'quantity' : 19, 'price' : 6.59, 'subTotal' : 125.21 },{ 'productId' : '4003', 'productName' : 'Cinnamon Crunch Bagel', 'quantity' : 23, 'price' : 6.25, 'subTotal' : 143.75 }], </v>
      </c>
      <c r="AG135" s="60" t="str">
        <f>IF(AG134="","","'"&amp;AG$3&amp;"' : new Date('"&amp;TEXT(AG134,"yyyy-mm-dd")&amp;"'), ")</f>
        <v xml:space="preserve">'orderDate' : new Date('2022-11-11'), </v>
      </c>
      <c r="AH135" s="60"/>
      <c r="AI135" s="60" t="str">
        <f>IF(AI134="","","'"&amp;AI$3&amp;"' : '"&amp;AI134&amp;"', ")</f>
        <v xml:space="preserve">'orderStatus' : 'In Process', </v>
      </c>
      <c r="AJ135" s="60" t="str">
        <f>IF(AJ134="","","'"&amp;AJ$3&amp;"' : new Date('"&amp;TEXT(AJ134,"yyyy-mm-dd")&amp;"') ")</f>
        <v xml:space="preserve">'statusDate' : new Date('2022-11-11') </v>
      </c>
      <c r="AK135" s="60"/>
      <c r="AL135" s="59"/>
      <c r="AM135" s="58" t="str">
        <f ca="1">_xlfn.CONCAT("{ ",B135:AJ135,"} ,")</f>
        <v>{ 'emailAddress' : 'davidscarlett@gmail.com', 'orderId' : '20221111111648', 'employeeUserName' : 'lzapanta', 'deliveryAddress' : { 'name' : 'Scarlett David' , 'street' : '1220 Tycos Dr' , 'unit' : '86' , 'city' : 'Toronto' , 'province' : 'Ontario' , 'zip' : 'M5T 1T4' , 'mobileNumber' : '416-595-0997' } , 'billingsAddress' : { 'name' : 'Scarlett David' , 'street' : '1220 Tycos Dr' , 'city' : 'Toronto' , 'province' : 'Ontario' , 'zip' : 'M5T 1T4' , 'mobileNumber' : '416-595-0997' } , 'paymentMethod' : { 'paymentType' : 'Debit' , 'cardScheme' : 'Visa' , 'cardLast4' : '9741' } , 'totalQty' : 3, 'orderTotal' : 438.61, 'grossTotal' : 383.73, 'tax' : 49.89, 'deliveryFee' : 4.99, orderDetails : [ { 'productId' : '4001', 'productName' : 'Plain Bagel', 'quantity' : 23, 'price' : 4.99, 'subTotal' : 114.77 },{ 'productId' : '4015', 'productName' : 'Sprouted Grain Flat Bagel', 'quantity' : 19, 'price' : 6.59, 'subTotal' : 125.21 },{ 'productId' : '4003', 'productName' : 'Cinnamon Crunch Bagel', 'quantity' : 23, 'price' : 6.25, 'subTotal' : 143.75 }], 'orderDate' : new Date('2022-11-11'), 'orderStatus' : 'In Process', 'statusDate' : new Date('2022-11-11') } ,</v>
      </c>
    </row>
    <row r="136" spans="1:39" x14ac:dyDescent="0.35">
      <c r="B136" t="s">
        <v>750</v>
      </c>
      <c r="C136" s="49" t="s">
        <v>752</v>
      </c>
      <c r="D136" t="s">
        <v>682</v>
      </c>
      <c r="E136" t="s">
        <v>337</v>
      </c>
      <c r="F136" t="s">
        <v>590</v>
      </c>
      <c r="G136" t="s">
        <v>609</v>
      </c>
      <c r="H136" t="s">
        <v>598</v>
      </c>
      <c r="I136" t="s">
        <v>453</v>
      </c>
      <c r="J136" t="s">
        <v>619</v>
      </c>
      <c r="K136" t="s">
        <v>631</v>
      </c>
      <c r="L136" t="str">
        <f t="shared" ref="L136:L139" si="113">E136</f>
        <v>Brielle Olson</v>
      </c>
      <c r="M136" t="str">
        <f>VLOOKUP($B136,Customers!$B:$J,4,0)</f>
        <v>625 40th Street</v>
      </c>
      <c r="N136" t="str">
        <f>VLOOKUP($B136,Customers!$B:$J,5,0)</f>
        <v>218</v>
      </c>
      <c r="O136" t="str">
        <f>VLOOKUP($B136,Customers!$B:$J,6,0)</f>
        <v>Calgary</v>
      </c>
      <c r="P136" t="str">
        <f>VLOOKUP($B136,Customers!$B:$J,7,0)</f>
        <v>Alberta</v>
      </c>
      <c r="Q136" t="str">
        <f>VLOOKUP($B136,Customers!$B:$J,8,0)</f>
        <v>T2N 2A7</v>
      </c>
      <c r="R136" t="str">
        <f>VLOOKUP($B136,Customers!$B:$J,9,0)</f>
        <v>403-283-1490</v>
      </c>
      <c r="S136" t="str">
        <f>VLOOKUP($B136,Customers!$B:$T,16,0)</f>
        <v>Debit</v>
      </c>
      <c r="T136" t="str">
        <f>VLOOKUP($B136,Customers!$B:$T,18,0)</f>
        <v>Visa</v>
      </c>
      <c r="U136" t="str">
        <f>VLOOKUP($B136,Customers!$B:$T,19,0)</f>
        <v>7481</v>
      </c>
      <c r="V136">
        <f ca="1">COUNTIF(C:C,C136)-1</f>
        <v>3</v>
      </c>
      <c r="X136">
        <f t="shared" ref="X136:X138" si="114">AC136*AD136</f>
        <v>60.72</v>
      </c>
      <c r="Y136">
        <f t="shared" ref="Y136:Y138" si="115">ROUND(X136*13%,2)</f>
        <v>7.89</v>
      </c>
      <c r="AA136">
        <v>4009</v>
      </c>
      <c r="AB136" t="s">
        <v>73</v>
      </c>
      <c r="AC136">
        <v>8</v>
      </c>
      <c r="AD136">
        <v>7.59</v>
      </c>
      <c r="AE136">
        <f>AC136*AD136</f>
        <v>60.72</v>
      </c>
      <c r="AF136" s="54" t="str">
        <f>"{ '"&amp;AA$3&amp;"' : '"&amp;AA136&amp;"', '"&amp;AB$3&amp;"' : '"&amp;AB136&amp;"', '"&amp;AC$3&amp;"' : "&amp;AC136&amp;", '"&amp;AD$3&amp;"' : "&amp;AD136&amp;", '"&amp;AE$3&amp;"' : "&amp;AE136&amp;" },"</f>
        <v>{ 'productId' : '4009', 'productName' : 'Pecan Braid', 'quantity' : 8, 'price' : 7.59, 'subTotal' : 60.72 },</v>
      </c>
      <c r="AG136" s="48">
        <v>44876</v>
      </c>
      <c r="AH136" s="50" t="s">
        <v>692</v>
      </c>
      <c r="AI136" t="s">
        <v>677</v>
      </c>
      <c r="AJ136" s="48">
        <f>AG136</f>
        <v>44876</v>
      </c>
      <c r="AK136" t="s">
        <v>718</v>
      </c>
    </row>
    <row r="137" spans="1:39" x14ac:dyDescent="0.35">
      <c r="B137" t="s">
        <v>750</v>
      </c>
      <c r="C137" t="s">
        <v>752</v>
      </c>
      <c r="D137" t="s">
        <v>682</v>
      </c>
      <c r="E137" t="s">
        <v>337</v>
      </c>
      <c r="F137" t="s">
        <v>590</v>
      </c>
      <c r="G137" t="s">
        <v>609</v>
      </c>
      <c r="H137" t="s">
        <v>598</v>
      </c>
      <c r="I137" t="s">
        <v>453</v>
      </c>
      <c r="J137" t="s">
        <v>619</v>
      </c>
      <c r="K137" t="s">
        <v>631</v>
      </c>
      <c r="L137" t="str">
        <f t="shared" si="113"/>
        <v>Brielle Olson</v>
      </c>
      <c r="M137" t="str">
        <f>VLOOKUP($B137,Customers!$B:$J,4,0)</f>
        <v>625 40th Street</v>
      </c>
      <c r="N137" t="str">
        <f>VLOOKUP($B137,Customers!$B:$J,5,0)</f>
        <v>218</v>
      </c>
      <c r="O137" t="str">
        <f>VLOOKUP($B137,Customers!$B:$J,6,0)</f>
        <v>Calgary</v>
      </c>
      <c r="P137" t="str">
        <f>VLOOKUP($B137,Customers!$B:$J,7,0)</f>
        <v>Alberta</v>
      </c>
      <c r="Q137" t="str">
        <f>VLOOKUP($B137,Customers!$B:$J,8,0)</f>
        <v>T2N 2A7</v>
      </c>
      <c r="R137" t="str">
        <f>VLOOKUP($B137,Customers!$B:$J,9,0)</f>
        <v>403-283-1490</v>
      </c>
      <c r="S137" t="str">
        <f>VLOOKUP($B137,Customers!$B:$T,16,0)</f>
        <v>Debit</v>
      </c>
      <c r="T137" t="str">
        <f>VLOOKUP($B137,Customers!$B:$T,18,0)</f>
        <v>Visa</v>
      </c>
      <c r="U137" t="str">
        <f>VLOOKUP($B137,Customers!$B:$T,19,0)</f>
        <v>7481</v>
      </c>
      <c r="V137">
        <f ca="1">COUNTIF(C:C,C137)-1</f>
        <v>3</v>
      </c>
      <c r="X137">
        <f t="shared" si="114"/>
        <v>74.69</v>
      </c>
      <c r="Y137">
        <f t="shared" si="115"/>
        <v>9.7100000000000009</v>
      </c>
      <c r="AA137">
        <v>4012</v>
      </c>
      <c r="AB137" t="s">
        <v>76</v>
      </c>
      <c r="AC137">
        <v>11</v>
      </c>
      <c r="AD137">
        <v>6.79</v>
      </c>
      <c r="AE137">
        <f>AC137*AD137</f>
        <v>74.69</v>
      </c>
      <c r="AF137" s="54" t="str">
        <f>"{ '"&amp;AA$3&amp;"' : '"&amp;AA137&amp;"', '"&amp;AB$3&amp;"' : '"&amp;AB137&amp;"', '"&amp;AC$3&amp;"' : "&amp;AC137&amp;", '"&amp;AD$3&amp;"' : "&amp;AD137&amp;", '"&amp;AE$3&amp;"' : "&amp;AE137&amp;" },"</f>
        <v>{ 'productId' : '4012', 'productName' : 'Empanada', 'quantity' : 11, 'price' : 6.79, 'subTotal' : 74.69 },</v>
      </c>
      <c r="AG137" s="48">
        <v>44876</v>
      </c>
      <c r="AH137" s="48" t="str">
        <f t="shared" ref="AH137:AJ139" si="116">AH136</f>
        <v>103336</v>
      </c>
      <c r="AI137" t="str">
        <f t="shared" si="116"/>
        <v>Confirmed</v>
      </c>
      <c r="AJ137" s="48">
        <f t="shared" si="116"/>
        <v>44876</v>
      </c>
    </row>
    <row r="138" spans="1:39" x14ac:dyDescent="0.35">
      <c r="B138" t="s">
        <v>750</v>
      </c>
      <c r="C138" t="s">
        <v>752</v>
      </c>
      <c r="D138" t="s">
        <v>682</v>
      </c>
      <c r="E138" t="s">
        <v>337</v>
      </c>
      <c r="F138" t="s">
        <v>590</v>
      </c>
      <c r="G138" t="s">
        <v>609</v>
      </c>
      <c r="H138" t="s">
        <v>598</v>
      </c>
      <c r="I138" t="s">
        <v>453</v>
      </c>
      <c r="J138" t="s">
        <v>619</v>
      </c>
      <c r="K138" t="s">
        <v>631</v>
      </c>
      <c r="L138" t="str">
        <f t="shared" si="113"/>
        <v>Brielle Olson</v>
      </c>
      <c r="M138" t="str">
        <f>VLOOKUP($B138,Customers!$B:$J,4,0)</f>
        <v>625 40th Street</v>
      </c>
      <c r="N138" t="str">
        <f>VLOOKUP($B138,Customers!$B:$J,5,0)</f>
        <v>218</v>
      </c>
      <c r="O138" t="str">
        <f>VLOOKUP($B138,Customers!$B:$J,6,0)</f>
        <v>Calgary</v>
      </c>
      <c r="P138" t="str">
        <f>VLOOKUP($B138,Customers!$B:$J,7,0)</f>
        <v>Alberta</v>
      </c>
      <c r="Q138" t="str">
        <f>VLOOKUP($B138,Customers!$B:$J,8,0)</f>
        <v>T2N 2A7</v>
      </c>
      <c r="R138" t="str">
        <f>VLOOKUP($B138,Customers!$B:$J,9,0)</f>
        <v>403-283-1490</v>
      </c>
      <c r="S138" t="str">
        <f>VLOOKUP($B138,Customers!$B:$T,16,0)</f>
        <v>Debit</v>
      </c>
      <c r="T138" t="str">
        <f>VLOOKUP($B138,Customers!$B:$T,18,0)</f>
        <v>Visa</v>
      </c>
      <c r="U138" t="str">
        <f>VLOOKUP($B138,Customers!$B:$T,19,0)</f>
        <v>7481</v>
      </c>
      <c r="V138">
        <f ca="1">COUNTIF(C:C,C138)-1</f>
        <v>3</v>
      </c>
      <c r="X138">
        <f t="shared" si="114"/>
        <v>93.33</v>
      </c>
      <c r="Y138">
        <f t="shared" si="115"/>
        <v>12.13</v>
      </c>
      <c r="AA138">
        <v>4007</v>
      </c>
      <c r="AB138" t="s">
        <v>71</v>
      </c>
      <c r="AC138">
        <v>17</v>
      </c>
      <c r="AD138">
        <v>5.49</v>
      </c>
      <c r="AE138">
        <f>AC138*AD138</f>
        <v>93.33</v>
      </c>
      <c r="AF138" s="54" t="str">
        <f>"{ '"&amp;AA$3&amp;"' : '"&amp;AA138&amp;"', '"&amp;AB$3&amp;"' : '"&amp;AB138&amp;"', '"&amp;AC$3&amp;"' : "&amp;AC138&amp;", '"&amp;AD$3&amp;"' : "&amp;AD138&amp;", '"&amp;AE$3&amp;"' : "&amp;AE138&amp;" }"</f>
        <v>{ 'productId' : '4007', 'productName' : 'Orange Scone', 'quantity' : 17, 'price' : 5.49, 'subTotal' : 93.33 }</v>
      </c>
      <c r="AG138" s="48">
        <v>44876</v>
      </c>
      <c r="AH138" s="48" t="str">
        <f t="shared" si="116"/>
        <v>103336</v>
      </c>
      <c r="AI138" t="str">
        <f t="shared" si="116"/>
        <v>Confirmed</v>
      </c>
      <c r="AJ138" s="48">
        <f t="shared" si="116"/>
        <v>44876</v>
      </c>
    </row>
    <row r="139" spans="1:39" x14ac:dyDescent="0.35">
      <c r="A139" t="s">
        <v>759</v>
      </c>
      <c r="B139" t="s">
        <v>750</v>
      </c>
      <c r="C139" t="s">
        <v>752</v>
      </c>
      <c r="D139" t="s">
        <v>682</v>
      </c>
      <c r="E139" t="s">
        <v>337</v>
      </c>
      <c r="F139" t="s">
        <v>590</v>
      </c>
      <c r="G139" t="s">
        <v>609</v>
      </c>
      <c r="H139" t="s">
        <v>598</v>
      </c>
      <c r="I139" t="s">
        <v>453</v>
      </c>
      <c r="J139" t="s">
        <v>619</v>
      </c>
      <c r="K139" t="s">
        <v>631</v>
      </c>
      <c r="L139" t="str">
        <f t="shared" si="113"/>
        <v>Brielle Olson</v>
      </c>
      <c r="M139" t="str">
        <f>VLOOKUP($B139,Customers!$B:$J,4,0)</f>
        <v>625 40th Street</v>
      </c>
      <c r="N139" t="str">
        <f>VLOOKUP($B139,Customers!$B:$J,5,0)</f>
        <v>218</v>
      </c>
      <c r="O139" t="str">
        <f>VLOOKUP($B139,Customers!$B:$J,6,0)</f>
        <v>Calgary</v>
      </c>
      <c r="P139" t="str">
        <f>VLOOKUP($B139,Customers!$B:$J,7,0)</f>
        <v>Alberta</v>
      </c>
      <c r="Q139" t="str">
        <f>VLOOKUP($B139,Customers!$B:$J,8,0)</f>
        <v>T2N 2A7</v>
      </c>
      <c r="R139" t="str">
        <f>VLOOKUP($B139,Customers!$B:$J,9,0)</f>
        <v>403-283-1490</v>
      </c>
      <c r="S139" t="str">
        <f>VLOOKUP($B139,Customers!$B:$T,16,0)</f>
        <v>Debit</v>
      </c>
      <c r="T139" t="str">
        <f>VLOOKUP($B139,Customers!$B:$T,18,0)</f>
        <v>Visa</v>
      </c>
      <c r="U139" t="str">
        <f>VLOOKUP($B139,Customers!$B:$T,19,0)</f>
        <v>7481</v>
      </c>
      <c r="V139">
        <f ca="1">COUNTIF(C:C,C139)-1</f>
        <v>3</v>
      </c>
      <c r="W139">
        <f>SUM(X139:Z139)</f>
        <v>263.46000000000004</v>
      </c>
      <c r="X139">
        <f>SUM(X136:X138)</f>
        <v>228.74</v>
      </c>
      <c r="Y139">
        <f>SUM(Y136:Y138)</f>
        <v>29.730000000000004</v>
      </c>
      <c r="Z139">
        <v>4.99</v>
      </c>
      <c r="AF139" s="54"/>
      <c r="AG139" s="48">
        <f>AG138</f>
        <v>44876</v>
      </c>
      <c r="AH139" s="48"/>
      <c r="AI139" t="str">
        <f t="shared" si="116"/>
        <v>Confirmed</v>
      </c>
      <c r="AJ139" s="48">
        <f t="shared" si="116"/>
        <v>44876</v>
      </c>
    </row>
    <row r="140" spans="1:39" s="58" customFormat="1" ht="43.5" x14ac:dyDescent="0.35">
      <c r="A140" s="60" t="s">
        <v>760</v>
      </c>
      <c r="B140" s="60" t="str">
        <f>IF(B139="","","'"&amp;B$3&amp;"' : '"&amp;B139&amp;"', ")</f>
        <v xml:space="preserve">'emailAddress' : 'olsonbrielle@gmail.com', </v>
      </c>
      <c r="C140" s="60" t="str">
        <f>IF(C139="","","'"&amp;C$3&amp;"' : '"&amp;C139&amp;"', ")</f>
        <v xml:space="preserve">'orderId' : '20221111103336', </v>
      </c>
      <c r="D140" s="60" t="str">
        <f>IF(D139="","","'"&amp;D$3&amp;"' : '"&amp;D139&amp;"', ")</f>
        <v xml:space="preserve">'employeeUserName' : 'mjones', </v>
      </c>
      <c r="E140" s="60" t="str">
        <f>IF(E139="","","'"&amp;$F$2&amp;"' : { '"&amp;E$3&amp;"' : '"&amp;E139&amp;"' , ")</f>
        <v xml:space="preserve">'deliveryAddress' : { 'name' : 'Brielle Olson' , </v>
      </c>
      <c r="F140" s="60" t="str">
        <f>IF(F139="","","'"&amp;F$3&amp;"' : '"&amp;F139&amp;"' , ")</f>
        <v xml:space="preserve">'street' : '2665 rue Parc' , </v>
      </c>
      <c r="G140" s="60" t="str">
        <f>IF(G139="","","'"&amp;G$3&amp;"' : '"&amp;G139&amp;"' , ")</f>
        <v xml:space="preserve">'unit' : '19' , </v>
      </c>
      <c r="H140" s="60" t="str">
        <f>IF(H139="","","'"&amp;H$3&amp;"' : '"&amp;H139&amp;"' , ")</f>
        <v xml:space="preserve">'city' : 'St Cyrille De Wendover' , </v>
      </c>
      <c r="I140" s="60" t="str">
        <f>IF(I139="","","'"&amp;I$3&amp;"' : '"&amp;I139&amp;"' , ")</f>
        <v xml:space="preserve">'province' : 'Quebec' , </v>
      </c>
      <c r="J140" s="60" t="str">
        <f>IF(J139="","","'"&amp;J$3&amp;"' : '"&amp;J139&amp;"' , ")</f>
        <v xml:space="preserve">'zip' : 'J1Z 1E1' , </v>
      </c>
      <c r="K140" s="60" t="str">
        <f>IF(K139="","","'"&amp;K$3&amp;"' : '"&amp;K139&amp;"' } , ")</f>
        <v xml:space="preserve">'mobileNumber' : '819-397-4174' } , </v>
      </c>
      <c r="L140" s="60" t="str">
        <f>IF(L139="","","'"&amp;$L$2&amp;"' : { '"&amp;L$3&amp;"' : '"&amp;L139&amp;"' , ")</f>
        <v xml:space="preserve">'billingsAddress' : { 'name' : 'Brielle Olson' , </v>
      </c>
      <c r="M140" s="60" t="str">
        <f>IF(M139="","","'"&amp;M$3&amp;"' : '"&amp;M139&amp;"' , ")</f>
        <v xml:space="preserve">'street' : '625 40th Street' , </v>
      </c>
      <c r="N140" s="60" t="str">
        <f>IF(N139="","","'"&amp;N$3&amp;"' : '"&amp;N139&amp;"' , ")</f>
        <v xml:space="preserve">'unit' : '218' , </v>
      </c>
      <c r="O140" s="60" t="str">
        <f>IF(O139="","","'"&amp;O$3&amp;"' : '"&amp;O139&amp;"' , ")</f>
        <v xml:space="preserve">'city' : 'Calgary' , </v>
      </c>
      <c r="P140" s="60" t="str">
        <f>IF(P139="","","'"&amp;P$3&amp;"' : '"&amp;P139&amp;"' , ")</f>
        <v xml:space="preserve">'province' : 'Alberta' , </v>
      </c>
      <c r="Q140" s="60" t="str">
        <f>IF(Q139="","","'"&amp;Q$3&amp;"' : '"&amp;Q139&amp;"' , ")</f>
        <v xml:space="preserve">'zip' : 'T2N 2A7' , </v>
      </c>
      <c r="R140" s="60" t="str">
        <f>IF(R139="","","'"&amp;R$3&amp;"' : '"&amp;R139&amp;"' } , ")</f>
        <v xml:space="preserve">'mobileNumber' : '403-283-1490' } , </v>
      </c>
      <c r="S140" s="60" t="str">
        <f>IF(S139="","","'"&amp;$S$2&amp;"' : { '"&amp;S$3&amp;"' : '"&amp;S139&amp;"' , ")</f>
        <v xml:space="preserve">'paymentMethod' : { 'paymentType' : 'Debit' , </v>
      </c>
      <c r="T140" s="60" t="str">
        <f>IF(T139="","","'"&amp;T$3&amp;"' : '"&amp;T139&amp;"' , ")</f>
        <v xml:space="preserve">'cardScheme' : 'Visa' , </v>
      </c>
      <c r="U140" s="60" t="str">
        <f>IF(U139="","","'"&amp;U$3&amp;"' : '"&amp;U139&amp;"' } , ")</f>
        <v xml:space="preserve">'cardLast4' : '7481' } , </v>
      </c>
      <c r="V140" s="60" t="str">
        <f ca="1">IF(V139="","","'"&amp;V$3&amp;"' : "&amp;V139&amp;", ")</f>
        <v xml:space="preserve">'totalQty' : 3, </v>
      </c>
      <c r="W140" s="60" t="str">
        <f>IF(W139="","","'"&amp;W$3&amp;"' : "&amp;W139&amp;", ")</f>
        <v xml:space="preserve">'orderTotal' : 263.46, </v>
      </c>
      <c r="X140" s="60" t="str">
        <f>IF(X139="","","'"&amp;X$3&amp;"' : "&amp;X139&amp;", ")</f>
        <v xml:space="preserve">'grossTotal' : 228.74, </v>
      </c>
      <c r="Y140" s="60" t="str">
        <f>IF(Y139="","","'"&amp;Y$3&amp;"' : "&amp;Y139&amp;", ")</f>
        <v xml:space="preserve">'tax' : 29.73, </v>
      </c>
      <c r="Z140" s="60" t="str">
        <f>IF(Z139="","","'"&amp;Z$3&amp;"' : "&amp;Z139&amp;", ")</f>
        <v xml:space="preserve">'deliveryFee' : 4.99, </v>
      </c>
      <c r="AA140" s="60"/>
      <c r="AB140" s="60"/>
      <c r="AC140" s="60"/>
      <c r="AD140" s="60"/>
      <c r="AE140" s="60"/>
      <c r="AF140" s="60" t="str">
        <f>$AA$2&amp;" : "&amp;_xlfn.CONCAT("[ ",AF136:AF138,"], ")</f>
        <v xml:space="preserve">orderDetails : [ { 'productId' : '4009', 'productName' : 'Pecan Braid', 'quantity' : 8, 'price' : 7.59, 'subTotal' : 60.72 },{ 'productId' : '4012', 'productName' : 'Empanada', 'quantity' : 11, 'price' : 6.79, 'subTotal' : 74.69 },{ 'productId' : '4007', 'productName' : 'Orange Scone', 'quantity' : 17, 'price' : 5.49, 'subTotal' : 93.33 }], </v>
      </c>
      <c r="AG140" s="60" t="str">
        <f>IF(AG139="","","'"&amp;AG$3&amp;"' : new Date('"&amp;TEXT(AG139,"yyyy-mm-dd")&amp;"'), ")</f>
        <v xml:space="preserve">'orderDate' : new Date('2022-11-11'), </v>
      </c>
      <c r="AH140" s="60"/>
      <c r="AI140" s="60" t="str">
        <f>IF(AI139="","","'"&amp;AI$3&amp;"' : '"&amp;AI139&amp;"', ")</f>
        <v xml:space="preserve">'orderStatus' : 'Confirmed', </v>
      </c>
      <c r="AJ140" s="60" t="str">
        <f>IF(AJ139="","","'"&amp;AJ$3&amp;"' : new Date('"&amp;TEXT(AJ139,"yyyy-mm-dd")&amp;"') ")</f>
        <v xml:space="preserve">'statusDate' : new Date('2022-11-11') </v>
      </c>
      <c r="AK140" s="60"/>
      <c r="AL140" s="59"/>
      <c r="AM140" s="58" t="str">
        <f ca="1">_xlfn.CONCAT("{ ",B140:AJ140,"} ,")</f>
        <v>{ 'emailAddress' : 'olsonbrielle@gmail.com', 'orderId' : '20221111103336', 'employeeUserName' : 'mjones', 'deliveryAddress' : { 'name' : 'Brielle Olson' , 'street' : '2665 rue Parc' , 'unit' : '19' , 'city' : 'St Cyrille De Wendover' , 'province' : 'Quebec' , 'zip' : 'J1Z 1E1' , 'mobileNumber' : '819-397-4174' } , 'billingsAddress' : { 'name' : 'Brielle Olson' , 'street' : '625 40th Street' , 'unit' : '218' , 'city' : 'Calgary' , 'province' : 'Alberta' , 'zip' : 'T2N 2A7' , 'mobileNumber' : '403-283-1490' } , 'paymentMethod' : { 'paymentType' : 'Debit' , 'cardScheme' : 'Visa' , 'cardLast4' : '7481' } , 'totalQty' : 3, 'orderTotal' : 263.46, 'grossTotal' : 228.74, 'tax' : 29.73, 'deliveryFee' : 4.99, orderDetails : [ { 'productId' : '4009', 'productName' : 'Pecan Braid', 'quantity' : 8, 'price' : 7.59, 'subTotal' : 60.72 },{ 'productId' : '4012', 'productName' : 'Empanada', 'quantity' : 11, 'price' : 6.79, 'subTotal' : 74.69 },{ 'productId' : '4007', 'productName' : 'Orange Scone', 'quantity' : 17, 'price' : 5.49, 'subTotal' : 93.33 }], 'orderDate' : new Date('2022-11-11'), 'orderStatus' : 'Confirmed', 'statusDate' : new Date('2022-11-11') } ,</v>
      </c>
    </row>
    <row r="141" spans="1:39" x14ac:dyDescent="0.35">
      <c r="B141" t="s">
        <v>735</v>
      </c>
      <c r="C141" s="49" t="s">
        <v>753</v>
      </c>
      <c r="D141" t="s">
        <v>682</v>
      </c>
      <c r="E141" t="s">
        <v>328</v>
      </c>
      <c r="F141" t="s">
        <v>584</v>
      </c>
      <c r="G141" t="s">
        <v>603</v>
      </c>
      <c r="H141" t="s">
        <v>441</v>
      </c>
      <c r="I141" t="s">
        <v>26</v>
      </c>
      <c r="J141" t="s">
        <v>613</v>
      </c>
      <c r="K141" t="s">
        <v>625</v>
      </c>
      <c r="L141" t="str">
        <f t="shared" ref="L141:L143" si="117">E141</f>
        <v>Sawyer Oliver</v>
      </c>
      <c r="M141" t="str">
        <f>VLOOKUP($B141,Customers!$B:$J,4,0)</f>
        <v>2963 Pine Street</v>
      </c>
      <c r="O141" t="str">
        <f>VLOOKUP($B141,Customers!$B:$J,6,0)</f>
        <v>Nisku</v>
      </c>
      <c r="P141" t="str">
        <f>VLOOKUP($B141,Customers!$B:$J,7,0)</f>
        <v>Alberta</v>
      </c>
      <c r="Q141" t="str">
        <f>VLOOKUP($B141,Customers!$B:$J,8,0)</f>
        <v>T0C 2G0</v>
      </c>
      <c r="R141" t="str">
        <f>VLOOKUP($B141,Customers!$B:$J,9,0)</f>
        <v>780-955-0637</v>
      </c>
      <c r="S141" t="str">
        <f>VLOOKUP($B141,Customers!$B:$T,16,0)</f>
        <v>Debit</v>
      </c>
      <c r="T141" t="str">
        <f>VLOOKUP($B141,Customers!$B:$T,18,0)</f>
        <v>Mastercard</v>
      </c>
      <c r="U141" t="str">
        <f>VLOOKUP($B141,Customers!$B:$T,19,0)</f>
        <v>5161</v>
      </c>
      <c r="V141">
        <f ca="1">COUNTIF(C:C,C141)-1</f>
        <v>2</v>
      </c>
      <c r="X141">
        <f t="shared" ref="X141:X142" si="118">AC141*AD141</f>
        <v>130.05000000000001</v>
      </c>
      <c r="Y141">
        <f t="shared" ref="Y141" si="119">ROUND(X141*13%,2)</f>
        <v>16.91</v>
      </c>
      <c r="AA141">
        <v>4006</v>
      </c>
      <c r="AB141" t="s">
        <v>70</v>
      </c>
      <c r="AC141">
        <v>17</v>
      </c>
      <c r="AD141">
        <v>7.65</v>
      </c>
      <c r="AE141">
        <f>AC141*AD141</f>
        <v>130.05000000000001</v>
      </c>
      <c r="AF141" s="54" t="str">
        <f t="shared" ref="AF141" si="120">"{ '"&amp;AA$3&amp;"' : '"&amp;AA141&amp;"', '"&amp;AB$3&amp;"' : '"&amp;AB141&amp;"', '"&amp;AC$3&amp;"' : "&amp;AC141&amp;", '"&amp;AD$3&amp;"' : "&amp;AD141&amp;", '"&amp;AE$3&amp;"' : "&amp;AE141&amp;" },"</f>
        <v>{ 'productId' : '4006', 'productName' : 'Chocolate Croissant', 'quantity' : 17, 'price' : 7.65, 'subTotal' : 130.05 },</v>
      </c>
      <c r="AG141" s="48">
        <v>44876</v>
      </c>
      <c r="AH141" s="50" t="s">
        <v>720</v>
      </c>
      <c r="AI141" t="s">
        <v>754</v>
      </c>
      <c r="AJ141" s="48">
        <f>AG141</f>
        <v>44876</v>
      </c>
      <c r="AK141" t="s">
        <v>712</v>
      </c>
    </row>
    <row r="142" spans="1:39" x14ac:dyDescent="0.35">
      <c r="B142" t="s">
        <v>735</v>
      </c>
      <c r="C142" t="s">
        <v>753</v>
      </c>
      <c r="D142" t="s">
        <v>682</v>
      </c>
      <c r="E142" t="s">
        <v>328</v>
      </c>
      <c r="F142" t="s">
        <v>584</v>
      </c>
      <c r="G142" t="s">
        <v>603</v>
      </c>
      <c r="H142" t="s">
        <v>441</v>
      </c>
      <c r="I142" t="s">
        <v>26</v>
      </c>
      <c r="J142" t="s">
        <v>613</v>
      </c>
      <c r="K142" t="s">
        <v>625</v>
      </c>
      <c r="L142" t="str">
        <f t="shared" si="117"/>
        <v>Sawyer Oliver</v>
      </c>
      <c r="M142" t="str">
        <f>VLOOKUP($B142,Customers!$B:$J,4,0)</f>
        <v>2963 Pine Street</v>
      </c>
      <c r="O142" t="str">
        <f>VLOOKUP($B142,Customers!$B:$J,6,0)</f>
        <v>Nisku</v>
      </c>
      <c r="P142" t="str">
        <f>VLOOKUP($B142,Customers!$B:$J,7,0)</f>
        <v>Alberta</v>
      </c>
      <c r="Q142" t="str">
        <f>VLOOKUP($B142,Customers!$B:$J,8,0)</f>
        <v>T0C 2G0</v>
      </c>
      <c r="R142" t="str">
        <f>VLOOKUP($B142,Customers!$B:$J,9,0)</f>
        <v>780-955-0637</v>
      </c>
      <c r="S142" t="str">
        <f>VLOOKUP($B142,Customers!$B:$T,16,0)</f>
        <v>Debit</v>
      </c>
      <c r="T142" t="str">
        <f>VLOOKUP($B142,Customers!$B:$T,18,0)</f>
        <v>Mastercard</v>
      </c>
      <c r="U142" t="str">
        <f>VLOOKUP($B142,Customers!$B:$T,19,0)</f>
        <v>5161</v>
      </c>
      <c r="V142">
        <f ca="1">COUNTIF(C:C,C142)-1</f>
        <v>2</v>
      </c>
      <c r="X142">
        <f t="shared" si="118"/>
        <v>73.45</v>
      </c>
      <c r="Y142">
        <f>ROUND(X142*13%,2)</f>
        <v>9.5500000000000007</v>
      </c>
      <c r="AA142">
        <v>4017</v>
      </c>
      <c r="AB142" t="s">
        <v>84</v>
      </c>
      <c r="AC142">
        <v>13</v>
      </c>
      <c r="AD142">
        <v>5.65</v>
      </c>
      <c r="AE142">
        <f>AC142*AD142</f>
        <v>73.45</v>
      </c>
      <c r="AF142" s="54" t="str">
        <f>"{ '"&amp;AA$3&amp;"' : '"&amp;AA142&amp;"', '"&amp;AB$3&amp;"' : '"&amp;AB142&amp;"', '"&amp;AC$3&amp;"' : "&amp;AC142&amp;", '"&amp;AD$3&amp;"' : "&amp;AD142&amp;", '"&amp;AE$3&amp;"' : "&amp;AE142&amp;" }"</f>
        <v>{ 'productId' : '4017', 'productName' : 'Malunggay Bread', 'quantity' : 13, 'price' : 5.65, 'subTotal' : 73.45 }</v>
      </c>
      <c r="AG142" s="48">
        <v>44876</v>
      </c>
      <c r="AH142" s="48" t="str">
        <f>AH141</f>
        <v>120000</v>
      </c>
      <c r="AI142" t="str">
        <f t="shared" ref="AI142:AJ143" si="121">AI141</f>
        <v>Order Placed</v>
      </c>
      <c r="AJ142" s="48">
        <f t="shared" si="121"/>
        <v>44876</v>
      </c>
    </row>
    <row r="143" spans="1:39" x14ac:dyDescent="0.35">
      <c r="A143" t="s">
        <v>759</v>
      </c>
      <c r="B143" t="s">
        <v>735</v>
      </c>
      <c r="C143" t="s">
        <v>753</v>
      </c>
      <c r="D143" t="s">
        <v>682</v>
      </c>
      <c r="E143" t="s">
        <v>328</v>
      </c>
      <c r="F143" t="s">
        <v>584</v>
      </c>
      <c r="G143" t="s">
        <v>603</v>
      </c>
      <c r="H143" t="s">
        <v>441</v>
      </c>
      <c r="I143" t="s">
        <v>26</v>
      </c>
      <c r="J143" t="s">
        <v>613</v>
      </c>
      <c r="K143" t="s">
        <v>625</v>
      </c>
      <c r="L143" t="str">
        <f t="shared" si="117"/>
        <v>Sawyer Oliver</v>
      </c>
      <c r="M143" t="str">
        <f>VLOOKUP($B143,Customers!$B:$J,4,0)</f>
        <v>2963 Pine Street</v>
      </c>
      <c r="O143" t="str">
        <f>VLOOKUP($B143,Customers!$B:$J,6,0)</f>
        <v>Nisku</v>
      </c>
      <c r="P143" t="str">
        <f>VLOOKUP($B143,Customers!$B:$J,7,0)</f>
        <v>Alberta</v>
      </c>
      <c r="Q143" t="str">
        <f>VLOOKUP($B143,Customers!$B:$J,8,0)</f>
        <v>T0C 2G0</v>
      </c>
      <c r="R143" t="str">
        <f>VLOOKUP($B143,Customers!$B:$J,9,0)</f>
        <v>780-955-0637</v>
      </c>
      <c r="S143" t="str">
        <f>VLOOKUP($B143,Customers!$B:$T,16,0)</f>
        <v>Debit</v>
      </c>
      <c r="T143" t="str">
        <f>VLOOKUP($B143,Customers!$B:$T,18,0)</f>
        <v>Mastercard</v>
      </c>
      <c r="U143" t="str">
        <f>VLOOKUP($B143,Customers!$B:$T,19,0)</f>
        <v>5161</v>
      </c>
      <c r="V143">
        <f ca="1">COUNTIF(C:C,C143)-1</f>
        <v>2</v>
      </c>
      <c r="W143">
        <f>SUM(X143:Z143)</f>
        <v>234.95000000000002</v>
      </c>
      <c r="X143">
        <f>SUM(X141:X142)</f>
        <v>203.5</v>
      </c>
      <c r="Y143">
        <f>SUM(Y141:Y142)</f>
        <v>26.46</v>
      </c>
      <c r="Z143">
        <v>4.99</v>
      </c>
      <c r="AF143" s="54"/>
      <c r="AG143" s="48">
        <f>AG142</f>
        <v>44876</v>
      </c>
      <c r="AH143" s="48"/>
      <c r="AI143" t="str">
        <f t="shared" si="121"/>
        <v>Order Placed</v>
      </c>
      <c r="AJ143" s="48">
        <f t="shared" si="121"/>
        <v>44876</v>
      </c>
    </row>
    <row r="144" spans="1:39" s="58" customFormat="1" ht="43.5" x14ac:dyDescent="0.35">
      <c r="A144" s="60" t="s">
        <v>760</v>
      </c>
      <c r="B144" s="60" t="str">
        <f>IF(B143="","","'"&amp;B$3&amp;"' : '"&amp;B143&amp;"', ")</f>
        <v xml:space="preserve">'emailAddress' : 'sawyer_oliver@gmail.com', </v>
      </c>
      <c r="C144" s="60" t="str">
        <f>IF(C143="","","'"&amp;C$3&amp;"' : '"&amp;C143&amp;"', ")</f>
        <v xml:space="preserve">'orderId' : '20221111120000', </v>
      </c>
      <c r="D144" s="60" t="str">
        <f t="shared" ref="D144" si="122">IF(D143="","","'"&amp;D$3&amp;"' : '"&amp;D143&amp;"', ")</f>
        <v xml:space="preserve">'employeeUserName' : 'mjones', </v>
      </c>
      <c r="E144" s="60" t="str">
        <f>IF(E143="","","'"&amp;$F$2&amp;"' : { '"&amp;E$3&amp;"' : '"&amp;E143&amp;"' , ")</f>
        <v xml:space="preserve">'deliveryAddress' : { 'name' : 'Sawyer Oliver' , </v>
      </c>
      <c r="F144" s="60" t="str">
        <f t="shared" ref="F144:J144" si="123">IF(F143="","","'"&amp;F$3&amp;"' : '"&amp;F143&amp;"' , ")</f>
        <v xml:space="preserve">'street' : '674 Montreal Road' , </v>
      </c>
      <c r="G144" s="60" t="str">
        <f t="shared" si="123"/>
        <v xml:space="preserve">'unit' : '13' , </v>
      </c>
      <c r="H144" s="60" t="str">
        <f t="shared" si="123"/>
        <v xml:space="preserve">'city' : 'Ottawa' , </v>
      </c>
      <c r="I144" s="60" t="str">
        <f t="shared" si="123"/>
        <v xml:space="preserve">'province' : 'Ontario' , </v>
      </c>
      <c r="J144" s="60" t="str">
        <f t="shared" si="123"/>
        <v xml:space="preserve">'zip' : 'K1L 6C7' , </v>
      </c>
      <c r="K144" s="60" t="str">
        <f>IF(K143="","","'"&amp;K$3&amp;"' : '"&amp;K143&amp;"' } , ")</f>
        <v xml:space="preserve">'mobileNumber' : '613-744-0751' } , </v>
      </c>
      <c r="L144" s="60" t="str">
        <f>IF(L143="","","'"&amp;$L$2&amp;"' : { '"&amp;L$3&amp;"' : '"&amp;L143&amp;"' , ")</f>
        <v xml:space="preserve">'billingsAddress' : { 'name' : 'Sawyer Oliver' , </v>
      </c>
      <c r="M144" s="60" t="str">
        <f t="shared" ref="M144:Q144" si="124">IF(M143="","","'"&amp;M$3&amp;"' : '"&amp;M143&amp;"' , ")</f>
        <v xml:space="preserve">'street' : '2963 Pine Street' , </v>
      </c>
      <c r="N144" s="60" t="str">
        <f t="shared" si="124"/>
        <v/>
      </c>
      <c r="O144" s="60" t="str">
        <f t="shared" si="124"/>
        <v xml:space="preserve">'city' : 'Nisku' , </v>
      </c>
      <c r="P144" s="60" t="str">
        <f t="shared" si="124"/>
        <v xml:space="preserve">'province' : 'Alberta' , </v>
      </c>
      <c r="Q144" s="60" t="str">
        <f t="shared" si="124"/>
        <v xml:space="preserve">'zip' : 'T0C 2G0' , </v>
      </c>
      <c r="R144" s="60" t="str">
        <f>IF(R143="","","'"&amp;R$3&amp;"' : '"&amp;R143&amp;"' } , ")</f>
        <v xml:space="preserve">'mobileNumber' : '780-955-0637' } , </v>
      </c>
      <c r="S144" s="60" t="str">
        <f>IF(S143="","","'"&amp;$S$2&amp;"' : { '"&amp;S$3&amp;"' : '"&amp;S143&amp;"' , ")</f>
        <v xml:space="preserve">'paymentMethod' : { 'paymentType' : 'Debit' , </v>
      </c>
      <c r="T144" s="60" t="str">
        <f t="shared" ref="T144" si="125">IF(T143="","","'"&amp;T$3&amp;"' : '"&amp;T143&amp;"' , ")</f>
        <v xml:space="preserve">'cardScheme' : 'Mastercard' , </v>
      </c>
      <c r="U144" s="60" t="str">
        <f>IF(U143="","","'"&amp;U$3&amp;"' : '"&amp;U143&amp;"' } , ")</f>
        <v xml:space="preserve">'cardLast4' : '5161' } , </v>
      </c>
      <c r="V144" s="60" t="str">
        <f ca="1">IF(V143="","","'"&amp;V$3&amp;"' : "&amp;V143&amp;", ")</f>
        <v xml:space="preserve">'totalQty' : 2, </v>
      </c>
      <c r="W144" s="60" t="str">
        <f>IF(W143="","","'"&amp;W$3&amp;"' : "&amp;W143&amp;", ")</f>
        <v xml:space="preserve">'orderTotal' : 234.95, </v>
      </c>
      <c r="X144" s="60" t="str">
        <f>IF(X143="","","'"&amp;X$3&amp;"' : "&amp;X143&amp;", ")</f>
        <v xml:space="preserve">'grossTotal' : 203.5, </v>
      </c>
      <c r="Y144" s="60" t="str">
        <f>IF(Y143="","","'"&amp;Y$3&amp;"' : "&amp;Y143&amp;", ")</f>
        <v xml:space="preserve">'tax' : 26.46, </v>
      </c>
      <c r="Z144" s="60" t="str">
        <f>IF(Z143="","","'"&amp;Z$3&amp;"' : "&amp;Z143&amp;", ")</f>
        <v xml:space="preserve">'deliveryFee' : 4.99, </v>
      </c>
      <c r="AA144" s="60"/>
      <c r="AB144" s="60"/>
      <c r="AC144" s="60"/>
      <c r="AD144" s="60"/>
      <c r="AE144" s="60"/>
      <c r="AF144" s="60" t="str">
        <f>$AA$2&amp;" : "&amp;_xlfn.CONCAT("[ ",AF141:AF142,"], ")</f>
        <v xml:space="preserve">orderDetails : [ { 'productId' : '4006', 'productName' : 'Chocolate Croissant', 'quantity' : 17, 'price' : 7.65, 'subTotal' : 130.05 },{ 'productId' : '4017', 'productName' : 'Malunggay Bread', 'quantity' : 13, 'price' : 5.65, 'subTotal' : 73.45 }], </v>
      </c>
      <c r="AG144" s="60" t="str">
        <f>IF(AG143="","","'"&amp;AG$3&amp;"' : new Date('"&amp;TEXT(AG143,"yyyy-mm-dd")&amp;"'), ")</f>
        <v xml:space="preserve">'orderDate' : new Date('2022-11-11'), </v>
      </c>
      <c r="AH144" s="60"/>
      <c r="AI144" s="60" t="str">
        <f t="shared" ref="AI144" si="126">IF(AI143="","","'"&amp;AI$3&amp;"' : '"&amp;AI143&amp;"', ")</f>
        <v xml:space="preserve">'orderStatus' : 'Order Placed', </v>
      </c>
      <c r="AJ144" s="60" t="str">
        <f>IF(AJ143="","","'"&amp;AJ$3&amp;"' : new Date('"&amp;TEXT(AJ143,"yyyy-mm-dd")&amp;"') ")</f>
        <v xml:space="preserve">'statusDate' : new Date('2022-11-11') </v>
      </c>
      <c r="AK144" s="60"/>
      <c r="AL144" s="59"/>
      <c r="AM144" s="58" t="str">
        <f ca="1">_xlfn.CONCAT("{ ",B144:AJ144,"} ,")</f>
        <v>{ 'emailAddress' : 'sawyer_oliver@gmail.com', 'orderId' : '20221111120000', 'employeeUserName' : 'mjones', 'deliveryAddress' : { 'name' : 'Sawyer Oliver' , 'street' : '674 Montreal Road' , 'unit' : '13' , 'city' : 'Ottawa' , 'province' : 'Ontario' , 'zip' : 'K1L 6C7' , 'mobileNumber' : '613-744-0751' } , 'billingsAddress' : { 'name' : 'Sawyer Oliver' , 'street' : '2963 Pine Street' , 'city' : 'Nisku' , 'province' : 'Alberta' , 'zip' : 'T0C 2G0' , 'mobileNumber' : '780-955-0637' } , 'paymentMethod' : { 'paymentType' : 'Debit' , 'cardScheme' : 'Mastercard' , 'cardLast4' : '5161' } , 'totalQty' : 2, 'orderTotal' : 234.95, 'grossTotal' : 203.5, 'tax' : 26.46, 'deliveryFee' : 4.99, orderDetails : [ { 'productId' : '4006', 'productName' : 'Chocolate Croissant', 'quantity' : 17, 'price' : 7.65, 'subTotal' : 130.05 },{ 'productId' : '4017', 'productName' : 'Malunggay Bread', 'quantity' : 13, 'price' : 5.65, 'subTotal' : 73.45 }], 'orderDate' : new Date('2022-11-11'), 'orderStatus' : 'Order Placed', 'statusDate' : new Date('2022-11-11') } ,</v>
      </c>
    </row>
    <row r="145" spans="2:38" x14ac:dyDescent="0.35">
      <c r="B145" s="40" t="str">
        <f ca="1">VLOOKUP(RANDBETWEEN(1,30),Customers!$A$4:$B$33,2,0)</f>
        <v>sawyer_oliver@gmail.com</v>
      </c>
      <c r="C145" s="40" t="str">
        <f ca="1">TEXT(AG145,"yyyymmdd")&amp;AH145</f>
        <v>20221111095024</v>
      </c>
      <c r="D145" s="40" t="str">
        <f ca="1">VLOOKUP(RANDBETWEEN(1,3),Employees!$A$3:$C$5,2,0)</f>
        <v>mjones</v>
      </c>
      <c r="E145" s="40" t="str">
        <f ca="1">INDEX(Customers!C:C,MATCH(B145,Customers!B:B,0))&amp;" "&amp;INDEX(Customers!D:D,MATCH(B145,Customers!B:B,0))</f>
        <v>Sawyer Oliver</v>
      </c>
      <c r="F145" s="40" t="str">
        <f ca="1">INDEX(Customers!K:K,MATCH(B145,Customers!B:B,0))</f>
        <v>674 Montreal Road</v>
      </c>
      <c r="G145" s="40" t="str">
        <f ca="1">INDEX(Customers!L:L,MATCH(B145,Customers!B:B,0))</f>
        <v>13</v>
      </c>
      <c r="H145" s="40" t="str">
        <f ca="1">INDEX(Customers!M:M,MATCH(B145,Customers!B:B,0))</f>
        <v>Ottawa</v>
      </c>
      <c r="I145" s="40" t="str">
        <f ca="1">INDEX(Customers!N:N,MATCH(B145,Customers!B:B,0))</f>
        <v>Ontario</v>
      </c>
      <c r="J145" s="40" t="str">
        <f ca="1">INDEX(Customers!O:O,MATCH(B145,Customers!B:B,0))</f>
        <v>K1L 6C7</v>
      </c>
      <c r="K145" s="40" t="str">
        <f ca="1">INDEX(Customers!P:P,MATCH(B145,Customers!B:B,0))</f>
        <v>613-744-0751</v>
      </c>
      <c r="L145" s="40" t="str">
        <f t="shared" ref="L145" ca="1" si="127">E145</f>
        <v>Sawyer Oliver</v>
      </c>
      <c r="M145" s="40" t="str">
        <f ca="1">VLOOKUP($B145,Customers!$B:$J,4,0)</f>
        <v>2963 Pine Street</v>
      </c>
      <c r="N145" s="40">
        <f ca="1">VLOOKUP($B145,Customers!$B:$J,5,0)</f>
        <v>0</v>
      </c>
      <c r="O145" s="40" t="str">
        <f ca="1">VLOOKUP($B145,Customers!$B:$J,6,0)</f>
        <v>Nisku</v>
      </c>
      <c r="P145" s="40" t="str">
        <f ca="1">VLOOKUP($B145,Customers!$B:$J,7,0)</f>
        <v>Alberta</v>
      </c>
      <c r="Q145" s="40" t="str">
        <f ca="1">VLOOKUP($B145,Customers!$B:$J,8,0)</f>
        <v>T0C 2G0</v>
      </c>
      <c r="R145" s="40" t="str">
        <f ca="1">VLOOKUP($B145,Customers!$B:$J,9,0)</f>
        <v>780-955-0637</v>
      </c>
      <c r="S145" s="40" t="str">
        <f ca="1">VLOOKUP($B145,Customers!$B:$T,16,0)</f>
        <v>Debit</v>
      </c>
      <c r="T145" s="40" t="str">
        <f ca="1">VLOOKUP($B145,Customers!$B:$T,18,0)</f>
        <v>Mastercard</v>
      </c>
      <c r="U145" s="40" t="str">
        <f ca="1">VLOOKUP($B145,Customers!$B:$T,19,0)</f>
        <v>5161</v>
      </c>
      <c r="V145" s="40"/>
      <c r="W145" s="40"/>
      <c r="X145" s="40"/>
      <c r="Y145" s="40"/>
      <c r="Z145" s="40"/>
      <c r="AA145" s="40" t="e">
        <f ca="1">VLOOKUP(RANDBETWEEN(1,23),#REF!,2,0)</f>
        <v>#REF!</v>
      </c>
      <c r="AB145" s="40" t="e">
        <f ca="1">VLOOKUP(AA145,#REF!,2,0)</f>
        <v>#REF!</v>
      </c>
      <c r="AC145" s="40">
        <f ca="1">RANDBETWEEN(1,24)</f>
        <v>17</v>
      </c>
      <c r="AD145" s="40" t="e">
        <f ca="1">VLOOKUP(AA145,#REF!,5,0)</f>
        <v>#REF!</v>
      </c>
      <c r="AF145" s="52" t="str">
        <f>$AA$2&amp;" : "&amp;_xlfn.CONCAT("[ ",,"], ")</f>
        <v xml:space="preserve">orderDetails : [ ], </v>
      </c>
      <c r="AG145" s="52">
        <f>AG142</f>
        <v>44876</v>
      </c>
      <c r="AH145" s="53" t="str">
        <f ca="1">TEXT(RANDBETWEEN(34,50)/100, "HHMMSS")</f>
        <v>095024</v>
      </c>
      <c r="AK145" s="40" t="str">
        <f ca="1">VLOOKUP(RANDBETWEEN(1,30),Customers!$A$4:$B$33,2,0)</f>
        <v>penelope_piers@gmail.com</v>
      </c>
      <c r="AL145" s="5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</vt:lpstr>
      <vt:lpstr>Mapping</vt:lpstr>
      <vt:lpstr>Sheet1</vt:lpstr>
      <vt:lpstr>DataModel</vt:lpstr>
      <vt:lpstr>InputData</vt:lpstr>
      <vt:lpstr>Customers</vt:lpstr>
      <vt:lpstr>Employees</vt:lpstr>
      <vt:lpstr>Orders</vt:lpstr>
      <vt:lpstr>Products</vt:lpstr>
      <vt:lpstr>Reviews</vt:lpstr>
      <vt:lpstr>Sheet2</vt:lpstr>
      <vt:lpstr>RandomAddreses</vt:lpstr>
      <vt:lpstr>RandomNames</vt:lpstr>
      <vt:lpstr>Productsx</vt:lpstr>
      <vt:lpstr>xxxProducts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Luz Zapanta</dc:creator>
  <cp:keywords/>
  <dc:description/>
  <cp:lastModifiedBy>barto</cp:lastModifiedBy>
  <cp:revision/>
  <dcterms:created xsi:type="dcterms:W3CDTF">2022-11-15T01:47:32Z</dcterms:created>
  <dcterms:modified xsi:type="dcterms:W3CDTF">2022-11-25T17:26:09Z</dcterms:modified>
  <cp:category/>
  <cp:contentStatus/>
</cp:coreProperties>
</file>