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 Francisco Boba Tea Shop Loc" sheetId="1" r:id="rId3"/>
  </sheets>
  <definedNames/>
  <calcPr/>
</workbook>
</file>

<file path=xl/sharedStrings.xml><?xml version="1.0" encoding="utf-8"?>
<sst xmlns="http://schemas.openxmlformats.org/spreadsheetml/2006/main" count="2414" uniqueCount="1839">
  <si>
    <t>id</t>
  </si>
  <si>
    <t>name</t>
  </si>
  <si>
    <t>rating</t>
  </si>
  <si>
    <t>address</t>
  </si>
  <si>
    <t>city</t>
  </si>
  <si>
    <t>lat-long</t>
  </si>
  <si>
    <t>latitude</t>
  </si>
  <si>
    <t>longitude</t>
  </si>
  <si>
    <t>99-tea-house-fremont-2</t>
  </si>
  <si>
    <t>3623 Thornton Ave</t>
  </si>
  <si>
    <t>Fremont</t>
  </si>
  <si>
    <t>37.56295-122.010039999999</t>
  </si>
  <si>
    <t>one-tea-fremont-2</t>
  </si>
  <si>
    <t>46809 Warm Springs Blvd</t>
  </si>
  <si>
    <t>37.4890666928572-121.929413750767</t>
  </si>
  <si>
    <t>royaltea-usa-fremont</t>
  </si>
  <si>
    <t>38509 Fremont Blvd</t>
  </si>
  <si>
    <t>37.5513151288032-121.993849799037</t>
  </si>
  <si>
    <t>teco-tea-and-coffee-bar-fremont</t>
  </si>
  <si>
    <t>39030 Paseo Padre Pkwy</t>
  </si>
  <si>
    <t>37.5536945-121.981043</t>
  </si>
  <si>
    <t>t-lab-fremont-3</t>
  </si>
  <si>
    <t>34133 Fremont Blvd</t>
  </si>
  <si>
    <t>37.576149-122.0437049</t>
  </si>
  <si>
    <t>q-tea-monster-newark</t>
  </si>
  <si>
    <t>39181 Cedar Blvd</t>
  </si>
  <si>
    <t>Newark</t>
  </si>
  <si>
    <t>37.5229604101756-122.005785632481</t>
  </si>
  <si>
    <t>gong-cha-fremont</t>
  </si>
  <si>
    <t>46827 Warm Springs Blvd</t>
  </si>
  <si>
    <t>37.4885682635695-121.929191268869</t>
  </si>
  <si>
    <t>happy-lemon-fremont-2</t>
  </si>
  <si>
    <t>46873 Warm Spring Blvd</t>
  </si>
  <si>
    <t>37.4884429093476-121.930383669657</t>
  </si>
  <si>
    <t>factory-tea-bar-fremont-2</t>
  </si>
  <si>
    <t>46461 Mission Blvd</t>
  </si>
  <si>
    <t>37.4922976027806-121.927918713539</t>
  </si>
  <si>
    <t>super-cue-cafe-fremont</t>
  </si>
  <si>
    <t>43743 Boscell Rd</t>
  </si>
  <si>
    <t>37.5007782876492-121.973167955875</t>
  </si>
  <si>
    <t>milk-and-honey-cafe-fremont</t>
  </si>
  <si>
    <t>34265 Fremont Blvd</t>
  </si>
  <si>
    <t>37.575448103287-122.042586920966</t>
  </si>
  <si>
    <t>tea-island-fremont-2</t>
  </si>
  <si>
    <t>46196 Warm Springs Blvd</t>
  </si>
  <si>
    <t>37.4935414360442-121.929889351584</t>
  </si>
  <si>
    <t>taro-taro-dessert-and-tea-house-fremont</t>
  </si>
  <si>
    <t>6018 Stevenson Blvd</t>
  </si>
  <si>
    <t>37.5195973820395-121.989493228847</t>
  </si>
  <si>
    <t>i-tea-fremont-2</t>
  </si>
  <si>
    <t>43421 Christy St</t>
  </si>
  <si>
    <t>37.504992442164-121.971231736243</t>
  </si>
  <si>
    <t>i-tea-newark</t>
  </si>
  <si>
    <t>34925 Newark Blvd</t>
  </si>
  <si>
    <t>37.5506935787169-122.051467484131</t>
  </si>
  <si>
    <t>sharetea-fremont-2</t>
  </si>
  <si>
    <t>3948 Washington Blvd</t>
  </si>
  <si>
    <t>37.53195-121.957889999999</t>
  </si>
  <si>
    <t>urbain-tea-fremont</t>
  </si>
  <si>
    <t>1590 Washington Blvd</t>
  </si>
  <si>
    <t>37.5312314119297-121.937047836775</t>
  </si>
  <si>
    <t>mandro-teahouse-newark-3</t>
  </si>
  <si>
    <t>34956 Newark Blvd</t>
  </si>
  <si>
    <t>37.5515049151237-122.050272187505</t>
  </si>
  <si>
    <t>gong-cha-newark</t>
  </si>
  <si>
    <t>39730 Cedar Blvd</t>
  </si>
  <si>
    <t>37.5208-121.996426</t>
  </si>
  <si>
    <t>tea-six-fremont-2</t>
  </si>
  <si>
    <t>34460 Fremont Blvd</t>
  </si>
  <si>
    <t>37.57509-122.0386</t>
  </si>
  <si>
    <t>tata-teahouse-fremont-2</t>
  </si>
  <si>
    <t>39230 Argonaut Way</t>
  </si>
  <si>
    <t>37.543782-121.986825</t>
  </si>
  <si>
    <t>tea-station-newark</t>
  </si>
  <si>
    <t>39115 Cedar Blvd</t>
  </si>
  <si>
    <t>37.523356-122.006644999999</t>
  </si>
  <si>
    <t>sno-crave-tea-house-fremont</t>
  </si>
  <si>
    <t>43773 Boscell Rd</t>
  </si>
  <si>
    <t>37.500044-121.973621999999</t>
  </si>
  <si>
    <t>boba-queen-fremont</t>
  </si>
  <si>
    <t>34420 Fremont Blvd</t>
  </si>
  <si>
    <t>37.5757-122.039769999999</t>
  </si>
  <si>
    <t>t4-tea-fremont-2</t>
  </si>
  <si>
    <t>43430 Mission Blvd</t>
  </si>
  <si>
    <t>37.53181-121.91944</t>
  </si>
  <si>
    <t>boba-fitt-drinks-union-city</t>
  </si>
  <si>
    <t>31877 Alvarado Blvd</t>
  </si>
  <si>
    <t>Union City</t>
  </si>
  <si>
    <t>37.5897191178595-122.071148412966</t>
  </si>
  <si>
    <t>sweet-home-cafe-fremont-2</t>
  </si>
  <si>
    <t>6068 Stevenson Blvd</t>
  </si>
  <si>
    <t>37.5180666419642-121.989524069478</t>
  </si>
  <si>
    <t>tea-era-mountain-view-2</t>
  </si>
  <si>
    <t>271 Castro St</t>
  </si>
  <si>
    <t>Mountain View</t>
  </si>
  <si>
    <t>37.3929561-122.0792811</t>
  </si>
  <si>
    <t>teaspoon-los-altos</t>
  </si>
  <si>
    <t>4546 El Camino Real</t>
  </si>
  <si>
    <t>Los Altos</t>
  </si>
  <si>
    <t>37.401254171244-122.114469291963</t>
  </si>
  <si>
    <t>t4-fremont-8</t>
  </si>
  <si>
    <t>46132 Warm Springs Blvd</t>
  </si>
  <si>
    <t>37.4932967-121.931298099999</t>
  </si>
  <si>
    <t>my-delights-fremont</t>
  </si>
  <si>
    <t>43486 Ellsworth St</t>
  </si>
  <si>
    <t>37.5304985046387-121.920637562871</t>
  </si>
  <si>
    <t>t4-fremont-3</t>
  </si>
  <si>
    <t>36400 Fremont Blvd</t>
  </si>
  <si>
    <t>37.5631118502019-122.015291475919</t>
  </si>
  <si>
    <t>sno-crave-teahouse-union-city</t>
  </si>
  <si>
    <t>1788 Decoto Rd</t>
  </si>
  <si>
    <t>37.5889987-122.0208657</t>
  </si>
  <si>
    <t>sharetea-union-city-3</t>
  </si>
  <si>
    <t>34391 Alvarado Niles Rd</t>
  </si>
  <si>
    <t>37.587234-122.022712</t>
  </si>
  <si>
    <t>tastea-san-jose-2</t>
  </si>
  <si>
    <t>1160 N Capitol Ave</t>
  </si>
  <si>
    <t>San Jose</t>
  </si>
  <si>
    <t>37.3878-121.860189999999</t>
  </si>
  <si>
    <t>i-tea-castro-valley</t>
  </si>
  <si>
    <t>20666 Redwood Rd</t>
  </si>
  <si>
    <t>Castro Valley</t>
  </si>
  <si>
    <t>37.6959109999999-122.072915</t>
  </si>
  <si>
    <t>caface-newark-2</t>
  </si>
  <si>
    <t>6180 Jarvis Ave</t>
  </si>
  <si>
    <t>37.54872-122.049289999999</t>
  </si>
  <si>
    <t>tea-villa-milpitas</t>
  </si>
  <si>
    <t>1679 N Milpitas Blvd</t>
  </si>
  <si>
    <t>Milpitas</t>
  </si>
  <si>
    <t>37.4547351745994-121.911571876168</t>
  </si>
  <si>
    <t>mr-green-bubble-union-city</t>
  </si>
  <si>
    <t>1644 Decoto Rd</t>
  </si>
  <si>
    <t>37.5895754513833-122.020674874683</t>
  </si>
  <si>
    <t>pop-tea-bar-palo-alto-2</t>
  </si>
  <si>
    <t>456 Cambridge Ave</t>
  </si>
  <si>
    <t>Palo Alto</t>
  </si>
  <si>
    <t>37.42655-122.146319999999</t>
  </si>
  <si>
    <t>i-tea-milpitas</t>
  </si>
  <si>
    <t>760 E Calaveras Blvd</t>
  </si>
  <si>
    <t>37.43274-121.89277</t>
  </si>
  <si>
    <t>joy-4-tea-union-city</t>
  </si>
  <si>
    <t>32148 Alvarado Blvd</t>
  </si>
  <si>
    <t>37.5894163879107-122.067683412499</t>
  </si>
  <si>
    <t>sweet-coco-fremont-3</t>
  </si>
  <si>
    <t>46164 Warm Springs Blvd</t>
  </si>
  <si>
    <t>37.49369-121.93053</t>
  </si>
  <si>
    <t>icy-blue-fremont</t>
  </si>
  <si>
    <t>43360 Mission Blvd</t>
  </si>
  <si>
    <t>37.53259-121.91949</t>
  </si>
  <si>
    <t>teatop-milpitas</t>
  </si>
  <si>
    <t>82 Ranch Dr</t>
  </si>
  <si>
    <t>37.42644-121.921619999999</t>
  </si>
  <si>
    <t>ten-ren-tea-co-of-milpitas-milpitas</t>
  </si>
  <si>
    <t>1732 N Milpitas Blvd</t>
  </si>
  <si>
    <t>37.4555854711176-121.909984275478</t>
  </si>
  <si>
    <t>fantasia-coffee-and-tea-milpitas-2</t>
  </si>
  <si>
    <t>528 Barber Ln</t>
  </si>
  <si>
    <t>37.4208151690146-121.916592059011</t>
  </si>
  <si>
    <t>tapioca-express-union-city-2</t>
  </si>
  <si>
    <t>1707 Decoto Rd</t>
  </si>
  <si>
    <t>37.589445484175-122.02183395763</t>
  </si>
  <si>
    <t>gong-cha-palo-alto</t>
  </si>
  <si>
    <t>439 Waverley St</t>
  </si>
  <si>
    <t>37.447628-122.160728</t>
  </si>
  <si>
    <t>sharetea-san-leandro-3</t>
  </si>
  <si>
    <t>699 Lewelling Blvd</t>
  </si>
  <si>
    <t>San Leandro</t>
  </si>
  <si>
    <t>37.687487183018-122.136023640633</t>
  </si>
  <si>
    <t>boba-guys-san-francisco-6</t>
  </si>
  <si>
    <t>429 Stockton St</t>
  </si>
  <si>
    <t>San Francisco</t>
  </si>
  <si>
    <t>37.7899434017563-122.407306303981</t>
  </si>
  <si>
    <t>boba-guys-san-francisco-4</t>
  </si>
  <si>
    <t>3491 19th St</t>
  </si>
  <si>
    <t>37.75994-122.42112</t>
  </si>
  <si>
    <t>wonderful-dessert-and-cafe-san-francisco-2</t>
  </si>
  <si>
    <t>2035 Irving St</t>
  </si>
  <si>
    <t>37.7633252984489-122.479877762901</t>
  </si>
  <si>
    <t>little-sweet-san-francisco-10</t>
  </si>
  <si>
    <t>3836 Geary Blvd</t>
  </si>
  <si>
    <t>37.781425-122.4608022</t>
  </si>
  <si>
    <t>teaspoon-san-francisco</t>
  </si>
  <si>
    <t>2125 Polk St</t>
  </si>
  <si>
    <t>37.7963159707234-122.421975955366</t>
  </si>
  <si>
    <t>boba-guys-san-francisco-10</t>
  </si>
  <si>
    <t>1522 Fillmore St</t>
  </si>
  <si>
    <t>37.78365-122.43247</t>
  </si>
  <si>
    <t>i-tea-san-francisco-3</t>
  </si>
  <si>
    <t>253 Kearny St</t>
  </si>
  <si>
    <t>37.7905719929647-122.404304221271</t>
  </si>
  <si>
    <t>boba-guys-san-francisco-7</t>
  </si>
  <si>
    <t>8 Octavia St</t>
  </si>
  <si>
    <t>37.7728849972724-122.423546388745</t>
  </si>
  <si>
    <t>plentea-san-francisco-san-francisco</t>
  </si>
  <si>
    <t>341 Kearny St</t>
  </si>
  <si>
    <t>37.7914264423265-122.404249032891</t>
  </si>
  <si>
    <t>steap-tea-bar-san-francisco-3</t>
  </si>
  <si>
    <t>827 Sacramento St</t>
  </si>
  <si>
    <t>37.7932604402304-122.406762465835</t>
  </si>
  <si>
    <t>purple-kow-san-francisco-2</t>
  </si>
  <si>
    <t>3620 Balboa St</t>
  </si>
  <si>
    <t>37.775906-122.497818</t>
  </si>
  <si>
    <t>omg-tea-san-francisco</t>
  </si>
  <si>
    <t>2891 San Bruno Ave</t>
  </si>
  <si>
    <t>37.7254643-122.402527</t>
  </si>
  <si>
    <t>asha-tea-house-san-francisco</t>
  </si>
  <si>
    <t>17 Kearny St</t>
  </si>
  <si>
    <t>37.7881894888854-122.40366820246</t>
  </si>
  <si>
    <t>super-cue-cafe-san-francisco</t>
  </si>
  <si>
    <t>1139 Taraval St</t>
  </si>
  <si>
    <t>37.7429212-122.4782898</t>
  </si>
  <si>
    <t>boba-guys-san-francisco-15</t>
  </si>
  <si>
    <t>1002 16th St</t>
  </si>
  <si>
    <t>37.7665676429306-122.397055947925</t>
  </si>
  <si>
    <t>infinitea-san-francisco</t>
  </si>
  <si>
    <t>5351 Geary Blvd</t>
  </si>
  <si>
    <t>37.780295679705-122.477084781597</t>
  </si>
  <si>
    <t>steep-san-francisco-2</t>
  </si>
  <si>
    <t>240 Ritch St</t>
  </si>
  <si>
    <t>37.7803345695326-122.395782692426</t>
  </si>
  <si>
    <t>mr-t-cafe-san-francisco</t>
  </si>
  <si>
    <t>4689 Mission St</t>
  </si>
  <si>
    <t>37.72322-122.43556</t>
  </si>
  <si>
    <t>tpumps-san-francisco</t>
  </si>
  <si>
    <t>1916 Irving St</t>
  </si>
  <si>
    <t>37.7636264-122.4785915</t>
  </si>
  <si>
    <t>tj-cups-san-francisco-5</t>
  </si>
  <si>
    <t>2437 Noriega St</t>
  </si>
  <si>
    <t>37.75339-122.48993</t>
  </si>
  <si>
    <t>wondertea-san-francisco-4</t>
  </si>
  <si>
    <t>2250 Irving St</t>
  </si>
  <si>
    <t>37.7634668052021-122.482386571049</t>
  </si>
  <si>
    <t>the-boba-shop-san-francisco-4</t>
  </si>
  <si>
    <t>2071 3rd St</t>
  </si>
  <si>
    <t>37.7635576540922-122.388577088714</t>
  </si>
  <si>
    <t>steep-creamery-and-tea-san-francisco</t>
  </si>
  <si>
    <t>270 Brannan St</t>
  </si>
  <si>
    <t>37.7825348173521-122.391180229883</t>
  </si>
  <si>
    <t>bubblecup-san-francisco-2</t>
  </si>
  <si>
    <t>1900 Clement St</t>
  </si>
  <si>
    <t>37.7822781354189-122.479696422815</t>
  </si>
  <si>
    <t>sweet-a-little-san-francisco-12</t>
  </si>
  <si>
    <t>37.77448-122.40916</t>
  </si>
  <si>
    <t>tea-hut-san-francisco-2</t>
  </si>
  <si>
    <t>2815 California St</t>
  </si>
  <si>
    <t>37.7879050728042-122.440761682096</t>
  </si>
  <si>
    <t>i-tea-san-francisco-2</t>
  </si>
  <si>
    <t>2150 Irving St</t>
  </si>
  <si>
    <t>37.7635307-122.4811325</t>
  </si>
  <si>
    <t>tancca-san-francisco-3</t>
  </si>
  <si>
    <t>5015 Geary Blvd</t>
  </si>
  <si>
    <t>37.7804213-122.473284299999</t>
  </si>
  <si>
    <t>sharetea-san-francisco-3</t>
  </si>
  <si>
    <t>135 4th St</t>
  </si>
  <si>
    <t>37.7844643265332-122.403442928242</t>
  </si>
  <si>
    <t>mi-tea-san-francisco</t>
  </si>
  <si>
    <t>645 Irving St</t>
  </si>
  <si>
    <t>37.7639596-122.465019</t>
  </si>
  <si>
    <t>bb-tea-station-san-francisco-3</t>
  </si>
  <si>
    <t>1314 Noriega St</t>
  </si>
  <si>
    <t>37.7542929-122.4779253</t>
  </si>
  <si>
    <t>tea-fm-san-francisco-3</t>
  </si>
  <si>
    <t>1353 Taraval St</t>
  </si>
  <si>
    <t>37.7426391197427-122.480892284656</t>
  </si>
  <si>
    <t>keep-it-san-francisco-6</t>
  </si>
  <si>
    <t>1170 Powell St</t>
  </si>
  <si>
    <t>37.7955593172737-122.409816160798</t>
  </si>
  <si>
    <t>mr-and-mrs-tea-house-san-francisco</t>
  </si>
  <si>
    <t>544 Clement</t>
  </si>
  <si>
    <t>37.7830442934418-122.465241822931</t>
  </si>
  <si>
    <t>e-tea-san-francisco</t>
  </si>
  <si>
    <t>5344 Geary Blvd</t>
  </si>
  <si>
    <t>37.7805467694998-122.476978003979</t>
  </si>
  <si>
    <t>gosu-san-francisco</t>
  </si>
  <si>
    <t>1014 Clement St</t>
  </si>
  <si>
    <t>37.7829-122.47017</t>
  </si>
  <si>
    <t>homeplate-boba-san-francisco</t>
  </si>
  <si>
    <t>131-155 King St</t>
  </si>
  <si>
    <t>37.7787070106077-122.390157462239</t>
  </si>
  <si>
    <t>cuppa-san-francisco</t>
  </si>
  <si>
    <t>2810 Diamond St</t>
  </si>
  <si>
    <t>37.73429-122.43417</t>
  </si>
  <si>
    <t>super-cue-cafe-san-francisco-2</t>
  </si>
  <si>
    <t>1330 Ocean Ave</t>
  </si>
  <si>
    <t>37.7242954229777-122.457044541931</t>
  </si>
  <si>
    <t>puppy-bobar-san-francisco</t>
  </si>
  <si>
    <t>1142 Grant Ave</t>
  </si>
  <si>
    <t>37.7975399525428-122.406789958477</t>
  </si>
  <si>
    <t>cool-tea-bar-san-francisco-4</t>
  </si>
  <si>
    <t>103 Waverly Pl</t>
  </si>
  <si>
    <t>37.794315-122.406927</t>
  </si>
  <si>
    <t>little-heaven-deli-san-francisco</t>
  </si>
  <si>
    <t>2348 Mission St</t>
  </si>
  <si>
    <t>37.7594799999999-122.41943</t>
  </si>
  <si>
    <t>5-sweets-san-francisco</t>
  </si>
  <si>
    <t>1125 Ocean Ave 102</t>
  </si>
  <si>
    <t>37.723259-122.454559299999</t>
  </si>
  <si>
    <t>good-earth-cafe-san-francisco-2</t>
  </si>
  <si>
    <t>835 Kearny St</t>
  </si>
  <si>
    <t>37.7957898999999-122.405369999999</t>
  </si>
  <si>
    <t>sweethut-san-francisco</t>
  </si>
  <si>
    <t>519 Clement St</t>
  </si>
  <si>
    <t>37.7828876674175-122.464718297124</t>
  </si>
  <si>
    <t>frostea-daly-city-2</t>
  </si>
  <si>
    <t>6178 Mission St</t>
  </si>
  <si>
    <t>Daly City</t>
  </si>
  <si>
    <t>37.70689-122.4588</t>
  </si>
  <si>
    <t>teaone-san-francisco-5</t>
  </si>
  <si>
    <t>5336 Geary Blvd</t>
  </si>
  <si>
    <t>37.78076-122.47679</t>
  </si>
  <si>
    <t>fifty-fifty-coffee-and-tea-san-francisco</t>
  </si>
  <si>
    <t>3157 Geary Blvd</t>
  </si>
  <si>
    <t>37.7814292999999-122.4529495</t>
  </si>
  <si>
    <t>honey-creme-and-tea-san-francisco</t>
  </si>
  <si>
    <t>839 Irving St</t>
  </si>
  <si>
    <t>37.76384-122.46708</t>
  </si>
  <si>
    <t>bambu-san-francisco-3</t>
  </si>
  <si>
    <t>6050 Geary Blvd</t>
  </si>
  <si>
    <t>37.7804-122.48458</t>
  </si>
  <si>
    <t>i-tea-oakland</t>
  </si>
  <si>
    <t>388 9th St</t>
  </si>
  <si>
    <t>Oakland</t>
  </si>
  <si>
    <t>37.8006135940992-122.270676903426</t>
  </si>
  <si>
    <t>mr-green-bubble-oakland</t>
  </si>
  <si>
    <t>4299 Piedmont Ave</t>
  </si>
  <si>
    <t>37.828969-122.249297</t>
  </si>
  <si>
    <t>t-and-bowl-oakland</t>
  </si>
  <si>
    <t>901 Franklin St</t>
  </si>
  <si>
    <t>37.8004753999999-122.2722423</t>
  </si>
  <si>
    <t>u-cha-berkeley</t>
  </si>
  <si>
    <t>2199 Bancroft Way</t>
  </si>
  <si>
    <t>Berkeley</t>
  </si>
  <si>
    <t>37.8678697054593-122.266082279384</t>
  </si>
  <si>
    <t>the-sweet-booth-oakland</t>
  </si>
  <si>
    <t>37.8004455566406-122.271835327148</t>
  </si>
  <si>
    <t>asha-tea-house-berkeley</t>
  </si>
  <si>
    <t>2086 University Ave</t>
  </si>
  <si>
    <t>37.8719582-122.268859</t>
  </si>
  <si>
    <t>i-tea-alameda</t>
  </si>
  <si>
    <t>1626 Park St</t>
  </si>
  <si>
    <t>Alameda</t>
  </si>
  <si>
    <t>37.7673552038867-122.240029983222</t>
  </si>
  <si>
    <t>t4-oakland</t>
  </si>
  <si>
    <t>1068 Webster St</t>
  </si>
  <si>
    <t>37.8009841-122.2700858</t>
  </si>
  <si>
    <t>wing-man-oakland-3</t>
  </si>
  <si>
    <t>5295 College Ave</t>
  </si>
  <si>
    <t>37.83818-122.25168</t>
  </si>
  <si>
    <t>sharetea-berkeley</t>
  </si>
  <si>
    <t>2440 Bancroft Way</t>
  </si>
  <si>
    <t>37.8684064-122.260511299999</t>
  </si>
  <si>
    <t>happy-lemon-berkeley-berkeley</t>
  </si>
  <si>
    <t>2106 Shattuck Ave</t>
  </si>
  <si>
    <t>37.87087-122.26857</t>
  </si>
  <si>
    <t>milk-tea-lab-pleasant-hill</t>
  </si>
  <si>
    <t>1972 Contra Costa Blvd</t>
  </si>
  <si>
    <t>Pleasant Hill</t>
  </si>
  <si>
    <t>37.9485708483184-122.058178750759</t>
  </si>
  <si>
    <t>boba-ninja-berkeley</t>
  </si>
  <si>
    <t>2519B Durant Ave</t>
  </si>
  <si>
    <t>37.86821-122.25803</t>
  </si>
  <si>
    <t>sharetea-alameda-4</t>
  </si>
  <si>
    <t>2670 5th St</t>
  </si>
  <si>
    <t>37.7867215-122.281344699999</t>
  </si>
  <si>
    <t>purple-kow-berkeley-2</t>
  </si>
  <si>
    <t>2164 Center St</t>
  </si>
  <si>
    <t>37.8704335-122.266269299999</t>
  </si>
  <si>
    <t>teaway-alameda</t>
  </si>
  <si>
    <t>2402 Central Ave</t>
  </si>
  <si>
    <t>37.76394-122.24266</t>
  </si>
  <si>
    <t>i-tea-walnut-creek-3</t>
  </si>
  <si>
    <t>1245 N Broadway</t>
  </si>
  <si>
    <t>Walnut Creek</t>
  </si>
  <si>
    <t>37.8981318936801-122.059291005135</t>
  </si>
  <si>
    <t>sweetheart-cafe-oakland</t>
  </si>
  <si>
    <t>315 9th St</t>
  </si>
  <si>
    <t>37.7994484-122.270096799999</t>
  </si>
  <si>
    <t>gelato-firenze-and-qtea-bar-oakland</t>
  </si>
  <si>
    <t>478 Lake Park Ave</t>
  </si>
  <si>
    <t>37.81106-122.24718</t>
  </si>
  <si>
    <t>tea-delight-alameda-2</t>
  </si>
  <si>
    <t>650 Central Ave</t>
  </si>
  <si>
    <t>37.770820099746-122.277515907933</t>
  </si>
  <si>
    <t>quickly-oakland-4</t>
  </si>
  <si>
    <t>1243 33rd Ave</t>
  </si>
  <si>
    <t>37.7765099-122.2250587</t>
  </si>
  <si>
    <t>i-tea-san-leandro-2</t>
  </si>
  <si>
    <t>177 Pelton Ctr Way</t>
  </si>
  <si>
    <t>37.72272-122.154389999999</t>
  </si>
  <si>
    <t>50-tea-oakland</t>
  </si>
  <si>
    <t>1004 Webster St</t>
  </si>
  <si>
    <t>37.8007358-122.270182</t>
  </si>
  <si>
    <t>tea-press-berkeley-2</t>
  </si>
  <si>
    <t>2552 Bancroft Way</t>
  </si>
  <si>
    <t>37.86864-122.257789999999</t>
  </si>
  <si>
    <t>taiwan-bento-oakland-4</t>
  </si>
  <si>
    <t>412 22nd St</t>
  </si>
  <si>
    <t>37.81097-122.26651</t>
  </si>
  <si>
    <t>u-tea-cafe-oakland</t>
  </si>
  <si>
    <t>1728 A Franklin St</t>
  </si>
  <si>
    <t>37.8064126521349-122.268292084336</t>
  </si>
  <si>
    <t>t4-alameda-2</t>
  </si>
  <si>
    <t>1431 A Park St</t>
  </si>
  <si>
    <t>37.76509-122.24233</t>
  </si>
  <si>
    <t>teazzert-alameda</t>
  </si>
  <si>
    <t>1342 Park St</t>
  </si>
  <si>
    <t>37.7635299999999-122.243189999999</t>
  </si>
  <si>
    <t>qteabar-oakland</t>
  </si>
  <si>
    <t>37.8110686341717-122.24723573774</t>
  </si>
  <si>
    <t>the-burrow-brisbane-4</t>
  </si>
  <si>
    <t>109 Visitacion</t>
  </si>
  <si>
    <t>Brisbane</t>
  </si>
  <si>
    <t>37.6834642-122.4028888</t>
  </si>
  <si>
    <t>sweet-belly-oakland</t>
  </si>
  <si>
    <t>435 19th St</t>
  </si>
  <si>
    <t>37.8076094805534-122.268880033234</t>
  </si>
  <si>
    <t>sancha-bar-oakland-3</t>
  </si>
  <si>
    <t>251 9th St</t>
  </si>
  <si>
    <t>37.7989615787538-122.268823823837</t>
  </si>
  <si>
    <t>alice-street-bakery-café-oakland-2</t>
  </si>
  <si>
    <t>251 10th St</t>
  </si>
  <si>
    <t>37.7996292114257-122.268371582031</t>
  </si>
  <si>
    <t>t4-san-leandro</t>
  </si>
  <si>
    <t>1443 E 14th St</t>
  </si>
  <si>
    <t>37.723825-122.154662999999</t>
  </si>
  <si>
    <t>quickly-oakland-5</t>
  </si>
  <si>
    <t>3306 Lakeshore Ave</t>
  </si>
  <si>
    <t>37.8106217795691-122.243926227092</t>
  </si>
  <si>
    <t>bubble-tea-share-time-berkeley</t>
  </si>
  <si>
    <t>1938 Shattuck Ave</t>
  </si>
  <si>
    <t>37.8731630455033-122.268577069044</t>
  </si>
  <si>
    <t>shooting-star-cafe-oakland</t>
  </si>
  <si>
    <t>1022 Webster St</t>
  </si>
  <si>
    <t>37.800992-122.2701305</t>
  </si>
  <si>
    <t>pekoe-san-jose</t>
  </si>
  <si>
    <t>3276 S White Rd</t>
  </si>
  <si>
    <t>37.3145584994998-121.790188997984</t>
  </si>
  <si>
    <t>tea-lyfe-drinks-san-jose-3</t>
  </si>
  <si>
    <t>989 Story Rd</t>
  </si>
  <si>
    <t>37.3323443189417-121.857742217231</t>
  </si>
  <si>
    <t>teahee-san-jose</t>
  </si>
  <si>
    <t>979 Story Rd</t>
  </si>
  <si>
    <t>37.3311487640944-121.85737667523</t>
  </si>
  <si>
    <t>boba-pub-san-jose</t>
  </si>
  <si>
    <t>1576 Branham Ln</t>
  </si>
  <si>
    <t>37.25336-121.9015</t>
  </si>
  <si>
    <t>teaspoon-san-jose-2</t>
  </si>
  <si>
    <t>4328 Moorpark Ave</t>
  </si>
  <si>
    <t>37.3157651-121.9782757</t>
  </si>
  <si>
    <t>passion-t-snacks-and-desserts-san-jose</t>
  </si>
  <si>
    <t>2266 Senter Rd</t>
  </si>
  <si>
    <t>37.3105198999999-121.84997</t>
  </si>
  <si>
    <t>pop-up-tea-coffee-and-snacks-san-jose</t>
  </si>
  <si>
    <t>185 Branham Ln</t>
  </si>
  <si>
    <t>37.267032623291-121.834053039551</t>
  </si>
  <si>
    <t>happy-lemon-san-jose-5</t>
  </si>
  <si>
    <t>3005 Silver Creek Rd</t>
  </si>
  <si>
    <t>37.308647-121.813461</t>
  </si>
  <si>
    <t>boba-bar-san-jose-3</t>
  </si>
  <si>
    <t>310 S 3rd St</t>
  </si>
  <si>
    <t>37.332404-121.8845467</t>
  </si>
  <si>
    <t>sinceretea-san-jose-2</t>
  </si>
  <si>
    <t>392 E Taylor St</t>
  </si>
  <si>
    <t>37.3529398999999-121.89176</t>
  </si>
  <si>
    <t>bobateani-san-jose</t>
  </si>
  <si>
    <t>75 E Santa Clara St</t>
  </si>
  <si>
    <t>37.33709-121.88941</t>
  </si>
  <si>
    <t>soyful-desserts-san-jose-2</t>
  </si>
  <si>
    <t>999 Story Rd</t>
  </si>
  <si>
    <t>37.3319875706985-121.856774212303</t>
  </si>
  <si>
    <t>one-tea-san-jose-4</t>
  </si>
  <si>
    <t>231 E Santa Clara St</t>
  </si>
  <si>
    <t>37.338629553452-121.885706819594</t>
  </si>
  <si>
    <t>i-tea-san-jose</t>
  </si>
  <si>
    <t>2936 Aborn Square Rd</t>
  </si>
  <si>
    <t>37.3122516785924-121.809769305956</t>
  </si>
  <si>
    <t>the-tea-zone-and-fruit-bar-san-jose</t>
  </si>
  <si>
    <t>980 S Winchester Blvd</t>
  </si>
  <si>
    <t>37.309534-121.949649</t>
  </si>
  <si>
    <t>createave-cafe-san-jose-4</t>
  </si>
  <si>
    <t>1698 Hostetter Rd</t>
  </si>
  <si>
    <t>37.3869800203948-121.883576139808</t>
  </si>
  <si>
    <t>tleaf-teapresso-san-jose-3</t>
  </si>
  <si>
    <t>860 Blossom Hill Rd</t>
  </si>
  <si>
    <t>37.2486885993529-121.857970789389</t>
  </si>
  <si>
    <t>katea-san-jose</t>
  </si>
  <si>
    <t>5700 Village Oaks Dr</t>
  </si>
  <si>
    <t>37.2525198999999-121.8501</t>
  </si>
  <si>
    <t>teatop-san-jose-2</t>
  </si>
  <si>
    <t>6158 Bollinger Rd</t>
  </si>
  <si>
    <t>37.3086570138301-122.012592169713</t>
  </si>
  <si>
    <t>bubbly-san-jose-4</t>
  </si>
  <si>
    <t>1816 Tully Rd</t>
  </si>
  <si>
    <t>37.32229-121.82405</t>
  </si>
  <si>
    <t>vampire-penguin-featuring-jastea-san-jose</t>
  </si>
  <si>
    <t>2671 Cropley Ave</t>
  </si>
  <si>
    <t>37.4041770427227-121.881933087311</t>
  </si>
  <si>
    <t>simply-boba-san-jose</t>
  </si>
  <si>
    <t>37.3088546673824-121.813202547221</t>
  </si>
  <si>
    <t>happy-lemon-cupertino</t>
  </si>
  <si>
    <t>20488 Stevens Creek Blvd</t>
  </si>
  <si>
    <t>Cupertino</t>
  </si>
  <si>
    <t>37.32258-122.03121</t>
  </si>
  <si>
    <t>amor-cafe-and-tea-san-jose</t>
  </si>
  <si>
    <t>110 E San Fernando St</t>
  </si>
  <si>
    <t>37.3354549999999-121.886596</t>
  </si>
  <si>
    <t>shincha-tea-san-jose-3</t>
  </si>
  <si>
    <t>2487 Alvin Ave</t>
  </si>
  <si>
    <t>37.3191772792232-121.827041554832</t>
  </si>
  <si>
    <t>sharetea-santa-clara-3</t>
  </si>
  <si>
    <t>1171 Homestead Rd</t>
  </si>
  <si>
    <t>Santa Clara</t>
  </si>
  <si>
    <t>37.3486599999999-121.94616</t>
  </si>
  <si>
    <t>chatime-san-jose-san-jose-3</t>
  </si>
  <si>
    <t>311 N Capitol Ave</t>
  </si>
  <si>
    <t>37.3697020772431-121.845367355225</t>
  </si>
  <si>
    <t>pure-tea-bar-san-jose</t>
  </si>
  <si>
    <t>6195 Santa Teresa Blvd</t>
  </si>
  <si>
    <t>37.236431-121.804763</t>
  </si>
  <si>
    <t>t-spot-boba-drinks-and-snacks-san-jose</t>
  </si>
  <si>
    <t>2520 Berryessa Rd</t>
  </si>
  <si>
    <t>37.3879799-121.8588819</t>
  </si>
  <si>
    <t>meow-tea-san-jose</t>
  </si>
  <si>
    <t>2857 Senter Rd</t>
  </si>
  <si>
    <t>37.29956-121.84016</t>
  </si>
  <si>
    <t>fantasia-coffee-and-tea-san-jose-4</t>
  </si>
  <si>
    <t>378 Santana Row</t>
  </si>
  <si>
    <t>37.319475621662-121.94762103391</t>
  </si>
  <si>
    <t>monster-boba-cupertino-3</t>
  </si>
  <si>
    <t>10787 S Blaney Ave</t>
  </si>
  <si>
    <t>37.3112882127292-122.023623995482</t>
  </si>
  <si>
    <t>teasociety-san-jose</t>
  </si>
  <si>
    <t>1658 E Capitol Expy</t>
  </si>
  <si>
    <t>37.306154683674-121.810519318524</t>
  </si>
  <si>
    <t>bfresh-snacks-and-drinks-san-jose</t>
  </si>
  <si>
    <t>37.3086471557617-121.813461303711</t>
  </si>
  <si>
    <t>beibay-tea-san-jose</t>
  </si>
  <si>
    <t>1180 Blossom Hill Rd</t>
  </si>
  <si>
    <t>37.2497081431029-121.879286774857</t>
  </si>
  <si>
    <t>gong-cha-san-jose-19</t>
  </si>
  <si>
    <t>1701 Lundy Ave</t>
  </si>
  <si>
    <t>37.38753-121.88725</t>
  </si>
  <si>
    <t>sweet-gelato-tea-lounge-san-jose</t>
  </si>
  <si>
    <t>37.3313361147367-121.857381949738</t>
  </si>
  <si>
    <t>sharetea-san-jose-3</t>
  </si>
  <si>
    <t>1728 Hostetter Rd</t>
  </si>
  <si>
    <t>37.387508-121.882934</t>
  </si>
  <si>
    <t>gong-cha-san-jose-8</t>
  </si>
  <si>
    <t>1600 Saratoga Ave</t>
  </si>
  <si>
    <t>37.2923420099239-121.988744415863</t>
  </si>
  <si>
    <t>soyful-desserts-san-jose-8</t>
  </si>
  <si>
    <t>37.3090745900201-121.814426575475</t>
  </si>
  <si>
    <t>oooh-san-jose-4</t>
  </si>
  <si>
    <t>1783 E Capitol Expwy</t>
  </si>
  <si>
    <t>37.309508-121.809918</t>
  </si>
  <si>
    <t>the-tea-zone-lounge-san-jose</t>
  </si>
  <si>
    <t>403 N Capitol Ave</t>
  </si>
  <si>
    <t>37.3720189850199-121.846125258572</t>
  </si>
  <si>
    <t>the-moo-bar-santa-clara</t>
  </si>
  <si>
    <t>1080 Kiely Blvd</t>
  </si>
  <si>
    <t>37.3459400429099-121.979151964188</t>
  </si>
  <si>
    <t>tapioca-express-san-jose-8</t>
  </si>
  <si>
    <t>81 Curtner Ave</t>
  </si>
  <si>
    <t>37.3030374782512-121.864601250072</t>
  </si>
  <si>
    <t>purple-kow-san-jose-4</t>
  </si>
  <si>
    <t>2435 S King Rd</t>
  </si>
  <si>
    <t>37.3210352284759-121.825406030688</t>
  </si>
  <si>
    <t>heritage-eats-napa</t>
  </si>
  <si>
    <t>3824 Bel Aire Plz</t>
  </si>
  <si>
    <t>Napa</t>
  </si>
  <si>
    <t>38.32387-122.30711</t>
  </si>
  <si>
    <t>yobelle-napa-2</t>
  </si>
  <si>
    <t>1000 Main St</t>
  </si>
  <si>
    <t>38.2991692041736-122.285283794503</t>
  </si>
  <si>
    <t>morimoto-napa-napa</t>
  </si>
  <si>
    <t>610 Main St</t>
  </si>
  <si>
    <t>38.29671-122.28328</t>
  </si>
  <si>
    <t>napa-noodles-napa</t>
  </si>
  <si>
    <t>1124 1st St</t>
  </si>
  <si>
    <t>38.2988340542314-122.286458685993</t>
  </si>
  <si>
    <t>crave-cafe-and-catering-american-canyon</t>
  </si>
  <si>
    <t>3419 Broadway St</t>
  </si>
  <si>
    <t>American Canyon</t>
  </si>
  <si>
    <t>38.1689755277082-122.254305819574</t>
  </si>
  <si>
    <t>quickly-american-canyon-3</t>
  </si>
  <si>
    <t>410 Napa Junction Rd</t>
  </si>
  <si>
    <t>38.1848877668381-122.253697514533</t>
  </si>
  <si>
    <t>top-that-frozen-yogurt-sonoma</t>
  </si>
  <si>
    <t>531 Broadway Ave</t>
  </si>
  <si>
    <t>Sonoma</t>
  </si>
  <si>
    <t>38.2914143800735-122.458058372139</t>
  </si>
  <si>
    <t>over-the-top-shop-frozen-yogurt-american-canyon</t>
  </si>
  <si>
    <t>5075 Main St</t>
  </si>
  <si>
    <t>38.18098-122.25395</t>
  </si>
  <si>
    <t>sushi-grill-vallejo</t>
  </si>
  <si>
    <t>5184 Sonoma Blvd</t>
  </si>
  <si>
    <t>Vallejo</t>
  </si>
  <si>
    <t>38.1480882615897-122.252996214118</t>
  </si>
  <si>
    <t>palm-thai-bistro-fairfield</t>
  </si>
  <si>
    <t>5089 Business Center Dr</t>
  </si>
  <si>
    <t>Fairfield</t>
  </si>
  <si>
    <t>38.215523-122.143181</t>
  </si>
  <si>
    <t>green-bamboo-restaurant-fairfield</t>
  </si>
  <si>
    <t>4437 Central Pl</t>
  </si>
  <si>
    <t>38.2219398999999-122.12513</t>
  </si>
  <si>
    <t>thai-kitchen-american-canyon</t>
  </si>
  <si>
    <t>3425 Broadway St</t>
  </si>
  <si>
    <t>38.17015-122.25411</t>
  </si>
  <si>
    <t>sactomofo-sacramento-6</t>
  </si>
  <si>
    <t>Sacramento</t>
  </si>
  <si>
    <t>38.67463-121.50861</t>
  </si>
  <si>
    <t>westea-pleasanton</t>
  </si>
  <si>
    <t>4233 Rosewood Dr</t>
  </si>
  <si>
    <t>Pleasanton</t>
  </si>
  <si>
    <t>37.6983805506637-121.874124370515</t>
  </si>
  <si>
    <t>baotea-cafe-pleasanton-2</t>
  </si>
  <si>
    <t>6654 Koll Center Pkwy</t>
  </si>
  <si>
    <t>37.658818-121.898176</t>
  </si>
  <si>
    <t>i-tea-dublin-dublin</t>
  </si>
  <si>
    <t>4064 Grafton St</t>
  </si>
  <si>
    <t>Dublin</t>
  </si>
  <si>
    <t>37.7031989556317-121.865862095172</t>
  </si>
  <si>
    <t>aroma-tapioca-tea-and-coffee-pleasanton</t>
  </si>
  <si>
    <t>4833 Hopyard Rd</t>
  </si>
  <si>
    <t>37.69288-121.90177</t>
  </si>
  <si>
    <t>i-tea-pleasanton</t>
  </si>
  <si>
    <t>915 Main St</t>
  </si>
  <si>
    <t>37.6659098999999-121.87418</t>
  </si>
  <si>
    <t>t4-dublin</t>
  </si>
  <si>
    <t>3744 Fallon Rd</t>
  </si>
  <si>
    <t>37.7038018033117-121.851168151661</t>
  </si>
  <si>
    <t>tea-factory-dublin-2</t>
  </si>
  <si>
    <t>8945 San Ramon Rd</t>
  </si>
  <si>
    <t>37.7222341-121.9419009</t>
  </si>
  <si>
    <t>icicles-pleasanton</t>
  </si>
  <si>
    <t>600 Main St</t>
  </si>
  <si>
    <t>37.661346-121.87506</t>
  </si>
  <si>
    <t>sharetea-dublin-3</t>
  </si>
  <si>
    <t>7375 Amador Valley Blvd</t>
  </si>
  <si>
    <t>37.7103898999999-121.927439999999</t>
  </si>
  <si>
    <t>cafe-tapioca-dublin</t>
  </si>
  <si>
    <t>7160 Regional St</t>
  </si>
  <si>
    <t>37.703959-121.9342246</t>
  </si>
  <si>
    <t>quickly-pleasanton</t>
  </si>
  <si>
    <t>1 Stoneridge Mall Rd</t>
  </si>
  <si>
    <t>37.6956544405508-121.929317861795</t>
  </si>
  <si>
    <t>letea-pleasanton-2</t>
  </si>
  <si>
    <t>4299 Rosewood Dr</t>
  </si>
  <si>
    <t>37.69956-121.87326</t>
  </si>
  <si>
    <t>tea-breeze-pleasanton</t>
  </si>
  <si>
    <t>4275 Rosewood Dr</t>
  </si>
  <si>
    <t>37.6994819641112-121.874084472656</t>
  </si>
  <si>
    <t>360-crepes-pleasanton-3</t>
  </si>
  <si>
    <t>3120 Santa Rita Rd</t>
  </si>
  <si>
    <t>37.6905054-121.8774678</t>
  </si>
  <si>
    <t>t4-san-ramon-2</t>
  </si>
  <si>
    <t>9140 Alcosta Blvd</t>
  </si>
  <si>
    <t>San Ramon</t>
  </si>
  <si>
    <t>37.73021-121.930089999999</t>
  </si>
  <si>
    <t>i-tea-san-ramon-3</t>
  </si>
  <si>
    <t>21001 San Ramon Valley Blvd</t>
  </si>
  <si>
    <t>37.7241-121.94435</t>
  </si>
  <si>
    <t>snowflake-dublin</t>
  </si>
  <si>
    <t>4288 Dublin Blvd</t>
  </si>
  <si>
    <t>37.7048059696965-121.875150612505</t>
  </si>
  <si>
    <t>quickly-dublin</t>
  </si>
  <si>
    <t>37.705825-121.876084</t>
  </si>
  <si>
    <t>cafe-taiwan-pleasanton-9</t>
  </si>
  <si>
    <t>3550 Stanley Blvd</t>
  </si>
  <si>
    <t>37.669658-121.858772</t>
  </si>
  <si>
    <t>cafe-junction-pleasanton-3</t>
  </si>
  <si>
    <t>5321 Hopyard Rd</t>
  </si>
  <si>
    <t>37.6994-121.9048344</t>
  </si>
  <si>
    <t>o-honey-dublin</t>
  </si>
  <si>
    <t>3862 Fallon Rd</t>
  </si>
  <si>
    <t>37.7049564521021-121.851537924141</t>
  </si>
  <si>
    <t>the-mix-creamery-dublin-2</t>
  </si>
  <si>
    <t>6601 Dublin Blvd</t>
  </si>
  <si>
    <t>37.7043802396398-121.911554932594</t>
  </si>
  <si>
    <t>tasty-pot-dublin</t>
  </si>
  <si>
    <t>37.704566-121.87545</t>
  </si>
  <si>
    <t>ohana-hawaiian-bbq-of-pleasanton-pleasanton</t>
  </si>
  <si>
    <t>5410 Sunol Blvd</t>
  </si>
  <si>
    <t>37.6522299999999-121.8786</t>
  </si>
  <si>
    <t>99-ranch-market-pleasanton</t>
  </si>
  <si>
    <t>menchies-frozen-yogurt-dublin</t>
  </si>
  <si>
    <t>3742 Fallon Rd</t>
  </si>
  <si>
    <t>37.7037210589332-121.851480491459</t>
  </si>
  <si>
    <t>blossom-bee-dublin</t>
  </si>
  <si>
    <t>7335 Village Pkwy</t>
  </si>
  <si>
    <t>37.710858467095-121.926419734955</t>
  </si>
  <si>
    <t>berry-delight-pleasanton</t>
  </si>
  <si>
    <t>1008 Stoneridge Mall Rd</t>
  </si>
  <si>
    <t>37.6946294-121.931562999999</t>
  </si>
  <si>
    <t>new-thai-bistro-pleasanton-2</t>
  </si>
  <si>
    <t>4301 D Valley Ave</t>
  </si>
  <si>
    <t>37.67718-121.87578</t>
  </si>
  <si>
    <t>tutti-frutti-frozen-yogurt-dublin</t>
  </si>
  <si>
    <t>4930 Dublin Blvd</t>
  </si>
  <si>
    <t>37.7040256307881-121.88532839154</t>
  </si>
  <si>
    <t>kee-wah-bakery-dublin</t>
  </si>
  <si>
    <t>37.7045783996582-121.875808715819</t>
  </si>
  <si>
    <t>blush-organic-frozen-yogurt-dublin</t>
  </si>
  <si>
    <t>4640 Tassajara Rd</t>
  </si>
  <si>
    <t>37.7080099999999-121.8731</t>
  </si>
  <si>
    <t>koi-palace-dublin</t>
  </si>
  <si>
    <t>Ulferts Ctr</t>
  </si>
  <si>
    <t>37.7046367482137-121.876026391982</t>
  </si>
  <si>
    <t>berry-and-berry-yogurt-livermore</t>
  </si>
  <si>
    <t>2774 Livermore Outlets Dr</t>
  </si>
  <si>
    <t>Livermore</t>
  </si>
  <si>
    <t>37.698050737381-121.842248663306</t>
  </si>
  <si>
    <t>pho-saigon-city-pleasanton</t>
  </si>
  <si>
    <t>37.6994626368417-121.873857490718</t>
  </si>
  <si>
    <t>yogurtland-dublin</t>
  </si>
  <si>
    <t>6851 Amador Plz Rd</t>
  </si>
  <si>
    <t>37.70584-121.927089999999</t>
  </si>
  <si>
    <t>lees-sandwiches-dublin-2</t>
  </si>
  <si>
    <t>4101 Dublin Blvd</t>
  </si>
  <si>
    <t>37.70619-121.873789999999</t>
  </si>
  <si>
    <t>osaka-ramen-dublin</t>
  </si>
  <si>
    <t>37.70515-121.876219999999</t>
  </si>
  <si>
    <t>pho-99-dublin-5</t>
  </si>
  <si>
    <t>7459 Amador Valley Blvd</t>
  </si>
  <si>
    <t>37.710269-121.92861</t>
  </si>
  <si>
    <t>tandoori-pizza-dublin</t>
  </si>
  <si>
    <t>4060 Grafton St</t>
  </si>
  <si>
    <t>37.7031417208061-121.866024709375</t>
  </si>
  <si>
    <t>halu-shabu-shabu-dublin</t>
  </si>
  <si>
    <t>37.7045669555664-121.875450134277</t>
  </si>
  <si>
    <t>amakara-dublin</t>
  </si>
  <si>
    <t>7222 Regional St</t>
  </si>
  <si>
    <t>37.7050599999999-121.934869999999</t>
  </si>
  <si>
    <t>pho-saigon-garden-dublin</t>
  </si>
  <si>
    <t>7265 Regional St</t>
  </si>
  <si>
    <t>37.7056511022749-121.933658346534</t>
  </si>
  <si>
    <t>pho-saigon-noodle-house-san-ramon</t>
  </si>
  <si>
    <t>9150 Alcosta Blvd</t>
  </si>
  <si>
    <t>37.7293891906737-121.931442260742</t>
  </si>
  <si>
    <t>85-c-bakery-cafe-newark</t>
  </si>
  <si>
    <t>35201 Newark Blvd</t>
  </si>
  <si>
    <t>37.54772-122.0466</t>
  </si>
  <si>
    <t>blackball-desserts-union-city-union-city</t>
  </si>
  <si>
    <t>34563 Alvarado Niles Rd</t>
  </si>
  <si>
    <t>37.5866447999999-122.0201868</t>
  </si>
  <si>
    <t>tasty-pot-newark</t>
  </si>
  <si>
    <t>34909 Newark Blvd</t>
  </si>
  <si>
    <t>37.5508-122.0509</t>
  </si>
  <si>
    <t>icicles-newark</t>
  </si>
  <si>
    <t>39055 Cedar Blvd</t>
  </si>
  <si>
    <t>37.52314-122.00792</t>
  </si>
  <si>
    <t>che-lo-union-city-2</t>
  </si>
  <si>
    <t>1767 Decoto Blvd</t>
  </si>
  <si>
    <t>37.5895628278523-122.022492714298</t>
  </si>
  <si>
    <t>fusion-mix-frozen-yogurt-fremont-2</t>
  </si>
  <si>
    <t>4144 Walnut Ave</t>
  </si>
  <si>
    <t>37.5436017856673-121.984061099299</t>
  </si>
  <si>
    <t>crepe-bar-newark</t>
  </si>
  <si>
    <t>2078 Newpark Mall</t>
  </si>
  <si>
    <t>37.5282307999999-122.000245799999</t>
  </si>
  <si>
    <t>q-cup-fremont</t>
  </si>
  <si>
    <t>39129 Fremont Blvd</t>
  </si>
  <si>
    <t>37.5461699480404-121.987401525697</t>
  </si>
  <si>
    <t>bambu-newark-2</t>
  </si>
  <si>
    <t>6058 Mowry Ave</t>
  </si>
  <si>
    <t>37.5236587144356-122.007144735602</t>
  </si>
  <si>
    <t>bambu-union-city-2</t>
  </si>
  <si>
    <t>31812-31822 Alvarado Blvd</t>
  </si>
  <si>
    <t>37.5914603130932-122.071111434568</t>
  </si>
  <si>
    <t>storm-crepes-newark</t>
  </si>
  <si>
    <t>39658 Cedar Blvd</t>
  </si>
  <si>
    <t>37.5218169879729-121.997366492815</t>
  </si>
  <si>
    <t>sweet-orchid-fremont</t>
  </si>
  <si>
    <t>37.5751187606321-122.038859706704</t>
  </si>
  <si>
    <t>jenjons-cafe-union-city</t>
  </si>
  <si>
    <t>1704 Decoto Rd</t>
  </si>
  <si>
    <t>37.589058513675-122.01876368886</t>
  </si>
  <si>
    <t>k-pop-cafe-fremont</t>
  </si>
  <si>
    <t>35041 Fremont Blvd</t>
  </si>
  <si>
    <t>37.570362-122.0318791</t>
  </si>
  <si>
    <t>milkcow-fremont-2</t>
  </si>
  <si>
    <t>5657 Auto Mall Pkwy</t>
  </si>
  <si>
    <t>37.50466-121.97634</t>
  </si>
  <si>
    <t>boba-guys-san-carlos-2</t>
  </si>
  <si>
    <t>872 Laurel St</t>
  </si>
  <si>
    <t>San Carlos</t>
  </si>
  <si>
    <t>37.5027402543983-122.256980158539</t>
  </si>
  <si>
    <t>teaquation-redwood-city</t>
  </si>
  <si>
    <t>1036 El Camino Real</t>
  </si>
  <si>
    <t>Redwood City</t>
  </si>
  <si>
    <t>37.4839509441577-122.232653501548</t>
  </si>
  <si>
    <t>t4-hayward-3</t>
  </si>
  <si>
    <t>1033 B St</t>
  </si>
  <si>
    <t>Hayward</t>
  </si>
  <si>
    <t>37.6731435370977-122.082034402975</t>
  </si>
  <si>
    <t>sweet-spot-castro-valley</t>
  </si>
  <si>
    <t>20669 Santa Maria Ave</t>
  </si>
  <si>
    <t>37.6960964188897-122.078565023838</t>
  </si>
  <si>
    <t>teaster-hayward-2</t>
  </si>
  <si>
    <t>410 W A St</t>
  </si>
  <si>
    <t>37.6660188062353-122.108395027727</t>
  </si>
  <si>
    <t>sharetea-palo-alto-2</t>
  </si>
  <si>
    <t>540 Bryant St</t>
  </si>
  <si>
    <t>37.445381-122.160993999999</t>
  </si>
  <si>
    <t>chatime-redwood-city-2</t>
  </si>
  <si>
    <t>2202 Broadway St</t>
  </si>
  <si>
    <t>37.487118-122.229624</t>
  </si>
  <si>
    <t>eko-coffee-bar-and-tea-house-hayward</t>
  </si>
  <si>
    <t>1075 B St</t>
  </si>
  <si>
    <t>37.6737070083617-122.081397101283</t>
  </si>
  <si>
    <t>tea-era-cupertino</t>
  </si>
  <si>
    <t>20916 Homestead Rd</t>
  </si>
  <si>
    <t>37.3371504153713-122.040352492869</t>
  </si>
  <si>
    <t>fantasia-coffee-and-tea-cupertino</t>
  </si>
  <si>
    <t>10933 N Wolfe Rd</t>
  </si>
  <si>
    <t>37.3361159244324-122.015890307528</t>
  </si>
  <si>
    <t>tpumps-cupertino</t>
  </si>
  <si>
    <t>19959 Stevens Creek Blvd</t>
  </si>
  <si>
    <t>37.3232384288673-122.022949657147</t>
  </si>
  <si>
    <t>super-cue-cafe-cupertino</t>
  </si>
  <si>
    <t>19620 Stevens Creek Blvd</t>
  </si>
  <si>
    <t>37.3223942970538-122.016749576721</t>
  </si>
  <si>
    <t>happy-lemon-cupertino-5</t>
  </si>
  <si>
    <t>10963 N Wolfe Rd</t>
  </si>
  <si>
    <t>37.3362175002018-122.015137771311</t>
  </si>
  <si>
    <t>ten-ren-tea-cupertino</t>
  </si>
  <si>
    <t>10881 N Wolfe Rd</t>
  </si>
  <si>
    <t>37.3356484303065-122.014956682871</t>
  </si>
  <si>
    <t>meet-fresh-cupertino</t>
  </si>
  <si>
    <t>19449 Stevens Creek Blvd</t>
  </si>
  <si>
    <t>37.3243651-122.0105533</t>
  </si>
  <si>
    <t>hechaa-cupertino-4</t>
  </si>
  <si>
    <t>10619 S De Anza Blvd</t>
  </si>
  <si>
    <t>37.31361-122.03263</t>
  </si>
  <si>
    <t>calibear-cyber-cafe-sunnyvale-6</t>
  </si>
  <si>
    <t>1336 S Mary Ave</t>
  </si>
  <si>
    <t>Sunnyvale</t>
  </si>
  <si>
    <t>37.35065-122.049619999999</t>
  </si>
  <si>
    <t>happy-lemon-sunnyvale-2</t>
  </si>
  <si>
    <t>605 E El Camino Real</t>
  </si>
  <si>
    <t>37.36189-122.024539999999</t>
  </si>
  <si>
    <t>what8ver-express-cupertino-2</t>
  </si>
  <si>
    <t>10118 Bandley Dr</t>
  </si>
  <si>
    <t>37.324498742943-122.03407823789</t>
  </si>
  <si>
    <t>gong-cha-sunnyvale</t>
  </si>
  <si>
    <t>1641 Hollenbeck Ave</t>
  </si>
  <si>
    <t>37.33929-122.04255</t>
  </si>
  <si>
    <t>cafe-lattea-cupertino</t>
  </si>
  <si>
    <t>19501 Stevens Creek Blvd</t>
  </si>
  <si>
    <t>37.323241317778-122.012261466162</t>
  </si>
  <si>
    <t>t4-cupertino-cupertino</t>
  </si>
  <si>
    <t>19505 Stevens Creek Blvd</t>
  </si>
  <si>
    <t>37.32328-122.01283</t>
  </si>
  <si>
    <t>sharetea-sunnyvale-3</t>
  </si>
  <si>
    <t>568 El Camino Real</t>
  </si>
  <si>
    <t>37.3623572836214-122.027256087022</t>
  </si>
  <si>
    <t>tea-chansii-cupertino</t>
  </si>
  <si>
    <t>37.3243989340148-122.011138269321</t>
  </si>
  <si>
    <t>verde-tea-house-cupertino-2</t>
  </si>
  <si>
    <t>10477 S De Anza Blvd</t>
  </si>
  <si>
    <t>37.3162384033203-122.032508850098</t>
  </si>
  <si>
    <t>bubble-tea-time-saratoga</t>
  </si>
  <si>
    <t>18564 Prospect Rd</t>
  </si>
  <si>
    <t>Saratoga</t>
  </si>
  <si>
    <t>37.29165-121.99636</t>
  </si>
  <si>
    <t>the-tea-zone-and-fruit-bar-mountain-view</t>
  </si>
  <si>
    <t>805 El Camino Real</t>
  </si>
  <si>
    <t>37.38565-122.08442</t>
  </si>
  <si>
    <t>teaspoon-santa-clara-7</t>
  </si>
  <si>
    <t>3450 El Camino Real</t>
  </si>
  <si>
    <t>37.3519877135188-121.991230201809</t>
  </si>
  <si>
    <t>beastea-santa-clara</t>
  </si>
  <si>
    <t>2785 El Camino Real</t>
  </si>
  <si>
    <t>37.35297-121.97705</t>
  </si>
  <si>
    <t>teaspoon-mountain-view</t>
  </si>
  <si>
    <t>236 Castro St</t>
  </si>
  <si>
    <t>37.3934799-122.07956</t>
  </si>
  <si>
    <t>tea-annie-mountain-view</t>
  </si>
  <si>
    <t>1712 Miramonte Ave</t>
  </si>
  <si>
    <t>37.3723-122.08801</t>
  </si>
  <si>
    <t>verde-tea-cafe-mountain-view</t>
  </si>
  <si>
    <t>852 Villa St</t>
  </si>
  <si>
    <t>37.3941710599454-122.079548804006</t>
  </si>
  <si>
    <t>teafans-sunnyvale</t>
  </si>
  <si>
    <t>927 E Arques Ave</t>
  </si>
  <si>
    <t>37.3813698999999-122.00808</t>
  </si>
  <si>
    <t>85-c-bakery-cafe-san-jose-5</t>
  </si>
  <si>
    <t>1183 S De Anza Blvd</t>
  </si>
  <si>
    <t>37.3035809397697-122.032403200865</t>
  </si>
  <si>
    <t>matcha-love-san-jose-6</t>
  </si>
  <si>
    <t>675 Saratoga Ave</t>
  </si>
  <si>
    <t>37.31496320599-121.978095221495</t>
  </si>
  <si>
    <t>bambu-sunnyvale-2</t>
  </si>
  <si>
    <t>189 W Washington Ave</t>
  </si>
  <si>
    <t>37.3763175470854-122.031325878136</t>
  </si>
  <si>
    <t>icicles-cupertino</t>
  </si>
  <si>
    <t>19622 Stevens Creek Blvd</t>
  </si>
  <si>
    <t>37.3225177360044-122.017925500033</t>
  </si>
  <si>
    <t>sunnywich-cafe-sunnyvale</t>
  </si>
  <si>
    <t>223 East Maude Ave</t>
  </si>
  <si>
    <t>37.3878822408982-122.024536281978</t>
  </si>
  <si>
    <t>ocha-tea-café-and-restaurant-mountain-view-2</t>
  </si>
  <si>
    <t>1350 Grant Rd</t>
  </si>
  <si>
    <t>37.3770405227974-122.076683293475</t>
  </si>
  <si>
    <t>bubble-bay-tea-santa-clara</t>
  </si>
  <si>
    <t>4300 Great America Pkwy</t>
  </si>
  <si>
    <t>37.3928752137833-121.977391160277</t>
  </si>
  <si>
    <t>jazen-tea-san-jose-4</t>
  </si>
  <si>
    <t>1089 S De Anza Blvd</t>
  </si>
  <si>
    <t>37.3065638999999-122.0328361</t>
  </si>
  <si>
    <t>comebuy-tea-and-coffee-santa-clara</t>
  </si>
  <si>
    <t>2712 Augustine Dr</t>
  </si>
  <si>
    <t>37.3822051-121.9761898</t>
  </si>
  <si>
    <t>music-tunnel-ktv-cafe-san-jose-2</t>
  </si>
  <si>
    <t>1132 S De Anza Blvd</t>
  </si>
  <si>
    <t>37.30529-122.031669999999</t>
  </si>
  <si>
    <t>jazen-tea-santa-clara-3</t>
  </si>
  <si>
    <t>3147 Mission College Blvd</t>
  </si>
  <si>
    <t>37.3882893-121.983559599999</t>
  </si>
  <si>
    <t>butterfly-santa-clara</t>
  </si>
  <si>
    <t>1000 Lafayette St</t>
  </si>
  <si>
    <t>37.3503116-121.9438457</t>
  </si>
  <si>
    <t>quickly-cupertino</t>
  </si>
  <si>
    <t>21265 Stevens Creek Blvd</t>
  </si>
  <si>
    <t>37.32349-122.047397</t>
  </si>
  <si>
    <t>california-mochi-santa-clara-4</t>
  </si>
  <si>
    <t>3030 El Camino Real</t>
  </si>
  <si>
    <t>37.3517723083496-121.98119354248</t>
  </si>
  <si>
    <t>t4-livermore-livermore-2</t>
  </si>
  <si>
    <t>4010 E Ave</t>
  </si>
  <si>
    <t>37.68077-121.748039999999</t>
  </si>
  <si>
    <t>orange-tea-livermore</t>
  </si>
  <si>
    <t>6033 Northfront Rd</t>
  </si>
  <si>
    <t>37.7119101458667-121.723351532745</t>
  </si>
  <si>
    <t>big-fat-straw-cafe-livermore-2</t>
  </si>
  <si>
    <t>980 Murrieta Blvd</t>
  </si>
  <si>
    <t>37.6761474995967-121.785110675949</t>
  </si>
  <si>
    <t>donut-wheel-livermore</t>
  </si>
  <si>
    <t>2017 1st St</t>
  </si>
  <si>
    <t>37.6807479858397-121.770835876465</t>
  </si>
  <si>
    <t>t4-san-ramon-3</t>
  </si>
  <si>
    <t>11020 Bollinger Canyon Rd</t>
  </si>
  <si>
    <t>37.7749533109683-121.924073739228</t>
  </si>
  <si>
    <t>saigon-cafe-livermore</t>
  </si>
  <si>
    <t>2011 2nd St</t>
  </si>
  <si>
    <t>37.68-121.77058</t>
  </si>
  <si>
    <t>rice-paper-bistro-livermore</t>
  </si>
  <si>
    <t>1548 N Vasco Rd</t>
  </si>
  <si>
    <t>37.7181756552264-121.724808264734</t>
  </si>
  <si>
    <t>menchies-frozen-yogurt-livermore</t>
  </si>
  <si>
    <t>973 E Stanley Blvd</t>
  </si>
  <si>
    <t>37.6783516-121.784120699999</t>
  </si>
  <si>
    <t>la-farfalla-bakery-fremont</t>
  </si>
  <si>
    <t>39947 Mission Blvd</t>
  </si>
  <si>
    <t>37.5566932750951-121.952448293212</t>
  </si>
  <si>
    <t>ice3-creamery-fremont</t>
  </si>
  <si>
    <t>39957 Mission Blvd</t>
  </si>
  <si>
    <t>37.556529-121.952556</t>
  </si>
  <si>
    <t>yogurt-shop-danville</t>
  </si>
  <si>
    <t>3450 Camino Tassajara Rd</t>
  </si>
  <si>
    <t>Danville</t>
  </si>
  <si>
    <t>37.7986554-121.918740599999</t>
  </si>
  <si>
    <t>bean-scene-cafe-fremont-2</t>
  </si>
  <si>
    <t>4000 Bay St</t>
  </si>
  <si>
    <t>37.5327289999999-121.95934</t>
  </si>
  <si>
    <t>yogurtland-san-ramon</t>
  </si>
  <si>
    <t>152 Sunset Dr</t>
  </si>
  <si>
    <t>37.7624177187681-121.960900202394</t>
  </si>
  <si>
    <t>chilly-and-munch-mountain-view</t>
  </si>
  <si>
    <t>2101 Showers Dr</t>
  </si>
  <si>
    <t>37.4068109566105-122.106984711639</t>
  </si>
  <si>
    <t>jazen-tea-mountain-view-3</t>
  </si>
  <si>
    <t>220 Castro St</t>
  </si>
  <si>
    <t>37.3936614990234-122.079444885254</t>
  </si>
  <si>
    <t>t4-palo-alto-2</t>
  </si>
  <si>
    <t>165 University Ave</t>
  </si>
  <si>
    <t>37.44451-122.16337</t>
  </si>
  <si>
    <t>pearl-cafe-mountain-view</t>
  </si>
  <si>
    <t>506A Showers Dr</t>
  </si>
  <si>
    <t>37.402982863672-122.10676106228</t>
  </si>
  <si>
    <t>tapioca-express-mountain-view</t>
  </si>
  <si>
    <t>740 Villa St</t>
  </si>
  <si>
    <t>37.39379-122.078389999999</t>
  </si>
  <si>
    <t>teaspoon-palo-alto-7</t>
  </si>
  <si>
    <t>2675 Middlefield Rd</t>
  </si>
  <si>
    <t>37.4340849999999-122.129446</t>
  </si>
  <si>
    <t>teaspoon-milpitas</t>
  </si>
  <si>
    <t>201 W Calaveras Blvd</t>
  </si>
  <si>
    <t>37.42868-121.911319999999</t>
  </si>
  <si>
    <t>teasociety-milpitas</t>
  </si>
  <si>
    <t>55 N Milpitas Blvd</t>
  </si>
  <si>
    <t>37.4341782-121.9007438</t>
  </si>
  <si>
    <t>t4-milpitas</t>
  </si>
  <si>
    <t>540 Barber Ln</t>
  </si>
  <si>
    <t>37.4207404131486-121.91664888892</t>
  </si>
  <si>
    <t>bcute-tea-drinks-and-finger-foods-milpitas-2</t>
  </si>
  <si>
    <t>200 Serra Way</t>
  </si>
  <si>
    <t>37.4264901499098-121.909996320473</t>
  </si>
  <si>
    <t>poke-xpress-milpitas</t>
  </si>
  <si>
    <t>1236 S Abel St</t>
  </si>
  <si>
    <t>37.4128099773883-121.902977563441</t>
  </si>
  <si>
    <t>happy-lemon-milpitas-6</t>
  </si>
  <si>
    <t>279 W Calaveras Blvd</t>
  </si>
  <si>
    <t>37.4274706596526-121.91078242325</t>
  </si>
  <si>
    <t>yummi-tea-cafe-san-jose-3</t>
  </si>
  <si>
    <t>2191 Morrill Ave</t>
  </si>
  <si>
    <t>37.414925-121.875899</t>
  </si>
  <si>
    <t>sno-crave-tea-house-milpitas</t>
  </si>
  <si>
    <t>1777 N Milpitas Blvd</t>
  </si>
  <si>
    <t>37.4558077007532-121.911192834377</t>
  </si>
  <si>
    <t>sancha-bar-milpitas</t>
  </si>
  <si>
    <t>279 Jacklin Rd</t>
  </si>
  <si>
    <t>37.4464966-121.904016099999</t>
  </si>
  <si>
    <t>chick-and-tea-milpitas-4</t>
  </si>
  <si>
    <t>1723 N Milpitas Blvd</t>
  </si>
  <si>
    <t>37.4551887512207-121.911521911621</t>
  </si>
  <si>
    <t>t4-san-jose</t>
  </si>
  <si>
    <t>1671 N Capitol Ave</t>
  </si>
  <si>
    <t>37.3973731994629-121.873687744141</t>
  </si>
  <si>
    <t>queens-cafe-milpitas</t>
  </si>
  <si>
    <t>372 Barber Ln</t>
  </si>
  <si>
    <t>37.4224649523506-121.916673478539</t>
  </si>
  <si>
    <t>the-pennywort-san-jose-5</t>
  </si>
  <si>
    <t>2056 N Capitol Ave</t>
  </si>
  <si>
    <t>37.40685-121.88672</t>
  </si>
  <si>
    <t>bambu-san-jose-9</t>
  </si>
  <si>
    <t>1688 Hostetter Rd</t>
  </si>
  <si>
    <t>37.3862088776267-121.884416049074</t>
  </si>
  <si>
    <t>black-pearl-san-jose-2</t>
  </si>
  <si>
    <t>1055 E Brokaw Rd</t>
  </si>
  <si>
    <t>37.3843159241917-121.89744169577</t>
  </si>
  <si>
    <t>happiness-cafe-san-jose</t>
  </si>
  <si>
    <t>37.3863881481701-121.884803238097</t>
  </si>
  <si>
    <t>85-c-bakery-cafe-milpitas-2</t>
  </si>
  <si>
    <t>672 Barber Ln</t>
  </si>
  <si>
    <t>37.419465-121.915568</t>
  </si>
  <si>
    <t>simpletea-milpitas</t>
  </si>
  <si>
    <t>1535 Landess Ave</t>
  </si>
  <si>
    <t>37.416848-121.8768983</t>
  </si>
  <si>
    <t>bambu-milpitas-7</t>
  </si>
  <si>
    <t>89 S Park Victoria Dr</t>
  </si>
  <si>
    <t>37.433926-121.884259</t>
  </si>
  <si>
    <t>fantasia-coffee-and-tea-santa-clara</t>
  </si>
  <si>
    <t>3969 Rivermark Plz</t>
  </si>
  <si>
    <t>37.3953035880334-121.946540661156</t>
  </si>
  <si>
    <t>shihlin-taiwan-street-snacks-milpitas</t>
  </si>
  <si>
    <t>522 Barber Ln</t>
  </si>
  <si>
    <t>37.420773-121.916405</t>
  </si>
  <si>
    <t>quickly-milpitas-2</t>
  </si>
  <si>
    <t>1350 S Park Victoria Dr</t>
  </si>
  <si>
    <t>37.4178751788897-121.874392975463</t>
  </si>
  <si>
    <t>honeyberry-san-jose-9</t>
  </si>
  <si>
    <t>3655 N 1st St</t>
  </si>
  <si>
    <t>37.4093138578249-121.945219193046</t>
  </si>
  <si>
    <t>aroma-coffee-and-snacks-milpitas</t>
  </si>
  <si>
    <t>37.4168459526991-121.876774057745</t>
  </si>
  <si>
    <t>teatime-redwood-city</t>
  </si>
  <si>
    <t>1003 El Camino Real</t>
  </si>
  <si>
    <t>37.4846042071457-122.232427139501</t>
  </si>
  <si>
    <t>comebuy-drinks-redwood-city</t>
  </si>
  <si>
    <t>2074 Broadway</t>
  </si>
  <si>
    <t>37.4868-122.22766</t>
  </si>
  <si>
    <t>teaspoon-redwood-city</t>
  </si>
  <si>
    <t>2361 Broadway St</t>
  </si>
  <si>
    <t>37.4861601263273-122.230740152299</t>
  </si>
  <si>
    <t>davidstea-palo-alto-2</t>
  </si>
  <si>
    <t>318 University Ave</t>
  </si>
  <si>
    <t>37.4461057-122.1610267</t>
  </si>
  <si>
    <t>pokélove-palo-alto</t>
  </si>
  <si>
    <t>855 El Camino Real</t>
  </si>
  <si>
    <t>37.438632-122.160532</t>
  </si>
  <si>
    <t>bare-bowls-palo-alto</t>
  </si>
  <si>
    <t>530 Emerson St</t>
  </si>
  <si>
    <t>37.44413-122.16237</t>
  </si>
  <si>
    <t>tea-time-palo-alto</t>
  </si>
  <si>
    <t>542 Ramona St</t>
  </si>
  <si>
    <t>37.4446105957031-122.161544799804</t>
  </si>
  <si>
    <t>chantal-guillon-macarons-and-teas-palo-alto-2</t>
  </si>
  <si>
    <t>444 University Ave</t>
  </si>
  <si>
    <t>37.44752-122.15965</t>
  </si>
  <si>
    <t>happy-donuts-palo-alto</t>
  </si>
  <si>
    <t>3916 El Camino Real</t>
  </si>
  <si>
    <t>37.41643-122.13004</t>
  </si>
  <si>
    <t>quickly-sunnyvale-4</t>
  </si>
  <si>
    <t>415 N Mary Ave</t>
  </si>
  <si>
    <t>37.390076192143-122.042184743589</t>
  </si>
  <si>
    <t>fraiche-palo-alto-2</t>
  </si>
  <si>
    <t>200 Hamilton Ave</t>
  </si>
  <si>
    <t>37.4438754674247-122.161595821381</t>
  </si>
  <si>
    <t>quickly-redwood-city</t>
  </si>
  <si>
    <t>300 Walnut St</t>
  </si>
  <si>
    <t>37.4917931901457-122.224192531476</t>
  </si>
  <si>
    <t>coupa-café-palo-alto-3</t>
  </si>
  <si>
    <t>538 Ramona St</t>
  </si>
  <si>
    <t>37.444682-122.161533</t>
  </si>
  <si>
    <t>cream-palo-alto-3</t>
  </si>
  <si>
    <t>440 University Ave</t>
  </si>
  <si>
    <t>37.447555-122.159804</t>
  </si>
  <si>
    <t>ohana-express-redwood-city-2</t>
  </si>
  <si>
    <t>640 Woodside Rd</t>
  </si>
  <si>
    <t>37.46868-122.223999999999</t>
  </si>
  <si>
    <t>yogurtland-palo-alto</t>
  </si>
  <si>
    <t>494 University Ave</t>
  </si>
  <si>
    <t>37.4480657-122.159221</t>
  </si>
  <si>
    <t>coupa-café-lytton-palo-alto</t>
  </si>
  <si>
    <t>111 Lytton Ave</t>
  </si>
  <si>
    <t>37.4444718383711-122.165222240072</t>
  </si>
  <si>
    <t>green-bakery-and-café-los-altos-11</t>
  </si>
  <si>
    <t>692 Fremont Ave</t>
  </si>
  <si>
    <t>37.3604672926655-122.096757004484</t>
  </si>
  <si>
    <t>wild-berry-yogurt-menlo-park</t>
  </si>
  <si>
    <t>325 Sharon Park Dr</t>
  </si>
  <si>
    <t>Menlo Park</t>
  </si>
  <si>
    <t>37.42398-122.19693</t>
  </si>
  <si>
    <t>the-posh-bagel-los-altos</t>
  </si>
  <si>
    <t>310 Main St</t>
  </si>
  <si>
    <t>37.3783798-122.117019699999</t>
  </si>
  <si>
    <t>paris-baguette-palo-alto</t>
  </si>
  <si>
    <t>383 University Ave</t>
  </si>
  <si>
    <t>37.4471969604492-122.160781860352</t>
  </si>
  <si>
    <t>taza-deli-and-cafe-redwood-city</t>
  </si>
  <si>
    <t>1796 Broadway</t>
  </si>
  <si>
    <t>37.4868656-122.223413299999</t>
  </si>
  <si>
    <t>rojoz-gourmet-wraps-palo-alto-2</t>
  </si>
  <si>
    <t>3906 Middlefield Rd</t>
  </si>
  <si>
    <t>37.41883-122.1099</t>
  </si>
  <si>
    <t>froyola-redwood-city</t>
  </si>
  <si>
    <t>2206 Broadway St</t>
  </si>
  <si>
    <t>37.4867482944358-122.229360103705</t>
  </si>
  <si>
    <t>mr-green-bubble-sunnyvale</t>
  </si>
  <si>
    <t>1255 S Mary Ave</t>
  </si>
  <si>
    <t>37.35338-122.05071</t>
  </si>
  <si>
    <t>coupa-cafe-green-library-stanford</t>
  </si>
  <si>
    <t>571 Escondido Mall</t>
  </si>
  <si>
    <t>Stanford</t>
  </si>
  <si>
    <t>37.426249336151-122.16706752777</t>
  </si>
  <si>
    <t>dohatsuten-palo-alto</t>
  </si>
  <si>
    <t>799 San Antonio Rd</t>
  </si>
  <si>
    <t>37.4203109741211-122.102348327637</t>
  </si>
  <si>
    <t>panda-express-mountain-view-2</t>
  </si>
  <si>
    <t>1035 El Monte Ave</t>
  </si>
  <si>
    <t>37.390983766688-122.095294088778</t>
  </si>
  <si>
    <t>nekter-juice-bar-mountain-view</t>
  </si>
  <si>
    <t>685 San Antonio Rd</t>
  </si>
  <si>
    <t>37.4015598999999-122.1132477</t>
  </si>
  <si>
    <t>green-leaf-asian-bistro-and-cafe-redwood-city-2</t>
  </si>
  <si>
    <t>865 Middlefield Rd</t>
  </si>
  <si>
    <t>37.4857502210641-122.228834925786</t>
  </si>
  <si>
    <t>koma-sushi-restaurant-menlo-park-3</t>
  </si>
  <si>
    <t>211 El Camino Real</t>
  </si>
  <si>
    <t>37.4483544-122.174376799999</t>
  </si>
  <si>
    <t>the-axe-and-palm-stanford</t>
  </si>
  <si>
    <t>Old Union Stanford University</t>
  </si>
  <si>
    <t>37.425371754743-122.170543670654</t>
  </si>
  <si>
    <t>cocohodo-sunnyvale-2</t>
  </si>
  <si>
    <t>1082 E El Camino Real</t>
  </si>
  <si>
    <t>37.3517264451999-122.002505609904</t>
  </si>
  <si>
    <t>hotpot-first-sunnyvale</t>
  </si>
  <si>
    <t>1149 N Lawrence Expy</t>
  </si>
  <si>
    <t>37.3973885-121.9967194</t>
  </si>
  <si>
    <t>bean-scene-sunnyvale</t>
  </si>
  <si>
    <t>186 S Murphy Ave</t>
  </si>
  <si>
    <t>37.3761833999999-122.0301825</t>
  </si>
  <si>
    <t>sharetea-santa-clara-7</t>
  </si>
  <si>
    <t>2855 Stevens Creek Blvd</t>
  </si>
  <si>
    <t>37.3255099999999-121.94462</t>
  </si>
  <si>
    <t>jazen-tea-santa-clara-santa-clara</t>
  </si>
  <si>
    <t>3484 El Camino Real</t>
  </si>
  <si>
    <t>37.3515863912687-121.99270148474</t>
  </si>
  <si>
    <t>honeyberry-santa-clara</t>
  </si>
  <si>
    <t>3488 El Camino Real</t>
  </si>
  <si>
    <t>37.3515681496377-121.992844729458</t>
  </si>
  <si>
    <t>world-wrapps-2-0-santa-clara</t>
  </si>
  <si>
    <t>3125 Mission College Blvd</t>
  </si>
  <si>
    <t>37.38919-121.983389999999</t>
  </si>
  <si>
    <t>youji-fresh-rolls-wine-and-tea-santa-clara</t>
  </si>
  <si>
    <t>37.326036489104-121.944165208983</t>
  </si>
  <si>
    <t>frozos-frozen-yogurt-santa-clara</t>
  </si>
  <si>
    <t>37.3503848-121.9437883</t>
  </si>
  <si>
    <t>cool-tea-bar-south-san-francisco-4</t>
  </si>
  <si>
    <t>630 El Camino Real</t>
  </si>
  <si>
    <t>South San Francisco</t>
  </si>
  <si>
    <t>37.6492551499593-122.429556883872</t>
  </si>
  <si>
    <t>tiger-tea-and-juice-burlingame-3</t>
  </si>
  <si>
    <t>1803 El Camino Real</t>
  </si>
  <si>
    <t>Burlingame</t>
  </si>
  <si>
    <t>37.594114-122.384605</t>
  </si>
  <si>
    <t>aqua-club-dessert-and-beverage-san-bruno</t>
  </si>
  <si>
    <t>440 San Mateo Ave</t>
  </si>
  <si>
    <t>San Bruno</t>
  </si>
  <si>
    <t>37.622566-122.410941999999</t>
  </si>
  <si>
    <t>bobabia-san-mateo</t>
  </si>
  <si>
    <t>271 - 273 Baldwin Ave</t>
  </si>
  <si>
    <t>San Mateo</t>
  </si>
  <si>
    <t>37.5671987999999-122.3253964</t>
  </si>
  <si>
    <t>happy-lemon-burlingame-4</t>
  </si>
  <si>
    <t>1419 Burlingame Ave</t>
  </si>
  <si>
    <t>37.5773026-122.3486125</t>
  </si>
  <si>
    <t>eggettes-south-san-francisco</t>
  </si>
  <si>
    <t>639 El Camino Real</t>
  </si>
  <si>
    <t>37.6492265-122.430214299999</t>
  </si>
  <si>
    <t>tpumps-burlingame</t>
  </si>
  <si>
    <t>1118 Burlingame Ave</t>
  </si>
  <si>
    <t>37.5794379623736-122.345903012389</t>
  </si>
  <si>
    <t>teaspoon-san-mateo</t>
  </si>
  <si>
    <t>128 E 3rd Ave</t>
  </si>
  <si>
    <t>37.564318-122.323843099999</t>
  </si>
  <si>
    <t>cha-express-san-mateo</t>
  </si>
  <si>
    <t>212 E 3rd Ave</t>
  </si>
  <si>
    <t>37.5649712999999-122.3228903</t>
  </si>
  <si>
    <t>search-tea-millbrae-5</t>
  </si>
  <si>
    <t>105 Park Blvd</t>
  </si>
  <si>
    <t>Millbrae</t>
  </si>
  <si>
    <t>37.61218-122.404</t>
  </si>
  <si>
    <t>tea-world-pacifica</t>
  </si>
  <si>
    <t>90 Eureka Sq</t>
  </si>
  <si>
    <t>Pacifica</t>
  </si>
  <si>
    <t>37.6337492-122.4887216</t>
  </si>
  <si>
    <t>t4-millbrae-10</t>
  </si>
  <si>
    <t>315 Broadway</t>
  </si>
  <si>
    <t>37.601183-122.392173</t>
  </si>
  <si>
    <t>i-tea-burlingame-2</t>
  </si>
  <si>
    <t>346 Lorton Ave</t>
  </si>
  <si>
    <t>37.5801206-122.346889099999</t>
  </si>
  <si>
    <t>boba-dude-half-moon-bay</t>
  </si>
  <si>
    <t>80 Cabrillo Hwy N</t>
  </si>
  <si>
    <t>Half Moon Bay</t>
  </si>
  <si>
    <t>37.4702203984019-122.435569055378</t>
  </si>
  <si>
    <t>eggettes-millbrae-2</t>
  </si>
  <si>
    <t>979 Broadway</t>
  </si>
  <si>
    <t>37.6048409390981-122.397278312931</t>
  </si>
  <si>
    <t>gong-cha-san-mateo-2</t>
  </si>
  <si>
    <t>110 S B St</t>
  </si>
  <si>
    <t>37.5667191-122.3239517</t>
  </si>
  <si>
    <t>bambu-south-san-francisco</t>
  </si>
  <si>
    <t>2223 Gellert Blvd</t>
  </si>
  <si>
    <t>37.649195-122.4530236</t>
  </si>
  <si>
    <t>super-cue-cafe-san-mateo-2</t>
  </si>
  <si>
    <t>2986 S Norfolk St</t>
  </si>
  <si>
    <t>37.5444733117821-122.28505220123</t>
  </si>
  <si>
    <t>bambu-san-mateo-2</t>
  </si>
  <si>
    <t>153 South B St</t>
  </si>
  <si>
    <t>37.5665365-122.3232678</t>
  </si>
  <si>
    <t>eggettes-san-mateo</t>
  </si>
  <si>
    <t>47 S B St</t>
  </si>
  <si>
    <t>37.5674099999999-122.324069999999</t>
  </si>
  <si>
    <t>chatime-san-mateo-2</t>
  </si>
  <si>
    <t>165 E 4th Ave</t>
  </si>
  <si>
    <t>37.56413-122.322939999999</t>
  </si>
  <si>
    <t>tpumps-foster-city</t>
  </si>
  <si>
    <t>985 E Hillsdale Blvd</t>
  </si>
  <si>
    <t>Foster City</t>
  </si>
  <si>
    <t>37.5573531403401-122.274742340384</t>
  </si>
  <si>
    <t>creme-brewlee-san-mateo-2</t>
  </si>
  <si>
    <t>2948 S Norfolk St</t>
  </si>
  <si>
    <t>37.5448989862154-122.28502356257</t>
  </si>
  <si>
    <t>chatime-foster-city</t>
  </si>
  <si>
    <t>969A Edgewater Blvd</t>
  </si>
  <si>
    <t>37.544739-122.271085</t>
  </si>
  <si>
    <t>quickly-san-mateo</t>
  </si>
  <si>
    <t>142 E 3rd Ave</t>
  </si>
  <si>
    <t>37.5643615722656-122.323524475098</t>
  </si>
  <si>
    <t>fresh-nation-desserts-san-mateo-2</t>
  </si>
  <si>
    <t>30 E 3rd Ave</t>
  </si>
  <si>
    <t>37.5633809-122.3251999</t>
  </si>
  <si>
    <t>ya-ua-yogurt-and-boba-tea-belmont-2</t>
  </si>
  <si>
    <t>1090 Alameda De Las Pulgas</t>
  </si>
  <si>
    <t>Belmont</t>
  </si>
  <si>
    <t>37.5102232-122.293820799999</t>
  </si>
  <si>
    <t>snacks-san-mateo-2</t>
  </si>
  <si>
    <t>31 N B St</t>
  </si>
  <si>
    <t>37.5683427999999-122.3254578</t>
  </si>
  <si>
    <t>dessert-republic-san-mateo</t>
  </si>
  <si>
    <t>138 Main St</t>
  </si>
  <si>
    <t>37.5669003999999-122.3234145</t>
  </si>
  <si>
    <t>mints-and-honey-san-carlos</t>
  </si>
  <si>
    <t>1524 El Camino Real</t>
  </si>
  <si>
    <t>37.49613-122.2477</t>
  </si>
  <si>
    <t>bambu-millbrae-2</t>
  </si>
  <si>
    <t>203 El Camino Real</t>
  </si>
  <si>
    <t>37.6003797-122.3900105</t>
  </si>
  <si>
    <t>icicles-san-mateo</t>
  </si>
  <si>
    <t>222 E 3rd Ave</t>
  </si>
  <si>
    <t>37.5652198999999-122.3225</t>
  </si>
  <si>
    <t>kingkat-bar-and-eatery-san-mateo-2</t>
  </si>
  <si>
    <t>33 W 25th Ave</t>
  </si>
  <si>
    <t>37.54368-122.30661</t>
  </si>
  <si>
    <t>quickly-burlingame-2</t>
  </si>
  <si>
    <t>1407 Burlingame Ave</t>
  </si>
  <si>
    <t>37.5771875948767-122.34879302025</t>
  </si>
  <si>
    <t>antoines-cookie-shop-san-mateo-3</t>
  </si>
  <si>
    <t>220 2nd Ave</t>
  </si>
  <si>
    <t>37.5659547999999-122.3233725</t>
  </si>
  <si>
    <t>quickly-foster-city-3</t>
  </si>
  <si>
    <t>969k Edgewater Blvd</t>
  </si>
  <si>
    <t>37.5447598999999-122.271039999999</t>
  </si>
  <si>
    <t>moo-moo-yogurt-foster-city</t>
  </si>
  <si>
    <t>969F Edgewater Blvd</t>
  </si>
  <si>
    <t>37.5441112400917-122.270671007271</t>
  </si>
  <si>
    <t>clear-optometry-san-mateo</t>
  </si>
  <si>
    <t>138 E 3rd Ave</t>
  </si>
  <si>
    <t>37.5643-122.32361</t>
  </si>
  <si>
    <t>boiling-point-san-mateo</t>
  </si>
  <si>
    <t>111 E 4th Ave</t>
  </si>
  <si>
    <t>37.56386-122.32335</t>
  </si>
  <si>
    <t>cream-san-mateo</t>
  </si>
  <si>
    <t>134 S B St</t>
  </si>
  <si>
    <t>37.5665107999999-122.3237287</t>
  </si>
  <si>
    <t>poke-island-creasian-kitchen-san-mateo</t>
  </si>
  <si>
    <t>43 S B St</t>
  </si>
  <si>
    <t>37.5674055-122.324276099999</t>
  </si>
  <si>
    <t>waterfront-cafe-burlingame</t>
  </si>
  <si>
    <t>500 Airport Blvd</t>
  </si>
  <si>
    <t>37.590323-122.34142</t>
  </si>
  <si>
    <t>never-too-latte-san-bruno-2</t>
  </si>
  <si>
    <t>486 San Mateo Ave</t>
  </si>
  <si>
    <t>37.6241-122.41095</t>
  </si>
  <si>
    <t>jougert-bar-burlingame</t>
  </si>
  <si>
    <t>1115 Burlingame Ave</t>
  </si>
  <si>
    <t>37.5793126-122.345740099999</t>
  </si>
  <si>
    <t>mini-coffee-san-mateo-2</t>
  </si>
  <si>
    <t>800 S B St</t>
  </si>
  <si>
    <t>37.56167-122.31891</t>
  </si>
  <si>
    <t>sweet-indulgence-millbrae-3</t>
  </si>
  <si>
    <t>298 Broadway</t>
  </si>
  <si>
    <t>37.6007901-122.3914315</t>
  </si>
  <si>
    <t>ramen-dojo-san-mateo</t>
  </si>
  <si>
    <t>805 S B St</t>
  </si>
  <si>
    <t>37.5621429-122.3185051</t>
  </si>
  <si>
    <t>quickly-millbrae-4</t>
  </si>
  <si>
    <t>325 El Camino Real</t>
  </si>
  <si>
    <t>37.60147-122.39148</t>
  </si>
  <si>
    <t>bobo-drinks-fairfield-2</t>
  </si>
  <si>
    <t>1305 Gateway Blvd</t>
  </si>
  <si>
    <t>38.2640655855632-122.050264324325</t>
  </si>
  <si>
    <t>t4-tea-for-u-fairfield</t>
  </si>
  <si>
    <t>2700 N Texas St</t>
  </si>
  <si>
    <t>38.2767099999999-122.03353</t>
  </si>
  <si>
    <t>peace-love-and-boba-vacaville</t>
  </si>
  <si>
    <t>3083 Alamo Dr</t>
  </si>
  <si>
    <t>Vacaville</t>
  </si>
  <si>
    <t>38.3353873467452-121.954629868269</t>
  </si>
  <si>
    <t>halo-halo-bar-and-boba-station-suisun-city</t>
  </si>
  <si>
    <t>303 Lawler Ctr Dr</t>
  </si>
  <si>
    <t>Suisun City</t>
  </si>
  <si>
    <t>38.24225-122.01803</t>
  </si>
  <si>
    <t>quickly-fairfield-3</t>
  </si>
  <si>
    <t>1350 Travis Blvd</t>
  </si>
  <si>
    <t>38.2603729-122.054640099999</t>
  </si>
  <si>
    <t>tutti-frutti-fairfield-2</t>
  </si>
  <si>
    <t>3334 N Texas St</t>
  </si>
  <si>
    <t>38.2890102925701-122.033686637877</t>
  </si>
  <si>
    <t>sharetea-concord-3</t>
  </si>
  <si>
    <t>1850 Mount Diablo St</t>
  </si>
  <si>
    <t>Concord</t>
  </si>
  <si>
    <t>37.9761596024036-122.033636346459</t>
  </si>
  <si>
    <t>i-tea-pittsburg</t>
  </si>
  <si>
    <t>2121 Loveridge Rd</t>
  </si>
  <si>
    <t>Pittsburg</t>
  </si>
  <si>
    <t>38.0108707398176-121.868887022138</t>
  </si>
  <si>
    <t>quickly-vallejo-12</t>
  </si>
  <si>
    <t>145 Plaza Dr</t>
  </si>
  <si>
    <t>38.1340827941895-122.21915435791</t>
  </si>
  <si>
    <t>teazentea-brentwood-3</t>
  </si>
  <si>
    <t>1135 2nd St</t>
  </si>
  <si>
    <t>Brentwood</t>
  </si>
  <si>
    <t>37.9369147127279-121.698112115264</t>
  </si>
  <si>
    <t>quickly-vacaville</t>
  </si>
  <si>
    <t>1667 E Monte Vista Ave</t>
  </si>
  <si>
    <t>38.3700576-121.961772</t>
  </si>
  <si>
    <t>mandro-teahouse-davis</t>
  </si>
  <si>
    <t>1260 Lake Blvd</t>
  </si>
  <si>
    <t>Davis</t>
  </si>
  <si>
    <t>38.5541889-121.7869827</t>
  </si>
  <si>
    <t>tapioca-express-vallejo</t>
  </si>
  <si>
    <t>3720 Sonoma Blvd</t>
  </si>
  <si>
    <t>38.125256896019-122.255262583494</t>
  </si>
  <si>
    <t>okashi-fusion-vacaville</t>
  </si>
  <si>
    <t>1679 E Monte Vista Ave</t>
  </si>
  <si>
    <t>38.3703303337097-121.959481313825</t>
  </si>
  <si>
    <t>cafe-tapioca-hercules</t>
  </si>
  <si>
    <t>1581 Sycamore Ave</t>
  </si>
  <si>
    <t>Hercules</t>
  </si>
  <si>
    <t>38.00996-122.270604</t>
  </si>
  <si>
    <t>pho-saigon-no-1-vietnamese-restaurant-fairfield-2</t>
  </si>
  <si>
    <t>1972 N Texas St</t>
  </si>
  <si>
    <t>38.26504-122.033139999999</t>
  </si>
  <si>
    <t>ontap-davis</t>
  </si>
  <si>
    <t>825 Russell Blvd</t>
  </si>
  <si>
    <t>38.5465253999999-121.7607466</t>
  </si>
  <si>
    <t>t4-antioch-12</t>
  </si>
  <si>
    <t>4532 Lone Tree Way</t>
  </si>
  <si>
    <t>Antioch</t>
  </si>
  <si>
    <t>37.9659262678636-121.780671279596</t>
  </si>
  <si>
    <t>bobaloca-concord-4</t>
  </si>
  <si>
    <t>1843 Willow Pass Rd</t>
  </si>
  <si>
    <t>37.9749903198783-122.038871629666</t>
  </si>
  <si>
    <t>teabo-café-davis</t>
  </si>
  <si>
    <t>2191 Cowell Blvd</t>
  </si>
  <si>
    <t>38.5407655197016-121.724717874066</t>
  </si>
  <si>
    <t>lazi-cow-davis</t>
  </si>
  <si>
    <t>407 G St</t>
  </si>
  <si>
    <t>38.5465-121.74006</t>
  </si>
  <si>
    <t>t4-san-pablo-3</t>
  </si>
  <si>
    <t>13350 San Pablo Ave</t>
  </si>
  <si>
    <t>San Pablo</t>
  </si>
  <si>
    <t>37.954766898894-122.334166861144</t>
  </si>
  <si>
    <t>t4-concord-concord</t>
  </si>
  <si>
    <t>2151 Salvio St</t>
  </si>
  <si>
    <t>37.9776375471723-122.034577466548</t>
  </si>
  <si>
    <t>dragon-snow-el-sobrante</t>
  </si>
  <si>
    <t>3550 San Pablo Dam Rd</t>
  </si>
  <si>
    <t>El Sobrante</t>
  </si>
  <si>
    <t>37.96301-122.31987</t>
  </si>
  <si>
    <t>cj-fusion-fairfield</t>
  </si>
  <si>
    <t>201 Travis Blvd</t>
  </si>
  <si>
    <t>38.25803-122.03509</t>
  </si>
  <si>
    <t>gong-cha-davis</t>
  </si>
  <si>
    <t>1411 W Covell Blvd</t>
  </si>
  <si>
    <t>38.5620003834934-121.765583911777</t>
  </si>
  <si>
    <t>suisun-seafood-center-suisun-city</t>
  </si>
  <si>
    <t>303 Lawler Center Dr</t>
  </si>
  <si>
    <t>teaone-davis</t>
  </si>
  <si>
    <t>213 E St</t>
  </si>
  <si>
    <t>38.5436287-121.7415001</t>
  </si>
  <si>
    <t>quickly-brentwood-brentwood</t>
  </si>
  <si>
    <t>2415 Empire Ave</t>
  </si>
  <si>
    <t>37.9603143999999-121.7326581</t>
  </si>
  <si>
    <t>t4-davis-3</t>
  </si>
  <si>
    <t>132 E St</t>
  </si>
  <si>
    <t>38.5430607163953-121.740498058498</t>
  </si>
  <si>
    <t>bangkok-paradise-fairfield</t>
  </si>
  <si>
    <t>3344 N Texas St</t>
  </si>
  <si>
    <t>38.29174-122.03293</t>
  </si>
  <si>
    <t>easel-davis-2</t>
  </si>
  <si>
    <t>620 W Covell Blvd</t>
  </si>
  <si>
    <t>38.5603285349925-121.757062978432</t>
  </si>
  <si>
    <t>sharetea-davis-davis-2</t>
  </si>
  <si>
    <t>207 3rd St</t>
  </si>
  <si>
    <t>38.5436861078294-121.746784233134</t>
  </si>
  <si>
    <t>the-old-teahouse-davis-3</t>
  </si>
  <si>
    <t>pho-lee-hoa-phat-fairfield</t>
  </si>
  <si>
    <t>870 E Travis</t>
  </si>
  <si>
    <t>38.2583578295892-122.020811644487</t>
  </si>
  <si>
    <t>skyview-noodle-and-tea-pittsburg-3</t>
  </si>
  <si>
    <t>200 E 3rd St</t>
  </si>
  <si>
    <t>38.0329401103612-121.882134117186</t>
  </si>
  <si>
    <t>noodle-house-fairfield-2</t>
  </si>
  <si>
    <t>38.263944-122.050281</t>
  </si>
  <si>
    <t>sisig-suisun-city-3</t>
  </si>
  <si>
    <t>rrags-caffe-benicia</t>
  </si>
  <si>
    <t>1383 E 2nd St</t>
  </si>
  <si>
    <t>Benicia</t>
  </si>
  <si>
    <t>38.0543339252472-122.152609080076</t>
  </si>
  <si>
    <t>yumygurt-pinole</t>
  </si>
  <si>
    <t>2701 Pinole Valley Rd</t>
  </si>
  <si>
    <t>Pinole</t>
  </si>
  <si>
    <t>37.9952735900879-122.285331726074</t>
  </si>
  <si>
    <t>vampire-penguin-brentwood-2</t>
  </si>
  <si>
    <t>2545 Sand Creek Rd</t>
  </si>
  <si>
    <t>37.946219-121.738762</t>
  </si>
  <si>
    <t>going-green-martinez</t>
  </si>
  <si>
    <t>1160 Arnold Dr</t>
  </si>
  <si>
    <t>Martinez</t>
  </si>
  <si>
    <t>37.9934616-122.1024094</t>
  </si>
  <si>
    <t>quickly-antioch-2</t>
  </si>
  <si>
    <t>212 E 18th St</t>
  </si>
  <si>
    <t>38.004497387479-121.799923304048</t>
  </si>
  <si>
    <t>pho-lee-hoa-phat-vacaville</t>
  </si>
  <si>
    <t>88 Peabody Rd</t>
  </si>
  <si>
    <t>38.3539886474609-121.978248596191</t>
  </si>
  <si>
    <t>ice-monster-walnut-creek</t>
  </si>
  <si>
    <t>2230 Oak Grove Rd</t>
  </si>
  <si>
    <t>37.9297795146704-122.016731053591</t>
  </si>
  <si>
    <t>t4-walnut-creek</t>
  </si>
  <si>
    <t>1815 Ygnacio Valley Rd</t>
  </si>
  <si>
    <t>37.9174137-122.0375497</t>
  </si>
  <si>
    <t>chalogy-tea-bar-walnut-creek-4</t>
  </si>
  <si>
    <t>1349 Locust St</t>
  </si>
  <si>
    <t>37.8981-122.06206</t>
  </si>
  <si>
    <t>mr-green-bubble-walnut-creek-2</t>
  </si>
  <si>
    <t>1539 Locust St</t>
  </si>
  <si>
    <t>37.9000639934234-122.062495370938</t>
  </si>
  <si>
    <t>cool-tea-bar-danville-4</t>
  </si>
  <si>
    <t>251 Hartz Ave</t>
  </si>
  <si>
    <t>37.8227538431367-122.001181084905</t>
  </si>
  <si>
    <t>quickly-concord-5</t>
  </si>
  <si>
    <t>4115 Concord Blvd</t>
  </si>
  <si>
    <t>37.97879750393-121.992360118227</t>
  </si>
  <si>
    <t>quickly-concord</t>
  </si>
  <si>
    <t>1657 Willow Pass Rd</t>
  </si>
  <si>
    <t>37.9728660583496-122.043716430664</t>
  </si>
  <si>
    <t>t4-and-poke-walnut-creek</t>
  </si>
  <si>
    <t>1385C N Main St</t>
  </si>
  <si>
    <t>37.89883-122.06105</t>
  </si>
  <si>
    <t>i-tea-moraga-3</t>
  </si>
  <si>
    <t>1460 Moraga Rd</t>
  </si>
  <si>
    <t>Moraga</t>
  </si>
  <si>
    <t>37.8353491-122.1264706</t>
  </si>
  <si>
    <t>panache-caffe-lafayette</t>
  </si>
  <si>
    <t>3653 Mt Diablo Blvd</t>
  </si>
  <si>
    <t>Lafayette</t>
  </si>
  <si>
    <t>37.8906068-122.127733299999</t>
  </si>
  <si>
    <t>coco-swirl-pleasant-hill</t>
  </si>
  <si>
    <t>35 Crescent Dr</t>
  </si>
  <si>
    <t>37.94665-122.061619999999</t>
  </si>
  <si>
    <t>surf-city-squeeze-concord</t>
  </si>
  <si>
    <t>282 Sun Valley Mall</t>
  </si>
  <si>
    <t>37.9672766-122.0621762</t>
  </si>
  <si>
    <t>hello-pho-concord</t>
  </si>
  <si>
    <t>1701 Monument Blvd</t>
  </si>
  <si>
    <t>37.95516-122.04158</t>
  </si>
  <si>
    <t>harvest-house-concord</t>
  </si>
  <si>
    <t>2395 Monument Blvd</t>
  </si>
  <si>
    <t>37.9603599999999-122.03578</t>
  </si>
  <si>
    <t>i-love-teriyaki-and-sushi-concord-2</t>
  </si>
  <si>
    <t>1950 Salvio St</t>
  </si>
  <si>
    <t>37.9762523253409-122.037221553584</t>
  </si>
  <si>
    <t>cornology-walnut-creek-3</t>
  </si>
  <si>
    <t>saigon-bistro-concord</t>
  </si>
  <si>
    <t>1701 Willow Pass Rd</t>
  </si>
  <si>
    <t>37.974103-122.041692</t>
  </si>
  <si>
    <t>99-ranch-market-concord-2</t>
  </si>
  <si>
    <t>1795 Willow Pass Rd</t>
  </si>
  <si>
    <t>37.974712-122.039859</t>
  </si>
  <si>
    <t>double-rainbow-cafe-benicia</t>
  </si>
  <si>
    <t>560 1st St</t>
  </si>
  <si>
    <t>38.04837-122.15871</t>
  </si>
  <si>
    <t>blue-saigon-pittsburg</t>
  </si>
  <si>
    <t>2243 Railroad Ave</t>
  </si>
  <si>
    <t>38.0134741-121.8905534</t>
  </si>
  <si>
    <t>jollibee-concord</t>
  </si>
  <si>
    <t>2030 Diamond Blvd</t>
  </si>
  <si>
    <t>37.97341-122.0557</t>
  </si>
  <si>
    <t>pho-huynh-hiep-5-kevins-noodle-house-concord</t>
  </si>
  <si>
    <t>1833 Willow Pass Rd</t>
  </si>
  <si>
    <t>37.97514-122.03901</t>
  </si>
  <si>
    <t>pho-lee-hoa-phat-pleasant-hill</t>
  </si>
  <si>
    <t>508 Contra Costa Blvd</t>
  </si>
  <si>
    <t>37.980899-122.068382</t>
  </si>
  <si>
    <t>pho-huynh-hiep-6-kevins-noodle-house-walnut-creek</t>
  </si>
  <si>
    <t>2034 N Main St</t>
  </si>
  <si>
    <t>37.9079856872558-122.064300537108</t>
  </si>
  <si>
    <t>smitten-ice-cream-lafayette</t>
  </si>
  <si>
    <t>3545 Mt Diablo Blvd</t>
  </si>
  <si>
    <t>37.8916207-122.1198696</t>
  </si>
  <si>
    <t>aung-maylika-benicia-4</t>
  </si>
  <si>
    <t>836 Southampton Rd</t>
  </si>
  <si>
    <t>38.066112359505-122.165491386026</t>
  </si>
  <si>
    <t>izzyas-frozen-custard-lafayette-2</t>
  </si>
  <si>
    <t>37.89301-122.12063</t>
  </si>
  <si>
    <t>yogurtland-pleasant-hill</t>
  </si>
  <si>
    <t>2390 Monument Blvd</t>
  </si>
  <si>
    <t>37.9448334310086-122.056119731669</t>
  </si>
  <si>
    <t>golden-bakery-pittsburg</t>
  </si>
  <si>
    <t>2229 Railroad Ave</t>
  </si>
  <si>
    <t>38.0136496-121.8904874</t>
  </si>
  <si>
    <t>tutti-frutti-montclair-oakland</t>
  </si>
  <si>
    <t>2066 Mountain Blvd</t>
  </si>
  <si>
    <t>37.8261642-122.209205599999</t>
  </si>
  <si>
    <t>tangelo-frozen-yogurt-moraga</t>
  </si>
  <si>
    <t>384 Park St</t>
  </si>
  <si>
    <t>37.8600274754793-122.125603221525</t>
  </si>
  <si>
    <t>surf-city-squeeze-antioch</t>
  </si>
  <si>
    <t>2556 Somersville Rd</t>
  </si>
  <si>
    <t>38.0000664-121.841951799999</t>
  </si>
  <si>
    <t>lv-vietnamese-pho-and-sandwiches-vallejo</t>
  </si>
  <si>
    <t>2621 Springs Rd</t>
  </si>
  <si>
    <t>38.1054840087891-122.207710266113</t>
  </si>
  <si>
    <t>korea-house-concord</t>
  </si>
  <si>
    <t>1835 Willow Pass Rd</t>
  </si>
  <si>
    <t>37.97514-122.038739999999</t>
  </si>
  <si>
    <t>yo-sushi-martinez</t>
  </si>
  <si>
    <t>1029 Arnold Dr</t>
  </si>
  <si>
    <t>37.9969242-122.1078972</t>
  </si>
  <si>
    <t>lulus-kitchen-concord</t>
  </si>
  <si>
    <t>37.9728762316744-122.043781183031</t>
  </si>
  <si>
    <t>pho-hoa-an-pleasant-hill</t>
  </si>
  <si>
    <t>1617 Contra Costa Blvd</t>
  </si>
  <si>
    <t>37.9544806480407-122.060296833515</t>
  </si>
  <si>
    <t>saigon-bistro-restaurant-pittsburg</t>
  </si>
  <si>
    <t>4285 Century Blvd</t>
  </si>
  <si>
    <t>38.0068147913603-121.841531507671</t>
  </si>
  <si>
    <t>pho-lee-hoa-phat-pittsburg-5</t>
  </si>
  <si>
    <t>140 E Leland Rd</t>
  </si>
  <si>
    <t>38.0114778891117-121.889719069004</t>
  </si>
  <si>
    <t>viet-nam-noodle-house-antioch-4</t>
  </si>
  <si>
    <t>3676 Delta Fair Blvd</t>
  </si>
  <si>
    <t>38.0040780947741-121.844287128215</t>
  </si>
  <si>
    <t>little-hearty-noodle-moraga-2</t>
  </si>
  <si>
    <t>578 Center St</t>
  </si>
  <si>
    <t>37.8578085-122.1258359</t>
  </si>
  <si>
    <t>bubble-loca-richmond</t>
  </si>
  <si>
    <t>3288 Pierce St</t>
  </si>
  <si>
    <t>Richmond</t>
  </si>
  <si>
    <t>37.8988113-122.3075638</t>
  </si>
  <si>
    <t>ten-ren-tea-co-richmond</t>
  </si>
  <si>
    <t>37.8987543089592-122.307458450512</t>
  </si>
  <si>
    <t>tala-coffee-and-tea-el-cerrito-2</t>
  </si>
  <si>
    <t>10734 San Pablo Ave</t>
  </si>
  <si>
    <t>El Cerrito</t>
  </si>
  <si>
    <t>37.9131379268406-122.309712024741</t>
  </si>
  <si>
    <t>sharetea-san-rafael-3</t>
  </si>
  <si>
    <t>967 Grand Ave</t>
  </si>
  <si>
    <t>San Rafael</t>
  </si>
  <si>
    <t>37.9717057943344-122.518760114908</t>
  </si>
  <si>
    <t>tpartea-boba-drinks-and-banh-mi-san-rafael-3</t>
  </si>
  <si>
    <t>5800 Northgate Dr</t>
  </si>
  <si>
    <t>38.0039492652398-122.5438844508</t>
  </si>
  <si>
    <t>sunny-day-sweet-house-richmond</t>
  </si>
  <si>
    <t>37.89881-122.30756</t>
  </si>
  <si>
    <t>aloha-pure-water-shaved-ice-san-pablo</t>
  </si>
  <si>
    <t>2300 El Portal Dr</t>
  </si>
  <si>
    <t>37.966045-122.343246</t>
  </si>
  <si>
    <t>world-wrapps-corte-madera-7</t>
  </si>
  <si>
    <t>208 Corte Madera Town Ctr</t>
  </si>
  <si>
    <t>Corte Madera</t>
  </si>
  <si>
    <t>37.9283378273249-122.518047988414</t>
  </si>
  <si>
    <t>quickly-el-cerrito</t>
  </si>
  <si>
    <t>3080 El Cerrito Plz</t>
  </si>
  <si>
    <t>37.9012082234262-122.299600839615</t>
  </si>
  <si>
    <t>tay-tah-cafe-albany</t>
  </si>
  <si>
    <t>1182 Solano Ave</t>
  </si>
  <si>
    <t>Albany</t>
  </si>
  <si>
    <t>37.8902299999999-122.29626</t>
  </si>
  <si>
    <t>sweetheart-cafe-berkeley</t>
  </si>
  <si>
    <t>2523 Durant Ave</t>
  </si>
  <si>
    <t>37.8680525-122.258168</t>
  </si>
  <si>
    <t>teaone-berkeley-berkeley</t>
  </si>
  <si>
    <t>2380 Telegraph Ave</t>
  </si>
  <si>
    <t>37.86727-122.25905</t>
  </si>
  <si>
    <t>quickly-kobe-bento-richmond-2</t>
  </si>
  <si>
    <t>37.8988979999999-122.307341</t>
  </si>
  <si>
    <t>quickly-san-rafael</t>
  </si>
  <si>
    <t>1128 4th St</t>
  </si>
  <si>
    <t>37.9733537-122.528937999999</t>
  </si>
  <si>
    <t>sivans-cafe-hayward</t>
  </si>
  <si>
    <t>766 A St</t>
  </si>
  <si>
    <t>37.67244-122.08685</t>
  </si>
  <si>
    <t>honey-bear-smoothie-tea-and-dessert-hayward</t>
  </si>
  <si>
    <t>1 Southland Mall Dr</t>
  </si>
  <si>
    <t>37.6542332-122.1048419</t>
  </si>
  <si>
    <t>sharetea-san-ramon</t>
  </si>
  <si>
    <t>2441 San Ramon Valley Blvd</t>
  </si>
  <si>
    <t>37.7747421264647-121.977684020996</t>
  </si>
  <si>
    <t>t4-castro-valley</t>
  </si>
  <si>
    <t>18911 Lake Chabot Rd</t>
  </si>
  <si>
    <t>37.70864-122.091339999999</t>
  </si>
  <si>
    <t>quickly-hayward</t>
  </si>
  <si>
    <t>25034 Hesperian Blvd</t>
  </si>
  <si>
    <t>37.6443550220492-122.104630560233</t>
  </si>
  <si>
    <t>8-twelve-oriental-market-san-leandro</t>
  </si>
  <si>
    <t>596 E 14th St</t>
  </si>
  <si>
    <t>37.7310477-122.1605656</t>
  </si>
  <si>
    <t>polaris-ice-cream-rolls-hayward</t>
  </si>
  <si>
    <t>595 Southland Mall</t>
  </si>
  <si>
    <t>37.652548372651-122.106453901274</t>
  </si>
  <si>
    <t>milkcow-castro-valley</t>
  </si>
  <si>
    <t>3223 Castro Valley Blvd</t>
  </si>
  <si>
    <t>37.69529-122.07956</t>
  </si>
  <si>
    <t>satori-tea-company-saratoga</t>
  </si>
  <si>
    <t>14482 Big Basin Way</t>
  </si>
  <si>
    <t>37.2574696-122.0335427</t>
  </si>
  <si>
    <t>creative-sips-san-jose</t>
  </si>
  <si>
    <t>37.3136978149414-121.946624755858</t>
  </si>
  <si>
    <t>saratoga-bagels-saratoga</t>
  </si>
  <si>
    <t>12840 Saratoga Sunnyvale Rd</t>
  </si>
  <si>
    <t>37.282037944475-122.03191663334</t>
  </si>
  <si>
    <t>snowflake-san-jose</t>
  </si>
  <si>
    <t>4306 Moorpark Ave</t>
  </si>
  <si>
    <t>37.3155981167824-121.977282188172</t>
  </si>
  <si>
    <t>steepers-campbell</t>
  </si>
  <si>
    <t>346 E Campbell Ave</t>
  </si>
  <si>
    <t>Campbell</t>
  </si>
  <si>
    <t>37.28691-121.94397</t>
  </si>
  <si>
    <t>yodo-yogurt-campbell</t>
  </si>
  <si>
    <t>2475 S Winchester Blvd</t>
  </si>
  <si>
    <t>37.2784787-121.9497792</t>
  </si>
  <si>
    <t>caffé-central-santa-clara</t>
  </si>
  <si>
    <t>37.3260982962994-121.944144442677</t>
  </si>
  <si>
    <t>bar-code-santa-clara</t>
  </si>
  <si>
    <t>2855 Stevens Crk Blvd</t>
  </si>
  <si>
    <t>37.3260983428105-121.945618966269</t>
  </si>
  <si>
    <t>jovie-coffee-and-pho-campbell</t>
  </si>
  <si>
    <t>136 N San Tomas Aquino</t>
  </si>
  <si>
    <t>37.2878194445875-121.975211858331</t>
  </si>
  <si>
    <t>tous-les-jours-santa-clara</t>
  </si>
  <si>
    <t>3535 Homestead Rd</t>
  </si>
  <si>
    <t>37.33882-121.99497</t>
  </si>
  <si>
    <t>menchies-frozen-yogurt-vallejo</t>
  </si>
  <si>
    <t>972 Admiral Callaghan Ln</t>
  </si>
  <si>
    <t>38.133641-122.222463999999</t>
  </si>
  <si>
    <t>starbread-bakery-vallejo</t>
  </si>
  <si>
    <t>3718 Sonoma Blvd</t>
  </si>
  <si>
    <t>38.1253132837656-122.254159189761</t>
  </si>
  <si>
    <t>pho-1-vallejo</t>
  </si>
  <si>
    <t>3885 Sonoma Blvd</t>
  </si>
  <si>
    <t>38.1266670227051-122.256126403808</t>
  </si>
  <si>
    <t>sunshine-bakery-vallejo-3</t>
  </si>
  <si>
    <t>3570 Sonoma Blvd</t>
  </si>
  <si>
    <t>38.1221466064453-122.254501342773</t>
  </si>
  <si>
    <t>original-red-onion-vallejo-2</t>
  </si>
  <si>
    <t>1321 Springs Rd</t>
  </si>
  <si>
    <t>38.10589-122.227089999999</t>
  </si>
  <si>
    <t>yo-sushi-vallejo-2</t>
  </si>
  <si>
    <t>114 Robles Way</t>
  </si>
  <si>
    <t>38.0837651342154-122.211666628717</t>
  </si>
  <si>
    <t>midori-japanese-cuisine-vallejo</t>
  </si>
  <si>
    <t>3440 Sonoma Blvd</t>
  </si>
  <si>
    <t>38.1214397080506-122.254726908082</t>
  </si>
  <si>
    <t>pho-lee-hoa-phat-vallejo-2</t>
  </si>
  <si>
    <t>102 Springstowne Ctr</t>
  </si>
  <si>
    <t>38.10499-122.215319999999</t>
  </si>
  <si>
    <t>pho-saigon-village-noodle-house-vallejo</t>
  </si>
  <si>
    <t>3636 Sonoma Blvd</t>
  </si>
  <si>
    <t>38.1238496636738-122.253961014274</t>
  </si>
  <si>
    <t>pho-lee-hoa-phat-2-vallejo-3</t>
  </si>
  <si>
    <t>3495 Sonoma Blvd</t>
  </si>
  <si>
    <t>38.1224127025498-122.258621526624</t>
  </si>
  <si>
    <t>chowking-vallejo</t>
  </si>
  <si>
    <t>38.121818-122.2554405</t>
  </si>
  <si>
    <t>tacos-jalisco-vallejo</t>
  </si>
  <si>
    <t>3420 Sonoma Blvd</t>
  </si>
  <si>
    <t>38.1211891174316-122.254600524902</t>
  </si>
  <si>
    <t>menchies-frozen-yogurt-belmont-2</t>
  </si>
  <si>
    <t>1200 El Camino Real</t>
  </si>
  <si>
    <t>37.5189045-122.2744648</t>
  </si>
  <si>
    <t>fashion-wok-foster-city</t>
  </si>
  <si>
    <t>929 A Edgewater Blvd</t>
  </si>
  <si>
    <t>37.5452836454887-122.27046500734</t>
  </si>
  <si>
    <t>pho-new-saigon-foster-city</t>
  </si>
  <si>
    <t>1088 Foster City Blvd</t>
  </si>
  <si>
    <t>37.5532937-122.2565492</t>
  </si>
  <si>
    <t>hongry-kong-belmont-2</t>
  </si>
  <si>
    <t>37.5240325927734-122.279075622558</t>
  </si>
  <si>
    <t>marina-food-san-mateo</t>
  </si>
  <si>
    <t>2992 S Norfolk St</t>
  </si>
  <si>
    <t>37.5444118546376-122.284796650842</t>
  </si>
  <si>
    <t>cooking-papa-restaurant-foster-city</t>
  </si>
  <si>
    <t>949A Edgewater Blvd</t>
  </si>
  <si>
    <t>37.5446131174646-122.270425803511</t>
  </si>
  <si>
    <t>sheng-kee-bakery-san-mateo-2</t>
  </si>
  <si>
    <t>2964 S Norfolk St</t>
  </si>
  <si>
    <t>37.5452652-122.284477099999</t>
  </si>
  <si>
    <t>eat-on-monday-mountain-view-3</t>
  </si>
  <si>
    <t>37.3931694030762-122.085517883301</t>
  </si>
  <si>
    <t>pho-little-saigon-san-mateo</t>
  </si>
  <si>
    <t>2978 S Norfolk St</t>
  </si>
  <si>
    <t>37.5445885811679-122.284968805751</t>
  </si>
  <si>
    <t>myung-dong-tofu-cabin-san-mateo</t>
  </si>
  <si>
    <t>2968 S Norfolk St</t>
  </si>
  <si>
    <t>37.5447841763127-122.284946071312</t>
  </si>
  <si>
    <t>bagel-street-cafe-redwood-city</t>
  </si>
  <si>
    <t>254 Redwood Shores Pkwy</t>
  </si>
  <si>
    <t>37.5224668331409-122.251625135719</t>
  </si>
  <si>
    <t>east-14th-bakery-and-cafe-san-leandro-3</t>
  </si>
  <si>
    <t>1780 E 14th St</t>
  </si>
  <si>
    <t>37.7215444-122.1509912</t>
  </si>
  <si>
    <t>tapioca-express-san-leandro</t>
  </si>
  <si>
    <t>129 W Joaquin Ave</t>
  </si>
  <si>
    <t>37.7239999-122.15511</t>
  </si>
  <si>
    <t>quickly-san-leandro</t>
  </si>
  <si>
    <t>15251 Hesperian Blvd</t>
  </si>
  <si>
    <t>37.6978340148926-122.130355834961</t>
  </si>
  <si>
    <t>sweethoney-dessert-san-leandro-3</t>
  </si>
  <si>
    <t>1423 E 14th St</t>
  </si>
  <si>
    <t>37.7240845354245-122.154812393848</t>
  </si>
  <si>
    <t>hanoi-chicken-noodle-san-leandro</t>
  </si>
  <si>
    <t>13720 Doolittle Dr</t>
  </si>
  <si>
    <t>37.69982-122.175639999999</t>
  </si>
  <si>
    <t>loving-tea-san-leandro</t>
  </si>
  <si>
    <t>1338 Fairmont Dr</t>
  </si>
  <si>
    <t>37.7026172-122.1272393</t>
  </si>
  <si>
    <t>cafe-sorriso-san-leandro</t>
  </si>
  <si>
    <t>1501 Washington Ave</t>
  </si>
  <si>
    <t>37.7228-122.155194</t>
  </si>
  <si>
    <t>d-t-dim-sum-and-tea-san-leandro</t>
  </si>
  <si>
    <t>1970 Lewelling Blvd</t>
  </si>
  <si>
    <t>37.6799806952477-122.154671028255</t>
  </si>
  <si>
    <t>milk-and-cookie-bar-castro-valley-3</t>
  </si>
  <si>
    <t>sweet-dee-cupcakes-and-snow-ice-san-leandro</t>
  </si>
  <si>
    <t>109 Pelton Ctr Way</t>
  </si>
  <si>
    <t>37.7229449751301-122.153543170361</t>
  </si>
  <si>
    <t>quickly-san-lorenzo</t>
  </si>
  <si>
    <t>17940 Hesperian Blvd</t>
  </si>
  <si>
    <t>San Lorenzo</t>
  </si>
  <si>
    <t>37.6729889960688-122.122139773525</t>
  </si>
  <si>
    <t>tapioca-express-alameda</t>
  </si>
  <si>
    <t>2306 Encinal Ave</t>
  </si>
  <si>
    <t>37.76273-122.24497</t>
  </si>
  <si>
    <t>leisure-cafe-san-leandro-2</t>
  </si>
  <si>
    <t>37.7236583501576-122.154530547558</t>
  </si>
  <si>
    <t>quickly-castro-valley</t>
  </si>
  <si>
    <t>20893 Redwood Rd</t>
  </si>
  <si>
    <t>37.6947791129351-122.073979452252</t>
  </si>
  <si>
    <t>china-kitchen-express-san-leandro</t>
  </si>
  <si>
    <t>13780 E 14th St</t>
  </si>
  <si>
    <t>37.7154007-122.1423264</t>
  </si>
  <si>
    <t>pho-an-hoa-san-leandro</t>
  </si>
  <si>
    <t>14391 Washington Ave</t>
  </si>
  <si>
    <t>37.702842-122.142028</t>
  </si>
  <si>
    <t>tuttimelon-alameda</t>
  </si>
  <si>
    <t>banh-mi-ba-le-oakland</t>
  </si>
  <si>
    <t>1909 International Blvd</t>
  </si>
  <si>
    <t>37.78606-122.24101</t>
  </si>
  <si>
    <t>pokeatery-castro-valley</t>
  </si>
  <si>
    <t>hot-spot-alameda</t>
  </si>
  <si>
    <t>2321 Santa Clara Ave</t>
  </si>
  <si>
    <t>37.765703473918-122.242378592491</t>
  </si>
  <si>
    <t>worlds-fare-donuts-hayward</t>
  </si>
  <si>
    <t>20770 Hesperian Blvd</t>
  </si>
  <si>
    <t>37.6651882648286-122.116480568499</t>
  </si>
  <si>
    <t>taqueria-los-pericos-san-leandro</t>
  </si>
  <si>
    <t>1389 E 14th St</t>
  </si>
  <si>
    <t>37.72437-122.155085</t>
  </si>
  <si>
    <t>pho-anh-ha-san-leandro</t>
  </si>
  <si>
    <t>2089 E 14th St</t>
  </si>
  <si>
    <t>37.71929-122.14865</t>
  </si>
  <si>
    <t>craw-station-san-leandro</t>
  </si>
  <si>
    <t>15040 Farnsworth St</t>
  </si>
  <si>
    <t>37.6906647206597-122.151571007974</t>
  </si>
  <si>
    <t>r-and-d-cafe-san-lorenzo</t>
  </si>
  <si>
    <t>15813 Channel St</t>
  </si>
  <si>
    <t>37.6770314768334-122.142561774295</t>
  </si>
  <si>
    <t>munch-hayward</t>
  </si>
  <si>
    <t>27560 Tampa Ave</t>
  </si>
  <si>
    <t>37.631869-122.075384</t>
  </si>
  <si>
    <t>foodnet-supermarket-san-leandro-2</t>
  </si>
  <si>
    <t>1960 Lewelling Blvd</t>
  </si>
  <si>
    <t>37.6795-122.154789999999</t>
  </si>
  <si>
    <t>yo-bowl-hayward</t>
  </si>
  <si>
    <t>8 Southland Mall</t>
  </si>
  <si>
    <t>37.651128-122.101295999999</t>
  </si>
  <si>
    <t>yogurt-hill-hayward-4</t>
  </si>
  <si>
    <t>1081 B St</t>
  </si>
  <si>
    <t>37.67355-122.081139999999</t>
  </si>
  <si>
    <t>alohana-hawaiian-grill-san-leandro</t>
  </si>
  <si>
    <t>15555 E 14th St</t>
  </si>
  <si>
    <t>37.7001159999999-122.126858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</si>
</sst>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63"/>
    <col customWidth="1" min="4" max="4" width="37.25"/>
    <col customWidth="1" min="6" max="6" width="48.88"/>
    <col customWidth="1" min="7" max="7" width="2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0.0</v>
      </c>
      <c r="B2" s="1" t="s">
        <v>8</v>
      </c>
      <c r="C2" s="1">
        <v>4.5</v>
      </c>
      <c r="D2" s="1" t="s">
        <v>9</v>
      </c>
      <c r="E2" s="1" t="s">
        <v>10</v>
      </c>
      <c r="F2" s="1" t="s">
        <v>11</v>
      </c>
      <c r="G2">
        <f>IFERROR(__xludf.DUMMYFUNCTION("INDEX(SPLIT(F2, ""-""), 1)
"),37.56295)</f>
        <v>37.56295</v>
      </c>
      <c r="H2">
        <f>IFERROR(__xludf.DUMMYFUNCTION("INDEX(SPLIT(F2, ""-""), 2)
"),122.010039999999)</f>
        <v>122.01004</v>
      </c>
    </row>
    <row r="3">
      <c r="A3" s="1">
        <v>1.0</v>
      </c>
      <c r="B3" s="1" t="s">
        <v>12</v>
      </c>
      <c r="C3" s="1">
        <v>4.5</v>
      </c>
      <c r="D3" s="1" t="s">
        <v>13</v>
      </c>
      <c r="E3" s="1" t="s">
        <v>10</v>
      </c>
      <c r="F3" s="1" t="s">
        <v>14</v>
      </c>
      <c r="G3">
        <f>IFERROR(__xludf.DUMMYFUNCTION("INDEX(SPLIT(F3, ""-""), 1)
"),37.4890666928572)</f>
        <v>37.48906669</v>
      </c>
      <c r="H3">
        <f>IFERROR(__xludf.DUMMYFUNCTION("INDEX(SPLIT(F3, ""-""), 2)
"),121.929413750767)</f>
        <v>121.9294138</v>
      </c>
    </row>
    <row r="4">
      <c r="A4" s="1">
        <v>2.0</v>
      </c>
      <c r="B4" s="1" t="s">
        <v>15</v>
      </c>
      <c r="C4" s="1">
        <v>4.0</v>
      </c>
      <c r="D4" s="1" t="s">
        <v>16</v>
      </c>
      <c r="E4" s="1" t="s">
        <v>10</v>
      </c>
      <c r="F4" s="1" t="s">
        <v>17</v>
      </c>
      <c r="G4">
        <f>IFERROR(__xludf.DUMMYFUNCTION("INDEX(SPLIT(F4, ""-""), 1)
"),37.5513151288032)</f>
        <v>37.55131513</v>
      </c>
      <c r="H4">
        <f>IFERROR(__xludf.DUMMYFUNCTION("INDEX(SPLIT(F4, ""-""), 2)
"),121.993849799037)</f>
        <v>121.9938498</v>
      </c>
    </row>
    <row r="5">
      <c r="A5" s="1">
        <v>3.0</v>
      </c>
      <c r="B5" s="1" t="s">
        <v>18</v>
      </c>
      <c r="C5" s="1">
        <v>4.5</v>
      </c>
      <c r="D5" s="1" t="s">
        <v>19</v>
      </c>
      <c r="E5" s="1" t="s">
        <v>10</v>
      </c>
      <c r="F5" s="1" t="s">
        <v>20</v>
      </c>
      <c r="G5">
        <f>IFERROR(__xludf.DUMMYFUNCTION("INDEX(SPLIT(F5, ""-""), 1)
"),37.5536945)</f>
        <v>37.5536945</v>
      </c>
      <c r="H5">
        <f>IFERROR(__xludf.DUMMYFUNCTION("INDEX(SPLIT(F5, ""-""), 2)
"),121.981043)</f>
        <v>121.981043</v>
      </c>
    </row>
    <row r="6">
      <c r="A6" s="1">
        <v>4.0</v>
      </c>
      <c r="B6" s="1" t="s">
        <v>21</v>
      </c>
      <c r="C6" s="1">
        <v>4.0</v>
      </c>
      <c r="D6" s="1" t="s">
        <v>22</v>
      </c>
      <c r="E6" s="1" t="s">
        <v>10</v>
      </c>
      <c r="F6" s="1" t="s">
        <v>23</v>
      </c>
      <c r="G6">
        <f>IFERROR(__xludf.DUMMYFUNCTION("INDEX(SPLIT(F6, ""-""), 1)
"),37.576149)</f>
        <v>37.576149</v>
      </c>
      <c r="H6">
        <f>IFERROR(__xludf.DUMMYFUNCTION("INDEX(SPLIT(F6, ""-""), 2)
"),122.0437049)</f>
        <v>122.0437049</v>
      </c>
    </row>
    <row r="7">
      <c r="A7" s="1">
        <v>5.0</v>
      </c>
      <c r="B7" s="1" t="s">
        <v>24</v>
      </c>
      <c r="C7" s="1">
        <v>4.0</v>
      </c>
      <c r="D7" s="1" t="s">
        <v>25</v>
      </c>
      <c r="E7" s="1" t="s">
        <v>26</v>
      </c>
      <c r="F7" s="1" t="s">
        <v>27</v>
      </c>
      <c r="G7">
        <f>IFERROR(__xludf.DUMMYFUNCTION("INDEX(SPLIT(F7, ""-""), 1)
"),37.5229604101756)</f>
        <v>37.52296041</v>
      </c>
      <c r="H7">
        <f>IFERROR(__xludf.DUMMYFUNCTION("INDEX(SPLIT(F7, ""-""), 2)
"),122.005785632481)</f>
        <v>122.0057856</v>
      </c>
    </row>
    <row r="8">
      <c r="A8" s="1">
        <v>6.0</v>
      </c>
      <c r="B8" s="1" t="s">
        <v>28</v>
      </c>
      <c r="C8" s="1">
        <v>5.0</v>
      </c>
      <c r="D8" s="1" t="s">
        <v>29</v>
      </c>
      <c r="E8" s="1" t="s">
        <v>10</v>
      </c>
      <c r="F8" s="1" t="s">
        <v>30</v>
      </c>
      <c r="G8">
        <f>IFERROR(__xludf.DUMMYFUNCTION("INDEX(SPLIT(F8, ""-""), 1)
"),37.4885682635695)</f>
        <v>37.48856826</v>
      </c>
      <c r="H8">
        <f>IFERROR(__xludf.DUMMYFUNCTION("INDEX(SPLIT(F8, ""-""), 2)
"),121.929191268869)</f>
        <v>121.9291913</v>
      </c>
    </row>
    <row r="9">
      <c r="A9" s="1">
        <v>7.0</v>
      </c>
      <c r="B9" s="1" t="s">
        <v>31</v>
      </c>
      <c r="C9" s="1">
        <v>4.5</v>
      </c>
      <c r="D9" s="1" t="s">
        <v>32</v>
      </c>
      <c r="E9" s="1" t="s">
        <v>10</v>
      </c>
      <c r="F9" s="1" t="s">
        <v>33</v>
      </c>
      <c r="G9">
        <f>IFERROR(__xludf.DUMMYFUNCTION("INDEX(SPLIT(F9, ""-""), 1)
"),37.4884429093476)</f>
        <v>37.48844291</v>
      </c>
      <c r="H9">
        <f>IFERROR(__xludf.DUMMYFUNCTION("INDEX(SPLIT(F9, ""-""), 2)
"),121.930383669657)</f>
        <v>121.9303837</v>
      </c>
    </row>
    <row r="10">
      <c r="A10" s="1">
        <v>8.0</v>
      </c>
      <c r="B10" s="1" t="s">
        <v>34</v>
      </c>
      <c r="C10" s="1">
        <v>3.5</v>
      </c>
      <c r="D10" s="1" t="s">
        <v>35</v>
      </c>
      <c r="E10" s="1" t="s">
        <v>10</v>
      </c>
      <c r="F10" s="1" t="s">
        <v>36</v>
      </c>
      <c r="G10">
        <f>IFERROR(__xludf.DUMMYFUNCTION("INDEX(SPLIT(F10, ""-""), 1)
"),37.4922976027806)</f>
        <v>37.4922976</v>
      </c>
      <c r="H10">
        <f>IFERROR(__xludf.DUMMYFUNCTION("INDEX(SPLIT(F10, ""-""), 2)
"),121.927918713539)</f>
        <v>121.9279187</v>
      </c>
    </row>
    <row r="11">
      <c r="A11" s="1">
        <v>9.0</v>
      </c>
      <c r="B11" s="1" t="s">
        <v>37</v>
      </c>
      <c r="C11" s="1">
        <v>3.5</v>
      </c>
      <c r="D11" s="1" t="s">
        <v>38</v>
      </c>
      <c r="E11" s="1" t="s">
        <v>10</v>
      </c>
      <c r="F11" s="1" t="s">
        <v>39</v>
      </c>
      <c r="G11">
        <f>IFERROR(__xludf.DUMMYFUNCTION("INDEX(SPLIT(F11, ""-""), 1)
"),37.5007782876492)</f>
        <v>37.50077829</v>
      </c>
      <c r="H11">
        <f>IFERROR(__xludf.DUMMYFUNCTION("INDEX(SPLIT(F11, ""-""), 2)
"),121.973167955875)</f>
        <v>121.973168</v>
      </c>
    </row>
    <row r="12">
      <c r="A12" s="1">
        <v>10.0</v>
      </c>
      <c r="B12" s="1" t="s">
        <v>40</v>
      </c>
      <c r="C12" s="1">
        <v>3.5</v>
      </c>
      <c r="D12" s="1" t="s">
        <v>41</v>
      </c>
      <c r="E12" s="1" t="s">
        <v>10</v>
      </c>
      <c r="F12" s="1" t="s">
        <v>42</v>
      </c>
      <c r="G12">
        <f>IFERROR(__xludf.DUMMYFUNCTION("INDEX(SPLIT(F12, ""-""), 1)
"),37.575448103287)</f>
        <v>37.5754481</v>
      </c>
      <c r="H12">
        <f>IFERROR(__xludf.DUMMYFUNCTION("INDEX(SPLIT(F12, ""-""), 2)
"),122.042586920966)</f>
        <v>122.0425869</v>
      </c>
    </row>
    <row r="13">
      <c r="A13" s="1">
        <v>11.0</v>
      </c>
      <c r="B13" s="1" t="s">
        <v>43</v>
      </c>
      <c r="C13" s="1">
        <v>4.0</v>
      </c>
      <c r="D13" s="1" t="s">
        <v>44</v>
      </c>
      <c r="E13" s="1" t="s">
        <v>10</v>
      </c>
      <c r="F13" s="1" t="s">
        <v>45</v>
      </c>
      <c r="G13">
        <f>IFERROR(__xludf.DUMMYFUNCTION("INDEX(SPLIT(F13, ""-""), 1)
"),37.4935414360442)</f>
        <v>37.49354144</v>
      </c>
      <c r="H13">
        <f>IFERROR(__xludf.DUMMYFUNCTION("INDEX(SPLIT(F13, ""-""), 2)
"),121.929889351584)</f>
        <v>121.9298894</v>
      </c>
    </row>
    <row r="14">
      <c r="A14" s="1">
        <v>12.0</v>
      </c>
      <c r="B14" s="1" t="s">
        <v>46</v>
      </c>
      <c r="C14" s="1">
        <v>3.5</v>
      </c>
      <c r="D14" s="1" t="s">
        <v>47</v>
      </c>
      <c r="E14" s="1" t="s">
        <v>10</v>
      </c>
      <c r="F14" s="1" t="s">
        <v>48</v>
      </c>
      <c r="G14">
        <f>IFERROR(__xludf.DUMMYFUNCTION("INDEX(SPLIT(F14, ""-""), 1)
"),37.5195973820395)</f>
        <v>37.51959738</v>
      </c>
      <c r="H14">
        <f>IFERROR(__xludf.DUMMYFUNCTION("INDEX(SPLIT(F14, ""-""), 2)
"),121.989493228847)</f>
        <v>121.9894932</v>
      </c>
    </row>
    <row r="15">
      <c r="A15" s="1">
        <v>13.0</v>
      </c>
      <c r="B15" s="1" t="s">
        <v>49</v>
      </c>
      <c r="C15" s="1">
        <v>3.5</v>
      </c>
      <c r="D15" s="1" t="s">
        <v>50</v>
      </c>
      <c r="E15" s="1" t="s">
        <v>10</v>
      </c>
      <c r="F15" s="1" t="s">
        <v>51</v>
      </c>
      <c r="G15">
        <f>IFERROR(__xludf.DUMMYFUNCTION("INDEX(SPLIT(F15, ""-""), 1)
"),37.504992442164)</f>
        <v>37.50499244</v>
      </c>
      <c r="H15">
        <f>IFERROR(__xludf.DUMMYFUNCTION("INDEX(SPLIT(F15, ""-""), 2)
"),121.971231736243)</f>
        <v>121.9712317</v>
      </c>
    </row>
    <row r="16">
      <c r="A16" s="1">
        <v>14.0</v>
      </c>
      <c r="B16" s="1" t="s">
        <v>52</v>
      </c>
      <c r="C16" s="1">
        <v>4.0</v>
      </c>
      <c r="D16" s="1" t="s">
        <v>53</v>
      </c>
      <c r="E16" s="1" t="s">
        <v>26</v>
      </c>
      <c r="F16" s="1" t="s">
        <v>54</v>
      </c>
      <c r="G16">
        <f>IFERROR(__xludf.DUMMYFUNCTION("INDEX(SPLIT(F16, ""-""), 1)
"),37.5506935787169)</f>
        <v>37.55069358</v>
      </c>
      <c r="H16">
        <f>IFERROR(__xludf.DUMMYFUNCTION("INDEX(SPLIT(F16, ""-""), 2)
"),122.051467484131)</f>
        <v>122.0514675</v>
      </c>
    </row>
    <row r="17">
      <c r="A17" s="1">
        <v>15.0</v>
      </c>
      <c r="B17" s="1" t="s">
        <v>55</v>
      </c>
      <c r="C17" s="1">
        <v>4.0</v>
      </c>
      <c r="D17" s="1" t="s">
        <v>56</v>
      </c>
      <c r="E17" s="1" t="s">
        <v>10</v>
      </c>
      <c r="F17" s="1" t="s">
        <v>57</v>
      </c>
      <c r="G17">
        <f>IFERROR(__xludf.DUMMYFUNCTION("INDEX(SPLIT(F17, ""-""), 1)
"),37.53195)</f>
        <v>37.53195</v>
      </c>
      <c r="H17">
        <f>IFERROR(__xludf.DUMMYFUNCTION("INDEX(SPLIT(F17, ""-""), 2)
"),121.957889999999)</f>
        <v>121.95789</v>
      </c>
    </row>
    <row r="18">
      <c r="A18" s="1">
        <v>16.0</v>
      </c>
      <c r="B18" s="1" t="s">
        <v>58</v>
      </c>
      <c r="C18" s="1">
        <v>3.5</v>
      </c>
      <c r="D18" s="1" t="s">
        <v>59</v>
      </c>
      <c r="E18" s="1" t="s">
        <v>10</v>
      </c>
      <c r="F18" s="1" t="s">
        <v>60</v>
      </c>
      <c r="G18">
        <f>IFERROR(__xludf.DUMMYFUNCTION("INDEX(SPLIT(F18, ""-""), 1)
"),37.5312314119297)</f>
        <v>37.53123141</v>
      </c>
      <c r="H18">
        <f>IFERROR(__xludf.DUMMYFUNCTION("INDEX(SPLIT(F18, ""-""), 2)
"),121.937047836775)</f>
        <v>121.9370478</v>
      </c>
    </row>
    <row r="19">
      <c r="A19" s="1">
        <v>17.0</v>
      </c>
      <c r="B19" s="1" t="s">
        <v>61</v>
      </c>
      <c r="C19" s="1">
        <v>4.0</v>
      </c>
      <c r="D19" s="1" t="s">
        <v>62</v>
      </c>
      <c r="E19" s="1" t="s">
        <v>26</v>
      </c>
      <c r="F19" s="1" t="s">
        <v>63</v>
      </c>
      <c r="G19">
        <f>IFERROR(__xludf.DUMMYFUNCTION("INDEX(SPLIT(F19, ""-""), 1)
"),37.5515049151237)</f>
        <v>37.55150492</v>
      </c>
      <c r="H19">
        <f>IFERROR(__xludf.DUMMYFUNCTION("INDEX(SPLIT(F19, ""-""), 2)
"),122.050272187505)</f>
        <v>122.0502722</v>
      </c>
    </row>
    <row r="20">
      <c r="A20" s="1">
        <v>18.0</v>
      </c>
      <c r="B20" s="1" t="s">
        <v>64</v>
      </c>
      <c r="C20" s="1">
        <v>4.0</v>
      </c>
      <c r="D20" s="1" t="s">
        <v>65</v>
      </c>
      <c r="E20" s="1" t="s">
        <v>26</v>
      </c>
      <c r="F20" s="1" t="s">
        <v>66</v>
      </c>
      <c r="G20">
        <f>IFERROR(__xludf.DUMMYFUNCTION("INDEX(SPLIT(F20, ""-""), 1)
"),37.5208)</f>
        <v>37.5208</v>
      </c>
      <c r="H20">
        <f>IFERROR(__xludf.DUMMYFUNCTION("INDEX(SPLIT(F20, ""-""), 2)
"),121.996426)</f>
        <v>121.996426</v>
      </c>
    </row>
    <row r="21">
      <c r="A21" s="1">
        <v>19.0</v>
      </c>
      <c r="B21" s="1" t="s">
        <v>67</v>
      </c>
      <c r="C21" s="1">
        <v>3.5</v>
      </c>
      <c r="D21" s="1" t="s">
        <v>68</v>
      </c>
      <c r="E21" s="1" t="s">
        <v>10</v>
      </c>
      <c r="F21" s="1" t="s">
        <v>69</v>
      </c>
      <c r="G21">
        <f>IFERROR(__xludf.DUMMYFUNCTION("INDEX(SPLIT(F21, ""-""), 1)
"),37.57509)</f>
        <v>37.57509</v>
      </c>
      <c r="H21">
        <f>IFERROR(__xludf.DUMMYFUNCTION("INDEX(SPLIT(F21, ""-""), 2)
"),122.0386)</f>
        <v>122.0386</v>
      </c>
    </row>
    <row r="22">
      <c r="A22" s="1">
        <v>20.0</v>
      </c>
      <c r="B22" s="1" t="s">
        <v>70</v>
      </c>
      <c r="C22" s="1">
        <v>3.0</v>
      </c>
      <c r="D22" s="1" t="s">
        <v>71</v>
      </c>
      <c r="E22" s="1" t="s">
        <v>10</v>
      </c>
      <c r="F22" s="1" t="s">
        <v>72</v>
      </c>
      <c r="G22">
        <f>IFERROR(__xludf.DUMMYFUNCTION("INDEX(SPLIT(F22, ""-""), 1)
"),37.543782)</f>
        <v>37.543782</v>
      </c>
      <c r="H22">
        <f>IFERROR(__xludf.DUMMYFUNCTION("INDEX(SPLIT(F22, ""-""), 2)
"),121.986825)</f>
        <v>121.986825</v>
      </c>
    </row>
    <row r="23">
      <c r="A23" s="1">
        <v>21.0</v>
      </c>
      <c r="B23" s="1" t="s">
        <v>73</v>
      </c>
      <c r="C23" s="1">
        <v>3.5</v>
      </c>
      <c r="D23" s="1" t="s">
        <v>74</v>
      </c>
      <c r="E23" s="1" t="s">
        <v>26</v>
      </c>
      <c r="F23" s="1" t="s">
        <v>75</v>
      </c>
      <c r="G23">
        <f>IFERROR(__xludf.DUMMYFUNCTION("INDEX(SPLIT(F23, ""-""), 1)
"),37.523356)</f>
        <v>37.523356</v>
      </c>
      <c r="H23">
        <f>IFERROR(__xludf.DUMMYFUNCTION("INDEX(SPLIT(F23, ""-""), 2)
"),122.006644999999)</f>
        <v>122.006645</v>
      </c>
    </row>
    <row r="24">
      <c r="A24" s="1">
        <v>22.0</v>
      </c>
      <c r="B24" s="1" t="s">
        <v>76</v>
      </c>
      <c r="C24" s="1">
        <v>3.0</v>
      </c>
      <c r="D24" s="1" t="s">
        <v>77</v>
      </c>
      <c r="E24" s="1" t="s">
        <v>10</v>
      </c>
      <c r="F24" s="1" t="s">
        <v>78</v>
      </c>
      <c r="G24">
        <f>IFERROR(__xludf.DUMMYFUNCTION("INDEX(SPLIT(F24, ""-""), 1)
"),37.500044)</f>
        <v>37.500044</v>
      </c>
      <c r="H24">
        <f>IFERROR(__xludf.DUMMYFUNCTION("INDEX(SPLIT(F24, ""-""), 2)
"),121.973621999999)</f>
        <v>121.973622</v>
      </c>
    </row>
    <row r="25">
      <c r="A25" s="1">
        <v>23.0</v>
      </c>
      <c r="B25" s="1" t="s">
        <v>79</v>
      </c>
      <c r="C25" s="1">
        <v>5.0</v>
      </c>
      <c r="D25" s="1" t="s">
        <v>80</v>
      </c>
      <c r="E25" s="1" t="s">
        <v>10</v>
      </c>
      <c r="F25" s="1" t="s">
        <v>81</v>
      </c>
      <c r="G25">
        <f>IFERROR(__xludf.DUMMYFUNCTION("INDEX(SPLIT(F25, ""-""), 1)
"),37.5757)</f>
        <v>37.5757</v>
      </c>
      <c r="H25">
        <f>IFERROR(__xludf.DUMMYFUNCTION("INDEX(SPLIT(F25, ""-""), 2)
"),122.039769999999)</f>
        <v>122.03977</v>
      </c>
    </row>
    <row r="26">
      <c r="A26" s="1">
        <v>24.0</v>
      </c>
      <c r="B26" s="1" t="s">
        <v>82</v>
      </c>
      <c r="C26" s="1">
        <v>3.5</v>
      </c>
      <c r="D26" s="1" t="s">
        <v>83</v>
      </c>
      <c r="E26" s="1" t="s">
        <v>10</v>
      </c>
      <c r="F26" s="1" t="s">
        <v>84</v>
      </c>
      <c r="G26">
        <f>IFERROR(__xludf.DUMMYFUNCTION("INDEX(SPLIT(F26, ""-""), 1)
"),37.53181)</f>
        <v>37.53181</v>
      </c>
      <c r="H26">
        <f>IFERROR(__xludf.DUMMYFUNCTION("INDEX(SPLIT(F26, ""-""), 2)
"),121.91944)</f>
        <v>121.91944</v>
      </c>
    </row>
    <row r="27">
      <c r="A27" s="1">
        <v>25.0</v>
      </c>
      <c r="B27" s="1" t="s">
        <v>85</v>
      </c>
      <c r="C27" s="1">
        <v>3.5</v>
      </c>
      <c r="D27" s="1" t="s">
        <v>86</v>
      </c>
      <c r="E27" s="1" t="s">
        <v>87</v>
      </c>
      <c r="F27" s="1" t="s">
        <v>88</v>
      </c>
      <c r="G27">
        <f>IFERROR(__xludf.DUMMYFUNCTION("INDEX(SPLIT(F27, ""-""), 1)
"),37.5897191178595)</f>
        <v>37.58971912</v>
      </c>
      <c r="H27">
        <f>IFERROR(__xludf.DUMMYFUNCTION("INDEX(SPLIT(F27, ""-""), 2)
"),122.071148412966)</f>
        <v>122.0711484</v>
      </c>
    </row>
    <row r="28">
      <c r="A28" s="1">
        <v>26.0</v>
      </c>
      <c r="B28" s="1" t="s">
        <v>89</v>
      </c>
      <c r="C28" s="1">
        <v>3.5</v>
      </c>
      <c r="D28" s="1" t="s">
        <v>90</v>
      </c>
      <c r="E28" s="1" t="s">
        <v>10</v>
      </c>
      <c r="F28" s="1" t="s">
        <v>91</v>
      </c>
      <c r="G28">
        <f>IFERROR(__xludf.DUMMYFUNCTION("INDEX(SPLIT(F28, ""-""), 1)
"),37.5180666419642)</f>
        <v>37.51806664</v>
      </c>
      <c r="H28">
        <f>IFERROR(__xludf.DUMMYFUNCTION("INDEX(SPLIT(F28, ""-""), 2)
"),121.989524069478)</f>
        <v>121.9895241</v>
      </c>
    </row>
    <row r="29">
      <c r="A29" s="1">
        <v>27.0</v>
      </c>
      <c r="B29" s="1" t="s">
        <v>92</v>
      </c>
      <c r="C29" s="1">
        <v>4.0</v>
      </c>
      <c r="D29" s="1" t="s">
        <v>93</v>
      </c>
      <c r="E29" s="1" t="s">
        <v>94</v>
      </c>
      <c r="F29" s="1" t="s">
        <v>95</v>
      </c>
      <c r="G29">
        <f>IFERROR(__xludf.DUMMYFUNCTION("INDEX(SPLIT(F29, ""-""), 1)
"),37.3929561)</f>
        <v>37.3929561</v>
      </c>
      <c r="H29">
        <f>IFERROR(__xludf.DUMMYFUNCTION("INDEX(SPLIT(F29, ""-""), 2)
"),122.0792811)</f>
        <v>122.0792811</v>
      </c>
    </row>
    <row r="30">
      <c r="A30" s="1">
        <v>28.0</v>
      </c>
      <c r="B30" s="1" t="s">
        <v>96</v>
      </c>
      <c r="C30" s="1">
        <v>4.0</v>
      </c>
      <c r="D30" s="1" t="s">
        <v>97</v>
      </c>
      <c r="E30" s="1" t="s">
        <v>98</v>
      </c>
      <c r="F30" s="1" t="s">
        <v>99</v>
      </c>
      <c r="G30">
        <f>IFERROR(__xludf.DUMMYFUNCTION("INDEX(SPLIT(F30, ""-""), 1)
"),37.401254171244)</f>
        <v>37.40125417</v>
      </c>
      <c r="H30">
        <f>IFERROR(__xludf.DUMMYFUNCTION("INDEX(SPLIT(F30, ""-""), 2)
"),122.114469291963)</f>
        <v>122.1144693</v>
      </c>
    </row>
    <row r="31">
      <c r="A31" s="1">
        <v>29.0</v>
      </c>
      <c r="B31" s="1" t="s">
        <v>100</v>
      </c>
      <c r="C31" s="1">
        <v>3.5</v>
      </c>
      <c r="D31" s="1" t="s">
        <v>101</v>
      </c>
      <c r="E31" s="1" t="s">
        <v>10</v>
      </c>
      <c r="F31" s="1" t="s">
        <v>102</v>
      </c>
      <c r="G31">
        <f>IFERROR(__xludf.DUMMYFUNCTION("INDEX(SPLIT(F31, ""-""), 1)
"),37.4932967)</f>
        <v>37.4932967</v>
      </c>
      <c r="H31">
        <f>IFERROR(__xludf.DUMMYFUNCTION("INDEX(SPLIT(F31, ""-""), 2)
"),121.931298099999)</f>
        <v>121.9312981</v>
      </c>
    </row>
    <row r="32">
      <c r="A32" s="1">
        <v>30.0</v>
      </c>
      <c r="B32" s="1" t="s">
        <v>103</v>
      </c>
      <c r="C32" s="1">
        <v>4.0</v>
      </c>
      <c r="D32" s="1" t="s">
        <v>104</v>
      </c>
      <c r="E32" s="1" t="s">
        <v>10</v>
      </c>
      <c r="F32" s="1" t="s">
        <v>105</v>
      </c>
      <c r="G32">
        <f>IFERROR(__xludf.DUMMYFUNCTION("INDEX(SPLIT(F32, ""-""), 1)
"),37.5304985046387)</f>
        <v>37.5304985</v>
      </c>
      <c r="H32">
        <f>IFERROR(__xludf.DUMMYFUNCTION("INDEX(SPLIT(F32, ""-""), 2)
"),121.920637562871)</f>
        <v>121.9206376</v>
      </c>
    </row>
    <row r="33">
      <c r="A33" s="1">
        <v>31.0</v>
      </c>
      <c r="B33" s="1" t="s">
        <v>106</v>
      </c>
      <c r="C33" s="1">
        <v>3.0</v>
      </c>
      <c r="D33" s="1" t="s">
        <v>107</v>
      </c>
      <c r="E33" s="1" t="s">
        <v>10</v>
      </c>
      <c r="F33" s="1" t="s">
        <v>108</v>
      </c>
      <c r="G33">
        <f>IFERROR(__xludf.DUMMYFUNCTION("INDEX(SPLIT(F33, ""-""), 1)
"),37.5631118502019)</f>
        <v>37.56311185</v>
      </c>
      <c r="H33">
        <f>IFERROR(__xludf.DUMMYFUNCTION("INDEX(SPLIT(F33, ""-""), 2)
"),122.015291475919)</f>
        <v>122.0152915</v>
      </c>
    </row>
    <row r="34">
      <c r="A34" s="1">
        <v>32.0</v>
      </c>
      <c r="B34" s="1" t="s">
        <v>109</v>
      </c>
      <c r="C34" s="1">
        <v>4.0</v>
      </c>
      <c r="D34" s="1" t="s">
        <v>110</v>
      </c>
      <c r="E34" s="1" t="s">
        <v>87</v>
      </c>
      <c r="F34" s="1" t="s">
        <v>111</v>
      </c>
      <c r="G34">
        <f>IFERROR(__xludf.DUMMYFUNCTION("INDEX(SPLIT(F34, ""-""), 1)
"),37.5889987)</f>
        <v>37.5889987</v>
      </c>
      <c r="H34">
        <f>IFERROR(__xludf.DUMMYFUNCTION("INDEX(SPLIT(F34, ""-""), 2)
"),122.0208657)</f>
        <v>122.0208657</v>
      </c>
    </row>
    <row r="35">
      <c r="A35" s="1">
        <v>33.0</v>
      </c>
      <c r="B35" s="1" t="s">
        <v>112</v>
      </c>
      <c r="C35" s="1">
        <v>3.5</v>
      </c>
      <c r="D35" s="1" t="s">
        <v>113</v>
      </c>
      <c r="E35" s="1" t="s">
        <v>87</v>
      </c>
      <c r="F35" s="1" t="s">
        <v>114</v>
      </c>
      <c r="G35">
        <f>IFERROR(__xludf.DUMMYFUNCTION("INDEX(SPLIT(F35, ""-""), 1)
"),37.587234)</f>
        <v>37.587234</v>
      </c>
      <c r="H35">
        <f>IFERROR(__xludf.DUMMYFUNCTION("INDEX(SPLIT(F35, ""-""), 2)
"),122.022712)</f>
        <v>122.022712</v>
      </c>
    </row>
    <row r="36">
      <c r="A36" s="1">
        <v>34.0</v>
      </c>
      <c r="B36" s="1" t="s">
        <v>115</v>
      </c>
      <c r="C36" s="1">
        <v>4.0</v>
      </c>
      <c r="D36" s="1" t="s">
        <v>116</v>
      </c>
      <c r="E36" s="1" t="s">
        <v>117</v>
      </c>
      <c r="F36" s="1" t="s">
        <v>118</v>
      </c>
      <c r="G36">
        <f>IFERROR(__xludf.DUMMYFUNCTION("INDEX(SPLIT(F36, ""-""), 1)
"),37.3878)</f>
        <v>37.3878</v>
      </c>
      <c r="H36">
        <f>IFERROR(__xludf.DUMMYFUNCTION("INDEX(SPLIT(F36, ""-""), 2)
"),121.860189999999)</f>
        <v>121.86019</v>
      </c>
    </row>
    <row r="37">
      <c r="A37" s="1">
        <v>35.0</v>
      </c>
      <c r="B37" s="1" t="s">
        <v>119</v>
      </c>
      <c r="C37" s="1">
        <v>4.0</v>
      </c>
      <c r="D37" s="1" t="s">
        <v>120</v>
      </c>
      <c r="E37" s="1" t="s">
        <v>121</v>
      </c>
      <c r="F37" s="1" t="s">
        <v>122</v>
      </c>
      <c r="G37">
        <f>IFERROR(__xludf.DUMMYFUNCTION("INDEX(SPLIT(F37, ""-""), 1)
"),37.6959109999999)</f>
        <v>37.695911</v>
      </c>
      <c r="H37">
        <f>IFERROR(__xludf.DUMMYFUNCTION("INDEX(SPLIT(F37, ""-""), 2)
"),122.072915)</f>
        <v>122.072915</v>
      </c>
    </row>
    <row r="38">
      <c r="A38" s="1">
        <v>36.0</v>
      </c>
      <c r="B38" s="1" t="s">
        <v>123</v>
      </c>
      <c r="C38" s="1">
        <v>3.5</v>
      </c>
      <c r="D38" s="1" t="s">
        <v>124</v>
      </c>
      <c r="E38" s="1" t="s">
        <v>26</v>
      </c>
      <c r="F38" s="1" t="s">
        <v>125</v>
      </c>
      <c r="G38">
        <f>IFERROR(__xludf.DUMMYFUNCTION("INDEX(SPLIT(F38, ""-""), 1)
"),37.54872)</f>
        <v>37.54872</v>
      </c>
      <c r="H38">
        <f>IFERROR(__xludf.DUMMYFUNCTION("INDEX(SPLIT(F38, ""-""), 2)
"),122.049289999999)</f>
        <v>122.04929</v>
      </c>
    </row>
    <row r="39">
      <c r="A39" s="1">
        <v>37.0</v>
      </c>
      <c r="B39" s="1" t="s">
        <v>126</v>
      </c>
      <c r="C39" s="1">
        <v>4.0</v>
      </c>
      <c r="D39" s="1" t="s">
        <v>127</v>
      </c>
      <c r="E39" s="1" t="s">
        <v>128</v>
      </c>
      <c r="F39" s="1" t="s">
        <v>129</v>
      </c>
      <c r="G39">
        <f>IFERROR(__xludf.DUMMYFUNCTION("INDEX(SPLIT(F39, ""-""), 1)
"),37.4547351745994)</f>
        <v>37.45473517</v>
      </c>
      <c r="H39">
        <f>IFERROR(__xludf.DUMMYFUNCTION("INDEX(SPLIT(F39, ""-""), 2)
"),121.911571876168)</f>
        <v>121.9115719</v>
      </c>
    </row>
    <row r="40">
      <c r="A40" s="1">
        <v>38.0</v>
      </c>
      <c r="B40" s="1" t="s">
        <v>130</v>
      </c>
      <c r="C40" s="1">
        <v>3.5</v>
      </c>
      <c r="D40" s="1" t="s">
        <v>131</v>
      </c>
      <c r="E40" s="1" t="s">
        <v>87</v>
      </c>
      <c r="F40" s="1" t="s">
        <v>132</v>
      </c>
      <c r="G40">
        <f>IFERROR(__xludf.DUMMYFUNCTION("INDEX(SPLIT(F40, ""-""), 1)
"),37.5895754513833)</f>
        <v>37.58957545</v>
      </c>
      <c r="H40">
        <f>IFERROR(__xludf.DUMMYFUNCTION("INDEX(SPLIT(F40, ""-""), 2)
"),122.020674874683)</f>
        <v>122.0206749</v>
      </c>
    </row>
    <row r="41">
      <c r="A41" s="1">
        <v>39.0</v>
      </c>
      <c r="B41" s="1" t="s">
        <v>133</v>
      </c>
      <c r="C41" s="1">
        <v>4.0</v>
      </c>
      <c r="D41" s="1" t="s">
        <v>134</v>
      </c>
      <c r="E41" s="1" t="s">
        <v>135</v>
      </c>
      <c r="F41" s="1" t="s">
        <v>136</v>
      </c>
      <c r="G41">
        <f>IFERROR(__xludf.DUMMYFUNCTION("INDEX(SPLIT(F41, ""-""), 1)
"),37.42655)</f>
        <v>37.42655</v>
      </c>
      <c r="H41">
        <f>IFERROR(__xludf.DUMMYFUNCTION("INDEX(SPLIT(F41, ""-""), 2)
"),122.146319999999)</f>
        <v>122.14632</v>
      </c>
    </row>
    <row r="42">
      <c r="A42" s="1">
        <v>40.0</v>
      </c>
      <c r="B42" s="1" t="s">
        <v>137</v>
      </c>
      <c r="C42" s="1">
        <v>4.0</v>
      </c>
      <c r="D42" s="1" t="s">
        <v>138</v>
      </c>
      <c r="E42" s="1" t="s">
        <v>128</v>
      </c>
      <c r="F42" s="1" t="s">
        <v>139</v>
      </c>
      <c r="G42">
        <f>IFERROR(__xludf.DUMMYFUNCTION("INDEX(SPLIT(F42, ""-""), 1)
"),37.43274)</f>
        <v>37.43274</v>
      </c>
      <c r="H42">
        <f>IFERROR(__xludf.DUMMYFUNCTION("INDEX(SPLIT(F42, ""-""), 2)
"),121.89277)</f>
        <v>121.89277</v>
      </c>
    </row>
    <row r="43">
      <c r="A43" s="1">
        <v>41.0</v>
      </c>
      <c r="B43" s="1" t="s">
        <v>140</v>
      </c>
      <c r="C43" s="1">
        <v>3.5</v>
      </c>
      <c r="D43" s="1" t="s">
        <v>141</v>
      </c>
      <c r="E43" s="1" t="s">
        <v>87</v>
      </c>
      <c r="F43" s="1" t="s">
        <v>142</v>
      </c>
      <c r="G43">
        <f>IFERROR(__xludf.DUMMYFUNCTION("INDEX(SPLIT(F43, ""-""), 1)
"),37.5894163879107)</f>
        <v>37.58941639</v>
      </c>
      <c r="H43">
        <f>IFERROR(__xludf.DUMMYFUNCTION("INDEX(SPLIT(F43, ""-""), 2)
"),122.067683412499)</f>
        <v>122.0676834</v>
      </c>
    </row>
    <row r="44">
      <c r="A44" s="1">
        <v>42.0</v>
      </c>
      <c r="B44" s="1" t="s">
        <v>143</v>
      </c>
      <c r="C44" s="1">
        <v>4.0</v>
      </c>
      <c r="D44" s="1" t="s">
        <v>144</v>
      </c>
      <c r="E44" s="1" t="s">
        <v>10</v>
      </c>
      <c r="F44" s="1" t="s">
        <v>145</v>
      </c>
      <c r="G44">
        <f>IFERROR(__xludf.DUMMYFUNCTION("INDEX(SPLIT(F44, ""-""), 1)
"),37.49369)</f>
        <v>37.49369</v>
      </c>
      <c r="H44">
        <f>IFERROR(__xludf.DUMMYFUNCTION("INDEX(SPLIT(F44, ""-""), 2)
"),121.93053)</f>
        <v>121.93053</v>
      </c>
    </row>
    <row r="45">
      <c r="A45" s="1">
        <v>43.0</v>
      </c>
      <c r="B45" s="1" t="s">
        <v>146</v>
      </c>
      <c r="C45" s="1">
        <v>3.5</v>
      </c>
      <c r="D45" s="1" t="s">
        <v>147</v>
      </c>
      <c r="E45" s="1" t="s">
        <v>10</v>
      </c>
      <c r="F45" s="1" t="s">
        <v>148</v>
      </c>
      <c r="G45">
        <f>IFERROR(__xludf.DUMMYFUNCTION("INDEX(SPLIT(F45, ""-""), 1)
"),37.53259)</f>
        <v>37.53259</v>
      </c>
      <c r="H45">
        <f>IFERROR(__xludf.DUMMYFUNCTION("INDEX(SPLIT(F45, ""-""), 2)
"),121.91949)</f>
        <v>121.91949</v>
      </c>
    </row>
    <row r="46">
      <c r="A46" s="1">
        <v>44.0</v>
      </c>
      <c r="B46" s="1" t="s">
        <v>149</v>
      </c>
      <c r="C46" s="1">
        <v>4.5</v>
      </c>
      <c r="D46" s="1" t="s">
        <v>150</v>
      </c>
      <c r="E46" s="1" t="s">
        <v>128</v>
      </c>
      <c r="F46" s="1" t="s">
        <v>151</v>
      </c>
      <c r="G46">
        <f>IFERROR(__xludf.DUMMYFUNCTION("INDEX(SPLIT(F46, ""-""), 1)
"),37.42644)</f>
        <v>37.42644</v>
      </c>
      <c r="H46">
        <f>IFERROR(__xludf.DUMMYFUNCTION("INDEX(SPLIT(F46, ""-""), 2)
"),121.921619999999)</f>
        <v>121.92162</v>
      </c>
    </row>
    <row r="47">
      <c r="A47" s="1">
        <v>45.0</v>
      </c>
      <c r="B47" s="1" t="s">
        <v>152</v>
      </c>
      <c r="C47" s="1">
        <v>4.5</v>
      </c>
      <c r="D47" s="1" t="s">
        <v>153</v>
      </c>
      <c r="E47" s="1" t="s">
        <v>128</v>
      </c>
      <c r="F47" s="1" t="s">
        <v>154</v>
      </c>
      <c r="G47">
        <f>IFERROR(__xludf.DUMMYFUNCTION("INDEX(SPLIT(F47, ""-""), 1)
"),37.4555854711176)</f>
        <v>37.45558547</v>
      </c>
      <c r="H47">
        <f>IFERROR(__xludf.DUMMYFUNCTION("INDEX(SPLIT(F47, ""-""), 2)
"),121.909984275478)</f>
        <v>121.9099843</v>
      </c>
    </row>
    <row r="48">
      <c r="A48" s="1">
        <v>46.0</v>
      </c>
      <c r="B48" s="1" t="s">
        <v>155</v>
      </c>
      <c r="C48" s="1">
        <v>4.0</v>
      </c>
      <c r="D48" s="1" t="s">
        <v>156</v>
      </c>
      <c r="E48" s="1" t="s">
        <v>128</v>
      </c>
      <c r="F48" s="1" t="s">
        <v>157</v>
      </c>
      <c r="G48">
        <f>IFERROR(__xludf.DUMMYFUNCTION("INDEX(SPLIT(F48, ""-""), 1)
"),37.4208151690146)</f>
        <v>37.42081517</v>
      </c>
      <c r="H48">
        <f>IFERROR(__xludf.DUMMYFUNCTION("INDEX(SPLIT(F48, ""-""), 2)
"),121.916592059011)</f>
        <v>121.9165921</v>
      </c>
    </row>
    <row r="49">
      <c r="A49" s="1">
        <v>47.0</v>
      </c>
      <c r="B49" s="1" t="s">
        <v>158</v>
      </c>
      <c r="C49" s="1">
        <v>3.5</v>
      </c>
      <c r="D49" s="1" t="s">
        <v>159</v>
      </c>
      <c r="E49" s="1" t="s">
        <v>87</v>
      </c>
      <c r="F49" s="1" t="s">
        <v>160</v>
      </c>
      <c r="G49">
        <f>IFERROR(__xludf.DUMMYFUNCTION("INDEX(SPLIT(F49, ""-""), 1)
"),37.589445484175)</f>
        <v>37.58944548</v>
      </c>
      <c r="H49">
        <f>IFERROR(__xludf.DUMMYFUNCTION("INDEX(SPLIT(F49, ""-""), 2)
"),122.02183395763)</f>
        <v>122.021834</v>
      </c>
    </row>
    <row r="50">
      <c r="A50" s="1">
        <v>48.0</v>
      </c>
      <c r="B50" s="1" t="s">
        <v>161</v>
      </c>
      <c r="C50" s="1">
        <v>4.0</v>
      </c>
      <c r="D50" s="1" t="s">
        <v>162</v>
      </c>
      <c r="E50" s="1" t="s">
        <v>135</v>
      </c>
      <c r="F50" s="1" t="s">
        <v>163</v>
      </c>
      <c r="G50">
        <f>IFERROR(__xludf.DUMMYFUNCTION("INDEX(SPLIT(F50, ""-""), 1)
"),37.447628)</f>
        <v>37.447628</v>
      </c>
      <c r="H50">
        <f>IFERROR(__xludf.DUMMYFUNCTION("INDEX(SPLIT(F50, ""-""), 2)
"),122.160728)</f>
        <v>122.160728</v>
      </c>
    </row>
    <row r="51">
      <c r="A51" s="1">
        <v>49.0</v>
      </c>
      <c r="B51" s="1" t="s">
        <v>164</v>
      </c>
      <c r="C51" s="1">
        <v>4.0</v>
      </c>
      <c r="D51" s="1" t="s">
        <v>165</v>
      </c>
      <c r="E51" s="1" t="s">
        <v>166</v>
      </c>
      <c r="F51" s="1" t="s">
        <v>167</v>
      </c>
      <c r="G51">
        <f>IFERROR(__xludf.DUMMYFUNCTION("INDEX(SPLIT(F51, ""-""), 1)
"),37.687487183018)</f>
        <v>37.68748718</v>
      </c>
      <c r="H51">
        <f>IFERROR(__xludf.DUMMYFUNCTION("INDEX(SPLIT(F51, ""-""), 2)
"),122.136023640633)</f>
        <v>122.1360236</v>
      </c>
    </row>
    <row r="52">
      <c r="A52" s="1">
        <v>50.0</v>
      </c>
      <c r="B52" s="1" t="s">
        <v>168</v>
      </c>
      <c r="C52" s="1">
        <v>4.0</v>
      </c>
      <c r="D52" s="1" t="s">
        <v>169</v>
      </c>
      <c r="E52" s="1" t="s">
        <v>170</v>
      </c>
      <c r="F52" s="1" t="s">
        <v>171</v>
      </c>
      <c r="G52">
        <f>IFERROR(__xludf.DUMMYFUNCTION("INDEX(SPLIT(F52, ""-""), 1)
"),37.7899434017563)</f>
        <v>37.7899434</v>
      </c>
      <c r="H52">
        <f>IFERROR(__xludf.DUMMYFUNCTION("INDEX(SPLIT(F52, ""-""), 2)
"),122.407306303981)</f>
        <v>122.4073063</v>
      </c>
    </row>
    <row r="53">
      <c r="A53" s="1">
        <v>51.0</v>
      </c>
      <c r="B53" s="1" t="s">
        <v>172</v>
      </c>
      <c r="C53" s="1">
        <v>4.0</v>
      </c>
      <c r="D53" s="1" t="s">
        <v>173</v>
      </c>
      <c r="E53" s="1" t="s">
        <v>170</v>
      </c>
      <c r="F53" s="1" t="s">
        <v>174</v>
      </c>
      <c r="G53">
        <f>IFERROR(__xludf.DUMMYFUNCTION("INDEX(SPLIT(F53, ""-""), 1)
"),37.75994)</f>
        <v>37.75994</v>
      </c>
      <c r="H53">
        <f>IFERROR(__xludf.DUMMYFUNCTION("INDEX(SPLIT(F53, ""-""), 2)
"),122.42112)</f>
        <v>122.42112</v>
      </c>
    </row>
    <row r="54">
      <c r="A54" s="1">
        <v>52.0</v>
      </c>
      <c r="B54" s="1" t="s">
        <v>175</v>
      </c>
      <c r="C54" s="1">
        <v>4.0</v>
      </c>
      <c r="D54" s="1" t="s">
        <v>176</v>
      </c>
      <c r="E54" s="1" t="s">
        <v>170</v>
      </c>
      <c r="F54" s="1" t="s">
        <v>177</v>
      </c>
      <c r="G54">
        <f>IFERROR(__xludf.DUMMYFUNCTION("INDEX(SPLIT(F54, ""-""), 1)
"),37.7633252984489)</f>
        <v>37.7633253</v>
      </c>
      <c r="H54">
        <f>IFERROR(__xludf.DUMMYFUNCTION("INDEX(SPLIT(F54, ""-""), 2)
"),122.479877762901)</f>
        <v>122.4798778</v>
      </c>
    </row>
    <row r="55">
      <c r="A55" s="1">
        <v>53.0</v>
      </c>
      <c r="B55" s="1" t="s">
        <v>178</v>
      </c>
      <c r="C55" s="1">
        <v>4.0</v>
      </c>
      <c r="D55" s="1" t="s">
        <v>179</v>
      </c>
      <c r="E55" s="1" t="s">
        <v>170</v>
      </c>
      <c r="F55" s="1" t="s">
        <v>180</v>
      </c>
      <c r="G55">
        <f>IFERROR(__xludf.DUMMYFUNCTION("INDEX(SPLIT(F55, ""-""), 1)
"),37.781425)</f>
        <v>37.781425</v>
      </c>
      <c r="H55">
        <f>IFERROR(__xludf.DUMMYFUNCTION("INDEX(SPLIT(F55, ""-""), 2)
"),122.4608022)</f>
        <v>122.4608022</v>
      </c>
    </row>
    <row r="56">
      <c r="A56" s="1">
        <v>54.0</v>
      </c>
      <c r="B56" s="1" t="s">
        <v>181</v>
      </c>
      <c r="C56" s="1">
        <v>4.0</v>
      </c>
      <c r="D56" s="1" t="s">
        <v>182</v>
      </c>
      <c r="E56" s="1" t="s">
        <v>170</v>
      </c>
      <c r="F56" s="1" t="s">
        <v>183</v>
      </c>
      <c r="G56">
        <f>IFERROR(__xludf.DUMMYFUNCTION("INDEX(SPLIT(F56, ""-""), 1)
"),37.7963159707234)</f>
        <v>37.79631597</v>
      </c>
      <c r="H56">
        <f>IFERROR(__xludf.DUMMYFUNCTION("INDEX(SPLIT(F56, ""-""), 2)
"),122.421975955366)</f>
        <v>122.421976</v>
      </c>
    </row>
    <row r="57">
      <c r="A57" s="1">
        <v>55.0</v>
      </c>
      <c r="B57" s="1" t="s">
        <v>184</v>
      </c>
      <c r="C57" s="1">
        <v>4.0</v>
      </c>
      <c r="D57" s="1" t="s">
        <v>185</v>
      </c>
      <c r="E57" s="1" t="s">
        <v>170</v>
      </c>
      <c r="F57" s="1" t="s">
        <v>186</v>
      </c>
      <c r="G57">
        <f>IFERROR(__xludf.DUMMYFUNCTION("INDEX(SPLIT(F57, ""-""), 1)
"),37.78365)</f>
        <v>37.78365</v>
      </c>
      <c r="H57">
        <f>IFERROR(__xludf.DUMMYFUNCTION("INDEX(SPLIT(F57, ""-""), 2)
"),122.43247)</f>
        <v>122.43247</v>
      </c>
    </row>
    <row r="58">
      <c r="A58" s="1">
        <v>56.0</v>
      </c>
      <c r="B58" s="1" t="s">
        <v>187</v>
      </c>
      <c r="C58" s="1">
        <v>4.5</v>
      </c>
      <c r="D58" s="1" t="s">
        <v>188</v>
      </c>
      <c r="E58" s="1" t="s">
        <v>170</v>
      </c>
      <c r="F58" s="1" t="s">
        <v>189</v>
      </c>
      <c r="G58">
        <f>IFERROR(__xludf.DUMMYFUNCTION("INDEX(SPLIT(F58, ""-""), 1)
"),37.7905719929647)</f>
        <v>37.79057199</v>
      </c>
      <c r="H58">
        <f>IFERROR(__xludf.DUMMYFUNCTION("INDEX(SPLIT(F58, ""-""), 2)
"),122.404304221271)</f>
        <v>122.4043042</v>
      </c>
    </row>
    <row r="59">
      <c r="A59" s="1">
        <v>57.0</v>
      </c>
      <c r="B59" s="1" t="s">
        <v>190</v>
      </c>
      <c r="C59" s="1">
        <v>4.0</v>
      </c>
      <c r="D59" s="1" t="s">
        <v>191</v>
      </c>
      <c r="E59" s="1" t="s">
        <v>170</v>
      </c>
      <c r="F59" s="1" t="s">
        <v>192</v>
      </c>
      <c r="G59">
        <f>IFERROR(__xludf.DUMMYFUNCTION("INDEX(SPLIT(F59, ""-""), 1)
"),37.7728849972724)</f>
        <v>37.772885</v>
      </c>
      <c r="H59">
        <f>IFERROR(__xludf.DUMMYFUNCTION("INDEX(SPLIT(F59, ""-""), 2)
"),122.423546388745)</f>
        <v>122.4235464</v>
      </c>
    </row>
    <row r="60">
      <c r="A60" s="1">
        <v>58.0</v>
      </c>
      <c r="B60" s="1" t="s">
        <v>193</v>
      </c>
      <c r="C60" s="1">
        <v>3.5</v>
      </c>
      <c r="D60" s="1" t="s">
        <v>194</v>
      </c>
      <c r="E60" s="1" t="s">
        <v>170</v>
      </c>
      <c r="F60" s="1" t="s">
        <v>195</v>
      </c>
      <c r="G60">
        <f>IFERROR(__xludf.DUMMYFUNCTION("INDEX(SPLIT(F60, ""-""), 1)
"),37.7914264423265)</f>
        <v>37.79142644</v>
      </c>
      <c r="H60">
        <f>IFERROR(__xludf.DUMMYFUNCTION("INDEX(SPLIT(F60, ""-""), 2)
"),122.404249032891)</f>
        <v>122.404249</v>
      </c>
    </row>
    <row r="61">
      <c r="A61" s="1">
        <v>59.0</v>
      </c>
      <c r="B61" s="1" t="s">
        <v>196</v>
      </c>
      <c r="C61" s="1">
        <v>4.5</v>
      </c>
      <c r="D61" s="1" t="s">
        <v>197</v>
      </c>
      <c r="E61" s="1" t="s">
        <v>170</v>
      </c>
      <c r="F61" s="1" t="s">
        <v>198</v>
      </c>
      <c r="G61">
        <f>IFERROR(__xludf.DUMMYFUNCTION("INDEX(SPLIT(F61, ""-""), 1)
"),37.7932604402304)</f>
        <v>37.79326044</v>
      </c>
      <c r="H61">
        <f>IFERROR(__xludf.DUMMYFUNCTION("INDEX(SPLIT(F61, ""-""), 2)
"),122.406762465835)</f>
        <v>122.4067625</v>
      </c>
    </row>
    <row r="62">
      <c r="A62" s="1">
        <v>60.0</v>
      </c>
      <c r="B62" s="1" t="s">
        <v>199</v>
      </c>
      <c r="C62" s="1">
        <v>3.5</v>
      </c>
      <c r="D62" s="1" t="s">
        <v>200</v>
      </c>
      <c r="E62" s="1" t="s">
        <v>170</v>
      </c>
      <c r="F62" s="1" t="s">
        <v>201</v>
      </c>
      <c r="G62">
        <f>IFERROR(__xludf.DUMMYFUNCTION("INDEX(SPLIT(F62, ""-""), 1)
"),37.775906)</f>
        <v>37.775906</v>
      </c>
      <c r="H62">
        <f>IFERROR(__xludf.DUMMYFUNCTION("INDEX(SPLIT(F62, ""-""), 2)
"),122.497818)</f>
        <v>122.497818</v>
      </c>
    </row>
    <row r="63">
      <c r="A63" s="1">
        <v>61.0</v>
      </c>
      <c r="B63" s="1" t="s">
        <v>202</v>
      </c>
      <c r="C63" s="1">
        <v>4.5</v>
      </c>
      <c r="D63" s="1" t="s">
        <v>203</v>
      </c>
      <c r="E63" s="1" t="s">
        <v>170</v>
      </c>
      <c r="F63" s="1" t="s">
        <v>204</v>
      </c>
      <c r="G63">
        <f>IFERROR(__xludf.DUMMYFUNCTION("INDEX(SPLIT(F63, ""-""), 1)
"),37.7254643)</f>
        <v>37.7254643</v>
      </c>
      <c r="H63">
        <f>IFERROR(__xludf.DUMMYFUNCTION("INDEX(SPLIT(F63, ""-""), 2)
"),122.402527)</f>
        <v>122.402527</v>
      </c>
    </row>
    <row r="64">
      <c r="A64" s="1">
        <v>62.0</v>
      </c>
      <c r="B64" s="1" t="s">
        <v>205</v>
      </c>
      <c r="C64" s="1">
        <v>4.0</v>
      </c>
      <c r="D64" s="1" t="s">
        <v>206</v>
      </c>
      <c r="E64" s="1" t="s">
        <v>170</v>
      </c>
      <c r="F64" s="1" t="s">
        <v>207</v>
      </c>
      <c r="G64">
        <f>IFERROR(__xludf.DUMMYFUNCTION("INDEX(SPLIT(F64, ""-""), 1)
"),37.7881894888854)</f>
        <v>37.78818949</v>
      </c>
      <c r="H64">
        <f>IFERROR(__xludf.DUMMYFUNCTION("INDEX(SPLIT(F64, ""-""), 2)
"),122.40366820246)</f>
        <v>122.4036682</v>
      </c>
    </row>
    <row r="65">
      <c r="A65" s="1">
        <v>63.0</v>
      </c>
      <c r="B65" s="1" t="s">
        <v>208</v>
      </c>
      <c r="C65" s="1">
        <v>4.0</v>
      </c>
      <c r="D65" s="1" t="s">
        <v>209</v>
      </c>
      <c r="E65" s="1" t="s">
        <v>170</v>
      </c>
      <c r="F65" s="1" t="s">
        <v>210</v>
      </c>
      <c r="G65">
        <f>IFERROR(__xludf.DUMMYFUNCTION("INDEX(SPLIT(F65, ""-""), 1)
"),37.7429212)</f>
        <v>37.7429212</v>
      </c>
      <c r="H65">
        <f>IFERROR(__xludf.DUMMYFUNCTION("INDEX(SPLIT(F65, ""-""), 2)
"),122.4782898)</f>
        <v>122.4782898</v>
      </c>
    </row>
    <row r="66">
      <c r="A66" s="1">
        <v>64.0</v>
      </c>
      <c r="B66" s="1" t="s">
        <v>211</v>
      </c>
      <c r="C66" s="1">
        <v>4.0</v>
      </c>
      <c r="D66" s="1" t="s">
        <v>212</v>
      </c>
      <c r="E66" s="1" t="s">
        <v>170</v>
      </c>
      <c r="F66" s="1" t="s">
        <v>213</v>
      </c>
      <c r="G66">
        <f>IFERROR(__xludf.DUMMYFUNCTION("INDEX(SPLIT(F66, ""-""), 1)
"),37.7665676429306)</f>
        <v>37.76656764</v>
      </c>
      <c r="H66">
        <f>IFERROR(__xludf.DUMMYFUNCTION("INDEX(SPLIT(F66, ""-""), 2)
"),122.397055947925)</f>
        <v>122.3970559</v>
      </c>
    </row>
    <row r="67">
      <c r="A67" s="1">
        <v>65.0</v>
      </c>
      <c r="B67" s="1" t="s">
        <v>214</v>
      </c>
      <c r="C67" s="1">
        <v>5.0</v>
      </c>
      <c r="D67" s="1" t="s">
        <v>215</v>
      </c>
      <c r="E67" s="1" t="s">
        <v>170</v>
      </c>
      <c r="F67" s="1" t="s">
        <v>216</v>
      </c>
      <c r="G67">
        <f>IFERROR(__xludf.DUMMYFUNCTION("INDEX(SPLIT(F67, ""-""), 1)
"),37.780295679705)</f>
        <v>37.78029568</v>
      </c>
      <c r="H67">
        <f>IFERROR(__xludf.DUMMYFUNCTION("INDEX(SPLIT(F67, ""-""), 2)
"),122.477084781597)</f>
        <v>122.4770848</v>
      </c>
    </row>
    <row r="68">
      <c r="A68" s="1">
        <v>66.0</v>
      </c>
      <c r="B68" s="1" t="s">
        <v>217</v>
      </c>
      <c r="C68" s="1">
        <v>4.0</v>
      </c>
      <c r="D68" s="1" t="s">
        <v>218</v>
      </c>
      <c r="E68" s="1" t="s">
        <v>170</v>
      </c>
      <c r="F68" s="1" t="s">
        <v>219</v>
      </c>
      <c r="G68">
        <f>IFERROR(__xludf.DUMMYFUNCTION("INDEX(SPLIT(F68, ""-""), 1)
"),37.7803345695326)</f>
        <v>37.78033457</v>
      </c>
      <c r="H68">
        <f>IFERROR(__xludf.DUMMYFUNCTION("INDEX(SPLIT(F68, ""-""), 2)
"),122.395782692426)</f>
        <v>122.3957827</v>
      </c>
    </row>
    <row r="69">
      <c r="A69" s="1">
        <v>67.0</v>
      </c>
      <c r="B69" s="1" t="s">
        <v>220</v>
      </c>
      <c r="C69" s="1">
        <v>4.0</v>
      </c>
      <c r="D69" s="1" t="s">
        <v>221</v>
      </c>
      <c r="E69" s="1" t="s">
        <v>170</v>
      </c>
      <c r="F69" s="1" t="s">
        <v>222</v>
      </c>
      <c r="G69">
        <f>IFERROR(__xludf.DUMMYFUNCTION("INDEX(SPLIT(F69, ""-""), 1)
"),37.72322)</f>
        <v>37.72322</v>
      </c>
      <c r="H69">
        <f>IFERROR(__xludf.DUMMYFUNCTION("INDEX(SPLIT(F69, ""-""), 2)
"),122.43556)</f>
        <v>122.43556</v>
      </c>
    </row>
    <row r="70">
      <c r="A70" s="1">
        <v>68.0</v>
      </c>
      <c r="B70" s="1" t="s">
        <v>223</v>
      </c>
      <c r="C70" s="1">
        <v>3.5</v>
      </c>
      <c r="D70" s="1" t="s">
        <v>224</v>
      </c>
      <c r="E70" s="1" t="s">
        <v>170</v>
      </c>
      <c r="F70" s="1" t="s">
        <v>225</v>
      </c>
      <c r="G70">
        <f>IFERROR(__xludf.DUMMYFUNCTION("INDEX(SPLIT(F70, ""-""), 1)
"),37.7636264)</f>
        <v>37.7636264</v>
      </c>
      <c r="H70">
        <f>IFERROR(__xludf.DUMMYFUNCTION("INDEX(SPLIT(F70, ""-""), 2)
"),122.4785915)</f>
        <v>122.4785915</v>
      </c>
    </row>
    <row r="71">
      <c r="A71" s="1">
        <v>69.0</v>
      </c>
      <c r="B71" s="1" t="s">
        <v>226</v>
      </c>
      <c r="C71" s="1">
        <v>4.0</v>
      </c>
      <c r="D71" s="1" t="s">
        <v>227</v>
      </c>
      <c r="E71" s="1" t="s">
        <v>170</v>
      </c>
      <c r="F71" s="1" t="s">
        <v>228</v>
      </c>
      <c r="G71">
        <f>IFERROR(__xludf.DUMMYFUNCTION("INDEX(SPLIT(F71, ""-""), 1)
"),37.75339)</f>
        <v>37.75339</v>
      </c>
      <c r="H71">
        <f>IFERROR(__xludf.DUMMYFUNCTION("INDEX(SPLIT(F71, ""-""), 2)
"),122.48993)</f>
        <v>122.48993</v>
      </c>
    </row>
    <row r="72">
      <c r="A72" s="1">
        <v>70.0</v>
      </c>
      <c r="B72" s="1" t="s">
        <v>229</v>
      </c>
      <c r="C72" s="1">
        <v>4.5</v>
      </c>
      <c r="D72" s="1" t="s">
        <v>230</v>
      </c>
      <c r="E72" s="1" t="s">
        <v>170</v>
      </c>
      <c r="F72" s="1" t="s">
        <v>231</v>
      </c>
      <c r="G72">
        <f>IFERROR(__xludf.DUMMYFUNCTION("INDEX(SPLIT(F72, ""-""), 1)
"),37.7634668052021)</f>
        <v>37.76346681</v>
      </c>
      <c r="H72">
        <f>IFERROR(__xludf.DUMMYFUNCTION("INDEX(SPLIT(F72, ""-""), 2)
"),122.482386571049)</f>
        <v>122.4823866</v>
      </c>
    </row>
    <row r="73">
      <c r="A73" s="1">
        <v>71.0</v>
      </c>
      <c r="B73" s="1" t="s">
        <v>232</v>
      </c>
      <c r="C73" s="1">
        <v>4.5</v>
      </c>
      <c r="D73" s="1" t="s">
        <v>233</v>
      </c>
      <c r="E73" s="1" t="s">
        <v>170</v>
      </c>
      <c r="F73" s="1" t="s">
        <v>234</v>
      </c>
      <c r="G73">
        <f>IFERROR(__xludf.DUMMYFUNCTION("INDEX(SPLIT(F73, ""-""), 1)
"),37.7635576540922)</f>
        <v>37.76355765</v>
      </c>
      <c r="H73">
        <f>IFERROR(__xludf.DUMMYFUNCTION("INDEX(SPLIT(F73, ""-""), 2)
"),122.388577088714)</f>
        <v>122.3885771</v>
      </c>
    </row>
    <row r="74">
      <c r="A74" s="1">
        <v>72.0</v>
      </c>
      <c r="B74" s="1" t="s">
        <v>235</v>
      </c>
      <c r="C74" s="1">
        <v>4.0</v>
      </c>
      <c r="D74" s="1" t="s">
        <v>236</v>
      </c>
      <c r="E74" s="1" t="s">
        <v>170</v>
      </c>
      <c r="F74" s="1" t="s">
        <v>237</v>
      </c>
      <c r="G74">
        <f>IFERROR(__xludf.DUMMYFUNCTION("INDEX(SPLIT(F74, ""-""), 1)
"),37.7825348173521)</f>
        <v>37.78253482</v>
      </c>
      <c r="H74">
        <f>IFERROR(__xludf.DUMMYFUNCTION("INDEX(SPLIT(F74, ""-""), 2)
"),122.391180229883)</f>
        <v>122.3911802</v>
      </c>
    </row>
    <row r="75">
      <c r="A75" s="1">
        <v>73.0</v>
      </c>
      <c r="B75" s="1" t="s">
        <v>238</v>
      </c>
      <c r="C75" s="1">
        <v>3.5</v>
      </c>
      <c r="D75" s="1" t="s">
        <v>239</v>
      </c>
      <c r="E75" s="1" t="s">
        <v>170</v>
      </c>
      <c r="F75" s="1" t="s">
        <v>240</v>
      </c>
      <c r="G75">
        <f>IFERROR(__xludf.DUMMYFUNCTION("INDEX(SPLIT(F75, ""-""), 1)
"),37.7822781354189)</f>
        <v>37.78227814</v>
      </c>
      <c r="H75">
        <f>IFERROR(__xludf.DUMMYFUNCTION("INDEX(SPLIT(F75, ""-""), 2)
"),122.479696422815)</f>
        <v>122.4796964</v>
      </c>
    </row>
    <row r="76">
      <c r="A76" s="1">
        <v>74.0</v>
      </c>
      <c r="B76" s="1" t="s">
        <v>241</v>
      </c>
      <c r="C76" s="1">
        <v>4.5</v>
      </c>
      <c r="E76" s="1" t="s">
        <v>170</v>
      </c>
      <c r="F76" s="1" t="s">
        <v>242</v>
      </c>
      <c r="G76">
        <f>IFERROR(__xludf.DUMMYFUNCTION("INDEX(SPLIT(F76, ""-""), 1)
"),37.77448)</f>
        <v>37.77448</v>
      </c>
      <c r="H76">
        <f>IFERROR(__xludf.DUMMYFUNCTION("INDEX(SPLIT(F76, ""-""), 2)
"),122.40916)</f>
        <v>122.40916</v>
      </c>
    </row>
    <row r="77">
      <c r="A77" s="1">
        <v>75.0</v>
      </c>
      <c r="B77" s="1" t="s">
        <v>243</v>
      </c>
      <c r="C77" s="1">
        <v>4.5</v>
      </c>
      <c r="D77" s="1" t="s">
        <v>244</v>
      </c>
      <c r="E77" s="1" t="s">
        <v>170</v>
      </c>
      <c r="F77" s="1" t="s">
        <v>245</v>
      </c>
      <c r="G77">
        <f>IFERROR(__xludf.DUMMYFUNCTION("INDEX(SPLIT(F77, ""-""), 1)
"),37.7879050728042)</f>
        <v>37.78790507</v>
      </c>
      <c r="H77">
        <f>IFERROR(__xludf.DUMMYFUNCTION("INDEX(SPLIT(F77, ""-""), 2)
"),122.440761682096)</f>
        <v>122.4407617</v>
      </c>
    </row>
    <row r="78">
      <c r="A78" s="1">
        <v>76.0</v>
      </c>
      <c r="B78" s="1" t="s">
        <v>246</v>
      </c>
      <c r="C78" s="1">
        <v>3.5</v>
      </c>
      <c r="D78" s="1" t="s">
        <v>247</v>
      </c>
      <c r="E78" s="1" t="s">
        <v>170</v>
      </c>
      <c r="F78" s="1" t="s">
        <v>248</v>
      </c>
      <c r="G78">
        <f>IFERROR(__xludf.DUMMYFUNCTION("INDEX(SPLIT(F78, ""-""), 1)
"),37.7635307)</f>
        <v>37.7635307</v>
      </c>
      <c r="H78">
        <f>IFERROR(__xludf.DUMMYFUNCTION("INDEX(SPLIT(F78, ""-""), 2)
"),122.4811325)</f>
        <v>122.4811325</v>
      </c>
    </row>
    <row r="79">
      <c r="A79" s="1">
        <v>77.0</v>
      </c>
      <c r="B79" s="1" t="s">
        <v>249</v>
      </c>
      <c r="C79" s="1">
        <v>4.5</v>
      </c>
      <c r="D79" s="1" t="s">
        <v>250</v>
      </c>
      <c r="E79" s="1" t="s">
        <v>170</v>
      </c>
      <c r="F79" s="1" t="s">
        <v>251</v>
      </c>
      <c r="G79">
        <f>IFERROR(__xludf.DUMMYFUNCTION("INDEX(SPLIT(F79, ""-""), 1)
"),37.7804213)</f>
        <v>37.7804213</v>
      </c>
      <c r="H79">
        <f>IFERROR(__xludf.DUMMYFUNCTION("INDEX(SPLIT(F79, ""-""), 2)
"),122.473284299999)</f>
        <v>122.4732843</v>
      </c>
    </row>
    <row r="80">
      <c r="A80" s="1">
        <v>78.0</v>
      </c>
      <c r="B80" s="1" t="s">
        <v>252</v>
      </c>
      <c r="C80" s="1">
        <v>3.5</v>
      </c>
      <c r="D80" s="1" t="s">
        <v>253</v>
      </c>
      <c r="E80" s="1" t="s">
        <v>170</v>
      </c>
      <c r="F80" s="1" t="s">
        <v>254</v>
      </c>
      <c r="G80">
        <f>IFERROR(__xludf.DUMMYFUNCTION("INDEX(SPLIT(F80, ""-""), 1)
"),37.7844643265332)</f>
        <v>37.78446433</v>
      </c>
      <c r="H80">
        <f>IFERROR(__xludf.DUMMYFUNCTION("INDEX(SPLIT(F80, ""-""), 2)
"),122.403442928242)</f>
        <v>122.4034429</v>
      </c>
    </row>
    <row r="81">
      <c r="A81" s="1">
        <v>79.0</v>
      </c>
      <c r="B81" s="1" t="s">
        <v>255</v>
      </c>
      <c r="C81" s="1">
        <v>3.5</v>
      </c>
      <c r="D81" s="1" t="s">
        <v>256</v>
      </c>
      <c r="E81" s="1" t="s">
        <v>170</v>
      </c>
      <c r="F81" s="1" t="s">
        <v>257</v>
      </c>
      <c r="G81">
        <f>IFERROR(__xludf.DUMMYFUNCTION("INDEX(SPLIT(F81, ""-""), 1)
"),37.7639596)</f>
        <v>37.7639596</v>
      </c>
      <c r="H81">
        <f>IFERROR(__xludf.DUMMYFUNCTION("INDEX(SPLIT(F81, ""-""), 2)
"),122.465019)</f>
        <v>122.465019</v>
      </c>
    </row>
    <row r="82">
      <c r="A82" s="1">
        <v>80.0</v>
      </c>
      <c r="B82" s="1" t="s">
        <v>258</v>
      </c>
      <c r="C82" s="1">
        <v>3.5</v>
      </c>
      <c r="D82" s="1" t="s">
        <v>259</v>
      </c>
      <c r="E82" s="1" t="s">
        <v>170</v>
      </c>
      <c r="F82" s="1" t="s">
        <v>260</v>
      </c>
      <c r="G82">
        <f>IFERROR(__xludf.DUMMYFUNCTION("INDEX(SPLIT(F82, ""-""), 1)
"),37.7542929)</f>
        <v>37.7542929</v>
      </c>
      <c r="H82">
        <f>IFERROR(__xludf.DUMMYFUNCTION("INDEX(SPLIT(F82, ""-""), 2)
"),122.4779253)</f>
        <v>122.4779253</v>
      </c>
    </row>
    <row r="83">
      <c r="A83" s="1">
        <v>81.0</v>
      </c>
      <c r="B83" s="1" t="s">
        <v>261</v>
      </c>
      <c r="C83" s="1">
        <v>3.5</v>
      </c>
      <c r="D83" s="1" t="s">
        <v>262</v>
      </c>
      <c r="E83" s="1" t="s">
        <v>170</v>
      </c>
      <c r="F83" s="1" t="s">
        <v>263</v>
      </c>
      <c r="G83">
        <f>IFERROR(__xludf.DUMMYFUNCTION("INDEX(SPLIT(F83, ""-""), 1)
"),37.7426391197427)</f>
        <v>37.74263912</v>
      </c>
      <c r="H83">
        <f>IFERROR(__xludf.DUMMYFUNCTION("INDEX(SPLIT(F83, ""-""), 2)
"),122.480892284656)</f>
        <v>122.4808923</v>
      </c>
    </row>
    <row r="84">
      <c r="A84" s="1">
        <v>82.0</v>
      </c>
      <c r="B84" s="1" t="s">
        <v>264</v>
      </c>
      <c r="C84" s="1">
        <v>4.5</v>
      </c>
      <c r="D84" s="1" t="s">
        <v>265</v>
      </c>
      <c r="E84" s="1" t="s">
        <v>170</v>
      </c>
      <c r="F84" s="1" t="s">
        <v>266</v>
      </c>
      <c r="G84">
        <f>IFERROR(__xludf.DUMMYFUNCTION("INDEX(SPLIT(F84, ""-""), 1)
"),37.7955593172737)</f>
        <v>37.79555932</v>
      </c>
      <c r="H84">
        <f>IFERROR(__xludf.DUMMYFUNCTION("INDEX(SPLIT(F84, ""-""), 2)
"),122.409816160798)</f>
        <v>122.4098162</v>
      </c>
    </row>
    <row r="85">
      <c r="A85" s="1">
        <v>83.0</v>
      </c>
      <c r="B85" s="1" t="s">
        <v>267</v>
      </c>
      <c r="C85" s="1">
        <v>3.5</v>
      </c>
      <c r="D85" s="1" t="s">
        <v>268</v>
      </c>
      <c r="E85" s="1" t="s">
        <v>170</v>
      </c>
      <c r="F85" s="1" t="s">
        <v>269</v>
      </c>
      <c r="G85">
        <f>IFERROR(__xludf.DUMMYFUNCTION("INDEX(SPLIT(F85, ""-""), 1)
"),37.7830442934418)</f>
        <v>37.78304429</v>
      </c>
      <c r="H85">
        <f>IFERROR(__xludf.DUMMYFUNCTION("INDEX(SPLIT(F85, ""-""), 2)
"),122.465241822931)</f>
        <v>122.4652418</v>
      </c>
    </row>
    <row r="86">
      <c r="A86" s="1">
        <v>84.0</v>
      </c>
      <c r="B86" s="1" t="s">
        <v>270</v>
      </c>
      <c r="C86" s="1">
        <v>3.5</v>
      </c>
      <c r="D86" s="1" t="s">
        <v>271</v>
      </c>
      <c r="E86" s="1" t="s">
        <v>170</v>
      </c>
      <c r="F86" s="1" t="s">
        <v>272</v>
      </c>
      <c r="G86">
        <f>IFERROR(__xludf.DUMMYFUNCTION("INDEX(SPLIT(F86, ""-""), 1)
"),37.7805467694998)</f>
        <v>37.78054677</v>
      </c>
      <c r="H86">
        <f>IFERROR(__xludf.DUMMYFUNCTION("INDEX(SPLIT(F86, ""-""), 2)
"),122.476978003979)</f>
        <v>122.476978</v>
      </c>
    </row>
    <row r="87">
      <c r="A87" s="1">
        <v>85.0</v>
      </c>
      <c r="B87" s="1" t="s">
        <v>273</v>
      </c>
      <c r="C87" s="1">
        <v>3.5</v>
      </c>
      <c r="D87" s="1" t="s">
        <v>274</v>
      </c>
      <c r="E87" s="1" t="s">
        <v>170</v>
      </c>
      <c r="F87" s="1" t="s">
        <v>275</v>
      </c>
      <c r="G87">
        <f>IFERROR(__xludf.DUMMYFUNCTION("INDEX(SPLIT(F87, ""-""), 1)
"),37.7829)</f>
        <v>37.7829</v>
      </c>
      <c r="H87">
        <f>IFERROR(__xludf.DUMMYFUNCTION("INDEX(SPLIT(F87, ""-""), 2)
"),122.47017)</f>
        <v>122.47017</v>
      </c>
    </row>
    <row r="88">
      <c r="A88" s="1">
        <v>86.0</v>
      </c>
      <c r="B88" s="1" t="s">
        <v>276</v>
      </c>
      <c r="C88" s="1">
        <v>4.0</v>
      </c>
      <c r="D88" s="1" t="s">
        <v>277</v>
      </c>
      <c r="E88" s="1" t="s">
        <v>170</v>
      </c>
      <c r="F88" s="1" t="s">
        <v>278</v>
      </c>
      <c r="G88">
        <f>IFERROR(__xludf.DUMMYFUNCTION("INDEX(SPLIT(F88, ""-""), 1)
"),37.7787070106077)</f>
        <v>37.77870701</v>
      </c>
      <c r="H88">
        <f>IFERROR(__xludf.DUMMYFUNCTION("INDEX(SPLIT(F88, ""-""), 2)
"),122.390157462239)</f>
        <v>122.3901575</v>
      </c>
    </row>
    <row r="89">
      <c r="A89" s="1">
        <v>87.0</v>
      </c>
      <c r="B89" s="1" t="s">
        <v>279</v>
      </c>
      <c r="C89" s="1">
        <v>3.5</v>
      </c>
      <c r="D89" s="1" t="s">
        <v>280</v>
      </c>
      <c r="E89" s="1" t="s">
        <v>170</v>
      </c>
      <c r="F89" s="1" t="s">
        <v>281</v>
      </c>
      <c r="G89">
        <f>IFERROR(__xludf.DUMMYFUNCTION("INDEX(SPLIT(F89, ""-""), 1)
"),37.73429)</f>
        <v>37.73429</v>
      </c>
      <c r="H89">
        <f>IFERROR(__xludf.DUMMYFUNCTION("INDEX(SPLIT(F89, ""-""), 2)
"),122.43417)</f>
        <v>122.43417</v>
      </c>
    </row>
    <row r="90">
      <c r="A90" s="1">
        <v>88.0</v>
      </c>
      <c r="B90" s="1" t="s">
        <v>282</v>
      </c>
      <c r="C90" s="1">
        <v>5.0</v>
      </c>
      <c r="D90" s="1" t="s">
        <v>283</v>
      </c>
      <c r="E90" s="1" t="s">
        <v>170</v>
      </c>
      <c r="F90" s="1" t="s">
        <v>284</v>
      </c>
      <c r="G90">
        <f>IFERROR(__xludf.DUMMYFUNCTION("INDEX(SPLIT(F90, ""-""), 1)
"),37.7242954229777)</f>
        <v>37.72429542</v>
      </c>
      <c r="H90">
        <f>IFERROR(__xludf.DUMMYFUNCTION("INDEX(SPLIT(F90, ""-""), 2)
"),122.457044541931)</f>
        <v>122.4570445</v>
      </c>
    </row>
    <row r="91">
      <c r="A91" s="1">
        <v>89.0</v>
      </c>
      <c r="B91" s="1" t="s">
        <v>285</v>
      </c>
      <c r="C91" s="1">
        <v>5.0</v>
      </c>
      <c r="D91" s="1" t="s">
        <v>286</v>
      </c>
      <c r="E91" s="1" t="s">
        <v>170</v>
      </c>
      <c r="F91" s="1" t="s">
        <v>287</v>
      </c>
      <c r="G91">
        <f>IFERROR(__xludf.DUMMYFUNCTION("INDEX(SPLIT(F91, ""-""), 1)
"),37.7975399525428)</f>
        <v>37.79753995</v>
      </c>
      <c r="H91">
        <f>IFERROR(__xludf.DUMMYFUNCTION("INDEX(SPLIT(F91, ""-""), 2)
"),122.406789958477)</f>
        <v>122.40679</v>
      </c>
    </row>
    <row r="92">
      <c r="A92" s="1">
        <v>90.0</v>
      </c>
      <c r="B92" s="1" t="s">
        <v>288</v>
      </c>
      <c r="C92" s="1">
        <v>3.5</v>
      </c>
      <c r="D92" s="1" t="s">
        <v>289</v>
      </c>
      <c r="E92" s="1" t="s">
        <v>170</v>
      </c>
      <c r="F92" s="1" t="s">
        <v>290</v>
      </c>
      <c r="G92">
        <f>IFERROR(__xludf.DUMMYFUNCTION("INDEX(SPLIT(F92, ""-""), 1)
"),37.794315)</f>
        <v>37.794315</v>
      </c>
      <c r="H92">
        <f>IFERROR(__xludf.DUMMYFUNCTION("INDEX(SPLIT(F92, ""-""), 2)
"),122.406927)</f>
        <v>122.406927</v>
      </c>
    </row>
    <row r="93">
      <c r="A93" s="1">
        <v>91.0</v>
      </c>
      <c r="B93" s="1" t="s">
        <v>291</v>
      </c>
      <c r="C93" s="1">
        <v>4.5</v>
      </c>
      <c r="D93" s="1" t="s">
        <v>292</v>
      </c>
      <c r="E93" s="1" t="s">
        <v>170</v>
      </c>
      <c r="F93" s="1" t="s">
        <v>293</v>
      </c>
      <c r="G93">
        <f>IFERROR(__xludf.DUMMYFUNCTION("INDEX(SPLIT(F93, ""-""), 1)
"),37.7594799999999)</f>
        <v>37.75948</v>
      </c>
      <c r="H93">
        <f>IFERROR(__xludf.DUMMYFUNCTION("INDEX(SPLIT(F93, ""-""), 2)
"),122.41943)</f>
        <v>122.41943</v>
      </c>
    </row>
    <row r="94">
      <c r="A94" s="1">
        <v>92.0</v>
      </c>
      <c r="B94" s="1" t="s">
        <v>294</v>
      </c>
      <c r="C94" s="1">
        <v>4.5</v>
      </c>
      <c r="D94" s="1" t="s">
        <v>295</v>
      </c>
      <c r="E94" s="1" t="s">
        <v>170</v>
      </c>
      <c r="F94" s="1" t="s">
        <v>296</v>
      </c>
      <c r="G94">
        <f>IFERROR(__xludf.DUMMYFUNCTION("INDEX(SPLIT(F94, ""-""), 1)
"),37.723259)</f>
        <v>37.723259</v>
      </c>
      <c r="H94">
        <f>IFERROR(__xludf.DUMMYFUNCTION("INDEX(SPLIT(F94, ""-""), 2)
"),122.454559299999)</f>
        <v>122.4545593</v>
      </c>
    </row>
    <row r="95">
      <c r="A95" s="1">
        <v>93.0</v>
      </c>
      <c r="B95" s="1" t="s">
        <v>297</v>
      </c>
      <c r="C95" s="1">
        <v>4.5</v>
      </c>
      <c r="D95" s="1" t="s">
        <v>298</v>
      </c>
      <c r="E95" s="1" t="s">
        <v>170</v>
      </c>
      <c r="F95" s="1" t="s">
        <v>299</v>
      </c>
      <c r="G95">
        <f>IFERROR(__xludf.DUMMYFUNCTION("INDEX(SPLIT(F95, ""-""), 1)
"),37.7957898999999)</f>
        <v>37.7957899</v>
      </c>
      <c r="H95">
        <f>IFERROR(__xludf.DUMMYFUNCTION("INDEX(SPLIT(F95, ""-""), 2)
"),122.405369999999)</f>
        <v>122.40537</v>
      </c>
    </row>
    <row r="96">
      <c r="A96" s="1">
        <v>94.0</v>
      </c>
      <c r="B96" s="1" t="s">
        <v>300</v>
      </c>
      <c r="C96" s="1">
        <v>3.5</v>
      </c>
      <c r="D96" s="1" t="s">
        <v>301</v>
      </c>
      <c r="E96" s="1" t="s">
        <v>170</v>
      </c>
      <c r="F96" s="1" t="s">
        <v>302</v>
      </c>
      <c r="G96">
        <f>IFERROR(__xludf.DUMMYFUNCTION("INDEX(SPLIT(F96, ""-""), 1)
"),37.7828876674175)</f>
        <v>37.78288767</v>
      </c>
      <c r="H96">
        <f>IFERROR(__xludf.DUMMYFUNCTION("INDEX(SPLIT(F96, ""-""), 2)
"),122.464718297124)</f>
        <v>122.4647183</v>
      </c>
    </row>
    <row r="97">
      <c r="A97" s="1">
        <v>95.0</v>
      </c>
      <c r="B97" s="1" t="s">
        <v>303</v>
      </c>
      <c r="C97" s="1">
        <v>3.5</v>
      </c>
      <c r="D97" s="1" t="s">
        <v>304</v>
      </c>
      <c r="E97" s="1" t="s">
        <v>305</v>
      </c>
      <c r="F97" s="1" t="s">
        <v>306</v>
      </c>
      <c r="G97">
        <f>IFERROR(__xludf.DUMMYFUNCTION("INDEX(SPLIT(F97, ""-""), 1)
"),37.70689)</f>
        <v>37.70689</v>
      </c>
      <c r="H97">
        <f>IFERROR(__xludf.DUMMYFUNCTION("INDEX(SPLIT(F97, ""-""), 2)
"),122.4588)</f>
        <v>122.4588</v>
      </c>
    </row>
    <row r="98">
      <c r="A98" s="1">
        <v>96.0</v>
      </c>
      <c r="B98" s="1" t="s">
        <v>307</v>
      </c>
      <c r="C98" s="1">
        <v>3.5</v>
      </c>
      <c r="D98" s="1" t="s">
        <v>308</v>
      </c>
      <c r="E98" s="1" t="s">
        <v>170</v>
      </c>
      <c r="F98" s="1" t="s">
        <v>309</v>
      </c>
      <c r="G98">
        <f>IFERROR(__xludf.DUMMYFUNCTION("INDEX(SPLIT(F98, ""-""), 1)
"),37.78076)</f>
        <v>37.78076</v>
      </c>
      <c r="H98">
        <f>IFERROR(__xludf.DUMMYFUNCTION("INDEX(SPLIT(F98, ""-""), 2)
"),122.47679)</f>
        <v>122.47679</v>
      </c>
    </row>
    <row r="99">
      <c r="A99" s="1">
        <v>97.0</v>
      </c>
      <c r="B99" s="1" t="s">
        <v>310</v>
      </c>
      <c r="C99" s="1">
        <v>4.0</v>
      </c>
      <c r="D99" s="1" t="s">
        <v>311</v>
      </c>
      <c r="E99" s="1" t="s">
        <v>170</v>
      </c>
      <c r="F99" s="1" t="s">
        <v>312</v>
      </c>
      <c r="G99">
        <f>IFERROR(__xludf.DUMMYFUNCTION("INDEX(SPLIT(F99, ""-""), 1)
"),37.7814292999999)</f>
        <v>37.7814293</v>
      </c>
      <c r="H99">
        <f>IFERROR(__xludf.DUMMYFUNCTION("INDEX(SPLIT(F99, ""-""), 2)
"),122.4529495)</f>
        <v>122.4529495</v>
      </c>
    </row>
    <row r="100">
      <c r="A100" s="1">
        <v>98.0</v>
      </c>
      <c r="B100" s="1" t="s">
        <v>313</v>
      </c>
      <c r="C100" s="1">
        <v>3.5</v>
      </c>
      <c r="D100" s="1" t="s">
        <v>314</v>
      </c>
      <c r="E100" s="1" t="s">
        <v>170</v>
      </c>
      <c r="F100" s="1" t="s">
        <v>315</v>
      </c>
      <c r="G100">
        <f>IFERROR(__xludf.DUMMYFUNCTION("INDEX(SPLIT(F100, ""-""), 1)
"),37.76384)</f>
        <v>37.76384</v>
      </c>
      <c r="H100">
        <f>IFERROR(__xludf.DUMMYFUNCTION("INDEX(SPLIT(F100, ""-""), 2)
"),122.46708)</f>
        <v>122.46708</v>
      </c>
    </row>
    <row r="101">
      <c r="A101" s="1">
        <v>99.0</v>
      </c>
      <c r="B101" s="1" t="s">
        <v>316</v>
      </c>
      <c r="C101" s="1">
        <v>4.0</v>
      </c>
      <c r="D101" s="1" t="s">
        <v>317</v>
      </c>
      <c r="E101" s="1" t="s">
        <v>170</v>
      </c>
      <c r="F101" s="1" t="s">
        <v>318</v>
      </c>
      <c r="G101">
        <f>IFERROR(__xludf.DUMMYFUNCTION("INDEX(SPLIT(F101, ""-""), 1)
"),37.7804)</f>
        <v>37.7804</v>
      </c>
      <c r="H101">
        <f>IFERROR(__xludf.DUMMYFUNCTION("INDEX(SPLIT(F101, ""-""), 2)
"),122.48458)</f>
        <v>122.48458</v>
      </c>
    </row>
    <row r="102">
      <c r="A102" s="1">
        <v>100.0</v>
      </c>
      <c r="B102" s="1" t="s">
        <v>319</v>
      </c>
      <c r="C102" s="1">
        <v>4.0</v>
      </c>
      <c r="D102" s="1" t="s">
        <v>320</v>
      </c>
      <c r="E102" s="1" t="s">
        <v>321</v>
      </c>
      <c r="F102" s="1" t="s">
        <v>322</v>
      </c>
      <c r="G102">
        <f>IFERROR(__xludf.DUMMYFUNCTION("INDEX(SPLIT(F102, ""-""), 1)
"),37.8006135940992)</f>
        <v>37.80061359</v>
      </c>
      <c r="H102">
        <f>IFERROR(__xludf.DUMMYFUNCTION("INDEX(SPLIT(F102, ""-""), 2)
"),122.270676903426)</f>
        <v>122.2706769</v>
      </c>
    </row>
    <row r="103">
      <c r="A103" s="1">
        <v>101.0</v>
      </c>
      <c r="B103" s="1" t="s">
        <v>323</v>
      </c>
      <c r="C103" s="1">
        <v>3.5</v>
      </c>
      <c r="D103" s="1" t="s">
        <v>324</v>
      </c>
      <c r="E103" s="1" t="s">
        <v>321</v>
      </c>
      <c r="F103" s="1" t="s">
        <v>325</v>
      </c>
      <c r="G103">
        <f>IFERROR(__xludf.DUMMYFUNCTION("INDEX(SPLIT(F103, ""-""), 1)
"),37.828969)</f>
        <v>37.828969</v>
      </c>
      <c r="H103">
        <f>IFERROR(__xludf.DUMMYFUNCTION("INDEX(SPLIT(F103, ""-""), 2)
"),122.249297)</f>
        <v>122.249297</v>
      </c>
    </row>
    <row r="104">
      <c r="A104" s="1">
        <v>102.0</v>
      </c>
      <c r="B104" s="1" t="s">
        <v>326</v>
      </c>
      <c r="C104" s="1">
        <v>4.0</v>
      </c>
      <c r="D104" s="1" t="s">
        <v>327</v>
      </c>
      <c r="E104" s="1" t="s">
        <v>321</v>
      </c>
      <c r="F104" s="1" t="s">
        <v>328</v>
      </c>
      <c r="G104">
        <f>IFERROR(__xludf.DUMMYFUNCTION("INDEX(SPLIT(F104, ""-""), 1)
"),37.8004753999999)</f>
        <v>37.8004754</v>
      </c>
      <c r="H104">
        <f>IFERROR(__xludf.DUMMYFUNCTION("INDEX(SPLIT(F104, ""-""), 2)
"),122.2722423)</f>
        <v>122.2722423</v>
      </c>
    </row>
    <row r="105">
      <c r="A105" s="1">
        <v>103.0</v>
      </c>
      <c r="B105" s="1" t="s">
        <v>329</v>
      </c>
      <c r="C105" s="1">
        <v>4.0</v>
      </c>
      <c r="D105" s="1" t="s">
        <v>330</v>
      </c>
      <c r="E105" s="1" t="s">
        <v>331</v>
      </c>
      <c r="F105" s="1" t="s">
        <v>332</v>
      </c>
      <c r="G105">
        <f>IFERROR(__xludf.DUMMYFUNCTION("INDEX(SPLIT(F105, ""-""), 1)
"),37.8678697054593)</f>
        <v>37.86786971</v>
      </c>
      <c r="H105">
        <f>IFERROR(__xludf.DUMMYFUNCTION("INDEX(SPLIT(F105, ""-""), 2)
"),122.266082279384)</f>
        <v>122.2660823</v>
      </c>
    </row>
    <row r="106">
      <c r="A106" s="1">
        <v>104.0</v>
      </c>
      <c r="B106" s="1" t="s">
        <v>333</v>
      </c>
      <c r="C106" s="1">
        <v>4.0</v>
      </c>
      <c r="D106" s="1" t="s">
        <v>320</v>
      </c>
      <c r="E106" s="1" t="s">
        <v>321</v>
      </c>
      <c r="F106" s="1" t="s">
        <v>334</v>
      </c>
      <c r="G106">
        <f>IFERROR(__xludf.DUMMYFUNCTION("INDEX(SPLIT(F106, ""-""), 1)
"),37.8004455566406)</f>
        <v>37.80044556</v>
      </c>
      <c r="H106">
        <f>IFERROR(__xludf.DUMMYFUNCTION("INDEX(SPLIT(F106, ""-""), 2)
"),122.271835327148)</f>
        <v>122.2718353</v>
      </c>
    </row>
    <row r="107">
      <c r="A107" s="1">
        <v>105.0</v>
      </c>
      <c r="B107" s="1" t="s">
        <v>335</v>
      </c>
      <c r="C107" s="1">
        <v>4.0</v>
      </c>
      <c r="D107" s="1" t="s">
        <v>336</v>
      </c>
      <c r="E107" s="1" t="s">
        <v>331</v>
      </c>
      <c r="F107" s="1" t="s">
        <v>337</v>
      </c>
      <c r="G107">
        <f>IFERROR(__xludf.DUMMYFUNCTION("INDEX(SPLIT(F107, ""-""), 1)
"),37.8719582)</f>
        <v>37.8719582</v>
      </c>
      <c r="H107">
        <f>IFERROR(__xludf.DUMMYFUNCTION("INDEX(SPLIT(F107, ""-""), 2)
"),122.268859)</f>
        <v>122.268859</v>
      </c>
    </row>
    <row r="108">
      <c r="A108" s="1">
        <v>106.0</v>
      </c>
      <c r="B108" s="1" t="s">
        <v>338</v>
      </c>
      <c r="C108" s="1">
        <v>4.0</v>
      </c>
      <c r="D108" s="1" t="s">
        <v>339</v>
      </c>
      <c r="E108" s="1" t="s">
        <v>340</v>
      </c>
      <c r="F108" s="1" t="s">
        <v>341</v>
      </c>
      <c r="G108">
        <f>IFERROR(__xludf.DUMMYFUNCTION("INDEX(SPLIT(F108, ""-""), 1)
"),37.7673552038867)</f>
        <v>37.7673552</v>
      </c>
      <c r="H108">
        <f>IFERROR(__xludf.DUMMYFUNCTION("INDEX(SPLIT(F108, ""-""), 2)
"),122.240029983222)</f>
        <v>122.24003</v>
      </c>
    </row>
    <row r="109">
      <c r="A109" s="1">
        <v>107.0</v>
      </c>
      <c r="B109" s="1" t="s">
        <v>342</v>
      </c>
      <c r="C109" s="1">
        <v>3.0</v>
      </c>
      <c r="D109" s="1" t="s">
        <v>343</v>
      </c>
      <c r="E109" s="1" t="s">
        <v>321</v>
      </c>
      <c r="F109" s="1" t="s">
        <v>344</v>
      </c>
      <c r="G109">
        <f>IFERROR(__xludf.DUMMYFUNCTION("INDEX(SPLIT(F109, ""-""), 1)
"),37.8009841)</f>
        <v>37.8009841</v>
      </c>
      <c r="H109">
        <f>IFERROR(__xludf.DUMMYFUNCTION("INDEX(SPLIT(F109, ""-""), 2)
"),122.2700858)</f>
        <v>122.2700858</v>
      </c>
    </row>
    <row r="110">
      <c r="A110" s="1">
        <v>108.0</v>
      </c>
      <c r="B110" s="1" t="s">
        <v>345</v>
      </c>
      <c r="C110" s="1">
        <v>4.0</v>
      </c>
      <c r="D110" s="1" t="s">
        <v>346</v>
      </c>
      <c r="E110" s="1" t="s">
        <v>321</v>
      </c>
      <c r="F110" s="1" t="s">
        <v>347</v>
      </c>
      <c r="G110">
        <f>IFERROR(__xludf.DUMMYFUNCTION("INDEX(SPLIT(F110, ""-""), 1)
"),37.83818)</f>
        <v>37.83818</v>
      </c>
      <c r="H110">
        <f>IFERROR(__xludf.DUMMYFUNCTION("INDEX(SPLIT(F110, ""-""), 2)
"),122.25168)</f>
        <v>122.25168</v>
      </c>
    </row>
    <row r="111">
      <c r="A111" s="1">
        <v>109.0</v>
      </c>
      <c r="B111" s="1" t="s">
        <v>348</v>
      </c>
      <c r="C111" s="1">
        <v>4.0</v>
      </c>
      <c r="D111" s="1" t="s">
        <v>349</v>
      </c>
      <c r="E111" s="1" t="s">
        <v>331</v>
      </c>
      <c r="F111" s="1" t="s">
        <v>350</v>
      </c>
      <c r="G111">
        <f>IFERROR(__xludf.DUMMYFUNCTION("INDEX(SPLIT(F111, ""-""), 1)
"),37.8684064)</f>
        <v>37.8684064</v>
      </c>
      <c r="H111">
        <f>IFERROR(__xludf.DUMMYFUNCTION("INDEX(SPLIT(F111, ""-""), 2)
"),122.260511299999)</f>
        <v>122.2605113</v>
      </c>
    </row>
    <row r="112">
      <c r="A112" s="1">
        <v>110.0</v>
      </c>
      <c r="B112" s="1" t="s">
        <v>351</v>
      </c>
      <c r="C112" s="1">
        <v>4.0</v>
      </c>
      <c r="D112" s="1" t="s">
        <v>352</v>
      </c>
      <c r="E112" s="1" t="s">
        <v>331</v>
      </c>
      <c r="F112" s="1" t="s">
        <v>353</v>
      </c>
      <c r="G112">
        <f>IFERROR(__xludf.DUMMYFUNCTION("INDEX(SPLIT(F112, ""-""), 1)
"),37.87087)</f>
        <v>37.87087</v>
      </c>
      <c r="H112">
        <f>IFERROR(__xludf.DUMMYFUNCTION("INDEX(SPLIT(F112, ""-""), 2)
"),122.26857)</f>
        <v>122.26857</v>
      </c>
    </row>
    <row r="113">
      <c r="A113" s="1">
        <v>111.0</v>
      </c>
      <c r="B113" s="1" t="s">
        <v>354</v>
      </c>
      <c r="C113" s="1">
        <v>4.0</v>
      </c>
      <c r="D113" s="1" t="s">
        <v>355</v>
      </c>
      <c r="E113" s="1" t="s">
        <v>356</v>
      </c>
      <c r="F113" s="1" t="s">
        <v>357</v>
      </c>
      <c r="G113">
        <f>IFERROR(__xludf.DUMMYFUNCTION("INDEX(SPLIT(F113, ""-""), 1)
"),37.9485708483184)</f>
        <v>37.94857085</v>
      </c>
      <c r="H113">
        <f>IFERROR(__xludf.DUMMYFUNCTION("INDEX(SPLIT(F113, ""-""), 2)
"),122.058178750759)</f>
        <v>122.0581788</v>
      </c>
    </row>
    <row r="114">
      <c r="A114" s="1">
        <v>112.0</v>
      </c>
      <c r="B114" s="1" t="s">
        <v>358</v>
      </c>
      <c r="C114" s="1">
        <v>4.0</v>
      </c>
      <c r="D114" s="1" t="s">
        <v>359</v>
      </c>
      <c r="E114" s="1" t="s">
        <v>331</v>
      </c>
      <c r="F114" s="1" t="s">
        <v>360</v>
      </c>
      <c r="G114">
        <f>IFERROR(__xludf.DUMMYFUNCTION("INDEX(SPLIT(F114, ""-""), 1)
"),37.86821)</f>
        <v>37.86821</v>
      </c>
      <c r="H114">
        <f>IFERROR(__xludf.DUMMYFUNCTION("INDEX(SPLIT(F114, ""-""), 2)
"),122.25803)</f>
        <v>122.25803</v>
      </c>
    </row>
    <row r="115">
      <c r="A115" s="1">
        <v>113.0</v>
      </c>
      <c r="B115" s="1" t="s">
        <v>361</v>
      </c>
      <c r="C115" s="1">
        <v>3.5</v>
      </c>
      <c r="D115" s="1" t="s">
        <v>362</v>
      </c>
      <c r="E115" s="1" t="s">
        <v>340</v>
      </c>
      <c r="F115" s="1" t="s">
        <v>363</v>
      </c>
      <c r="G115">
        <f>IFERROR(__xludf.DUMMYFUNCTION("INDEX(SPLIT(F115, ""-""), 1)
"),37.7867215)</f>
        <v>37.7867215</v>
      </c>
      <c r="H115">
        <f>IFERROR(__xludf.DUMMYFUNCTION("INDEX(SPLIT(F115, ""-""), 2)
"),122.281344699999)</f>
        <v>122.2813447</v>
      </c>
    </row>
    <row r="116">
      <c r="A116" s="1">
        <v>114.0</v>
      </c>
      <c r="B116" s="1" t="s">
        <v>364</v>
      </c>
      <c r="C116" s="1">
        <v>3.5</v>
      </c>
      <c r="D116" s="1" t="s">
        <v>365</v>
      </c>
      <c r="E116" s="1" t="s">
        <v>331</v>
      </c>
      <c r="F116" s="1" t="s">
        <v>366</v>
      </c>
      <c r="G116">
        <f>IFERROR(__xludf.DUMMYFUNCTION("INDEX(SPLIT(F116, ""-""), 1)
"),37.8704335)</f>
        <v>37.8704335</v>
      </c>
      <c r="H116">
        <f>IFERROR(__xludf.DUMMYFUNCTION("INDEX(SPLIT(F116, ""-""), 2)
"),122.266269299999)</f>
        <v>122.2662693</v>
      </c>
    </row>
    <row r="117">
      <c r="A117" s="1">
        <v>115.0</v>
      </c>
      <c r="B117" s="1" t="s">
        <v>367</v>
      </c>
      <c r="C117" s="1">
        <v>3.5</v>
      </c>
      <c r="D117" s="1" t="s">
        <v>368</v>
      </c>
      <c r="E117" s="1" t="s">
        <v>340</v>
      </c>
      <c r="F117" s="1" t="s">
        <v>369</v>
      </c>
      <c r="G117">
        <f>IFERROR(__xludf.DUMMYFUNCTION("INDEX(SPLIT(F117, ""-""), 1)
"),37.76394)</f>
        <v>37.76394</v>
      </c>
      <c r="H117">
        <f>IFERROR(__xludf.DUMMYFUNCTION("INDEX(SPLIT(F117, ""-""), 2)
"),122.24266)</f>
        <v>122.24266</v>
      </c>
    </row>
    <row r="118">
      <c r="A118" s="1">
        <v>116.0</v>
      </c>
      <c r="B118" s="1" t="s">
        <v>370</v>
      </c>
      <c r="C118" s="1">
        <v>4.0</v>
      </c>
      <c r="D118" s="1" t="s">
        <v>371</v>
      </c>
      <c r="E118" s="1" t="s">
        <v>372</v>
      </c>
      <c r="F118" s="1" t="s">
        <v>373</v>
      </c>
      <c r="G118">
        <f>IFERROR(__xludf.DUMMYFUNCTION("INDEX(SPLIT(F118, ""-""), 1)
"),37.8981318936801)</f>
        <v>37.89813189</v>
      </c>
      <c r="H118">
        <f>IFERROR(__xludf.DUMMYFUNCTION("INDEX(SPLIT(F118, ""-""), 2)
"),122.059291005135)</f>
        <v>122.059291</v>
      </c>
    </row>
    <row r="119">
      <c r="A119" s="1">
        <v>117.0</v>
      </c>
      <c r="B119" s="1" t="s">
        <v>374</v>
      </c>
      <c r="C119" s="1">
        <v>3.5</v>
      </c>
      <c r="D119" s="1" t="s">
        <v>375</v>
      </c>
      <c r="E119" s="1" t="s">
        <v>321</v>
      </c>
      <c r="F119" s="1" t="s">
        <v>376</v>
      </c>
      <c r="G119">
        <f>IFERROR(__xludf.DUMMYFUNCTION("INDEX(SPLIT(F119, ""-""), 1)
"),37.7994484)</f>
        <v>37.7994484</v>
      </c>
      <c r="H119">
        <f>IFERROR(__xludf.DUMMYFUNCTION("INDEX(SPLIT(F119, ""-""), 2)
"),122.270096799999)</f>
        <v>122.2700968</v>
      </c>
    </row>
    <row r="120">
      <c r="A120" s="1">
        <v>118.0</v>
      </c>
      <c r="B120" s="1" t="s">
        <v>377</v>
      </c>
      <c r="C120" s="1">
        <v>4.0</v>
      </c>
      <c r="D120" s="1" t="s">
        <v>378</v>
      </c>
      <c r="E120" s="1" t="s">
        <v>321</v>
      </c>
      <c r="F120" s="1" t="s">
        <v>379</v>
      </c>
      <c r="G120">
        <f>IFERROR(__xludf.DUMMYFUNCTION("INDEX(SPLIT(F120, ""-""), 1)
"),37.81106)</f>
        <v>37.81106</v>
      </c>
      <c r="H120">
        <f>IFERROR(__xludf.DUMMYFUNCTION("INDEX(SPLIT(F120, ""-""), 2)
"),122.24718)</f>
        <v>122.24718</v>
      </c>
    </row>
    <row r="121">
      <c r="A121" s="1">
        <v>119.0</v>
      </c>
      <c r="B121" s="1" t="s">
        <v>380</v>
      </c>
      <c r="C121" s="1">
        <v>4.0</v>
      </c>
      <c r="D121" s="1" t="s">
        <v>381</v>
      </c>
      <c r="E121" s="1" t="s">
        <v>340</v>
      </c>
      <c r="F121" s="1" t="s">
        <v>382</v>
      </c>
      <c r="G121">
        <f>IFERROR(__xludf.DUMMYFUNCTION("INDEX(SPLIT(F121, ""-""), 1)
"),37.770820099746)</f>
        <v>37.7708201</v>
      </c>
      <c r="H121">
        <f>IFERROR(__xludf.DUMMYFUNCTION("INDEX(SPLIT(F121, ""-""), 2)
"),122.277515907933)</f>
        <v>122.2775159</v>
      </c>
    </row>
    <row r="122">
      <c r="A122" s="1">
        <v>120.0</v>
      </c>
      <c r="B122" s="1" t="s">
        <v>383</v>
      </c>
      <c r="C122" s="1">
        <v>4.5</v>
      </c>
      <c r="D122" s="1" t="s">
        <v>384</v>
      </c>
      <c r="E122" s="1" t="s">
        <v>321</v>
      </c>
      <c r="F122" s="1" t="s">
        <v>385</v>
      </c>
      <c r="G122">
        <f>IFERROR(__xludf.DUMMYFUNCTION("INDEX(SPLIT(F122, ""-""), 1)
"),37.7765099)</f>
        <v>37.7765099</v>
      </c>
      <c r="H122">
        <f>IFERROR(__xludf.DUMMYFUNCTION("INDEX(SPLIT(F122, ""-""), 2)
"),122.2250587)</f>
        <v>122.2250587</v>
      </c>
    </row>
    <row r="123">
      <c r="A123" s="1">
        <v>121.0</v>
      </c>
      <c r="B123" s="1" t="s">
        <v>386</v>
      </c>
      <c r="C123" s="1">
        <v>4.0</v>
      </c>
      <c r="D123" s="1" t="s">
        <v>387</v>
      </c>
      <c r="E123" s="1" t="s">
        <v>166</v>
      </c>
      <c r="F123" s="1" t="s">
        <v>388</v>
      </c>
      <c r="G123">
        <f>IFERROR(__xludf.DUMMYFUNCTION("INDEX(SPLIT(F123, ""-""), 1)
"),37.72272)</f>
        <v>37.72272</v>
      </c>
      <c r="H123">
        <f>IFERROR(__xludf.DUMMYFUNCTION("INDEX(SPLIT(F123, ""-""), 2)
"),122.154389999999)</f>
        <v>122.15439</v>
      </c>
    </row>
    <row r="124">
      <c r="A124" s="1">
        <v>122.0</v>
      </c>
      <c r="B124" s="1" t="s">
        <v>389</v>
      </c>
      <c r="C124" s="1">
        <v>3.5</v>
      </c>
      <c r="D124" s="1" t="s">
        <v>390</v>
      </c>
      <c r="E124" s="1" t="s">
        <v>321</v>
      </c>
      <c r="F124" s="1" t="s">
        <v>391</v>
      </c>
      <c r="G124">
        <f>IFERROR(__xludf.DUMMYFUNCTION("INDEX(SPLIT(F124, ""-""), 1)
"),37.8007358)</f>
        <v>37.8007358</v>
      </c>
      <c r="H124">
        <f>IFERROR(__xludf.DUMMYFUNCTION("INDEX(SPLIT(F124, ""-""), 2)
"),122.270182)</f>
        <v>122.270182</v>
      </c>
    </row>
    <row r="125">
      <c r="A125" s="1">
        <v>123.0</v>
      </c>
      <c r="B125" s="1" t="s">
        <v>392</v>
      </c>
      <c r="C125" s="1">
        <v>4.0</v>
      </c>
      <c r="D125" s="1" t="s">
        <v>393</v>
      </c>
      <c r="E125" s="1" t="s">
        <v>331</v>
      </c>
      <c r="F125" s="1" t="s">
        <v>394</v>
      </c>
      <c r="G125">
        <f>IFERROR(__xludf.DUMMYFUNCTION("INDEX(SPLIT(F125, ""-""), 1)
"),37.86864)</f>
        <v>37.86864</v>
      </c>
      <c r="H125">
        <f>IFERROR(__xludf.DUMMYFUNCTION("INDEX(SPLIT(F125, ""-""), 2)
"),122.257789999999)</f>
        <v>122.25779</v>
      </c>
    </row>
    <row r="126">
      <c r="A126" s="1">
        <v>124.0</v>
      </c>
      <c r="B126" s="1" t="s">
        <v>395</v>
      </c>
      <c r="C126" s="1">
        <v>4.0</v>
      </c>
      <c r="D126" s="1" t="s">
        <v>396</v>
      </c>
      <c r="E126" s="1" t="s">
        <v>321</v>
      </c>
      <c r="F126" s="1" t="s">
        <v>397</v>
      </c>
      <c r="G126">
        <f>IFERROR(__xludf.DUMMYFUNCTION("INDEX(SPLIT(F126, ""-""), 1)
"),37.81097)</f>
        <v>37.81097</v>
      </c>
      <c r="H126">
        <f>IFERROR(__xludf.DUMMYFUNCTION("INDEX(SPLIT(F126, ""-""), 2)
"),122.26651)</f>
        <v>122.26651</v>
      </c>
    </row>
    <row r="127">
      <c r="A127" s="1">
        <v>125.0</v>
      </c>
      <c r="B127" s="1" t="s">
        <v>398</v>
      </c>
      <c r="C127" s="1">
        <v>3.0</v>
      </c>
      <c r="D127" s="1" t="s">
        <v>399</v>
      </c>
      <c r="E127" s="1" t="s">
        <v>321</v>
      </c>
      <c r="F127" s="1" t="s">
        <v>400</v>
      </c>
      <c r="G127">
        <f>IFERROR(__xludf.DUMMYFUNCTION("INDEX(SPLIT(F127, ""-""), 1)
"),37.8064126521349)</f>
        <v>37.80641265</v>
      </c>
      <c r="H127">
        <f>IFERROR(__xludf.DUMMYFUNCTION("INDEX(SPLIT(F127, ""-""), 2)
"),122.268292084336)</f>
        <v>122.2682921</v>
      </c>
    </row>
    <row r="128">
      <c r="A128" s="1">
        <v>126.0</v>
      </c>
      <c r="B128" s="1" t="s">
        <v>401</v>
      </c>
      <c r="C128" s="1">
        <v>3.5</v>
      </c>
      <c r="D128" s="1" t="s">
        <v>402</v>
      </c>
      <c r="E128" s="1" t="s">
        <v>340</v>
      </c>
      <c r="F128" s="1" t="s">
        <v>403</v>
      </c>
      <c r="G128">
        <f>IFERROR(__xludf.DUMMYFUNCTION("INDEX(SPLIT(F128, ""-""), 1)
"),37.76509)</f>
        <v>37.76509</v>
      </c>
      <c r="H128">
        <f>IFERROR(__xludf.DUMMYFUNCTION("INDEX(SPLIT(F128, ""-""), 2)
"),122.24233)</f>
        <v>122.24233</v>
      </c>
    </row>
    <row r="129">
      <c r="A129" s="1">
        <v>127.0</v>
      </c>
      <c r="B129" s="1" t="s">
        <v>404</v>
      </c>
      <c r="C129" s="1">
        <v>3.5</v>
      </c>
      <c r="D129" s="1" t="s">
        <v>405</v>
      </c>
      <c r="E129" s="1" t="s">
        <v>340</v>
      </c>
      <c r="F129" s="1" t="s">
        <v>406</v>
      </c>
      <c r="G129">
        <f>IFERROR(__xludf.DUMMYFUNCTION("INDEX(SPLIT(F129, ""-""), 1)
"),37.7635299999999)</f>
        <v>37.76353</v>
      </c>
      <c r="H129">
        <f>IFERROR(__xludf.DUMMYFUNCTION("INDEX(SPLIT(F129, ""-""), 2)
"),122.243189999999)</f>
        <v>122.24319</v>
      </c>
    </row>
    <row r="130">
      <c r="A130" s="1">
        <v>128.0</v>
      </c>
      <c r="B130" s="1" t="s">
        <v>407</v>
      </c>
      <c r="C130" s="1">
        <v>5.0</v>
      </c>
      <c r="D130" s="1" t="s">
        <v>378</v>
      </c>
      <c r="E130" s="1" t="s">
        <v>321</v>
      </c>
      <c r="F130" s="1" t="s">
        <v>408</v>
      </c>
      <c r="G130">
        <f>IFERROR(__xludf.DUMMYFUNCTION("INDEX(SPLIT(F130, ""-""), 1)
"),37.8110686341717)</f>
        <v>37.81106863</v>
      </c>
      <c r="H130">
        <f>IFERROR(__xludf.DUMMYFUNCTION("INDEX(SPLIT(F130, ""-""), 2)
"),122.24723573774)</f>
        <v>122.2472357</v>
      </c>
    </row>
    <row r="131">
      <c r="A131" s="1">
        <v>129.0</v>
      </c>
      <c r="B131" s="1" t="s">
        <v>409</v>
      </c>
      <c r="C131" s="1">
        <v>4.5</v>
      </c>
      <c r="D131" s="1" t="s">
        <v>410</v>
      </c>
      <c r="E131" s="1" t="s">
        <v>411</v>
      </c>
      <c r="F131" s="1" t="s">
        <v>412</v>
      </c>
      <c r="G131">
        <f>IFERROR(__xludf.DUMMYFUNCTION("INDEX(SPLIT(F131, ""-""), 1)
"),37.6834642)</f>
        <v>37.6834642</v>
      </c>
      <c r="H131">
        <f>IFERROR(__xludf.DUMMYFUNCTION("INDEX(SPLIT(F131, ""-""), 2)
"),122.4028888)</f>
        <v>122.4028888</v>
      </c>
    </row>
    <row r="132">
      <c r="A132" s="1">
        <v>130.0</v>
      </c>
      <c r="B132" s="1" t="s">
        <v>413</v>
      </c>
      <c r="C132" s="1">
        <v>4.5</v>
      </c>
      <c r="D132" s="1" t="s">
        <v>414</v>
      </c>
      <c r="E132" s="1" t="s">
        <v>321</v>
      </c>
      <c r="F132" s="1" t="s">
        <v>415</v>
      </c>
      <c r="G132">
        <f>IFERROR(__xludf.DUMMYFUNCTION("INDEX(SPLIT(F132, ""-""), 1)
"),37.8076094805534)</f>
        <v>37.80760948</v>
      </c>
      <c r="H132">
        <f>IFERROR(__xludf.DUMMYFUNCTION("INDEX(SPLIT(F132, ""-""), 2)
"),122.268880033234)</f>
        <v>122.26888</v>
      </c>
    </row>
    <row r="133">
      <c r="A133" s="1">
        <v>131.0</v>
      </c>
      <c r="B133" s="1" t="s">
        <v>416</v>
      </c>
      <c r="C133" s="1">
        <v>2.5</v>
      </c>
      <c r="D133" s="1" t="s">
        <v>417</v>
      </c>
      <c r="E133" s="1" t="s">
        <v>321</v>
      </c>
      <c r="F133" s="1" t="s">
        <v>418</v>
      </c>
      <c r="G133">
        <f>IFERROR(__xludf.DUMMYFUNCTION("INDEX(SPLIT(F133, ""-""), 1)
"),37.7989615787538)</f>
        <v>37.79896158</v>
      </c>
      <c r="H133">
        <f>IFERROR(__xludf.DUMMYFUNCTION("INDEX(SPLIT(F133, ""-""), 2)
"),122.268823823837)</f>
        <v>122.2688238</v>
      </c>
    </row>
    <row r="134">
      <c r="A134" s="1">
        <v>132.0</v>
      </c>
      <c r="B134" s="1" t="s">
        <v>419</v>
      </c>
      <c r="C134" s="1">
        <v>4.5</v>
      </c>
      <c r="D134" s="1" t="s">
        <v>420</v>
      </c>
      <c r="E134" s="1" t="s">
        <v>321</v>
      </c>
      <c r="F134" s="1" t="s">
        <v>421</v>
      </c>
      <c r="G134">
        <f>IFERROR(__xludf.DUMMYFUNCTION("INDEX(SPLIT(F134, ""-""), 1)
"),37.7996292114257)</f>
        <v>37.79962921</v>
      </c>
      <c r="H134">
        <f>IFERROR(__xludf.DUMMYFUNCTION("INDEX(SPLIT(F134, ""-""), 2)
"),122.268371582031)</f>
        <v>122.2683716</v>
      </c>
    </row>
    <row r="135">
      <c r="A135" s="1">
        <v>133.0</v>
      </c>
      <c r="B135" s="1" t="s">
        <v>422</v>
      </c>
      <c r="C135" s="1">
        <v>5.0</v>
      </c>
      <c r="D135" s="1" t="s">
        <v>423</v>
      </c>
      <c r="E135" s="1" t="s">
        <v>166</v>
      </c>
      <c r="F135" s="1" t="s">
        <v>424</v>
      </c>
      <c r="G135">
        <f>IFERROR(__xludf.DUMMYFUNCTION("INDEX(SPLIT(F135, ""-""), 1)
"),37.723825)</f>
        <v>37.723825</v>
      </c>
      <c r="H135">
        <f>IFERROR(__xludf.DUMMYFUNCTION("INDEX(SPLIT(F135, ""-""), 2)
"),122.154662999999)</f>
        <v>122.154663</v>
      </c>
    </row>
    <row r="136">
      <c r="A136" s="1">
        <v>134.0</v>
      </c>
      <c r="B136" s="1" t="s">
        <v>425</v>
      </c>
      <c r="C136" s="1">
        <v>3.5</v>
      </c>
      <c r="D136" s="1" t="s">
        <v>426</v>
      </c>
      <c r="E136" s="1" t="s">
        <v>321</v>
      </c>
      <c r="F136" s="1" t="s">
        <v>427</v>
      </c>
      <c r="G136">
        <f>IFERROR(__xludf.DUMMYFUNCTION("INDEX(SPLIT(F136, ""-""), 1)
"),37.8106217795691)</f>
        <v>37.81062178</v>
      </c>
      <c r="H136">
        <f>IFERROR(__xludf.DUMMYFUNCTION("INDEX(SPLIT(F136, ""-""), 2)
"),122.243926227092)</f>
        <v>122.2439262</v>
      </c>
    </row>
    <row r="137">
      <c r="A137" s="1">
        <v>135.0</v>
      </c>
      <c r="B137" s="1" t="s">
        <v>428</v>
      </c>
      <c r="C137" s="1">
        <v>4.0</v>
      </c>
      <c r="D137" s="1" t="s">
        <v>429</v>
      </c>
      <c r="E137" s="1" t="s">
        <v>331</v>
      </c>
      <c r="F137" s="1" t="s">
        <v>430</v>
      </c>
      <c r="G137">
        <f>IFERROR(__xludf.DUMMYFUNCTION("INDEX(SPLIT(F137, ""-""), 1)
"),37.8731630455033)</f>
        <v>37.87316305</v>
      </c>
      <c r="H137">
        <f>IFERROR(__xludf.DUMMYFUNCTION("INDEX(SPLIT(F137, ""-""), 2)
"),122.268577069044)</f>
        <v>122.2685771</v>
      </c>
    </row>
    <row r="138">
      <c r="A138" s="1">
        <v>136.0</v>
      </c>
      <c r="B138" s="1" t="s">
        <v>431</v>
      </c>
      <c r="C138" s="1">
        <v>3.5</v>
      </c>
      <c r="D138" s="1" t="s">
        <v>432</v>
      </c>
      <c r="E138" s="1" t="s">
        <v>321</v>
      </c>
      <c r="F138" s="1" t="s">
        <v>433</v>
      </c>
      <c r="G138">
        <f>IFERROR(__xludf.DUMMYFUNCTION("INDEX(SPLIT(F138, ""-""), 1)
"),37.800992)</f>
        <v>37.800992</v>
      </c>
      <c r="H138">
        <f>IFERROR(__xludf.DUMMYFUNCTION("INDEX(SPLIT(F138, ""-""), 2)
"),122.2701305)</f>
        <v>122.2701305</v>
      </c>
    </row>
    <row r="139">
      <c r="A139" s="1">
        <v>137.0</v>
      </c>
      <c r="B139" s="1" t="s">
        <v>434</v>
      </c>
      <c r="C139" s="1">
        <v>4.0</v>
      </c>
      <c r="D139" s="1" t="s">
        <v>435</v>
      </c>
      <c r="E139" s="1" t="s">
        <v>117</v>
      </c>
      <c r="F139" s="1" t="s">
        <v>436</v>
      </c>
      <c r="G139">
        <f>IFERROR(__xludf.DUMMYFUNCTION("INDEX(SPLIT(F139, ""-""), 1)
"),37.3145584994998)</f>
        <v>37.3145585</v>
      </c>
      <c r="H139">
        <f>IFERROR(__xludf.DUMMYFUNCTION("INDEX(SPLIT(F139, ""-""), 2)
"),121.790188997984)</f>
        <v>121.790189</v>
      </c>
    </row>
    <row r="140">
      <c r="A140" s="1">
        <v>138.0</v>
      </c>
      <c r="B140" s="1" t="s">
        <v>437</v>
      </c>
      <c r="C140" s="1">
        <v>4.0</v>
      </c>
      <c r="D140" s="1" t="s">
        <v>438</v>
      </c>
      <c r="E140" s="1" t="s">
        <v>117</v>
      </c>
      <c r="F140" s="1" t="s">
        <v>439</v>
      </c>
      <c r="G140">
        <f>IFERROR(__xludf.DUMMYFUNCTION("INDEX(SPLIT(F140, ""-""), 1)
"),37.3323443189417)</f>
        <v>37.33234432</v>
      </c>
      <c r="H140">
        <f>IFERROR(__xludf.DUMMYFUNCTION("INDEX(SPLIT(F140, ""-""), 2)
"),121.857742217231)</f>
        <v>121.8577422</v>
      </c>
    </row>
    <row r="141">
      <c r="A141" s="1">
        <v>139.0</v>
      </c>
      <c r="B141" s="1" t="s">
        <v>440</v>
      </c>
      <c r="C141" s="1">
        <v>4.0</v>
      </c>
      <c r="D141" s="1" t="s">
        <v>441</v>
      </c>
      <c r="E141" s="1" t="s">
        <v>117</v>
      </c>
      <c r="F141" s="1" t="s">
        <v>442</v>
      </c>
      <c r="G141">
        <f>IFERROR(__xludf.DUMMYFUNCTION("INDEX(SPLIT(F141, ""-""), 1)
"),37.3311487640944)</f>
        <v>37.33114876</v>
      </c>
      <c r="H141">
        <f>IFERROR(__xludf.DUMMYFUNCTION("INDEX(SPLIT(F141, ""-""), 2)
"),121.85737667523)</f>
        <v>121.8573767</v>
      </c>
    </row>
    <row r="142">
      <c r="A142" s="1">
        <v>140.0</v>
      </c>
      <c r="B142" s="1" t="s">
        <v>443</v>
      </c>
      <c r="C142" s="1">
        <v>4.0</v>
      </c>
      <c r="D142" s="1" t="s">
        <v>444</v>
      </c>
      <c r="E142" s="1" t="s">
        <v>117</v>
      </c>
      <c r="F142" s="1" t="s">
        <v>445</v>
      </c>
      <c r="G142">
        <f>IFERROR(__xludf.DUMMYFUNCTION("INDEX(SPLIT(F142, ""-""), 1)
"),37.25336)</f>
        <v>37.25336</v>
      </c>
      <c r="H142">
        <f>IFERROR(__xludf.DUMMYFUNCTION("INDEX(SPLIT(F142, ""-""), 2)
"),121.9015)</f>
        <v>121.9015</v>
      </c>
    </row>
    <row r="143">
      <c r="A143" s="1">
        <v>141.0</v>
      </c>
      <c r="B143" s="1" t="s">
        <v>446</v>
      </c>
      <c r="C143" s="1">
        <v>4.0</v>
      </c>
      <c r="D143" s="1" t="s">
        <v>447</v>
      </c>
      <c r="E143" s="1" t="s">
        <v>117</v>
      </c>
      <c r="F143" s="1" t="s">
        <v>448</v>
      </c>
      <c r="G143">
        <f>IFERROR(__xludf.DUMMYFUNCTION("INDEX(SPLIT(F143, ""-""), 1)
"),37.3157651)</f>
        <v>37.3157651</v>
      </c>
      <c r="H143">
        <f>IFERROR(__xludf.DUMMYFUNCTION("INDEX(SPLIT(F143, ""-""), 2)
"),121.9782757)</f>
        <v>121.9782757</v>
      </c>
    </row>
    <row r="144">
      <c r="A144" s="1">
        <v>142.0</v>
      </c>
      <c r="B144" s="1" t="s">
        <v>449</v>
      </c>
      <c r="C144" s="1">
        <v>4.0</v>
      </c>
      <c r="D144" s="1" t="s">
        <v>450</v>
      </c>
      <c r="E144" s="1" t="s">
        <v>117</v>
      </c>
      <c r="F144" s="1" t="s">
        <v>451</v>
      </c>
      <c r="G144">
        <f>IFERROR(__xludf.DUMMYFUNCTION("INDEX(SPLIT(F144, ""-""), 1)
"),37.3105198999999)</f>
        <v>37.3105199</v>
      </c>
      <c r="H144">
        <f>IFERROR(__xludf.DUMMYFUNCTION("INDEX(SPLIT(F144, ""-""), 2)
"),121.84997)</f>
        <v>121.84997</v>
      </c>
    </row>
    <row r="145">
      <c r="A145" s="1">
        <v>143.0</v>
      </c>
      <c r="B145" s="1" t="s">
        <v>452</v>
      </c>
      <c r="C145" s="1">
        <v>4.0</v>
      </c>
      <c r="D145" s="1" t="s">
        <v>453</v>
      </c>
      <c r="E145" s="1" t="s">
        <v>117</v>
      </c>
      <c r="F145" s="1" t="s">
        <v>454</v>
      </c>
      <c r="G145">
        <f>IFERROR(__xludf.DUMMYFUNCTION("INDEX(SPLIT(F145, ""-""), 1)
"),37.267032623291)</f>
        <v>37.26703262</v>
      </c>
      <c r="H145">
        <f>IFERROR(__xludf.DUMMYFUNCTION("INDEX(SPLIT(F145, ""-""), 2)
"),121.834053039551)</f>
        <v>121.834053</v>
      </c>
    </row>
    <row r="146">
      <c r="A146" s="1">
        <v>144.0</v>
      </c>
      <c r="B146" s="1" t="s">
        <v>455</v>
      </c>
      <c r="C146" s="1">
        <v>4.5</v>
      </c>
      <c r="D146" s="1" t="s">
        <v>456</v>
      </c>
      <c r="E146" s="1" t="s">
        <v>117</v>
      </c>
      <c r="F146" s="1" t="s">
        <v>457</v>
      </c>
      <c r="G146">
        <f>IFERROR(__xludf.DUMMYFUNCTION("INDEX(SPLIT(F146, ""-""), 1)
"),37.308647)</f>
        <v>37.308647</v>
      </c>
      <c r="H146">
        <f>IFERROR(__xludf.DUMMYFUNCTION("INDEX(SPLIT(F146, ""-""), 2)
"),121.813461)</f>
        <v>121.813461</v>
      </c>
    </row>
    <row r="147">
      <c r="A147" s="1">
        <v>145.0</v>
      </c>
      <c r="B147" s="1" t="s">
        <v>458</v>
      </c>
      <c r="C147" s="1">
        <v>3.5</v>
      </c>
      <c r="D147" s="1" t="s">
        <v>459</v>
      </c>
      <c r="E147" s="1" t="s">
        <v>117</v>
      </c>
      <c r="F147" s="1" t="s">
        <v>460</v>
      </c>
      <c r="G147">
        <f>IFERROR(__xludf.DUMMYFUNCTION("INDEX(SPLIT(F147, ""-""), 1)
"),37.332404)</f>
        <v>37.332404</v>
      </c>
      <c r="H147">
        <f>IFERROR(__xludf.DUMMYFUNCTION("INDEX(SPLIT(F147, ""-""), 2)
"),121.8845467)</f>
        <v>121.8845467</v>
      </c>
    </row>
    <row r="148">
      <c r="A148" s="1">
        <v>146.0</v>
      </c>
      <c r="B148" s="1" t="s">
        <v>461</v>
      </c>
      <c r="C148" s="1">
        <v>4.0</v>
      </c>
      <c r="D148" s="1" t="s">
        <v>462</v>
      </c>
      <c r="E148" s="1" t="s">
        <v>117</v>
      </c>
      <c r="F148" s="1" t="s">
        <v>463</v>
      </c>
      <c r="G148">
        <f>IFERROR(__xludf.DUMMYFUNCTION("INDEX(SPLIT(F148, ""-""), 1)
"),37.3529398999999)</f>
        <v>37.3529399</v>
      </c>
      <c r="H148">
        <f>IFERROR(__xludf.DUMMYFUNCTION("INDEX(SPLIT(F148, ""-""), 2)
"),121.89176)</f>
        <v>121.89176</v>
      </c>
    </row>
    <row r="149">
      <c r="A149" s="1">
        <v>147.0</v>
      </c>
      <c r="B149" s="1" t="s">
        <v>464</v>
      </c>
      <c r="C149" s="1">
        <v>5.0</v>
      </c>
      <c r="D149" s="1" t="s">
        <v>465</v>
      </c>
      <c r="E149" s="1" t="s">
        <v>117</v>
      </c>
      <c r="F149" s="1" t="s">
        <v>466</v>
      </c>
      <c r="G149">
        <f>IFERROR(__xludf.DUMMYFUNCTION("INDEX(SPLIT(F149, ""-""), 1)
"),37.33709)</f>
        <v>37.33709</v>
      </c>
      <c r="H149">
        <f>IFERROR(__xludf.DUMMYFUNCTION("INDEX(SPLIT(F149, ""-""), 2)
"),121.88941)</f>
        <v>121.88941</v>
      </c>
    </row>
    <row r="150">
      <c r="A150" s="1">
        <v>148.0</v>
      </c>
      <c r="B150" s="1" t="s">
        <v>467</v>
      </c>
      <c r="C150" s="1">
        <v>4.0</v>
      </c>
      <c r="D150" s="1" t="s">
        <v>468</v>
      </c>
      <c r="E150" s="1" t="s">
        <v>117</v>
      </c>
      <c r="F150" s="1" t="s">
        <v>469</v>
      </c>
      <c r="G150">
        <f>IFERROR(__xludf.DUMMYFUNCTION("INDEX(SPLIT(F150, ""-""), 1)
"),37.3319875706985)</f>
        <v>37.33198757</v>
      </c>
      <c r="H150">
        <f>IFERROR(__xludf.DUMMYFUNCTION("INDEX(SPLIT(F150, ""-""), 2)
"),121.856774212303)</f>
        <v>121.8567742</v>
      </c>
    </row>
    <row r="151">
      <c r="A151" s="1">
        <v>149.0</v>
      </c>
      <c r="B151" s="1" t="s">
        <v>470</v>
      </c>
      <c r="C151" s="1">
        <v>4.0</v>
      </c>
      <c r="D151" s="1" t="s">
        <v>471</v>
      </c>
      <c r="E151" s="1" t="s">
        <v>117</v>
      </c>
      <c r="F151" s="1" t="s">
        <v>472</v>
      </c>
      <c r="G151">
        <f>IFERROR(__xludf.DUMMYFUNCTION("INDEX(SPLIT(F151, ""-""), 1)
"),37.338629553452)</f>
        <v>37.33862955</v>
      </c>
      <c r="H151">
        <f>IFERROR(__xludf.DUMMYFUNCTION("INDEX(SPLIT(F151, ""-""), 2)
"),121.885706819594)</f>
        <v>121.8857068</v>
      </c>
    </row>
    <row r="152">
      <c r="A152" s="1">
        <v>150.0</v>
      </c>
      <c r="B152" s="1" t="s">
        <v>473</v>
      </c>
      <c r="C152" s="1">
        <v>4.0</v>
      </c>
      <c r="D152" s="1" t="s">
        <v>474</v>
      </c>
      <c r="E152" s="1" t="s">
        <v>117</v>
      </c>
      <c r="F152" s="1" t="s">
        <v>475</v>
      </c>
      <c r="G152">
        <f>IFERROR(__xludf.DUMMYFUNCTION("INDEX(SPLIT(F152, ""-""), 1)
"),37.3122516785924)</f>
        <v>37.31225168</v>
      </c>
      <c r="H152">
        <f>IFERROR(__xludf.DUMMYFUNCTION("INDEX(SPLIT(F152, ""-""), 2)
"),121.809769305956)</f>
        <v>121.8097693</v>
      </c>
    </row>
    <row r="153">
      <c r="A153" s="1">
        <v>151.0</v>
      </c>
      <c r="B153" s="1" t="s">
        <v>476</v>
      </c>
      <c r="C153" s="1">
        <v>3.5</v>
      </c>
      <c r="D153" s="1" t="s">
        <v>477</v>
      </c>
      <c r="E153" s="1" t="s">
        <v>117</v>
      </c>
      <c r="F153" s="1" t="s">
        <v>478</v>
      </c>
      <c r="G153">
        <f>IFERROR(__xludf.DUMMYFUNCTION("INDEX(SPLIT(F153, ""-""), 1)
"),37.309534)</f>
        <v>37.309534</v>
      </c>
      <c r="H153">
        <f>IFERROR(__xludf.DUMMYFUNCTION("INDEX(SPLIT(F153, ""-""), 2)
"),121.949649)</f>
        <v>121.949649</v>
      </c>
    </row>
    <row r="154">
      <c r="A154" s="1">
        <v>152.0</v>
      </c>
      <c r="B154" s="1" t="s">
        <v>479</v>
      </c>
      <c r="C154" s="1">
        <v>4.0</v>
      </c>
      <c r="D154" s="1" t="s">
        <v>480</v>
      </c>
      <c r="E154" s="1" t="s">
        <v>117</v>
      </c>
      <c r="F154" s="1" t="s">
        <v>481</v>
      </c>
      <c r="G154">
        <f>IFERROR(__xludf.DUMMYFUNCTION("INDEX(SPLIT(F154, ""-""), 1)
"),37.3869800203948)</f>
        <v>37.38698002</v>
      </c>
      <c r="H154">
        <f>IFERROR(__xludf.DUMMYFUNCTION("INDEX(SPLIT(F154, ""-""), 2)
"),121.883576139808)</f>
        <v>121.8835761</v>
      </c>
    </row>
    <row r="155">
      <c r="A155" s="1">
        <v>153.0</v>
      </c>
      <c r="B155" s="1" t="s">
        <v>482</v>
      </c>
      <c r="C155" s="1">
        <v>4.0</v>
      </c>
      <c r="D155" s="1" t="s">
        <v>483</v>
      </c>
      <c r="E155" s="1" t="s">
        <v>117</v>
      </c>
      <c r="F155" s="1" t="s">
        <v>484</v>
      </c>
      <c r="G155">
        <f>IFERROR(__xludf.DUMMYFUNCTION("INDEX(SPLIT(F155, ""-""), 1)
"),37.2486885993529)</f>
        <v>37.2486886</v>
      </c>
      <c r="H155">
        <f>IFERROR(__xludf.DUMMYFUNCTION("INDEX(SPLIT(F155, ""-""), 2)
"),121.857970789389)</f>
        <v>121.8579708</v>
      </c>
    </row>
    <row r="156">
      <c r="A156" s="1">
        <v>154.0</v>
      </c>
      <c r="B156" s="1" t="s">
        <v>485</v>
      </c>
      <c r="C156" s="1">
        <v>4.5</v>
      </c>
      <c r="D156" s="1" t="s">
        <v>486</v>
      </c>
      <c r="E156" s="1" t="s">
        <v>117</v>
      </c>
      <c r="F156" s="1" t="s">
        <v>487</v>
      </c>
      <c r="G156">
        <f>IFERROR(__xludf.DUMMYFUNCTION("INDEX(SPLIT(F156, ""-""), 1)
"),37.2525198999999)</f>
        <v>37.2525199</v>
      </c>
      <c r="H156">
        <f>IFERROR(__xludf.DUMMYFUNCTION("INDEX(SPLIT(F156, ""-""), 2)
"),121.8501)</f>
        <v>121.8501</v>
      </c>
    </row>
    <row r="157">
      <c r="A157" s="1">
        <v>155.0</v>
      </c>
      <c r="B157" s="1" t="s">
        <v>488</v>
      </c>
      <c r="C157" s="1">
        <v>4.0</v>
      </c>
      <c r="D157" s="1" t="s">
        <v>489</v>
      </c>
      <c r="E157" s="1" t="s">
        <v>117</v>
      </c>
      <c r="F157" s="1" t="s">
        <v>490</v>
      </c>
      <c r="G157">
        <f>IFERROR(__xludf.DUMMYFUNCTION("INDEX(SPLIT(F157, ""-""), 1)
"),37.3086570138301)</f>
        <v>37.30865701</v>
      </c>
      <c r="H157">
        <f>IFERROR(__xludf.DUMMYFUNCTION("INDEX(SPLIT(F157, ""-""), 2)
"),122.012592169713)</f>
        <v>122.0125922</v>
      </c>
    </row>
    <row r="158">
      <c r="A158" s="1">
        <v>156.0</v>
      </c>
      <c r="B158" s="1" t="s">
        <v>491</v>
      </c>
      <c r="C158" s="1">
        <v>4.0</v>
      </c>
      <c r="D158" s="1" t="s">
        <v>492</v>
      </c>
      <c r="E158" s="1" t="s">
        <v>117</v>
      </c>
      <c r="F158" s="1" t="s">
        <v>493</v>
      </c>
      <c r="G158">
        <f>IFERROR(__xludf.DUMMYFUNCTION("INDEX(SPLIT(F158, ""-""), 1)
"),37.32229)</f>
        <v>37.32229</v>
      </c>
      <c r="H158">
        <f>IFERROR(__xludf.DUMMYFUNCTION("INDEX(SPLIT(F158, ""-""), 2)
"),121.82405)</f>
        <v>121.82405</v>
      </c>
    </row>
    <row r="159">
      <c r="A159" s="1">
        <v>157.0</v>
      </c>
      <c r="B159" s="1" t="s">
        <v>494</v>
      </c>
      <c r="C159" s="1">
        <v>4.0</v>
      </c>
      <c r="D159" s="1" t="s">
        <v>495</v>
      </c>
      <c r="E159" s="1" t="s">
        <v>117</v>
      </c>
      <c r="F159" s="1" t="s">
        <v>496</v>
      </c>
      <c r="G159">
        <f>IFERROR(__xludf.DUMMYFUNCTION("INDEX(SPLIT(F159, ""-""), 1)
"),37.4041770427227)</f>
        <v>37.40417704</v>
      </c>
      <c r="H159">
        <f>IFERROR(__xludf.DUMMYFUNCTION("INDEX(SPLIT(F159, ""-""), 2)
"),121.881933087311)</f>
        <v>121.8819331</v>
      </c>
    </row>
    <row r="160">
      <c r="A160" s="1">
        <v>158.0</v>
      </c>
      <c r="B160" s="1" t="s">
        <v>497</v>
      </c>
      <c r="C160" s="1">
        <v>4.0</v>
      </c>
      <c r="D160" s="1" t="s">
        <v>456</v>
      </c>
      <c r="E160" s="1" t="s">
        <v>117</v>
      </c>
      <c r="F160" s="1" t="s">
        <v>498</v>
      </c>
      <c r="G160">
        <f>IFERROR(__xludf.DUMMYFUNCTION("INDEX(SPLIT(F160, ""-""), 1)
"),37.3088546673824)</f>
        <v>37.30885467</v>
      </c>
      <c r="H160">
        <f>IFERROR(__xludf.DUMMYFUNCTION("INDEX(SPLIT(F160, ""-""), 2)
"),121.813202547221)</f>
        <v>121.8132025</v>
      </c>
    </row>
    <row r="161">
      <c r="A161" s="1">
        <v>159.0</v>
      </c>
      <c r="B161" s="1" t="s">
        <v>499</v>
      </c>
      <c r="C161" s="1">
        <v>4.5</v>
      </c>
      <c r="D161" s="1" t="s">
        <v>500</v>
      </c>
      <c r="E161" s="1" t="s">
        <v>501</v>
      </c>
      <c r="F161" s="1" t="s">
        <v>502</v>
      </c>
      <c r="G161">
        <f>IFERROR(__xludf.DUMMYFUNCTION("INDEX(SPLIT(F161, ""-""), 1)
"),37.32258)</f>
        <v>37.32258</v>
      </c>
      <c r="H161">
        <f>IFERROR(__xludf.DUMMYFUNCTION("INDEX(SPLIT(F161, ""-""), 2)
"),122.03121)</f>
        <v>122.03121</v>
      </c>
    </row>
    <row r="162">
      <c r="A162" s="1">
        <v>160.0</v>
      </c>
      <c r="B162" s="1" t="s">
        <v>503</v>
      </c>
      <c r="C162" s="1">
        <v>5.0</v>
      </c>
      <c r="D162" s="1" t="s">
        <v>504</v>
      </c>
      <c r="E162" s="1" t="s">
        <v>117</v>
      </c>
      <c r="F162" s="1" t="s">
        <v>505</v>
      </c>
      <c r="G162">
        <f>IFERROR(__xludf.DUMMYFUNCTION("INDEX(SPLIT(F162, ""-""), 1)
"),37.3354549999999)</f>
        <v>37.335455</v>
      </c>
      <c r="H162">
        <f>IFERROR(__xludf.DUMMYFUNCTION("INDEX(SPLIT(F162, ""-""), 2)
"),121.886596)</f>
        <v>121.886596</v>
      </c>
    </row>
    <row r="163">
      <c r="A163" s="1">
        <v>161.0</v>
      </c>
      <c r="B163" s="1" t="s">
        <v>506</v>
      </c>
      <c r="C163" s="1">
        <v>4.0</v>
      </c>
      <c r="D163" s="1" t="s">
        <v>507</v>
      </c>
      <c r="E163" s="1" t="s">
        <v>117</v>
      </c>
      <c r="F163" s="1" t="s">
        <v>508</v>
      </c>
      <c r="G163">
        <f>IFERROR(__xludf.DUMMYFUNCTION("INDEX(SPLIT(F163, ""-""), 1)
"),37.3191772792232)</f>
        <v>37.31917728</v>
      </c>
      <c r="H163">
        <f>IFERROR(__xludf.DUMMYFUNCTION("INDEX(SPLIT(F163, ""-""), 2)
"),121.827041554832)</f>
        <v>121.8270416</v>
      </c>
    </row>
    <row r="164">
      <c r="A164" s="1">
        <v>162.0</v>
      </c>
      <c r="B164" s="1" t="s">
        <v>509</v>
      </c>
      <c r="C164" s="1">
        <v>4.0</v>
      </c>
      <c r="D164" s="1" t="s">
        <v>510</v>
      </c>
      <c r="E164" s="1" t="s">
        <v>511</v>
      </c>
      <c r="F164" s="1" t="s">
        <v>512</v>
      </c>
      <c r="G164">
        <f>IFERROR(__xludf.DUMMYFUNCTION("INDEX(SPLIT(F164, ""-""), 1)
"),37.3486599999999)</f>
        <v>37.34866</v>
      </c>
      <c r="H164">
        <f>IFERROR(__xludf.DUMMYFUNCTION("INDEX(SPLIT(F164, ""-""), 2)
"),121.94616)</f>
        <v>121.94616</v>
      </c>
    </row>
    <row r="165">
      <c r="A165" s="1">
        <v>163.0</v>
      </c>
      <c r="B165" s="1" t="s">
        <v>513</v>
      </c>
      <c r="C165" s="1">
        <v>4.0</v>
      </c>
      <c r="D165" s="1" t="s">
        <v>514</v>
      </c>
      <c r="E165" s="1" t="s">
        <v>117</v>
      </c>
      <c r="F165" s="1" t="s">
        <v>515</v>
      </c>
      <c r="G165">
        <f>IFERROR(__xludf.DUMMYFUNCTION("INDEX(SPLIT(F165, ""-""), 1)
"),37.3697020772431)</f>
        <v>37.36970208</v>
      </c>
      <c r="H165">
        <f>IFERROR(__xludf.DUMMYFUNCTION("INDEX(SPLIT(F165, ""-""), 2)
"),121.845367355225)</f>
        <v>121.8453674</v>
      </c>
    </row>
    <row r="166">
      <c r="A166" s="1">
        <v>164.0</v>
      </c>
      <c r="B166" s="1" t="s">
        <v>516</v>
      </c>
      <c r="C166" s="1">
        <v>3.5</v>
      </c>
      <c r="D166" s="1" t="s">
        <v>517</v>
      </c>
      <c r="E166" s="1" t="s">
        <v>117</v>
      </c>
      <c r="F166" s="1" t="s">
        <v>518</v>
      </c>
      <c r="G166">
        <f>IFERROR(__xludf.DUMMYFUNCTION("INDEX(SPLIT(F166, ""-""), 1)
"),37.236431)</f>
        <v>37.236431</v>
      </c>
      <c r="H166">
        <f>IFERROR(__xludf.DUMMYFUNCTION("INDEX(SPLIT(F166, ""-""), 2)
"),121.804763)</f>
        <v>121.804763</v>
      </c>
    </row>
    <row r="167">
      <c r="A167" s="1">
        <v>165.0</v>
      </c>
      <c r="B167" s="1" t="s">
        <v>519</v>
      </c>
      <c r="C167" s="1">
        <v>4.0</v>
      </c>
      <c r="D167" s="1" t="s">
        <v>520</v>
      </c>
      <c r="E167" s="1" t="s">
        <v>117</v>
      </c>
      <c r="F167" s="1" t="s">
        <v>521</v>
      </c>
      <c r="G167">
        <f>IFERROR(__xludf.DUMMYFUNCTION("INDEX(SPLIT(F167, ""-""), 1)
"),37.3879799)</f>
        <v>37.3879799</v>
      </c>
      <c r="H167">
        <f>IFERROR(__xludf.DUMMYFUNCTION("INDEX(SPLIT(F167, ""-""), 2)
"),121.8588819)</f>
        <v>121.8588819</v>
      </c>
    </row>
    <row r="168">
      <c r="A168" s="1">
        <v>166.0</v>
      </c>
      <c r="B168" s="1" t="s">
        <v>522</v>
      </c>
      <c r="C168" s="1">
        <v>4.0</v>
      </c>
      <c r="D168" s="1" t="s">
        <v>523</v>
      </c>
      <c r="E168" s="1" t="s">
        <v>117</v>
      </c>
      <c r="F168" s="1" t="s">
        <v>524</v>
      </c>
      <c r="G168">
        <f>IFERROR(__xludf.DUMMYFUNCTION("INDEX(SPLIT(F168, ""-""), 1)
"),37.29956)</f>
        <v>37.29956</v>
      </c>
      <c r="H168">
        <f>IFERROR(__xludf.DUMMYFUNCTION("INDEX(SPLIT(F168, ""-""), 2)
"),121.84016)</f>
        <v>121.84016</v>
      </c>
    </row>
    <row r="169">
      <c r="A169" s="1">
        <v>167.0</v>
      </c>
      <c r="B169" s="1" t="s">
        <v>525</v>
      </c>
      <c r="C169" s="1">
        <v>3.5</v>
      </c>
      <c r="D169" s="1" t="s">
        <v>526</v>
      </c>
      <c r="E169" s="1" t="s">
        <v>117</v>
      </c>
      <c r="F169" s="1" t="s">
        <v>527</v>
      </c>
      <c r="G169">
        <f>IFERROR(__xludf.DUMMYFUNCTION("INDEX(SPLIT(F169, ""-""), 1)
"),37.319475621662)</f>
        <v>37.31947562</v>
      </c>
      <c r="H169">
        <f>IFERROR(__xludf.DUMMYFUNCTION("INDEX(SPLIT(F169, ""-""), 2)
"),121.94762103391)</f>
        <v>121.947621</v>
      </c>
    </row>
    <row r="170">
      <c r="A170" s="1">
        <v>168.0</v>
      </c>
      <c r="B170" s="1" t="s">
        <v>528</v>
      </c>
      <c r="C170" s="1">
        <v>3.5</v>
      </c>
      <c r="D170" s="1" t="s">
        <v>529</v>
      </c>
      <c r="E170" s="1" t="s">
        <v>501</v>
      </c>
      <c r="F170" s="1" t="s">
        <v>530</v>
      </c>
      <c r="G170">
        <f>IFERROR(__xludf.DUMMYFUNCTION("INDEX(SPLIT(F170, ""-""), 1)
"),37.3112882127292)</f>
        <v>37.31128821</v>
      </c>
      <c r="H170">
        <f>IFERROR(__xludf.DUMMYFUNCTION("INDEX(SPLIT(F170, ""-""), 2)
"),122.023623995482)</f>
        <v>122.023624</v>
      </c>
    </row>
    <row r="171">
      <c r="A171" s="1">
        <v>169.0</v>
      </c>
      <c r="B171" s="1" t="s">
        <v>531</v>
      </c>
      <c r="C171" s="1">
        <v>3.5</v>
      </c>
      <c r="D171" s="1" t="s">
        <v>532</v>
      </c>
      <c r="E171" s="1" t="s">
        <v>117</v>
      </c>
      <c r="F171" s="1" t="s">
        <v>533</v>
      </c>
      <c r="G171">
        <f>IFERROR(__xludf.DUMMYFUNCTION("INDEX(SPLIT(F171, ""-""), 1)
"),37.306154683674)</f>
        <v>37.30615468</v>
      </c>
      <c r="H171">
        <f>IFERROR(__xludf.DUMMYFUNCTION("INDEX(SPLIT(F171, ""-""), 2)
"),121.810519318524)</f>
        <v>121.8105193</v>
      </c>
    </row>
    <row r="172">
      <c r="A172" s="1">
        <v>170.0</v>
      </c>
      <c r="B172" s="1" t="s">
        <v>534</v>
      </c>
      <c r="C172" s="1">
        <v>4.0</v>
      </c>
      <c r="D172" s="1" t="s">
        <v>456</v>
      </c>
      <c r="E172" s="1" t="s">
        <v>117</v>
      </c>
      <c r="F172" s="1" t="s">
        <v>535</v>
      </c>
      <c r="G172">
        <f>IFERROR(__xludf.DUMMYFUNCTION("INDEX(SPLIT(F172, ""-""), 1)
"),37.3086471557617)</f>
        <v>37.30864716</v>
      </c>
      <c r="H172">
        <f>IFERROR(__xludf.DUMMYFUNCTION("INDEX(SPLIT(F172, ""-""), 2)
"),121.813461303711)</f>
        <v>121.8134613</v>
      </c>
    </row>
    <row r="173">
      <c r="A173" s="1">
        <v>171.0</v>
      </c>
      <c r="B173" s="1" t="s">
        <v>536</v>
      </c>
      <c r="C173" s="1">
        <v>4.0</v>
      </c>
      <c r="D173" s="1" t="s">
        <v>537</v>
      </c>
      <c r="E173" s="1" t="s">
        <v>117</v>
      </c>
      <c r="F173" s="1" t="s">
        <v>538</v>
      </c>
      <c r="G173">
        <f>IFERROR(__xludf.DUMMYFUNCTION("INDEX(SPLIT(F173, ""-""), 1)
"),37.2497081431029)</f>
        <v>37.24970814</v>
      </c>
      <c r="H173">
        <f>IFERROR(__xludf.DUMMYFUNCTION("INDEX(SPLIT(F173, ""-""), 2)
"),121.879286774857)</f>
        <v>121.8792868</v>
      </c>
    </row>
    <row r="174">
      <c r="A174" s="1">
        <v>172.0</v>
      </c>
      <c r="B174" s="1" t="s">
        <v>539</v>
      </c>
      <c r="C174" s="1">
        <v>3.5</v>
      </c>
      <c r="D174" s="1" t="s">
        <v>540</v>
      </c>
      <c r="E174" s="1" t="s">
        <v>117</v>
      </c>
      <c r="F174" s="1" t="s">
        <v>541</v>
      </c>
      <c r="G174">
        <f>IFERROR(__xludf.DUMMYFUNCTION("INDEX(SPLIT(F174, ""-""), 1)
"),37.38753)</f>
        <v>37.38753</v>
      </c>
      <c r="H174">
        <f>IFERROR(__xludf.DUMMYFUNCTION("INDEX(SPLIT(F174, ""-""), 2)
"),121.88725)</f>
        <v>121.88725</v>
      </c>
    </row>
    <row r="175">
      <c r="A175" s="1">
        <v>173.0</v>
      </c>
      <c r="B175" s="1" t="s">
        <v>542</v>
      </c>
      <c r="C175" s="1">
        <v>4.5</v>
      </c>
      <c r="D175" s="1" t="s">
        <v>441</v>
      </c>
      <c r="E175" s="1" t="s">
        <v>117</v>
      </c>
      <c r="F175" s="1" t="s">
        <v>543</v>
      </c>
      <c r="G175">
        <f>IFERROR(__xludf.DUMMYFUNCTION("INDEX(SPLIT(F175, ""-""), 1)
"),37.3313361147367)</f>
        <v>37.33133611</v>
      </c>
      <c r="H175">
        <f>IFERROR(__xludf.DUMMYFUNCTION("INDEX(SPLIT(F175, ""-""), 2)
"),121.857381949738)</f>
        <v>121.8573819</v>
      </c>
    </row>
    <row r="176">
      <c r="A176" s="1">
        <v>174.0</v>
      </c>
      <c r="B176" s="1" t="s">
        <v>544</v>
      </c>
      <c r="C176" s="1">
        <v>3.5</v>
      </c>
      <c r="D176" s="1" t="s">
        <v>545</v>
      </c>
      <c r="E176" s="1" t="s">
        <v>117</v>
      </c>
      <c r="F176" s="1" t="s">
        <v>546</v>
      </c>
      <c r="G176">
        <f>IFERROR(__xludf.DUMMYFUNCTION("INDEX(SPLIT(F176, ""-""), 1)
"),37.387508)</f>
        <v>37.387508</v>
      </c>
      <c r="H176">
        <f>IFERROR(__xludf.DUMMYFUNCTION("INDEX(SPLIT(F176, ""-""), 2)
"),121.882934)</f>
        <v>121.882934</v>
      </c>
    </row>
    <row r="177">
      <c r="A177" s="1">
        <v>175.0</v>
      </c>
      <c r="B177" s="1" t="s">
        <v>547</v>
      </c>
      <c r="C177" s="1">
        <v>3.5</v>
      </c>
      <c r="D177" s="1" t="s">
        <v>548</v>
      </c>
      <c r="E177" s="1" t="s">
        <v>117</v>
      </c>
      <c r="F177" s="1" t="s">
        <v>549</v>
      </c>
      <c r="G177">
        <f>IFERROR(__xludf.DUMMYFUNCTION("INDEX(SPLIT(F177, ""-""), 1)
"),37.2923420099239)</f>
        <v>37.29234201</v>
      </c>
      <c r="H177">
        <f>IFERROR(__xludf.DUMMYFUNCTION("INDEX(SPLIT(F177, ""-""), 2)
"),121.988744415863)</f>
        <v>121.9887444</v>
      </c>
    </row>
    <row r="178">
      <c r="A178" s="1">
        <v>176.0</v>
      </c>
      <c r="B178" s="1" t="s">
        <v>550</v>
      </c>
      <c r="C178" s="1">
        <v>4.0</v>
      </c>
      <c r="D178" s="1" t="s">
        <v>456</v>
      </c>
      <c r="E178" s="1" t="s">
        <v>117</v>
      </c>
      <c r="F178" s="1" t="s">
        <v>551</v>
      </c>
      <c r="G178">
        <f>IFERROR(__xludf.DUMMYFUNCTION("INDEX(SPLIT(F178, ""-""), 1)
"),37.3090745900201)</f>
        <v>37.30907459</v>
      </c>
      <c r="H178">
        <f>IFERROR(__xludf.DUMMYFUNCTION("INDEX(SPLIT(F178, ""-""), 2)
"),121.814426575475)</f>
        <v>121.8144266</v>
      </c>
    </row>
    <row r="179">
      <c r="A179" s="1">
        <v>177.0</v>
      </c>
      <c r="B179" s="1" t="s">
        <v>552</v>
      </c>
      <c r="C179" s="1">
        <v>4.0</v>
      </c>
      <c r="D179" s="1" t="s">
        <v>553</v>
      </c>
      <c r="E179" s="1" t="s">
        <v>117</v>
      </c>
      <c r="F179" s="1" t="s">
        <v>554</v>
      </c>
      <c r="G179">
        <f>IFERROR(__xludf.DUMMYFUNCTION("INDEX(SPLIT(F179, ""-""), 1)
"),37.309508)</f>
        <v>37.309508</v>
      </c>
      <c r="H179">
        <f>IFERROR(__xludf.DUMMYFUNCTION("INDEX(SPLIT(F179, ""-""), 2)
"),121.809918)</f>
        <v>121.809918</v>
      </c>
    </row>
    <row r="180">
      <c r="A180" s="1">
        <v>178.0</v>
      </c>
      <c r="B180" s="1" t="s">
        <v>555</v>
      </c>
      <c r="C180" s="1">
        <v>4.0</v>
      </c>
      <c r="D180" s="1" t="s">
        <v>556</v>
      </c>
      <c r="E180" s="1" t="s">
        <v>117</v>
      </c>
      <c r="F180" s="1" t="s">
        <v>557</v>
      </c>
      <c r="G180">
        <f>IFERROR(__xludf.DUMMYFUNCTION("INDEX(SPLIT(F180, ""-""), 1)
"),37.3720189850199)</f>
        <v>37.37201899</v>
      </c>
      <c r="H180">
        <f>IFERROR(__xludf.DUMMYFUNCTION("INDEX(SPLIT(F180, ""-""), 2)
"),121.846125258572)</f>
        <v>121.8461253</v>
      </c>
    </row>
    <row r="181">
      <c r="A181" s="1">
        <v>179.0</v>
      </c>
      <c r="B181" s="1" t="s">
        <v>558</v>
      </c>
      <c r="C181" s="1">
        <v>3.5</v>
      </c>
      <c r="D181" s="1" t="s">
        <v>559</v>
      </c>
      <c r="E181" s="1" t="s">
        <v>511</v>
      </c>
      <c r="F181" s="1" t="s">
        <v>560</v>
      </c>
      <c r="G181">
        <f>IFERROR(__xludf.DUMMYFUNCTION("INDEX(SPLIT(F181, ""-""), 1)
"),37.3459400429099)</f>
        <v>37.34594004</v>
      </c>
      <c r="H181">
        <f>IFERROR(__xludf.DUMMYFUNCTION("INDEX(SPLIT(F181, ""-""), 2)
"),121.979151964188)</f>
        <v>121.979152</v>
      </c>
    </row>
    <row r="182">
      <c r="A182" s="1">
        <v>180.0</v>
      </c>
      <c r="B182" s="1" t="s">
        <v>561</v>
      </c>
      <c r="C182" s="1">
        <v>4.0</v>
      </c>
      <c r="D182" s="1" t="s">
        <v>562</v>
      </c>
      <c r="E182" s="1" t="s">
        <v>117</v>
      </c>
      <c r="F182" s="1" t="s">
        <v>563</v>
      </c>
      <c r="G182">
        <f>IFERROR(__xludf.DUMMYFUNCTION("INDEX(SPLIT(F182, ""-""), 1)
"),37.3030374782512)</f>
        <v>37.30303748</v>
      </c>
      <c r="H182">
        <f>IFERROR(__xludf.DUMMYFUNCTION("INDEX(SPLIT(F182, ""-""), 2)
"),121.864601250072)</f>
        <v>121.8646013</v>
      </c>
    </row>
    <row r="183">
      <c r="A183" s="1">
        <v>181.0</v>
      </c>
      <c r="B183" s="1" t="s">
        <v>564</v>
      </c>
      <c r="C183" s="1">
        <v>3.5</v>
      </c>
      <c r="D183" s="1" t="s">
        <v>565</v>
      </c>
      <c r="E183" s="1" t="s">
        <v>117</v>
      </c>
      <c r="F183" s="1" t="s">
        <v>566</v>
      </c>
      <c r="G183">
        <f>IFERROR(__xludf.DUMMYFUNCTION("INDEX(SPLIT(F183, ""-""), 1)
"),37.3210352284759)</f>
        <v>37.32103523</v>
      </c>
      <c r="H183">
        <f>IFERROR(__xludf.DUMMYFUNCTION("INDEX(SPLIT(F183, ""-""), 2)
"),121.825406030688)</f>
        <v>121.825406</v>
      </c>
    </row>
    <row r="184">
      <c r="A184" s="1">
        <v>182.0</v>
      </c>
      <c r="B184" s="1" t="s">
        <v>567</v>
      </c>
      <c r="C184" s="1">
        <v>4.5</v>
      </c>
      <c r="D184" s="1" t="s">
        <v>568</v>
      </c>
      <c r="E184" s="1" t="s">
        <v>569</v>
      </c>
      <c r="F184" s="1" t="s">
        <v>570</v>
      </c>
      <c r="G184">
        <f>IFERROR(__xludf.DUMMYFUNCTION("INDEX(SPLIT(F184, ""-""), 1)
"),38.32387)</f>
        <v>38.32387</v>
      </c>
      <c r="H184">
        <f>IFERROR(__xludf.DUMMYFUNCTION("INDEX(SPLIT(F184, ""-""), 2)
"),122.30711)</f>
        <v>122.30711</v>
      </c>
    </row>
    <row r="185">
      <c r="A185" s="1">
        <v>183.0</v>
      </c>
      <c r="B185" s="1" t="s">
        <v>571</v>
      </c>
      <c r="C185" s="1">
        <v>3.5</v>
      </c>
      <c r="D185" s="1" t="s">
        <v>572</v>
      </c>
      <c r="E185" s="1" t="s">
        <v>569</v>
      </c>
      <c r="F185" s="1" t="s">
        <v>573</v>
      </c>
      <c r="G185">
        <f>IFERROR(__xludf.DUMMYFUNCTION("INDEX(SPLIT(F185, ""-""), 1)
"),38.2991692041736)</f>
        <v>38.2991692</v>
      </c>
      <c r="H185">
        <f>IFERROR(__xludf.DUMMYFUNCTION("INDEX(SPLIT(F185, ""-""), 2)
"),122.285283794503)</f>
        <v>122.2852838</v>
      </c>
    </row>
    <row r="186">
      <c r="A186" s="1">
        <v>184.0</v>
      </c>
      <c r="B186" s="1" t="s">
        <v>574</v>
      </c>
      <c r="C186" s="1">
        <v>4.0</v>
      </c>
      <c r="D186" s="1" t="s">
        <v>575</v>
      </c>
      <c r="E186" s="1" t="s">
        <v>569</v>
      </c>
      <c r="F186" s="1" t="s">
        <v>576</v>
      </c>
      <c r="G186">
        <f>IFERROR(__xludf.DUMMYFUNCTION("INDEX(SPLIT(F186, ""-""), 1)
"),38.29671)</f>
        <v>38.29671</v>
      </c>
      <c r="H186">
        <f>IFERROR(__xludf.DUMMYFUNCTION("INDEX(SPLIT(F186, ""-""), 2)
"),122.28328)</f>
        <v>122.28328</v>
      </c>
    </row>
    <row r="187">
      <c r="A187" s="1">
        <v>185.0</v>
      </c>
      <c r="B187" s="1" t="s">
        <v>577</v>
      </c>
      <c r="C187" s="1">
        <v>3.0</v>
      </c>
      <c r="D187" s="1" t="s">
        <v>578</v>
      </c>
      <c r="E187" s="1" t="s">
        <v>569</v>
      </c>
      <c r="F187" s="1" t="s">
        <v>579</v>
      </c>
      <c r="G187">
        <f>IFERROR(__xludf.DUMMYFUNCTION("INDEX(SPLIT(F187, ""-""), 1)
"),38.2988340542314)</f>
        <v>38.29883405</v>
      </c>
      <c r="H187">
        <f>IFERROR(__xludf.DUMMYFUNCTION("INDEX(SPLIT(F187, ""-""), 2)
"),122.286458685993)</f>
        <v>122.2864587</v>
      </c>
    </row>
    <row r="188">
      <c r="A188" s="1">
        <v>186.0</v>
      </c>
      <c r="B188" s="1" t="s">
        <v>580</v>
      </c>
      <c r="C188" s="1">
        <v>3.5</v>
      </c>
      <c r="D188" s="1" t="s">
        <v>581</v>
      </c>
      <c r="E188" s="1" t="s">
        <v>582</v>
      </c>
      <c r="F188" s="1" t="s">
        <v>583</v>
      </c>
      <c r="G188">
        <f>IFERROR(__xludf.DUMMYFUNCTION("INDEX(SPLIT(F188, ""-""), 1)
"),38.1689755277082)</f>
        <v>38.16897553</v>
      </c>
      <c r="H188">
        <f>IFERROR(__xludf.DUMMYFUNCTION("INDEX(SPLIT(F188, ""-""), 2)
"),122.254305819574)</f>
        <v>122.2543058</v>
      </c>
    </row>
    <row r="189">
      <c r="A189" s="1">
        <v>187.0</v>
      </c>
      <c r="B189" s="1" t="s">
        <v>584</v>
      </c>
      <c r="C189" s="1">
        <v>2.5</v>
      </c>
      <c r="D189" s="1" t="s">
        <v>585</v>
      </c>
      <c r="E189" s="1" t="s">
        <v>582</v>
      </c>
      <c r="F189" s="1" t="s">
        <v>586</v>
      </c>
      <c r="G189">
        <f>IFERROR(__xludf.DUMMYFUNCTION("INDEX(SPLIT(F189, ""-""), 1)
"),38.1848877668381)</f>
        <v>38.18488777</v>
      </c>
      <c r="H189">
        <f>IFERROR(__xludf.DUMMYFUNCTION("INDEX(SPLIT(F189, ""-""), 2)
"),122.253697514533)</f>
        <v>122.2536975</v>
      </c>
    </row>
    <row r="190">
      <c r="A190" s="1">
        <v>188.0</v>
      </c>
      <c r="B190" s="1" t="s">
        <v>587</v>
      </c>
      <c r="C190" s="1">
        <v>3.5</v>
      </c>
      <c r="D190" s="1" t="s">
        <v>588</v>
      </c>
      <c r="E190" s="1" t="s">
        <v>589</v>
      </c>
      <c r="F190" s="1" t="s">
        <v>590</v>
      </c>
      <c r="G190">
        <f>IFERROR(__xludf.DUMMYFUNCTION("INDEX(SPLIT(F190, ""-""), 1)
"),38.2914143800735)</f>
        <v>38.29141438</v>
      </c>
      <c r="H190">
        <f>IFERROR(__xludf.DUMMYFUNCTION("INDEX(SPLIT(F190, ""-""), 2)
"),122.458058372139)</f>
        <v>122.4580584</v>
      </c>
    </row>
    <row r="191">
      <c r="A191" s="1">
        <v>189.0</v>
      </c>
      <c r="B191" s="1" t="s">
        <v>591</v>
      </c>
      <c r="C191" s="1">
        <v>2.5</v>
      </c>
      <c r="D191" s="1" t="s">
        <v>592</v>
      </c>
      <c r="E191" s="1" t="s">
        <v>582</v>
      </c>
      <c r="F191" s="1" t="s">
        <v>593</v>
      </c>
      <c r="G191">
        <f>IFERROR(__xludf.DUMMYFUNCTION("INDEX(SPLIT(F191, ""-""), 1)
"),38.18098)</f>
        <v>38.18098</v>
      </c>
      <c r="H191">
        <f>IFERROR(__xludf.DUMMYFUNCTION("INDEX(SPLIT(F191, ""-""), 2)
"),122.25395)</f>
        <v>122.25395</v>
      </c>
    </row>
    <row r="192">
      <c r="A192" s="1">
        <v>190.0</v>
      </c>
      <c r="B192" s="1" t="s">
        <v>594</v>
      </c>
      <c r="C192" s="1">
        <v>4.0</v>
      </c>
      <c r="D192" s="1" t="s">
        <v>595</v>
      </c>
      <c r="E192" s="1" t="s">
        <v>596</v>
      </c>
      <c r="F192" s="1" t="s">
        <v>597</v>
      </c>
      <c r="G192">
        <f>IFERROR(__xludf.DUMMYFUNCTION("INDEX(SPLIT(F192, ""-""), 1)
"),38.1480882615897)</f>
        <v>38.14808826</v>
      </c>
      <c r="H192">
        <f>IFERROR(__xludf.DUMMYFUNCTION("INDEX(SPLIT(F192, ""-""), 2)
"),122.252996214118)</f>
        <v>122.2529962</v>
      </c>
    </row>
    <row r="193">
      <c r="A193" s="1">
        <v>191.0</v>
      </c>
      <c r="B193" s="1" t="s">
        <v>598</v>
      </c>
      <c r="C193" s="1">
        <v>4.5</v>
      </c>
      <c r="D193" s="1" t="s">
        <v>599</v>
      </c>
      <c r="E193" s="1" t="s">
        <v>600</v>
      </c>
      <c r="F193" s="1" t="s">
        <v>601</v>
      </c>
      <c r="G193">
        <f>IFERROR(__xludf.DUMMYFUNCTION("INDEX(SPLIT(F193, ""-""), 1)
"),38.215523)</f>
        <v>38.215523</v>
      </c>
      <c r="H193">
        <f>IFERROR(__xludf.DUMMYFUNCTION("INDEX(SPLIT(F193, ""-""), 2)
"),122.143181)</f>
        <v>122.143181</v>
      </c>
    </row>
    <row r="194">
      <c r="A194" s="1">
        <v>192.0</v>
      </c>
      <c r="B194" s="1" t="s">
        <v>602</v>
      </c>
      <c r="C194" s="1">
        <v>3.5</v>
      </c>
      <c r="D194" s="1" t="s">
        <v>603</v>
      </c>
      <c r="E194" s="1" t="s">
        <v>600</v>
      </c>
      <c r="F194" s="1" t="s">
        <v>604</v>
      </c>
      <c r="G194">
        <f>IFERROR(__xludf.DUMMYFUNCTION("INDEX(SPLIT(F194, ""-""), 1)
"),38.2219398999999)</f>
        <v>38.2219399</v>
      </c>
      <c r="H194">
        <f>IFERROR(__xludf.DUMMYFUNCTION("INDEX(SPLIT(F194, ""-""), 2)
"),122.12513)</f>
        <v>122.12513</v>
      </c>
    </row>
    <row r="195">
      <c r="A195" s="1">
        <v>193.0</v>
      </c>
      <c r="B195" s="1" t="s">
        <v>605</v>
      </c>
      <c r="C195" s="1">
        <v>3.5</v>
      </c>
      <c r="D195" s="1" t="s">
        <v>606</v>
      </c>
      <c r="E195" s="1" t="s">
        <v>582</v>
      </c>
      <c r="F195" s="1" t="s">
        <v>607</v>
      </c>
      <c r="G195">
        <f>IFERROR(__xludf.DUMMYFUNCTION("INDEX(SPLIT(F195, ""-""), 1)
"),38.17015)</f>
        <v>38.17015</v>
      </c>
      <c r="H195">
        <f>IFERROR(__xludf.DUMMYFUNCTION("INDEX(SPLIT(F195, ""-""), 2)
"),122.25411)</f>
        <v>122.25411</v>
      </c>
    </row>
    <row r="196">
      <c r="A196" s="1">
        <v>194.0</v>
      </c>
      <c r="B196" s="1" t="s">
        <v>608</v>
      </c>
      <c r="C196" s="1">
        <v>3.5</v>
      </c>
      <c r="E196" s="1" t="s">
        <v>609</v>
      </c>
      <c r="F196" s="1" t="s">
        <v>610</v>
      </c>
      <c r="G196">
        <f>IFERROR(__xludf.DUMMYFUNCTION("INDEX(SPLIT(F196, ""-""), 1)
"),38.67463)</f>
        <v>38.67463</v>
      </c>
      <c r="H196">
        <f>IFERROR(__xludf.DUMMYFUNCTION("INDEX(SPLIT(F196, ""-""), 2)
"),121.50861)</f>
        <v>121.50861</v>
      </c>
    </row>
    <row r="197">
      <c r="A197" s="1">
        <v>195.0</v>
      </c>
      <c r="B197" s="1" t="s">
        <v>611</v>
      </c>
      <c r="C197" s="1">
        <v>4.0</v>
      </c>
      <c r="D197" s="1" t="s">
        <v>612</v>
      </c>
      <c r="E197" s="1" t="s">
        <v>613</v>
      </c>
      <c r="F197" s="1" t="s">
        <v>614</v>
      </c>
      <c r="G197">
        <f>IFERROR(__xludf.DUMMYFUNCTION("INDEX(SPLIT(F197, ""-""), 1)
"),37.6983805506637)</f>
        <v>37.69838055</v>
      </c>
      <c r="H197">
        <f>IFERROR(__xludf.DUMMYFUNCTION("INDEX(SPLIT(F197, ""-""), 2)
"),121.874124370515)</f>
        <v>121.8741244</v>
      </c>
    </row>
    <row r="198">
      <c r="A198" s="1">
        <v>196.0</v>
      </c>
      <c r="B198" s="1" t="s">
        <v>615</v>
      </c>
      <c r="C198" s="1">
        <v>4.5</v>
      </c>
      <c r="D198" s="1" t="s">
        <v>616</v>
      </c>
      <c r="E198" s="1" t="s">
        <v>613</v>
      </c>
      <c r="F198" s="1" t="s">
        <v>617</v>
      </c>
      <c r="G198">
        <f>IFERROR(__xludf.DUMMYFUNCTION("INDEX(SPLIT(F198, ""-""), 1)
"),37.658818)</f>
        <v>37.658818</v>
      </c>
      <c r="H198">
        <f>IFERROR(__xludf.DUMMYFUNCTION("INDEX(SPLIT(F198, ""-""), 2)
"),121.898176)</f>
        <v>121.898176</v>
      </c>
    </row>
    <row r="199">
      <c r="A199" s="1">
        <v>197.0</v>
      </c>
      <c r="B199" s="1" t="s">
        <v>618</v>
      </c>
      <c r="C199" s="1">
        <v>4.0</v>
      </c>
      <c r="D199" s="1" t="s">
        <v>619</v>
      </c>
      <c r="E199" s="1" t="s">
        <v>620</v>
      </c>
      <c r="F199" s="1" t="s">
        <v>621</v>
      </c>
      <c r="G199">
        <f>IFERROR(__xludf.DUMMYFUNCTION("INDEX(SPLIT(F199, ""-""), 1)
"),37.7031989556317)</f>
        <v>37.70319896</v>
      </c>
      <c r="H199">
        <f>IFERROR(__xludf.DUMMYFUNCTION("INDEX(SPLIT(F199, ""-""), 2)
"),121.865862095172)</f>
        <v>121.8658621</v>
      </c>
    </row>
    <row r="200">
      <c r="A200" s="1">
        <v>198.0</v>
      </c>
      <c r="B200" s="1" t="s">
        <v>622</v>
      </c>
      <c r="C200" s="1">
        <v>3.5</v>
      </c>
      <c r="D200" s="1" t="s">
        <v>623</v>
      </c>
      <c r="E200" s="1" t="s">
        <v>613</v>
      </c>
      <c r="F200" s="1" t="s">
        <v>624</v>
      </c>
      <c r="G200">
        <f>IFERROR(__xludf.DUMMYFUNCTION("INDEX(SPLIT(F200, ""-""), 1)
"),37.69288)</f>
        <v>37.69288</v>
      </c>
      <c r="H200">
        <f>IFERROR(__xludf.DUMMYFUNCTION("INDEX(SPLIT(F200, ""-""), 2)
"),121.90177)</f>
        <v>121.90177</v>
      </c>
    </row>
    <row r="201">
      <c r="A201" s="1">
        <v>199.0</v>
      </c>
      <c r="B201" s="1" t="s">
        <v>625</v>
      </c>
      <c r="C201" s="1">
        <v>4.0</v>
      </c>
      <c r="D201" s="1" t="s">
        <v>626</v>
      </c>
      <c r="E201" s="1" t="s">
        <v>613</v>
      </c>
      <c r="F201" s="1" t="s">
        <v>627</v>
      </c>
      <c r="G201">
        <f>IFERROR(__xludf.DUMMYFUNCTION("INDEX(SPLIT(F201, ""-""), 1)
"),37.6659098999999)</f>
        <v>37.6659099</v>
      </c>
      <c r="H201">
        <f>IFERROR(__xludf.DUMMYFUNCTION("INDEX(SPLIT(F201, ""-""), 2)
"),121.87418)</f>
        <v>121.87418</v>
      </c>
    </row>
    <row r="202">
      <c r="A202" s="1">
        <v>200.0</v>
      </c>
      <c r="B202" s="1" t="s">
        <v>628</v>
      </c>
      <c r="C202" s="1">
        <v>3.5</v>
      </c>
      <c r="D202" s="1" t="s">
        <v>629</v>
      </c>
      <c r="E202" s="1" t="s">
        <v>620</v>
      </c>
      <c r="F202" s="1" t="s">
        <v>630</v>
      </c>
      <c r="G202">
        <f>IFERROR(__xludf.DUMMYFUNCTION("INDEX(SPLIT(F202, ""-""), 1)
"),37.7038018033117)</f>
        <v>37.7038018</v>
      </c>
      <c r="H202">
        <f>IFERROR(__xludf.DUMMYFUNCTION("INDEX(SPLIT(F202, ""-""), 2)
"),121.851168151661)</f>
        <v>121.8511682</v>
      </c>
    </row>
    <row r="203">
      <c r="A203" s="1">
        <v>201.0</v>
      </c>
      <c r="B203" s="1" t="s">
        <v>631</v>
      </c>
      <c r="C203" s="1">
        <v>4.0</v>
      </c>
      <c r="D203" s="1" t="s">
        <v>632</v>
      </c>
      <c r="E203" s="1" t="s">
        <v>620</v>
      </c>
      <c r="F203" s="1" t="s">
        <v>633</v>
      </c>
      <c r="G203">
        <f>IFERROR(__xludf.DUMMYFUNCTION("INDEX(SPLIT(F203, ""-""), 1)
"),37.7222341)</f>
        <v>37.7222341</v>
      </c>
      <c r="H203">
        <f>IFERROR(__xludf.DUMMYFUNCTION("INDEX(SPLIT(F203, ""-""), 2)
"),121.9419009)</f>
        <v>121.9419009</v>
      </c>
    </row>
    <row r="204">
      <c r="A204" s="1">
        <v>202.0</v>
      </c>
      <c r="B204" s="1" t="s">
        <v>634</v>
      </c>
      <c r="C204" s="1">
        <v>4.0</v>
      </c>
      <c r="D204" s="1" t="s">
        <v>635</v>
      </c>
      <c r="E204" s="1" t="s">
        <v>613</v>
      </c>
      <c r="F204" s="1" t="s">
        <v>636</v>
      </c>
      <c r="G204">
        <f>IFERROR(__xludf.DUMMYFUNCTION("INDEX(SPLIT(F204, ""-""), 1)
"),37.661346)</f>
        <v>37.661346</v>
      </c>
      <c r="H204">
        <f>IFERROR(__xludf.DUMMYFUNCTION("INDEX(SPLIT(F204, ""-""), 2)
"),121.87506)</f>
        <v>121.87506</v>
      </c>
    </row>
    <row r="205">
      <c r="A205" s="1">
        <v>203.0</v>
      </c>
      <c r="B205" s="1" t="s">
        <v>637</v>
      </c>
      <c r="C205" s="1">
        <v>4.0</v>
      </c>
      <c r="D205" s="1" t="s">
        <v>638</v>
      </c>
      <c r="E205" s="1" t="s">
        <v>620</v>
      </c>
      <c r="F205" s="1" t="s">
        <v>639</v>
      </c>
      <c r="G205">
        <f>IFERROR(__xludf.DUMMYFUNCTION("INDEX(SPLIT(F205, ""-""), 1)
"),37.7103898999999)</f>
        <v>37.7103899</v>
      </c>
      <c r="H205">
        <f>IFERROR(__xludf.DUMMYFUNCTION("INDEX(SPLIT(F205, ""-""), 2)
"),121.927439999999)</f>
        <v>121.92744</v>
      </c>
    </row>
    <row r="206">
      <c r="A206" s="1">
        <v>204.0</v>
      </c>
      <c r="B206" s="1" t="s">
        <v>640</v>
      </c>
      <c r="C206" s="1">
        <v>3.5</v>
      </c>
      <c r="D206" s="1" t="s">
        <v>641</v>
      </c>
      <c r="E206" s="1" t="s">
        <v>620</v>
      </c>
      <c r="F206" s="1" t="s">
        <v>642</v>
      </c>
      <c r="G206">
        <f>IFERROR(__xludf.DUMMYFUNCTION("INDEX(SPLIT(F206, ""-""), 1)
"),37.703959)</f>
        <v>37.703959</v>
      </c>
      <c r="H206">
        <f>IFERROR(__xludf.DUMMYFUNCTION("INDEX(SPLIT(F206, ""-""), 2)
"),121.9342246)</f>
        <v>121.9342246</v>
      </c>
    </row>
    <row r="207">
      <c r="A207" s="1">
        <v>205.0</v>
      </c>
      <c r="B207" s="1" t="s">
        <v>643</v>
      </c>
      <c r="C207" s="1">
        <v>3.5</v>
      </c>
      <c r="D207" s="1" t="s">
        <v>644</v>
      </c>
      <c r="E207" s="1" t="s">
        <v>613</v>
      </c>
      <c r="F207" s="1" t="s">
        <v>645</v>
      </c>
      <c r="G207">
        <f>IFERROR(__xludf.DUMMYFUNCTION("INDEX(SPLIT(F207, ""-""), 1)
"),37.6956544405508)</f>
        <v>37.69565444</v>
      </c>
      <c r="H207">
        <f>IFERROR(__xludf.DUMMYFUNCTION("INDEX(SPLIT(F207, ""-""), 2)
"),121.929317861795)</f>
        <v>121.9293179</v>
      </c>
    </row>
    <row r="208">
      <c r="A208" s="1">
        <v>206.0</v>
      </c>
      <c r="B208" s="1" t="s">
        <v>646</v>
      </c>
      <c r="C208" s="1">
        <v>2.5</v>
      </c>
      <c r="D208" s="1" t="s">
        <v>647</v>
      </c>
      <c r="E208" s="1" t="s">
        <v>613</v>
      </c>
      <c r="F208" s="1" t="s">
        <v>648</v>
      </c>
      <c r="G208">
        <f>IFERROR(__xludf.DUMMYFUNCTION("INDEX(SPLIT(F208, ""-""), 1)
"),37.69956)</f>
        <v>37.69956</v>
      </c>
      <c r="H208">
        <f>IFERROR(__xludf.DUMMYFUNCTION("INDEX(SPLIT(F208, ""-""), 2)
"),121.87326)</f>
        <v>121.87326</v>
      </c>
    </row>
    <row r="209">
      <c r="A209" s="1">
        <v>207.0</v>
      </c>
      <c r="B209" s="1" t="s">
        <v>649</v>
      </c>
      <c r="C209" s="1">
        <v>3.0</v>
      </c>
      <c r="D209" s="1" t="s">
        <v>650</v>
      </c>
      <c r="E209" s="1" t="s">
        <v>613</v>
      </c>
      <c r="F209" s="1" t="s">
        <v>651</v>
      </c>
      <c r="G209">
        <f>IFERROR(__xludf.DUMMYFUNCTION("INDEX(SPLIT(F209, ""-""), 1)
"),37.6994819641112)</f>
        <v>37.69948196</v>
      </c>
      <c r="H209">
        <f>IFERROR(__xludf.DUMMYFUNCTION("INDEX(SPLIT(F209, ""-""), 2)
"),121.874084472656)</f>
        <v>121.8740845</v>
      </c>
    </row>
    <row r="210">
      <c r="A210" s="1">
        <v>208.0</v>
      </c>
      <c r="B210" s="1" t="s">
        <v>652</v>
      </c>
      <c r="C210" s="1">
        <v>4.0</v>
      </c>
      <c r="D210" s="1" t="s">
        <v>653</v>
      </c>
      <c r="E210" s="1" t="s">
        <v>613</v>
      </c>
      <c r="F210" s="1" t="s">
        <v>654</v>
      </c>
      <c r="G210">
        <f>IFERROR(__xludf.DUMMYFUNCTION("INDEX(SPLIT(F210, ""-""), 1)
"),37.6905054)</f>
        <v>37.6905054</v>
      </c>
      <c r="H210">
        <f>IFERROR(__xludf.DUMMYFUNCTION("INDEX(SPLIT(F210, ""-""), 2)
"),121.8774678)</f>
        <v>121.8774678</v>
      </c>
    </row>
    <row r="211">
      <c r="A211" s="1">
        <v>209.0</v>
      </c>
      <c r="B211" s="1" t="s">
        <v>655</v>
      </c>
      <c r="C211" s="1">
        <v>3.5</v>
      </c>
      <c r="D211" s="1" t="s">
        <v>656</v>
      </c>
      <c r="E211" s="1" t="s">
        <v>657</v>
      </c>
      <c r="F211" s="1" t="s">
        <v>658</v>
      </c>
      <c r="G211">
        <f>IFERROR(__xludf.DUMMYFUNCTION("INDEX(SPLIT(F211, ""-""), 1)
"),37.73021)</f>
        <v>37.73021</v>
      </c>
      <c r="H211">
        <f>IFERROR(__xludf.DUMMYFUNCTION("INDEX(SPLIT(F211, ""-""), 2)
"),121.930089999999)</f>
        <v>121.93009</v>
      </c>
    </row>
    <row r="212">
      <c r="A212" s="1">
        <v>210.0</v>
      </c>
      <c r="B212" s="1" t="s">
        <v>659</v>
      </c>
      <c r="C212" s="1">
        <v>4.0</v>
      </c>
      <c r="D212" s="1" t="s">
        <v>660</v>
      </c>
      <c r="E212" s="1" t="s">
        <v>657</v>
      </c>
      <c r="F212" s="1" t="s">
        <v>661</v>
      </c>
      <c r="G212">
        <f>IFERROR(__xludf.DUMMYFUNCTION("INDEX(SPLIT(F212, ""-""), 1)
"),37.7241)</f>
        <v>37.7241</v>
      </c>
      <c r="H212">
        <f>IFERROR(__xludf.DUMMYFUNCTION("INDEX(SPLIT(F212, ""-""), 2)
"),121.94435)</f>
        <v>121.94435</v>
      </c>
    </row>
    <row r="213">
      <c r="A213" s="1">
        <v>211.0</v>
      </c>
      <c r="B213" s="1" t="s">
        <v>662</v>
      </c>
      <c r="C213" s="1">
        <v>3.5</v>
      </c>
      <c r="D213" s="1" t="s">
        <v>663</v>
      </c>
      <c r="E213" s="1" t="s">
        <v>620</v>
      </c>
      <c r="F213" s="1" t="s">
        <v>664</v>
      </c>
      <c r="G213">
        <f>IFERROR(__xludf.DUMMYFUNCTION("INDEX(SPLIT(F213, ""-""), 1)
"),37.7048059696965)</f>
        <v>37.70480597</v>
      </c>
      <c r="H213">
        <f>IFERROR(__xludf.DUMMYFUNCTION("INDEX(SPLIT(F213, ""-""), 2)
"),121.875150612505)</f>
        <v>121.8751506</v>
      </c>
    </row>
    <row r="214">
      <c r="A214" s="1">
        <v>212.0</v>
      </c>
      <c r="B214" s="1" t="s">
        <v>665</v>
      </c>
      <c r="C214" s="1">
        <v>2.5</v>
      </c>
      <c r="D214" s="1" t="s">
        <v>663</v>
      </c>
      <c r="E214" s="1" t="s">
        <v>620</v>
      </c>
      <c r="F214" s="1" t="s">
        <v>666</v>
      </c>
      <c r="G214">
        <f>IFERROR(__xludf.DUMMYFUNCTION("INDEX(SPLIT(F214, ""-""), 1)
"),37.705825)</f>
        <v>37.705825</v>
      </c>
      <c r="H214">
        <f>IFERROR(__xludf.DUMMYFUNCTION("INDEX(SPLIT(F214, ""-""), 2)
"),121.876084)</f>
        <v>121.876084</v>
      </c>
    </row>
    <row r="215">
      <c r="A215" s="1">
        <v>213.0</v>
      </c>
      <c r="B215" s="1" t="s">
        <v>667</v>
      </c>
      <c r="C215" s="1">
        <v>4.0</v>
      </c>
      <c r="D215" s="1" t="s">
        <v>668</v>
      </c>
      <c r="E215" s="1" t="s">
        <v>613</v>
      </c>
      <c r="F215" s="1" t="s">
        <v>669</v>
      </c>
      <c r="G215">
        <f>IFERROR(__xludf.DUMMYFUNCTION("INDEX(SPLIT(F215, ""-""), 1)
"),37.669658)</f>
        <v>37.669658</v>
      </c>
      <c r="H215">
        <f>IFERROR(__xludf.DUMMYFUNCTION("INDEX(SPLIT(F215, ""-""), 2)
"),121.858772)</f>
        <v>121.858772</v>
      </c>
    </row>
    <row r="216">
      <c r="A216" s="1">
        <v>214.0</v>
      </c>
      <c r="B216" s="1" t="s">
        <v>670</v>
      </c>
      <c r="C216" s="1">
        <v>4.0</v>
      </c>
      <c r="D216" s="1" t="s">
        <v>671</v>
      </c>
      <c r="E216" s="1" t="s">
        <v>613</v>
      </c>
      <c r="F216" s="1" t="s">
        <v>672</v>
      </c>
      <c r="G216">
        <f>IFERROR(__xludf.DUMMYFUNCTION("INDEX(SPLIT(F216, ""-""), 1)
"),37.6994)</f>
        <v>37.6994</v>
      </c>
      <c r="H216">
        <f>IFERROR(__xludf.DUMMYFUNCTION("INDEX(SPLIT(F216, ""-""), 2)
"),121.9048344)</f>
        <v>121.9048344</v>
      </c>
    </row>
    <row r="217">
      <c r="A217" s="1">
        <v>215.0</v>
      </c>
      <c r="B217" s="1" t="s">
        <v>673</v>
      </c>
      <c r="C217" s="1">
        <v>4.0</v>
      </c>
      <c r="D217" s="1" t="s">
        <v>674</v>
      </c>
      <c r="E217" s="1" t="s">
        <v>620</v>
      </c>
      <c r="F217" s="1" t="s">
        <v>675</v>
      </c>
      <c r="G217">
        <f>IFERROR(__xludf.DUMMYFUNCTION("INDEX(SPLIT(F217, ""-""), 1)
"),37.7049564521021)</f>
        <v>37.70495645</v>
      </c>
      <c r="H217">
        <f>IFERROR(__xludf.DUMMYFUNCTION("INDEX(SPLIT(F217, ""-""), 2)
"),121.851537924141)</f>
        <v>121.8515379</v>
      </c>
    </row>
    <row r="218">
      <c r="A218" s="1">
        <v>216.0</v>
      </c>
      <c r="B218" s="1" t="s">
        <v>676</v>
      </c>
      <c r="C218" s="1">
        <v>4.0</v>
      </c>
      <c r="D218" s="1" t="s">
        <v>677</v>
      </c>
      <c r="E218" s="1" t="s">
        <v>620</v>
      </c>
      <c r="F218" s="1" t="s">
        <v>678</v>
      </c>
      <c r="G218">
        <f>IFERROR(__xludf.DUMMYFUNCTION("INDEX(SPLIT(F218, ""-""), 1)
"),37.7043802396398)</f>
        <v>37.70438024</v>
      </c>
      <c r="H218">
        <f>IFERROR(__xludf.DUMMYFUNCTION("INDEX(SPLIT(F218, ""-""), 2)
"),121.911554932594)</f>
        <v>121.9115549</v>
      </c>
    </row>
    <row r="219">
      <c r="A219" s="1">
        <v>217.0</v>
      </c>
      <c r="B219" s="1" t="s">
        <v>679</v>
      </c>
      <c r="C219" s="1">
        <v>4.0</v>
      </c>
      <c r="D219" s="1" t="s">
        <v>663</v>
      </c>
      <c r="E219" s="1" t="s">
        <v>620</v>
      </c>
      <c r="F219" s="1" t="s">
        <v>680</v>
      </c>
      <c r="G219">
        <f>IFERROR(__xludf.DUMMYFUNCTION("INDEX(SPLIT(F219, ""-""), 1)
"),37.704566)</f>
        <v>37.704566</v>
      </c>
      <c r="H219">
        <f>IFERROR(__xludf.DUMMYFUNCTION("INDEX(SPLIT(F219, ""-""), 2)
"),121.87545)</f>
        <v>121.87545</v>
      </c>
    </row>
    <row r="220">
      <c r="A220" s="1">
        <v>218.0</v>
      </c>
      <c r="B220" s="1" t="s">
        <v>681</v>
      </c>
      <c r="C220" s="1">
        <v>5.0</v>
      </c>
      <c r="D220" s="1" t="s">
        <v>682</v>
      </c>
      <c r="E220" s="1" t="s">
        <v>613</v>
      </c>
      <c r="F220" s="1" t="s">
        <v>683</v>
      </c>
      <c r="G220">
        <f>IFERROR(__xludf.DUMMYFUNCTION("INDEX(SPLIT(F220, ""-""), 1)
"),37.6522299999999)</f>
        <v>37.65223</v>
      </c>
      <c r="H220">
        <f>IFERROR(__xludf.DUMMYFUNCTION("INDEX(SPLIT(F220, ""-""), 2)
"),121.8786)</f>
        <v>121.8786</v>
      </c>
    </row>
    <row r="221">
      <c r="A221" s="1">
        <v>219.0</v>
      </c>
      <c r="B221" s="1" t="s">
        <v>684</v>
      </c>
      <c r="C221" s="1">
        <v>3.5</v>
      </c>
      <c r="D221" s="1" t="s">
        <v>647</v>
      </c>
      <c r="E221" s="1" t="s">
        <v>613</v>
      </c>
      <c r="F221" s="1" t="s">
        <v>648</v>
      </c>
      <c r="G221">
        <f>IFERROR(__xludf.DUMMYFUNCTION("INDEX(SPLIT(F221, ""-""), 1)
"),37.69956)</f>
        <v>37.69956</v>
      </c>
      <c r="H221">
        <f>IFERROR(__xludf.DUMMYFUNCTION("INDEX(SPLIT(F221, ""-""), 2)
"),121.87326)</f>
        <v>121.87326</v>
      </c>
    </row>
    <row r="222">
      <c r="A222" s="1">
        <v>220.0</v>
      </c>
      <c r="B222" s="1" t="s">
        <v>685</v>
      </c>
      <c r="C222" s="1">
        <v>4.0</v>
      </c>
      <c r="D222" s="1" t="s">
        <v>686</v>
      </c>
      <c r="E222" s="1" t="s">
        <v>620</v>
      </c>
      <c r="F222" s="1" t="s">
        <v>687</v>
      </c>
      <c r="G222">
        <f>IFERROR(__xludf.DUMMYFUNCTION("INDEX(SPLIT(F222, ""-""), 1)
"),37.7037210589332)</f>
        <v>37.70372106</v>
      </c>
      <c r="H222">
        <f>IFERROR(__xludf.DUMMYFUNCTION("INDEX(SPLIT(F222, ""-""), 2)
"),121.851480491459)</f>
        <v>121.8514805</v>
      </c>
    </row>
    <row r="223">
      <c r="A223" s="1">
        <v>221.0</v>
      </c>
      <c r="B223" s="1" t="s">
        <v>688</v>
      </c>
      <c r="C223" s="1">
        <v>4.0</v>
      </c>
      <c r="D223" s="1" t="s">
        <v>689</v>
      </c>
      <c r="E223" s="1" t="s">
        <v>620</v>
      </c>
      <c r="F223" s="1" t="s">
        <v>690</v>
      </c>
      <c r="G223">
        <f>IFERROR(__xludf.DUMMYFUNCTION("INDEX(SPLIT(F223, ""-""), 1)
"),37.710858467095)</f>
        <v>37.71085847</v>
      </c>
      <c r="H223">
        <f>IFERROR(__xludf.DUMMYFUNCTION("INDEX(SPLIT(F223, ""-""), 2)
"),121.926419734955)</f>
        <v>121.9264197</v>
      </c>
    </row>
    <row r="224">
      <c r="A224" s="1">
        <v>222.0</v>
      </c>
      <c r="B224" s="1" t="s">
        <v>691</v>
      </c>
      <c r="C224" s="1">
        <v>3.0</v>
      </c>
      <c r="D224" s="1" t="s">
        <v>692</v>
      </c>
      <c r="E224" s="1" t="s">
        <v>613</v>
      </c>
      <c r="F224" s="1" t="s">
        <v>693</v>
      </c>
      <c r="G224">
        <f>IFERROR(__xludf.DUMMYFUNCTION("INDEX(SPLIT(F224, ""-""), 1)
"),37.6946294)</f>
        <v>37.6946294</v>
      </c>
      <c r="H224">
        <f>IFERROR(__xludf.DUMMYFUNCTION("INDEX(SPLIT(F224, ""-""), 2)
"),121.931562999999)</f>
        <v>121.931563</v>
      </c>
    </row>
    <row r="225">
      <c r="A225" s="1">
        <v>223.0</v>
      </c>
      <c r="B225" s="1" t="s">
        <v>694</v>
      </c>
      <c r="C225" s="1">
        <v>4.5</v>
      </c>
      <c r="D225" s="1" t="s">
        <v>695</v>
      </c>
      <c r="E225" s="1" t="s">
        <v>613</v>
      </c>
      <c r="F225" s="1" t="s">
        <v>696</v>
      </c>
      <c r="G225">
        <f>IFERROR(__xludf.DUMMYFUNCTION("INDEX(SPLIT(F225, ""-""), 1)
"),37.67718)</f>
        <v>37.67718</v>
      </c>
      <c r="H225">
        <f>IFERROR(__xludf.DUMMYFUNCTION("INDEX(SPLIT(F225, ""-""), 2)
"),121.87578)</f>
        <v>121.87578</v>
      </c>
    </row>
    <row r="226">
      <c r="A226" s="1">
        <v>224.0</v>
      </c>
      <c r="B226" s="1" t="s">
        <v>697</v>
      </c>
      <c r="C226" s="1">
        <v>3.0</v>
      </c>
      <c r="D226" s="1" t="s">
        <v>698</v>
      </c>
      <c r="E226" s="1" t="s">
        <v>620</v>
      </c>
      <c r="F226" s="1" t="s">
        <v>699</v>
      </c>
      <c r="G226">
        <f>IFERROR(__xludf.DUMMYFUNCTION("INDEX(SPLIT(F226, ""-""), 1)
"),37.7040256307881)</f>
        <v>37.70402563</v>
      </c>
      <c r="H226">
        <f>IFERROR(__xludf.DUMMYFUNCTION("INDEX(SPLIT(F226, ""-""), 2)
"),121.88532839154)</f>
        <v>121.8853284</v>
      </c>
    </row>
    <row r="227">
      <c r="A227" s="1">
        <v>225.0</v>
      </c>
      <c r="B227" s="1" t="s">
        <v>700</v>
      </c>
      <c r="C227" s="1">
        <v>4.0</v>
      </c>
      <c r="D227" s="1" t="s">
        <v>663</v>
      </c>
      <c r="E227" s="1" t="s">
        <v>620</v>
      </c>
      <c r="F227" s="1" t="s">
        <v>701</v>
      </c>
      <c r="G227">
        <f>IFERROR(__xludf.DUMMYFUNCTION("INDEX(SPLIT(F227, ""-""), 1)
"),37.7045783996582)</f>
        <v>37.7045784</v>
      </c>
      <c r="H227">
        <f>IFERROR(__xludf.DUMMYFUNCTION("INDEX(SPLIT(F227, ""-""), 2)
"),121.875808715819)</f>
        <v>121.8758087</v>
      </c>
    </row>
    <row r="228">
      <c r="A228" s="1">
        <v>226.0</v>
      </c>
      <c r="B228" s="1" t="s">
        <v>702</v>
      </c>
      <c r="C228" s="1">
        <v>4.0</v>
      </c>
      <c r="D228" s="1" t="s">
        <v>703</v>
      </c>
      <c r="E228" s="1" t="s">
        <v>620</v>
      </c>
      <c r="F228" s="1" t="s">
        <v>704</v>
      </c>
      <c r="G228">
        <f>IFERROR(__xludf.DUMMYFUNCTION("INDEX(SPLIT(F228, ""-""), 1)
"),37.7080099999999)</f>
        <v>37.70801</v>
      </c>
      <c r="H228">
        <f>IFERROR(__xludf.DUMMYFUNCTION("INDEX(SPLIT(F228, ""-""), 2)
"),121.8731)</f>
        <v>121.8731</v>
      </c>
    </row>
    <row r="229">
      <c r="A229" s="1">
        <v>227.0</v>
      </c>
      <c r="B229" s="1" t="s">
        <v>705</v>
      </c>
      <c r="C229" s="1">
        <v>3.5</v>
      </c>
      <c r="D229" s="1" t="s">
        <v>706</v>
      </c>
      <c r="E229" s="1" t="s">
        <v>620</v>
      </c>
      <c r="F229" s="1" t="s">
        <v>707</v>
      </c>
      <c r="G229">
        <f>IFERROR(__xludf.DUMMYFUNCTION("INDEX(SPLIT(F229, ""-""), 1)
"),37.7046367482137)</f>
        <v>37.70463675</v>
      </c>
      <c r="H229">
        <f>IFERROR(__xludf.DUMMYFUNCTION("INDEX(SPLIT(F229, ""-""), 2)
"),121.876026391982)</f>
        <v>121.8760264</v>
      </c>
    </row>
    <row r="230">
      <c r="A230" s="1">
        <v>228.0</v>
      </c>
      <c r="B230" s="1" t="s">
        <v>708</v>
      </c>
      <c r="C230" s="1">
        <v>2.5</v>
      </c>
      <c r="D230" s="1" t="s">
        <v>709</v>
      </c>
      <c r="E230" s="1" t="s">
        <v>710</v>
      </c>
      <c r="F230" s="1" t="s">
        <v>711</v>
      </c>
      <c r="G230">
        <f>IFERROR(__xludf.DUMMYFUNCTION("INDEX(SPLIT(F230, ""-""), 1)
"),37.698050737381)</f>
        <v>37.69805074</v>
      </c>
      <c r="H230">
        <f>IFERROR(__xludf.DUMMYFUNCTION("INDEX(SPLIT(F230, ""-""), 2)
"),121.842248663306)</f>
        <v>121.8422487</v>
      </c>
    </row>
    <row r="231">
      <c r="A231" s="1">
        <v>229.0</v>
      </c>
      <c r="B231" s="1" t="s">
        <v>712</v>
      </c>
      <c r="C231" s="1">
        <v>3.0</v>
      </c>
      <c r="D231" s="1" t="s">
        <v>650</v>
      </c>
      <c r="E231" s="1" t="s">
        <v>613</v>
      </c>
      <c r="F231" s="1" t="s">
        <v>713</v>
      </c>
      <c r="G231">
        <f>IFERROR(__xludf.DUMMYFUNCTION("INDEX(SPLIT(F231, ""-""), 1)
"),37.6994626368417)</f>
        <v>37.69946264</v>
      </c>
      <c r="H231">
        <f>IFERROR(__xludf.DUMMYFUNCTION("INDEX(SPLIT(F231, ""-""), 2)
"),121.873857490718)</f>
        <v>121.8738575</v>
      </c>
    </row>
    <row r="232">
      <c r="A232" s="1">
        <v>230.0</v>
      </c>
      <c r="B232" s="1" t="s">
        <v>714</v>
      </c>
      <c r="C232" s="1">
        <v>4.0</v>
      </c>
      <c r="D232" s="1" t="s">
        <v>715</v>
      </c>
      <c r="E232" s="1" t="s">
        <v>620</v>
      </c>
      <c r="F232" s="1" t="s">
        <v>716</v>
      </c>
      <c r="G232">
        <f>IFERROR(__xludf.DUMMYFUNCTION("INDEX(SPLIT(F232, ""-""), 1)
"),37.70584)</f>
        <v>37.70584</v>
      </c>
      <c r="H232">
        <f>IFERROR(__xludf.DUMMYFUNCTION("INDEX(SPLIT(F232, ""-""), 2)
"),121.927089999999)</f>
        <v>121.92709</v>
      </c>
    </row>
    <row r="233">
      <c r="A233" s="1">
        <v>231.0</v>
      </c>
      <c r="B233" s="1" t="s">
        <v>717</v>
      </c>
      <c r="C233" s="1">
        <v>3.5</v>
      </c>
      <c r="D233" s="1" t="s">
        <v>718</v>
      </c>
      <c r="E233" s="1" t="s">
        <v>620</v>
      </c>
      <c r="F233" s="1" t="s">
        <v>719</v>
      </c>
      <c r="G233">
        <f>IFERROR(__xludf.DUMMYFUNCTION("INDEX(SPLIT(F233, ""-""), 1)
"),37.70619)</f>
        <v>37.70619</v>
      </c>
      <c r="H233">
        <f>IFERROR(__xludf.DUMMYFUNCTION("INDEX(SPLIT(F233, ""-""), 2)
"),121.873789999999)</f>
        <v>121.87379</v>
      </c>
    </row>
    <row r="234">
      <c r="A234" s="1">
        <v>232.0</v>
      </c>
      <c r="B234" s="1" t="s">
        <v>720</v>
      </c>
      <c r="C234" s="1">
        <v>3.0</v>
      </c>
      <c r="D234" s="1" t="s">
        <v>663</v>
      </c>
      <c r="E234" s="1" t="s">
        <v>620</v>
      </c>
      <c r="F234" s="1" t="s">
        <v>721</v>
      </c>
      <c r="G234">
        <f>IFERROR(__xludf.DUMMYFUNCTION("INDEX(SPLIT(F234, ""-""), 1)
"),37.70515)</f>
        <v>37.70515</v>
      </c>
      <c r="H234">
        <f>IFERROR(__xludf.DUMMYFUNCTION("INDEX(SPLIT(F234, ""-""), 2)
"),121.876219999999)</f>
        <v>121.87622</v>
      </c>
    </row>
    <row r="235">
      <c r="A235" s="1">
        <v>233.0</v>
      </c>
      <c r="B235" s="1" t="s">
        <v>722</v>
      </c>
      <c r="C235" s="1">
        <v>4.0</v>
      </c>
      <c r="D235" s="1" t="s">
        <v>723</v>
      </c>
      <c r="E235" s="1" t="s">
        <v>620</v>
      </c>
      <c r="F235" s="1" t="s">
        <v>724</v>
      </c>
      <c r="G235">
        <f>IFERROR(__xludf.DUMMYFUNCTION("INDEX(SPLIT(F235, ""-""), 1)
"),37.710269)</f>
        <v>37.710269</v>
      </c>
      <c r="H235">
        <f>IFERROR(__xludf.DUMMYFUNCTION("INDEX(SPLIT(F235, ""-""), 2)
"),121.92861)</f>
        <v>121.92861</v>
      </c>
    </row>
    <row r="236">
      <c r="A236" s="1">
        <v>234.0</v>
      </c>
      <c r="B236" s="1" t="s">
        <v>725</v>
      </c>
      <c r="C236" s="1">
        <v>4.0</v>
      </c>
      <c r="D236" s="1" t="s">
        <v>726</v>
      </c>
      <c r="E236" s="1" t="s">
        <v>620</v>
      </c>
      <c r="F236" s="1" t="s">
        <v>727</v>
      </c>
      <c r="G236">
        <f>IFERROR(__xludf.DUMMYFUNCTION("INDEX(SPLIT(F236, ""-""), 1)
"),37.7031417208061)</f>
        <v>37.70314172</v>
      </c>
      <c r="H236">
        <f>IFERROR(__xludf.DUMMYFUNCTION("INDEX(SPLIT(F236, ""-""), 2)
"),121.866024709375)</f>
        <v>121.8660247</v>
      </c>
    </row>
    <row r="237">
      <c r="A237" s="1">
        <v>235.0</v>
      </c>
      <c r="B237" s="1" t="s">
        <v>728</v>
      </c>
      <c r="C237" s="1">
        <v>3.0</v>
      </c>
      <c r="D237" s="1" t="s">
        <v>663</v>
      </c>
      <c r="E237" s="1" t="s">
        <v>620</v>
      </c>
      <c r="F237" s="1" t="s">
        <v>729</v>
      </c>
      <c r="G237">
        <f>IFERROR(__xludf.DUMMYFUNCTION("INDEX(SPLIT(F237, ""-""), 1)
"),37.7045669555664)</f>
        <v>37.70456696</v>
      </c>
      <c r="H237">
        <f>IFERROR(__xludf.DUMMYFUNCTION("INDEX(SPLIT(F237, ""-""), 2)
"),121.875450134277)</f>
        <v>121.8754501</v>
      </c>
    </row>
    <row r="238">
      <c r="A238" s="1">
        <v>236.0</v>
      </c>
      <c r="B238" s="1" t="s">
        <v>730</v>
      </c>
      <c r="C238" s="1">
        <v>4.0</v>
      </c>
      <c r="D238" s="1" t="s">
        <v>731</v>
      </c>
      <c r="E238" s="1" t="s">
        <v>620</v>
      </c>
      <c r="F238" s="1" t="s">
        <v>732</v>
      </c>
      <c r="G238">
        <f>IFERROR(__xludf.DUMMYFUNCTION("INDEX(SPLIT(F238, ""-""), 1)
"),37.7050599999999)</f>
        <v>37.70506</v>
      </c>
      <c r="H238">
        <f>IFERROR(__xludf.DUMMYFUNCTION("INDEX(SPLIT(F238, ""-""), 2)
"),121.934869999999)</f>
        <v>121.93487</v>
      </c>
    </row>
    <row r="239">
      <c r="A239" s="1">
        <v>237.0</v>
      </c>
      <c r="B239" s="1" t="s">
        <v>733</v>
      </c>
      <c r="C239" s="1">
        <v>3.5</v>
      </c>
      <c r="D239" s="1" t="s">
        <v>734</v>
      </c>
      <c r="E239" s="1" t="s">
        <v>620</v>
      </c>
      <c r="F239" s="1" t="s">
        <v>735</v>
      </c>
      <c r="G239">
        <f>IFERROR(__xludf.DUMMYFUNCTION("INDEX(SPLIT(F239, ""-""), 1)
"),37.7056511022749)</f>
        <v>37.7056511</v>
      </c>
      <c r="H239">
        <f>IFERROR(__xludf.DUMMYFUNCTION("INDEX(SPLIT(F239, ""-""), 2)
"),121.933658346534)</f>
        <v>121.9336583</v>
      </c>
    </row>
    <row r="240">
      <c r="A240" s="1">
        <v>238.0</v>
      </c>
      <c r="B240" s="1" t="s">
        <v>736</v>
      </c>
      <c r="C240" s="1">
        <v>3.5</v>
      </c>
      <c r="D240" s="1" t="s">
        <v>737</v>
      </c>
      <c r="E240" s="1" t="s">
        <v>657</v>
      </c>
      <c r="F240" s="1" t="s">
        <v>738</v>
      </c>
      <c r="G240">
        <f>IFERROR(__xludf.DUMMYFUNCTION("INDEX(SPLIT(F240, ""-""), 1)
"),37.7293891906737)</f>
        <v>37.72938919</v>
      </c>
      <c r="H240">
        <f>IFERROR(__xludf.DUMMYFUNCTION("INDEX(SPLIT(F240, ""-""), 2)
"),121.931442260742)</f>
        <v>121.9314423</v>
      </c>
    </row>
    <row r="241">
      <c r="A241" s="1">
        <v>239.0</v>
      </c>
      <c r="B241" s="1" t="s">
        <v>739</v>
      </c>
      <c r="C241" s="1">
        <v>3.5</v>
      </c>
      <c r="D241" s="1" t="s">
        <v>740</v>
      </c>
      <c r="E241" s="1" t="s">
        <v>26</v>
      </c>
      <c r="F241" s="1" t="s">
        <v>741</v>
      </c>
      <c r="G241">
        <f>IFERROR(__xludf.DUMMYFUNCTION("INDEX(SPLIT(F241, ""-""), 1)
"),37.54772)</f>
        <v>37.54772</v>
      </c>
      <c r="H241">
        <f>IFERROR(__xludf.DUMMYFUNCTION("INDEX(SPLIT(F241, ""-""), 2)
"),122.0466)</f>
        <v>122.0466</v>
      </c>
    </row>
    <row r="242">
      <c r="A242" s="1">
        <v>240.0</v>
      </c>
      <c r="B242" s="1" t="s">
        <v>742</v>
      </c>
      <c r="C242" s="1">
        <v>3.5</v>
      </c>
      <c r="D242" s="1" t="s">
        <v>743</v>
      </c>
      <c r="E242" s="1" t="s">
        <v>87</v>
      </c>
      <c r="F242" s="1" t="s">
        <v>744</v>
      </c>
      <c r="G242">
        <f>IFERROR(__xludf.DUMMYFUNCTION("INDEX(SPLIT(F242, ""-""), 1)
"),37.5866447999999)</f>
        <v>37.5866448</v>
      </c>
      <c r="H242">
        <f>IFERROR(__xludf.DUMMYFUNCTION("INDEX(SPLIT(F242, ""-""), 2)
"),122.0201868)</f>
        <v>122.0201868</v>
      </c>
    </row>
    <row r="243">
      <c r="A243" s="1">
        <v>241.0</v>
      </c>
      <c r="B243" s="1" t="s">
        <v>745</v>
      </c>
      <c r="C243" s="1">
        <v>4.0</v>
      </c>
      <c r="D243" s="1" t="s">
        <v>746</v>
      </c>
      <c r="E243" s="1" t="s">
        <v>26</v>
      </c>
      <c r="F243" s="1" t="s">
        <v>747</v>
      </c>
      <c r="G243">
        <f>IFERROR(__xludf.DUMMYFUNCTION("INDEX(SPLIT(F243, ""-""), 1)
"),37.5508)</f>
        <v>37.5508</v>
      </c>
      <c r="H243">
        <f>IFERROR(__xludf.DUMMYFUNCTION("INDEX(SPLIT(F243, ""-""), 2)
"),122.0509)</f>
        <v>122.0509</v>
      </c>
    </row>
    <row r="244">
      <c r="A244" s="1">
        <v>242.0</v>
      </c>
      <c r="B244" s="1" t="s">
        <v>748</v>
      </c>
      <c r="C244" s="1">
        <v>4.0</v>
      </c>
      <c r="D244" s="1" t="s">
        <v>749</v>
      </c>
      <c r="E244" s="1" t="s">
        <v>26</v>
      </c>
      <c r="F244" s="1" t="s">
        <v>750</v>
      </c>
      <c r="G244">
        <f>IFERROR(__xludf.DUMMYFUNCTION("INDEX(SPLIT(F244, ""-""), 1)
"),37.52314)</f>
        <v>37.52314</v>
      </c>
      <c r="H244">
        <f>IFERROR(__xludf.DUMMYFUNCTION("INDEX(SPLIT(F244, ""-""), 2)
"),122.00792)</f>
        <v>122.00792</v>
      </c>
    </row>
    <row r="245">
      <c r="A245" s="1">
        <v>243.0</v>
      </c>
      <c r="B245" s="1" t="s">
        <v>751</v>
      </c>
      <c r="C245" s="1">
        <v>5.0</v>
      </c>
      <c r="D245" s="1" t="s">
        <v>752</v>
      </c>
      <c r="E245" s="1" t="s">
        <v>87</v>
      </c>
      <c r="F245" s="1" t="s">
        <v>753</v>
      </c>
      <c r="G245">
        <f>IFERROR(__xludf.DUMMYFUNCTION("INDEX(SPLIT(F245, ""-""), 1)
"),37.5895628278523)</f>
        <v>37.58956283</v>
      </c>
      <c r="H245">
        <f>IFERROR(__xludf.DUMMYFUNCTION("INDEX(SPLIT(F245, ""-""), 2)
"),122.022492714298)</f>
        <v>122.0224927</v>
      </c>
    </row>
    <row r="246">
      <c r="A246" s="1">
        <v>244.0</v>
      </c>
      <c r="B246" s="1" t="s">
        <v>754</v>
      </c>
      <c r="C246" s="1">
        <v>4.5</v>
      </c>
      <c r="D246" s="1" t="s">
        <v>755</v>
      </c>
      <c r="E246" s="1" t="s">
        <v>10</v>
      </c>
      <c r="F246" s="1" t="s">
        <v>756</v>
      </c>
      <c r="G246">
        <f>IFERROR(__xludf.DUMMYFUNCTION("INDEX(SPLIT(F246, ""-""), 1)
"),37.5436017856673)</f>
        <v>37.54360179</v>
      </c>
      <c r="H246">
        <f>IFERROR(__xludf.DUMMYFUNCTION("INDEX(SPLIT(F246, ""-""), 2)
"),121.984061099299)</f>
        <v>121.9840611</v>
      </c>
    </row>
    <row r="247">
      <c r="A247" s="1">
        <v>245.0</v>
      </c>
      <c r="B247" s="1" t="s">
        <v>757</v>
      </c>
      <c r="C247" s="1">
        <v>4.0</v>
      </c>
      <c r="D247" s="1" t="s">
        <v>758</v>
      </c>
      <c r="E247" s="1" t="s">
        <v>26</v>
      </c>
      <c r="F247" s="1" t="s">
        <v>759</v>
      </c>
      <c r="G247">
        <f>IFERROR(__xludf.DUMMYFUNCTION("INDEX(SPLIT(F247, ""-""), 1)
"),37.5282307999999)</f>
        <v>37.5282308</v>
      </c>
      <c r="H247">
        <f>IFERROR(__xludf.DUMMYFUNCTION("INDEX(SPLIT(F247, ""-""), 2)
"),122.000245799999)</f>
        <v>122.0002458</v>
      </c>
    </row>
    <row r="248">
      <c r="A248" s="1">
        <v>246.0</v>
      </c>
      <c r="B248" s="1" t="s">
        <v>760</v>
      </c>
      <c r="C248" s="1">
        <v>3.0</v>
      </c>
      <c r="D248" s="1" t="s">
        <v>761</v>
      </c>
      <c r="E248" s="1" t="s">
        <v>10</v>
      </c>
      <c r="F248" s="1" t="s">
        <v>762</v>
      </c>
      <c r="G248">
        <f>IFERROR(__xludf.DUMMYFUNCTION("INDEX(SPLIT(F248, ""-""), 1)
"),37.5461699480404)</f>
        <v>37.54616995</v>
      </c>
      <c r="H248">
        <f>IFERROR(__xludf.DUMMYFUNCTION("INDEX(SPLIT(F248, ""-""), 2)
"),121.987401525697)</f>
        <v>121.9874015</v>
      </c>
    </row>
    <row r="249">
      <c r="A249" s="1">
        <v>247.0</v>
      </c>
      <c r="B249" s="1" t="s">
        <v>763</v>
      </c>
      <c r="C249" s="1">
        <v>3.5</v>
      </c>
      <c r="D249" s="1" t="s">
        <v>764</v>
      </c>
      <c r="E249" s="1" t="s">
        <v>26</v>
      </c>
      <c r="F249" s="1" t="s">
        <v>765</v>
      </c>
      <c r="G249">
        <f>IFERROR(__xludf.DUMMYFUNCTION("INDEX(SPLIT(F249, ""-""), 1)
"),37.5236587144356)</f>
        <v>37.52365871</v>
      </c>
      <c r="H249">
        <f>IFERROR(__xludf.DUMMYFUNCTION("INDEX(SPLIT(F249, ""-""), 2)
"),122.007144735602)</f>
        <v>122.0071447</v>
      </c>
    </row>
    <row r="250">
      <c r="A250" s="1">
        <v>248.0</v>
      </c>
      <c r="B250" s="1" t="s">
        <v>766</v>
      </c>
      <c r="C250" s="1">
        <v>3.5</v>
      </c>
      <c r="D250" s="1" t="s">
        <v>767</v>
      </c>
      <c r="E250" s="1" t="s">
        <v>87</v>
      </c>
      <c r="F250" s="1" t="s">
        <v>768</v>
      </c>
      <c r="G250">
        <f>IFERROR(__xludf.DUMMYFUNCTION("INDEX(SPLIT(F250, ""-""), 1)
"),37.5914603130932)</f>
        <v>37.59146031</v>
      </c>
      <c r="H250">
        <f>IFERROR(__xludf.DUMMYFUNCTION("INDEX(SPLIT(F250, ""-""), 2)
"),122.071111434568)</f>
        <v>122.0711114</v>
      </c>
    </row>
    <row r="251">
      <c r="A251" s="1">
        <v>249.0</v>
      </c>
      <c r="B251" s="1" t="s">
        <v>769</v>
      </c>
      <c r="C251" s="1">
        <v>4.5</v>
      </c>
      <c r="D251" s="1" t="s">
        <v>770</v>
      </c>
      <c r="E251" s="1" t="s">
        <v>26</v>
      </c>
      <c r="F251" s="1" t="s">
        <v>771</v>
      </c>
      <c r="G251">
        <f>IFERROR(__xludf.DUMMYFUNCTION("INDEX(SPLIT(F251, ""-""), 1)
"),37.5218169879729)</f>
        <v>37.52181699</v>
      </c>
      <c r="H251">
        <f>IFERROR(__xludf.DUMMYFUNCTION("INDEX(SPLIT(F251, ""-""), 2)
"),121.997366492815)</f>
        <v>121.9973665</v>
      </c>
    </row>
    <row r="252">
      <c r="A252" s="1">
        <v>250.0</v>
      </c>
      <c r="B252" s="1" t="s">
        <v>772</v>
      </c>
      <c r="C252" s="1">
        <v>4.5</v>
      </c>
      <c r="D252" s="1" t="s">
        <v>68</v>
      </c>
      <c r="E252" s="1" t="s">
        <v>10</v>
      </c>
      <c r="F252" s="1" t="s">
        <v>773</v>
      </c>
      <c r="G252">
        <f>IFERROR(__xludf.DUMMYFUNCTION("INDEX(SPLIT(F252, ""-""), 1)
"),37.5751187606321)</f>
        <v>37.57511876</v>
      </c>
      <c r="H252">
        <f>IFERROR(__xludf.DUMMYFUNCTION("INDEX(SPLIT(F252, ""-""), 2)
"),122.038859706704)</f>
        <v>122.0388597</v>
      </c>
    </row>
    <row r="253">
      <c r="A253" s="1">
        <v>251.0</v>
      </c>
      <c r="B253" s="1" t="s">
        <v>774</v>
      </c>
      <c r="C253" s="1">
        <v>4.0</v>
      </c>
      <c r="D253" s="1" t="s">
        <v>775</v>
      </c>
      <c r="E253" s="1" t="s">
        <v>87</v>
      </c>
      <c r="F253" s="1" t="s">
        <v>776</v>
      </c>
      <c r="G253">
        <f>IFERROR(__xludf.DUMMYFUNCTION("INDEX(SPLIT(F253, ""-""), 1)
"),37.589058513675)</f>
        <v>37.58905851</v>
      </c>
      <c r="H253">
        <f>IFERROR(__xludf.DUMMYFUNCTION("INDEX(SPLIT(F253, ""-""), 2)
"),122.01876368886)</f>
        <v>122.0187637</v>
      </c>
    </row>
    <row r="254">
      <c r="A254" s="1">
        <v>252.0</v>
      </c>
      <c r="B254" s="1" t="s">
        <v>777</v>
      </c>
      <c r="C254" s="1">
        <v>4.0</v>
      </c>
      <c r="D254" s="1" t="s">
        <v>778</v>
      </c>
      <c r="E254" s="1" t="s">
        <v>10</v>
      </c>
      <c r="F254" s="1" t="s">
        <v>779</v>
      </c>
      <c r="G254">
        <f>IFERROR(__xludf.DUMMYFUNCTION("INDEX(SPLIT(F254, ""-""), 1)
"),37.570362)</f>
        <v>37.570362</v>
      </c>
      <c r="H254">
        <f>IFERROR(__xludf.DUMMYFUNCTION("INDEX(SPLIT(F254, ""-""), 2)
"),122.0318791)</f>
        <v>122.0318791</v>
      </c>
    </row>
    <row r="255">
      <c r="A255" s="1">
        <v>253.0</v>
      </c>
      <c r="B255" s="1" t="s">
        <v>780</v>
      </c>
      <c r="C255" s="1">
        <v>3.5</v>
      </c>
      <c r="D255" s="1" t="s">
        <v>781</v>
      </c>
      <c r="E255" s="1" t="s">
        <v>10</v>
      </c>
      <c r="F255" s="1" t="s">
        <v>782</v>
      </c>
      <c r="G255">
        <f>IFERROR(__xludf.DUMMYFUNCTION("INDEX(SPLIT(F255, ""-""), 1)
"),37.50466)</f>
        <v>37.50466</v>
      </c>
      <c r="H255">
        <f>IFERROR(__xludf.DUMMYFUNCTION("INDEX(SPLIT(F255, ""-""), 2)
"),121.97634)</f>
        <v>121.97634</v>
      </c>
    </row>
    <row r="256">
      <c r="A256" s="1">
        <v>254.0</v>
      </c>
      <c r="B256" s="1" t="s">
        <v>783</v>
      </c>
      <c r="C256" s="1">
        <v>4.0</v>
      </c>
      <c r="D256" s="1" t="s">
        <v>784</v>
      </c>
      <c r="E256" s="1" t="s">
        <v>785</v>
      </c>
      <c r="F256" s="1" t="s">
        <v>786</v>
      </c>
      <c r="G256">
        <f>IFERROR(__xludf.DUMMYFUNCTION("INDEX(SPLIT(F256, ""-""), 1)
"),37.5027402543983)</f>
        <v>37.50274025</v>
      </c>
      <c r="H256">
        <f>IFERROR(__xludf.DUMMYFUNCTION("INDEX(SPLIT(F256, ""-""), 2)
"),122.256980158539)</f>
        <v>122.2569802</v>
      </c>
    </row>
    <row r="257">
      <c r="A257" s="1">
        <v>255.0</v>
      </c>
      <c r="B257" s="1" t="s">
        <v>787</v>
      </c>
      <c r="C257" s="1">
        <v>4.5</v>
      </c>
      <c r="D257" s="1" t="s">
        <v>788</v>
      </c>
      <c r="E257" s="1" t="s">
        <v>789</v>
      </c>
      <c r="F257" s="1" t="s">
        <v>790</v>
      </c>
      <c r="G257">
        <f>IFERROR(__xludf.DUMMYFUNCTION("INDEX(SPLIT(F257, ""-""), 1)
"),37.4839509441577)</f>
        <v>37.48395094</v>
      </c>
      <c r="H257">
        <f>IFERROR(__xludf.DUMMYFUNCTION("INDEX(SPLIT(F257, ""-""), 2)
"),122.232653501548)</f>
        <v>122.2326535</v>
      </c>
    </row>
    <row r="258">
      <c r="A258" s="1">
        <v>256.0</v>
      </c>
      <c r="B258" s="1" t="s">
        <v>791</v>
      </c>
      <c r="C258" s="1">
        <v>3.5</v>
      </c>
      <c r="D258" s="1" t="s">
        <v>792</v>
      </c>
      <c r="E258" s="1" t="s">
        <v>793</v>
      </c>
      <c r="F258" s="1" t="s">
        <v>794</v>
      </c>
      <c r="G258">
        <f>IFERROR(__xludf.DUMMYFUNCTION("INDEX(SPLIT(F258, ""-""), 1)
"),37.6731435370977)</f>
        <v>37.67314354</v>
      </c>
      <c r="H258">
        <f>IFERROR(__xludf.DUMMYFUNCTION("INDEX(SPLIT(F258, ""-""), 2)
"),122.082034402975)</f>
        <v>122.0820344</v>
      </c>
    </row>
    <row r="259">
      <c r="A259" s="1">
        <v>257.0</v>
      </c>
      <c r="B259" s="1" t="s">
        <v>795</v>
      </c>
      <c r="C259" s="1">
        <v>4.5</v>
      </c>
      <c r="D259" s="1" t="s">
        <v>796</v>
      </c>
      <c r="E259" s="1" t="s">
        <v>121</v>
      </c>
      <c r="F259" s="1" t="s">
        <v>797</v>
      </c>
      <c r="G259">
        <f>IFERROR(__xludf.DUMMYFUNCTION("INDEX(SPLIT(F259, ""-""), 1)
"),37.6960964188897)</f>
        <v>37.69609642</v>
      </c>
      <c r="H259">
        <f>IFERROR(__xludf.DUMMYFUNCTION("INDEX(SPLIT(F259, ""-""), 2)
"),122.078565023838)</f>
        <v>122.078565</v>
      </c>
    </row>
    <row r="260">
      <c r="A260" s="1">
        <v>258.0</v>
      </c>
      <c r="B260" s="1" t="s">
        <v>798</v>
      </c>
      <c r="C260" s="1">
        <v>3.5</v>
      </c>
      <c r="D260" s="1" t="s">
        <v>799</v>
      </c>
      <c r="E260" s="1" t="s">
        <v>793</v>
      </c>
      <c r="F260" s="1" t="s">
        <v>800</v>
      </c>
      <c r="G260">
        <f>IFERROR(__xludf.DUMMYFUNCTION("INDEX(SPLIT(F260, ""-""), 1)
"),37.6660188062353)</f>
        <v>37.66601881</v>
      </c>
      <c r="H260">
        <f>IFERROR(__xludf.DUMMYFUNCTION("INDEX(SPLIT(F260, ""-""), 2)
"),122.108395027727)</f>
        <v>122.108395</v>
      </c>
    </row>
    <row r="261">
      <c r="A261" s="1">
        <v>259.0</v>
      </c>
      <c r="B261" s="1" t="s">
        <v>801</v>
      </c>
      <c r="C261" s="1">
        <v>4.0</v>
      </c>
      <c r="D261" s="1" t="s">
        <v>802</v>
      </c>
      <c r="E261" s="1" t="s">
        <v>135</v>
      </c>
      <c r="F261" s="1" t="s">
        <v>803</v>
      </c>
      <c r="G261">
        <f>IFERROR(__xludf.DUMMYFUNCTION("INDEX(SPLIT(F261, ""-""), 1)
"),37.445381)</f>
        <v>37.445381</v>
      </c>
      <c r="H261">
        <f>IFERROR(__xludf.DUMMYFUNCTION("INDEX(SPLIT(F261, ""-""), 2)
"),122.160993999999)</f>
        <v>122.160994</v>
      </c>
    </row>
    <row r="262">
      <c r="A262" s="1">
        <v>260.0</v>
      </c>
      <c r="B262" s="1" t="s">
        <v>804</v>
      </c>
      <c r="C262" s="1">
        <v>4.0</v>
      </c>
      <c r="D262" s="1" t="s">
        <v>805</v>
      </c>
      <c r="E262" s="1" t="s">
        <v>789</v>
      </c>
      <c r="F262" s="1" t="s">
        <v>806</v>
      </c>
      <c r="G262">
        <f>IFERROR(__xludf.DUMMYFUNCTION("INDEX(SPLIT(F262, ""-""), 1)
"),37.487118)</f>
        <v>37.487118</v>
      </c>
      <c r="H262">
        <f>IFERROR(__xludf.DUMMYFUNCTION("INDEX(SPLIT(F262, ""-""), 2)
"),122.229624)</f>
        <v>122.229624</v>
      </c>
    </row>
    <row r="263">
      <c r="A263" s="1">
        <v>261.0</v>
      </c>
      <c r="B263" s="1" t="s">
        <v>807</v>
      </c>
      <c r="C263" s="1">
        <v>4.0</v>
      </c>
      <c r="D263" s="1" t="s">
        <v>808</v>
      </c>
      <c r="E263" s="1" t="s">
        <v>793</v>
      </c>
      <c r="F263" s="1" t="s">
        <v>809</v>
      </c>
      <c r="G263">
        <f>IFERROR(__xludf.DUMMYFUNCTION("INDEX(SPLIT(F263, ""-""), 1)
"),37.6737070083617)</f>
        <v>37.67370701</v>
      </c>
      <c r="H263">
        <f>IFERROR(__xludf.DUMMYFUNCTION("INDEX(SPLIT(F263, ""-""), 2)
"),122.081397101283)</f>
        <v>122.0813971</v>
      </c>
    </row>
    <row r="264">
      <c r="A264" s="1">
        <v>262.0</v>
      </c>
      <c r="B264" s="1" t="s">
        <v>810</v>
      </c>
      <c r="C264" s="1">
        <v>4.0</v>
      </c>
      <c r="D264" s="1" t="s">
        <v>811</v>
      </c>
      <c r="E264" s="1" t="s">
        <v>501</v>
      </c>
      <c r="F264" s="1" t="s">
        <v>812</v>
      </c>
      <c r="G264">
        <f>IFERROR(__xludf.DUMMYFUNCTION("INDEX(SPLIT(F264, ""-""), 1)
"),37.3371504153713)</f>
        <v>37.33715042</v>
      </c>
      <c r="H264">
        <f>IFERROR(__xludf.DUMMYFUNCTION("INDEX(SPLIT(F264, ""-""), 2)
"),122.040352492869)</f>
        <v>122.0403525</v>
      </c>
    </row>
    <row r="265">
      <c r="A265" s="1">
        <v>263.0</v>
      </c>
      <c r="B265" s="1" t="s">
        <v>813</v>
      </c>
      <c r="C265" s="1">
        <v>4.0</v>
      </c>
      <c r="D265" s="1" t="s">
        <v>814</v>
      </c>
      <c r="E265" s="1" t="s">
        <v>501</v>
      </c>
      <c r="F265" s="1" t="s">
        <v>815</v>
      </c>
      <c r="G265">
        <f>IFERROR(__xludf.DUMMYFUNCTION("INDEX(SPLIT(F265, ""-""), 1)
"),37.3361159244324)</f>
        <v>37.33611592</v>
      </c>
      <c r="H265">
        <f>IFERROR(__xludf.DUMMYFUNCTION("INDEX(SPLIT(F265, ""-""), 2)
"),122.015890307528)</f>
        <v>122.0158903</v>
      </c>
    </row>
    <row r="266">
      <c r="A266" s="1">
        <v>264.0</v>
      </c>
      <c r="B266" s="1" t="s">
        <v>816</v>
      </c>
      <c r="C266" s="1">
        <v>3.5</v>
      </c>
      <c r="D266" s="1" t="s">
        <v>817</v>
      </c>
      <c r="E266" s="1" t="s">
        <v>501</v>
      </c>
      <c r="F266" s="1" t="s">
        <v>818</v>
      </c>
      <c r="G266">
        <f>IFERROR(__xludf.DUMMYFUNCTION("INDEX(SPLIT(F266, ""-""), 1)
"),37.3232384288673)</f>
        <v>37.32323843</v>
      </c>
      <c r="H266">
        <f>IFERROR(__xludf.DUMMYFUNCTION("INDEX(SPLIT(F266, ""-""), 2)
"),122.022949657147)</f>
        <v>122.0229497</v>
      </c>
    </row>
    <row r="267">
      <c r="A267" s="1">
        <v>265.0</v>
      </c>
      <c r="B267" s="1" t="s">
        <v>819</v>
      </c>
      <c r="C267" s="1">
        <v>3.5</v>
      </c>
      <c r="D267" s="1" t="s">
        <v>820</v>
      </c>
      <c r="E267" s="1" t="s">
        <v>501</v>
      </c>
      <c r="F267" s="1" t="s">
        <v>821</v>
      </c>
      <c r="G267">
        <f>IFERROR(__xludf.DUMMYFUNCTION("INDEX(SPLIT(F267, ""-""), 1)
"),37.3223942970538)</f>
        <v>37.3223943</v>
      </c>
      <c r="H267">
        <f>IFERROR(__xludf.DUMMYFUNCTION("INDEX(SPLIT(F267, ""-""), 2)
"),122.016749576721)</f>
        <v>122.0167496</v>
      </c>
    </row>
    <row r="268">
      <c r="A268" s="1">
        <v>266.0</v>
      </c>
      <c r="B268" s="1" t="s">
        <v>822</v>
      </c>
      <c r="C268" s="1">
        <v>4.5</v>
      </c>
      <c r="D268" s="1" t="s">
        <v>823</v>
      </c>
      <c r="E268" s="1" t="s">
        <v>501</v>
      </c>
      <c r="F268" s="1" t="s">
        <v>824</v>
      </c>
      <c r="G268">
        <f>IFERROR(__xludf.DUMMYFUNCTION("INDEX(SPLIT(F268, ""-""), 1)
"),37.3362175002018)</f>
        <v>37.3362175</v>
      </c>
      <c r="H268">
        <f>IFERROR(__xludf.DUMMYFUNCTION("INDEX(SPLIT(F268, ""-""), 2)
"),122.015137771311)</f>
        <v>122.0151378</v>
      </c>
    </row>
    <row r="269">
      <c r="A269" s="1">
        <v>267.0</v>
      </c>
      <c r="B269" s="1" t="s">
        <v>825</v>
      </c>
      <c r="C269" s="1">
        <v>4.0</v>
      </c>
      <c r="D269" s="1" t="s">
        <v>826</v>
      </c>
      <c r="E269" s="1" t="s">
        <v>501</v>
      </c>
      <c r="F269" s="1" t="s">
        <v>827</v>
      </c>
      <c r="G269">
        <f>IFERROR(__xludf.DUMMYFUNCTION("INDEX(SPLIT(F269, ""-""), 1)
"),37.3356484303065)</f>
        <v>37.33564843</v>
      </c>
      <c r="H269">
        <f>IFERROR(__xludf.DUMMYFUNCTION("INDEX(SPLIT(F269, ""-""), 2)
"),122.014956682871)</f>
        <v>122.0149567</v>
      </c>
    </row>
    <row r="270">
      <c r="A270" s="1">
        <v>268.0</v>
      </c>
      <c r="B270" s="1" t="s">
        <v>828</v>
      </c>
      <c r="C270" s="1">
        <v>3.0</v>
      </c>
      <c r="D270" s="1" t="s">
        <v>829</v>
      </c>
      <c r="E270" s="1" t="s">
        <v>501</v>
      </c>
      <c r="F270" s="1" t="s">
        <v>830</v>
      </c>
      <c r="G270">
        <f>IFERROR(__xludf.DUMMYFUNCTION("INDEX(SPLIT(F270, ""-""), 1)
"),37.3243651)</f>
        <v>37.3243651</v>
      </c>
      <c r="H270">
        <f>IFERROR(__xludf.DUMMYFUNCTION("INDEX(SPLIT(F270, ""-""), 2)
"),122.0105533)</f>
        <v>122.0105533</v>
      </c>
    </row>
    <row r="271">
      <c r="A271" s="1">
        <v>269.0</v>
      </c>
      <c r="B271" s="1" t="s">
        <v>831</v>
      </c>
      <c r="C271" s="1">
        <v>3.5</v>
      </c>
      <c r="D271" s="1" t="s">
        <v>832</v>
      </c>
      <c r="E271" s="1" t="s">
        <v>501</v>
      </c>
      <c r="F271" s="1" t="s">
        <v>833</v>
      </c>
      <c r="G271">
        <f>IFERROR(__xludf.DUMMYFUNCTION("INDEX(SPLIT(F271, ""-""), 1)
"),37.31361)</f>
        <v>37.31361</v>
      </c>
      <c r="H271">
        <f>IFERROR(__xludf.DUMMYFUNCTION("INDEX(SPLIT(F271, ""-""), 2)
"),122.03263)</f>
        <v>122.03263</v>
      </c>
    </row>
    <row r="272">
      <c r="A272" s="1">
        <v>270.0</v>
      </c>
      <c r="B272" s="1" t="s">
        <v>834</v>
      </c>
      <c r="C272" s="1">
        <v>4.5</v>
      </c>
      <c r="D272" s="1" t="s">
        <v>835</v>
      </c>
      <c r="E272" s="1" t="s">
        <v>836</v>
      </c>
      <c r="F272" s="1" t="s">
        <v>837</v>
      </c>
      <c r="G272">
        <f>IFERROR(__xludf.DUMMYFUNCTION("INDEX(SPLIT(F272, ""-""), 1)
"),37.35065)</f>
        <v>37.35065</v>
      </c>
      <c r="H272">
        <f>IFERROR(__xludf.DUMMYFUNCTION("INDEX(SPLIT(F272, ""-""), 2)
"),122.049619999999)</f>
        <v>122.04962</v>
      </c>
    </row>
    <row r="273">
      <c r="A273" s="1">
        <v>271.0</v>
      </c>
      <c r="B273" s="1" t="s">
        <v>838</v>
      </c>
      <c r="C273" s="1">
        <v>5.0</v>
      </c>
      <c r="D273" s="1" t="s">
        <v>839</v>
      </c>
      <c r="E273" s="1" t="s">
        <v>836</v>
      </c>
      <c r="F273" s="1" t="s">
        <v>840</v>
      </c>
      <c r="G273">
        <f>IFERROR(__xludf.DUMMYFUNCTION("INDEX(SPLIT(F273, ""-""), 1)
"),37.36189)</f>
        <v>37.36189</v>
      </c>
      <c r="H273">
        <f>IFERROR(__xludf.DUMMYFUNCTION("INDEX(SPLIT(F273, ""-""), 2)
"),122.024539999999)</f>
        <v>122.02454</v>
      </c>
    </row>
    <row r="274">
      <c r="A274" s="1">
        <v>272.0</v>
      </c>
      <c r="B274" s="1" t="s">
        <v>841</v>
      </c>
      <c r="C274" s="1">
        <v>3.5</v>
      </c>
      <c r="D274" s="1" t="s">
        <v>842</v>
      </c>
      <c r="E274" s="1" t="s">
        <v>501</v>
      </c>
      <c r="F274" s="1" t="s">
        <v>843</v>
      </c>
      <c r="G274">
        <f>IFERROR(__xludf.DUMMYFUNCTION("INDEX(SPLIT(F274, ""-""), 1)
"),37.324498742943)</f>
        <v>37.32449874</v>
      </c>
      <c r="H274">
        <f>IFERROR(__xludf.DUMMYFUNCTION("INDEX(SPLIT(F274, ""-""), 2)
"),122.03407823789)</f>
        <v>122.0340782</v>
      </c>
    </row>
    <row r="275">
      <c r="A275" s="1">
        <v>273.0</v>
      </c>
      <c r="B275" s="1" t="s">
        <v>844</v>
      </c>
      <c r="C275" s="1">
        <v>4.5</v>
      </c>
      <c r="D275" s="1" t="s">
        <v>845</v>
      </c>
      <c r="E275" s="1" t="s">
        <v>836</v>
      </c>
      <c r="F275" s="1" t="s">
        <v>846</v>
      </c>
      <c r="G275">
        <f>IFERROR(__xludf.DUMMYFUNCTION("INDEX(SPLIT(F275, ""-""), 1)
"),37.33929)</f>
        <v>37.33929</v>
      </c>
      <c r="H275">
        <f>IFERROR(__xludf.DUMMYFUNCTION("INDEX(SPLIT(F275, ""-""), 2)
"),122.04255)</f>
        <v>122.04255</v>
      </c>
    </row>
    <row r="276">
      <c r="A276" s="1">
        <v>274.0</v>
      </c>
      <c r="B276" s="1" t="s">
        <v>847</v>
      </c>
      <c r="C276" s="1">
        <v>3.5</v>
      </c>
      <c r="D276" s="1" t="s">
        <v>848</v>
      </c>
      <c r="E276" s="1" t="s">
        <v>501</v>
      </c>
      <c r="F276" s="1" t="s">
        <v>849</v>
      </c>
      <c r="G276">
        <f>IFERROR(__xludf.DUMMYFUNCTION("INDEX(SPLIT(F276, ""-""), 1)
"),37.323241317778)</f>
        <v>37.32324132</v>
      </c>
      <c r="H276">
        <f>IFERROR(__xludf.DUMMYFUNCTION("INDEX(SPLIT(F276, ""-""), 2)
"),122.012261466162)</f>
        <v>122.0122615</v>
      </c>
    </row>
    <row r="277">
      <c r="A277" s="1">
        <v>275.0</v>
      </c>
      <c r="B277" s="1" t="s">
        <v>850</v>
      </c>
      <c r="C277" s="1">
        <v>4.0</v>
      </c>
      <c r="D277" s="1" t="s">
        <v>851</v>
      </c>
      <c r="E277" s="1" t="s">
        <v>501</v>
      </c>
      <c r="F277" s="1" t="s">
        <v>852</v>
      </c>
      <c r="G277">
        <f>IFERROR(__xludf.DUMMYFUNCTION("INDEX(SPLIT(F277, ""-""), 1)
"),37.32328)</f>
        <v>37.32328</v>
      </c>
      <c r="H277">
        <f>IFERROR(__xludf.DUMMYFUNCTION("INDEX(SPLIT(F277, ""-""), 2)
"),122.01283)</f>
        <v>122.01283</v>
      </c>
    </row>
    <row r="278">
      <c r="A278" s="1">
        <v>276.0</v>
      </c>
      <c r="B278" s="1" t="s">
        <v>853</v>
      </c>
      <c r="C278" s="1">
        <v>4.0</v>
      </c>
      <c r="D278" s="1" t="s">
        <v>854</v>
      </c>
      <c r="E278" s="1" t="s">
        <v>836</v>
      </c>
      <c r="F278" s="1" t="s">
        <v>855</v>
      </c>
      <c r="G278">
        <f>IFERROR(__xludf.DUMMYFUNCTION("INDEX(SPLIT(F278, ""-""), 1)
"),37.3623572836214)</f>
        <v>37.36235728</v>
      </c>
      <c r="H278">
        <f>IFERROR(__xludf.DUMMYFUNCTION("INDEX(SPLIT(F278, ""-""), 2)
"),122.027256087022)</f>
        <v>122.0272561</v>
      </c>
    </row>
    <row r="279">
      <c r="A279" s="1">
        <v>277.0</v>
      </c>
      <c r="B279" s="1" t="s">
        <v>856</v>
      </c>
      <c r="C279" s="1">
        <v>3.0</v>
      </c>
      <c r="D279" s="1" t="s">
        <v>829</v>
      </c>
      <c r="E279" s="1" t="s">
        <v>501</v>
      </c>
      <c r="F279" s="1" t="s">
        <v>857</v>
      </c>
      <c r="G279">
        <f>IFERROR(__xludf.DUMMYFUNCTION("INDEX(SPLIT(F279, ""-""), 1)
"),37.3243989340148)</f>
        <v>37.32439893</v>
      </c>
      <c r="H279">
        <f>IFERROR(__xludf.DUMMYFUNCTION("INDEX(SPLIT(F279, ""-""), 2)
"),122.011138269321)</f>
        <v>122.0111383</v>
      </c>
    </row>
    <row r="280">
      <c r="A280" s="1">
        <v>278.0</v>
      </c>
      <c r="B280" s="1" t="s">
        <v>858</v>
      </c>
      <c r="C280" s="1">
        <v>3.5</v>
      </c>
      <c r="D280" s="1" t="s">
        <v>859</v>
      </c>
      <c r="E280" s="1" t="s">
        <v>501</v>
      </c>
      <c r="F280" s="1" t="s">
        <v>860</v>
      </c>
      <c r="G280">
        <f>IFERROR(__xludf.DUMMYFUNCTION("INDEX(SPLIT(F280, ""-""), 1)
"),37.3162384033203)</f>
        <v>37.3162384</v>
      </c>
      <c r="H280">
        <f>IFERROR(__xludf.DUMMYFUNCTION("INDEX(SPLIT(F280, ""-""), 2)
"),122.032508850098)</f>
        <v>122.0325089</v>
      </c>
    </row>
    <row r="281">
      <c r="A281" s="1">
        <v>279.0</v>
      </c>
      <c r="B281" s="1" t="s">
        <v>861</v>
      </c>
      <c r="C281" s="1">
        <v>4.0</v>
      </c>
      <c r="D281" s="1" t="s">
        <v>862</v>
      </c>
      <c r="E281" s="1" t="s">
        <v>863</v>
      </c>
      <c r="F281" s="1" t="s">
        <v>864</v>
      </c>
      <c r="G281">
        <f>IFERROR(__xludf.DUMMYFUNCTION("INDEX(SPLIT(F281, ""-""), 1)
"),37.29165)</f>
        <v>37.29165</v>
      </c>
      <c r="H281">
        <f>IFERROR(__xludf.DUMMYFUNCTION("INDEX(SPLIT(F281, ""-""), 2)
"),121.99636)</f>
        <v>121.99636</v>
      </c>
    </row>
    <row r="282">
      <c r="A282" s="1">
        <v>280.0</v>
      </c>
      <c r="B282" s="1" t="s">
        <v>865</v>
      </c>
      <c r="C282" s="1">
        <v>4.5</v>
      </c>
      <c r="D282" s="1" t="s">
        <v>866</v>
      </c>
      <c r="E282" s="1" t="s">
        <v>94</v>
      </c>
      <c r="F282" s="1" t="s">
        <v>867</v>
      </c>
      <c r="G282">
        <f>IFERROR(__xludf.DUMMYFUNCTION("INDEX(SPLIT(F282, ""-""), 1)
"),37.38565)</f>
        <v>37.38565</v>
      </c>
      <c r="H282">
        <f>IFERROR(__xludf.DUMMYFUNCTION("INDEX(SPLIT(F282, ""-""), 2)
"),122.08442)</f>
        <v>122.08442</v>
      </c>
    </row>
    <row r="283">
      <c r="A283" s="1">
        <v>281.0</v>
      </c>
      <c r="B283" s="1" t="s">
        <v>868</v>
      </c>
      <c r="C283" s="1">
        <v>4.0</v>
      </c>
      <c r="D283" s="1" t="s">
        <v>869</v>
      </c>
      <c r="E283" s="1" t="s">
        <v>511</v>
      </c>
      <c r="F283" s="1" t="s">
        <v>870</v>
      </c>
      <c r="G283">
        <f>IFERROR(__xludf.DUMMYFUNCTION("INDEX(SPLIT(F283, ""-""), 1)
"),37.3519877135188)</f>
        <v>37.35198771</v>
      </c>
      <c r="H283">
        <f>IFERROR(__xludf.DUMMYFUNCTION("INDEX(SPLIT(F283, ""-""), 2)
"),121.991230201809)</f>
        <v>121.9912302</v>
      </c>
    </row>
    <row r="284">
      <c r="A284" s="1">
        <v>282.0</v>
      </c>
      <c r="B284" s="1" t="s">
        <v>871</v>
      </c>
      <c r="C284" s="1">
        <v>4.0</v>
      </c>
      <c r="D284" s="1" t="s">
        <v>872</v>
      </c>
      <c r="E284" s="1" t="s">
        <v>511</v>
      </c>
      <c r="F284" s="1" t="s">
        <v>873</v>
      </c>
      <c r="G284">
        <f>IFERROR(__xludf.DUMMYFUNCTION("INDEX(SPLIT(F284, ""-""), 1)
"),37.35297)</f>
        <v>37.35297</v>
      </c>
      <c r="H284">
        <f>IFERROR(__xludf.DUMMYFUNCTION("INDEX(SPLIT(F284, ""-""), 2)
"),121.97705)</f>
        <v>121.97705</v>
      </c>
    </row>
    <row r="285">
      <c r="A285" s="1">
        <v>283.0</v>
      </c>
      <c r="B285" s="1" t="s">
        <v>874</v>
      </c>
      <c r="C285" s="1">
        <v>3.5</v>
      </c>
      <c r="D285" s="1" t="s">
        <v>875</v>
      </c>
      <c r="E285" s="1" t="s">
        <v>94</v>
      </c>
      <c r="F285" s="1" t="s">
        <v>876</v>
      </c>
      <c r="G285">
        <f>IFERROR(__xludf.DUMMYFUNCTION("INDEX(SPLIT(F285, ""-""), 1)
"),37.3934799)</f>
        <v>37.3934799</v>
      </c>
      <c r="H285">
        <f>IFERROR(__xludf.DUMMYFUNCTION("INDEX(SPLIT(F285, ""-""), 2)
"),122.07956)</f>
        <v>122.07956</v>
      </c>
    </row>
    <row r="286">
      <c r="A286" s="1">
        <v>284.0</v>
      </c>
      <c r="B286" s="1" t="s">
        <v>877</v>
      </c>
      <c r="C286" s="1">
        <v>4.0</v>
      </c>
      <c r="D286" s="1" t="s">
        <v>878</v>
      </c>
      <c r="E286" s="1" t="s">
        <v>94</v>
      </c>
      <c r="F286" s="1" t="s">
        <v>879</v>
      </c>
      <c r="G286">
        <f>IFERROR(__xludf.DUMMYFUNCTION("INDEX(SPLIT(F286, ""-""), 1)
"),37.3723)</f>
        <v>37.3723</v>
      </c>
      <c r="H286">
        <f>IFERROR(__xludf.DUMMYFUNCTION("INDEX(SPLIT(F286, ""-""), 2)
"),122.08801)</f>
        <v>122.08801</v>
      </c>
    </row>
    <row r="287">
      <c r="A287" s="1">
        <v>285.0</v>
      </c>
      <c r="B287" s="1" t="s">
        <v>880</v>
      </c>
      <c r="C287" s="1">
        <v>3.5</v>
      </c>
      <c r="D287" s="1" t="s">
        <v>881</v>
      </c>
      <c r="E287" s="1" t="s">
        <v>94</v>
      </c>
      <c r="F287" s="1" t="s">
        <v>882</v>
      </c>
      <c r="G287">
        <f>IFERROR(__xludf.DUMMYFUNCTION("INDEX(SPLIT(F287, ""-""), 1)
"),37.3941710599454)</f>
        <v>37.39417106</v>
      </c>
      <c r="H287">
        <f>IFERROR(__xludf.DUMMYFUNCTION("INDEX(SPLIT(F287, ""-""), 2)
"),122.079548804006)</f>
        <v>122.0795488</v>
      </c>
    </row>
    <row r="288">
      <c r="A288" s="1">
        <v>286.0</v>
      </c>
      <c r="B288" s="1" t="s">
        <v>883</v>
      </c>
      <c r="C288" s="1">
        <v>3.5</v>
      </c>
      <c r="D288" s="1" t="s">
        <v>884</v>
      </c>
      <c r="E288" s="1" t="s">
        <v>836</v>
      </c>
      <c r="F288" s="1" t="s">
        <v>885</v>
      </c>
      <c r="G288">
        <f>IFERROR(__xludf.DUMMYFUNCTION("INDEX(SPLIT(F288, ""-""), 1)
"),37.3813698999999)</f>
        <v>37.3813699</v>
      </c>
      <c r="H288">
        <f>IFERROR(__xludf.DUMMYFUNCTION("INDEX(SPLIT(F288, ""-""), 2)
"),122.00808)</f>
        <v>122.00808</v>
      </c>
    </row>
    <row r="289">
      <c r="A289" s="1">
        <v>287.0</v>
      </c>
      <c r="B289" s="1" t="s">
        <v>886</v>
      </c>
      <c r="C289" s="1">
        <v>3.5</v>
      </c>
      <c r="D289" s="1" t="s">
        <v>887</v>
      </c>
      <c r="E289" s="1" t="s">
        <v>117</v>
      </c>
      <c r="F289" s="1" t="s">
        <v>888</v>
      </c>
      <c r="G289">
        <f>IFERROR(__xludf.DUMMYFUNCTION("INDEX(SPLIT(F289, ""-""), 1)
"),37.3035809397697)</f>
        <v>37.30358094</v>
      </c>
      <c r="H289">
        <f>IFERROR(__xludf.DUMMYFUNCTION("INDEX(SPLIT(F289, ""-""), 2)
"),122.032403200865)</f>
        <v>122.0324032</v>
      </c>
    </row>
    <row r="290">
      <c r="A290" s="1">
        <v>288.0</v>
      </c>
      <c r="B290" s="1" t="s">
        <v>889</v>
      </c>
      <c r="C290" s="1">
        <v>4.0</v>
      </c>
      <c r="D290" s="1" t="s">
        <v>890</v>
      </c>
      <c r="E290" s="1" t="s">
        <v>117</v>
      </c>
      <c r="F290" s="1" t="s">
        <v>891</v>
      </c>
      <c r="G290">
        <f>IFERROR(__xludf.DUMMYFUNCTION("INDEX(SPLIT(F290, ""-""), 1)
"),37.31496320599)</f>
        <v>37.31496321</v>
      </c>
      <c r="H290">
        <f>IFERROR(__xludf.DUMMYFUNCTION("INDEX(SPLIT(F290, ""-""), 2)
"),121.978095221495)</f>
        <v>121.9780952</v>
      </c>
    </row>
    <row r="291">
      <c r="A291" s="1">
        <v>289.0</v>
      </c>
      <c r="B291" s="1" t="s">
        <v>892</v>
      </c>
      <c r="C291" s="1">
        <v>3.5</v>
      </c>
      <c r="D291" s="1" t="s">
        <v>893</v>
      </c>
      <c r="E291" s="1" t="s">
        <v>836</v>
      </c>
      <c r="F291" s="1" t="s">
        <v>894</v>
      </c>
      <c r="G291">
        <f>IFERROR(__xludf.DUMMYFUNCTION("INDEX(SPLIT(F291, ""-""), 1)
"),37.3763175470854)</f>
        <v>37.37631755</v>
      </c>
      <c r="H291">
        <f>IFERROR(__xludf.DUMMYFUNCTION("INDEX(SPLIT(F291, ""-""), 2)
"),122.031325878136)</f>
        <v>122.0313259</v>
      </c>
    </row>
    <row r="292">
      <c r="A292" s="1">
        <v>290.0</v>
      </c>
      <c r="B292" s="1" t="s">
        <v>895</v>
      </c>
      <c r="C292" s="1">
        <v>4.0</v>
      </c>
      <c r="D292" s="1" t="s">
        <v>896</v>
      </c>
      <c r="E292" s="1" t="s">
        <v>501</v>
      </c>
      <c r="F292" s="1" t="s">
        <v>897</v>
      </c>
      <c r="G292">
        <f>IFERROR(__xludf.DUMMYFUNCTION("INDEX(SPLIT(F292, ""-""), 1)
"),37.3225177360044)</f>
        <v>37.32251774</v>
      </c>
      <c r="H292">
        <f>IFERROR(__xludf.DUMMYFUNCTION("INDEX(SPLIT(F292, ""-""), 2)
"),122.017925500033)</f>
        <v>122.0179255</v>
      </c>
    </row>
    <row r="293">
      <c r="A293" s="1">
        <v>291.0</v>
      </c>
      <c r="B293" s="1" t="s">
        <v>898</v>
      </c>
      <c r="C293" s="1">
        <v>4.5</v>
      </c>
      <c r="D293" s="1" t="s">
        <v>899</v>
      </c>
      <c r="E293" s="1" t="s">
        <v>836</v>
      </c>
      <c r="F293" s="1" t="s">
        <v>900</v>
      </c>
      <c r="G293">
        <f>IFERROR(__xludf.DUMMYFUNCTION("INDEX(SPLIT(F293, ""-""), 1)
"),37.3878822408982)</f>
        <v>37.38788224</v>
      </c>
      <c r="H293">
        <f>IFERROR(__xludf.DUMMYFUNCTION("INDEX(SPLIT(F293, ""-""), 2)
"),122.024536281978)</f>
        <v>122.0245363</v>
      </c>
    </row>
    <row r="294">
      <c r="A294" s="1">
        <v>292.0</v>
      </c>
      <c r="B294" s="1" t="s">
        <v>901</v>
      </c>
      <c r="C294" s="1">
        <v>3.5</v>
      </c>
      <c r="D294" s="1" t="s">
        <v>902</v>
      </c>
      <c r="E294" s="1" t="s">
        <v>94</v>
      </c>
      <c r="F294" s="1" t="s">
        <v>903</v>
      </c>
      <c r="G294">
        <f>IFERROR(__xludf.DUMMYFUNCTION("INDEX(SPLIT(F294, ""-""), 1)
"),37.3770405227974)</f>
        <v>37.37704052</v>
      </c>
      <c r="H294">
        <f>IFERROR(__xludf.DUMMYFUNCTION("INDEX(SPLIT(F294, ""-""), 2)
"),122.076683293475)</f>
        <v>122.0766833</v>
      </c>
    </row>
    <row r="295">
      <c r="A295" s="1">
        <v>293.0</v>
      </c>
      <c r="B295" s="1" t="s">
        <v>904</v>
      </c>
      <c r="C295" s="1">
        <v>3.5</v>
      </c>
      <c r="D295" s="1" t="s">
        <v>905</v>
      </c>
      <c r="E295" s="1" t="s">
        <v>511</v>
      </c>
      <c r="F295" s="1" t="s">
        <v>906</v>
      </c>
      <c r="G295">
        <f>IFERROR(__xludf.DUMMYFUNCTION("INDEX(SPLIT(F295, ""-""), 1)
"),37.3928752137833)</f>
        <v>37.39287521</v>
      </c>
      <c r="H295">
        <f>IFERROR(__xludf.DUMMYFUNCTION("INDEX(SPLIT(F295, ""-""), 2)
"),121.977391160277)</f>
        <v>121.9773912</v>
      </c>
    </row>
    <row r="296">
      <c r="A296" s="1">
        <v>294.0</v>
      </c>
      <c r="B296" s="1" t="s">
        <v>907</v>
      </c>
      <c r="C296" s="1">
        <v>3.5</v>
      </c>
      <c r="D296" s="1" t="s">
        <v>908</v>
      </c>
      <c r="E296" s="1" t="s">
        <v>117</v>
      </c>
      <c r="F296" s="1" t="s">
        <v>909</v>
      </c>
      <c r="G296">
        <f>IFERROR(__xludf.DUMMYFUNCTION("INDEX(SPLIT(F296, ""-""), 1)
"),37.3065638999999)</f>
        <v>37.3065639</v>
      </c>
      <c r="H296">
        <f>IFERROR(__xludf.DUMMYFUNCTION("INDEX(SPLIT(F296, ""-""), 2)
"),122.0328361)</f>
        <v>122.0328361</v>
      </c>
    </row>
    <row r="297">
      <c r="A297" s="1">
        <v>295.0</v>
      </c>
      <c r="B297" s="1" t="s">
        <v>910</v>
      </c>
      <c r="C297" s="1">
        <v>3.5</v>
      </c>
      <c r="D297" s="1" t="s">
        <v>911</v>
      </c>
      <c r="E297" s="1" t="s">
        <v>511</v>
      </c>
      <c r="F297" s="1" t="s">
        <v>912</v>
      </c>
      <c r="G297">
        <f>IFERROR(__xludf.DUMMYFUNCTION("INDEX(SPLIT(F297, ""-""), 1)
"),37.3822051)</f>
        <v>37.3822051</v>
      </c>
      <c r="H297">
        <f>IFERROR(__xludf.DUMMYFUNCTION("INDEX(SPLIT(F297, ""-""), 2)
"),121.9761898)</f>
        <v>121.9761898</v>
      </c>
    </row>
    <row r="298">
      <c r="A298" s="1">
        <v>296.0</v>
      </c>
      <c r="B298" s="1" t="s">
        <v>913</v>
      </c>
      <c r="C298" s="1">
        <v>3.5</v>
      </c>
      <c r="D298" s="1" t="s">
        <v>914</v>
      </c>
      <c r="E298" s="1" t="s">
        <v>117</v>
      </c>
      <c r="F298" s="1" t="s">
        <v>915</v>
      </c>
      <c r="G298">
        <f>IFERROR(__xludf.DUMMYFUNCTION("INDEX(SPLIT(F298, ""-""), 1)
"),37.30529)</f>
        <v>37.30529</v>
      </c>
      <c r="H298">
        <f>IFERROR(__xludf.DUMMYFUNCTION("INDEX(SPLIT(F298, ""-""), 2)
"),122.031669999999)</f>
        <v>122.03167</v>
      </c>
    </row>
    <row r="299">
      <c r="A299" s="1">
        <v>297.0</v>
      </c>
      <c r="B299" s="1" t="s">
        <v>916</v>
      </c>
      <c r="C299" s="1">
        <v>3.5</v>
      </c>
      <c r="D299" s="1" t="s">
        <v>917</v>
      </c>
      <c r="E299" s="1" t="s">
        <v>511</v>
      </c>
      <c r="F299" s="1" t="s">
        <v>918</v>
      </c>
      <c r="G299">
        <f>IFERROR(__xludf.DUMMYFUNCTION("INDEX(SPLIT(F299, ""-""), 1)
"),37.3882893)</f>
        <v>37.3882893</v>
      </c>
      <c r="H299">
        <f>IFERROR(__xludf.DUMMYFUNCTION("INDEX(SPLIT(F299, ""-""), 2)
"),121.983559599999)</f>
        <v>121.9835596</v>
      </c>
    </row>
    <row r="300">
      <c r="A300" s="1">
        <v>298.0</v>
      </c>
      <c r="B300" s="1" t="s">
        <v>919</v>
      </c>
      <c r="C300" s="1">
        <v>4.0</v>
      </c>
      <c r="D300" s="1" t="s">
        <v>920</v>
      </c>
      <c r="E300" s="1" t="s">
        <v>511</v>
      </c>
      <c r="F300" s="1" t="s">
        <v>921</v>
      </c>
      <c r="G300">
        <f>IFERROR(__xludf.DUMMYFUNCTION("INDEX(SPLIT(F300, ""-""), 1)
"),37.3503116)</f>
        <v>37.3503116</v>
      </c>
      <c r="H300">
        <f>IFERROR(__xludf.DUMMYFUNCTION("INDEX(SPLIT(F300, ""-""), 2)
"),121.9438457)</f>
        <v>121.9438457</v>
      </c>
    </row>
    <row r="301">
      <c r="A301" s="1">
        <v>299.0</v>
      </c>
      <c r="B301" s="1" t="s">
        <v>922</v>
      </c>
      <c r="C301" s="1">
        <v>3.0</v>
      </c>
      <c r="D301" s="1" t="s">
        <v>923</v>
      </c>
      <c r="E301" s="1" t="s">
        <v>501</v>
      </c>
      <c r="F301" s="1" t="s">
        <v>924</v>
      </c>
      <c r="G301">
        <f>IFERROR(__xludf.DUMMYFUNCTION("INDEX(SPLIT(F301, ""-""), 1)
"),37.32349)</f>
        <v>37.32349</v>
      </c>
      <c r="H301">
        <f>IFERROR(__xludf.DUMMYFUNCTION("INDEX(SPLIT(F301, ""-""), 2)
"),122.047397)</f>
        <v>122.047397</v>
      </c>
    </row>
    <row r="302">
      <c r="A302" s="1">
        <v>300.0</v>
      </c>
      <c r="B302" s="1" t="s">
        <v>925</v>
      </c>
      <c r="C302" s="1">
        <v>4.0</v>
      </c>
      <c r="D302" s="1" t="s">
        <v>926</v>
      </c>
      <c r="E302" s="1" t="s">
        <v>511</v>
      </c>
      <c r="F302" s="1" t="s">
        <v>927</v>
      </c>
      <c r="G302">
        <f>IFERROR(__xludf.DUMMYFUNCTION("INDEX(SPLIT(F302, ""-""), 1)
"),37.3517723083496)</f>
        <v>37.35177231</v>
      </c>
      <c r="H302">
        <f>IFERROR(__xludf.DUMMYFUNCTION("INDEX(SPLIT(F302, ""-""), 2)
"),121.98119354248)</f>
        <v>121.9811935</v>
      </c>
    </row>
    <row r="303">
      <c r="A303" s="1">
        <v>301.0</v>
      </c>
      <c r="B303" s="1" t="s">
        <v>928</v>
      </c>
      <c r="C303" s="1">
        <v>4.0</v>
      </c>
      <c r="D303" s="1" t="s">
        <v>929</v>
      </c>
      <c r="E303" s="1" t="s">
        <v>710</v>
      </c>
      <c r="F303" s="1" t="s">
        <v>930</v>
      </c>
      <c r="G303">
        <f>IFERROR(__xludf.DUMMYFUNCTION("INDEX(SPLIT(F303, ""-""), 1)
"),37.68077)</f>
        <v>37.68077</v>
      </c>
      <c r="H303">
        <f>IFERROR(__xludf.DUMMYFUNCTION("INDEX(SPLIT(F303, ""-""), 2)
"),121.748039999999)</f>
        <v>121.74804</v>
      </c>
    </row>
    <row r="304">
      <c r="A304" s="1">
        <v>302.0</v>
      </c>
      <c r="B304" s="1" t="s">
        <v>931</v>
      </c>
      <c r="C304" s="1">
        <v>4.5</v>
      </c>
      <c r="D304" s="1" t="s">
        <v>932</v>
      </c>
      <c r="E304" s="1" t="s">
        <v>710</v>
      </c>
      <c r="F304" s="1" t="s">
        <v>933</v>
      </c>
      <c r="G304">
        <f>IFERROR(__xludf.DUMMYFUNCTION("INDEX(SPLIT(F304, ""-""), 1)
"),37.7119101458667)</f>
        <v>37.71191015</v>
      </c>
      <c r="H304">
        <f>IFERROR(__xludf.DUMMYFUNCTION("INDEX(SPLIT(F304, ""-""), 2)
"),121.723351532745)</f>
        <v>121.7233515</v>
      </c>
    </row>
    <row r="305">
      <c r="A305" s="1">
        <v>303.0</v>
      </c>
      <c r="B305" s="1" t="s">
        <v>934</v>
      </c>
      <c r="C305" s="1">
        <v>4.0</v>
      </c>
      <c r="D305" s="1" t="s">
        <v>935</v>
      </c>
      <c r="E305" s="1" t="s">
        <v>710</v>
      </c>
      <c r="F305" s="1" t="s">
        <v>936</v>
      </c>
      <c r="G305">
        <f>IFERROR(__xludf.DUMMYFUNCTION("INDEX(SPLIT(F305, ""-""), 1)
"),37.6761474995967)</f>
        <v>37.6761475</v>
      </c>
      <c r="H305">
        <f>IFERROR(__xludf.DUMMYFUNCTION("INDEX(SPLIT(F305, ""-""), 2)
"),121.785110675949)</f>
        <v>121.7851107</v>
      </c>
    </row>
    <row r="306">
      <c r="A306" s="1">
        <v>304.0</v>
      </c>
      <c r="B306" s="1" t="s">
        <v>937</v>
      </c>
      <c r="C306" s="1">
        <v>4.0</v>
      </c>
      <c r="D306" s="1" t="s">
        <v>938</v>
      </c>
      <c r="E306" s="1" t="s">
        <v>710</v>
      </c>
      <c r="F306" s="1" t="s">
        <v>939</v>
      </c>
      <c r="G306">
        <f>IFERROR(__xludf.DUMMYFUNCTION("INDEX(SPLIT(F306, ""-""), 1)
"),37.6807479858397)</f>
        <v>37.68074799</v>
      </c>
      <c r="H306">
        <f>IFERROR(__xludf.DUMMYFUNCTION("INDEX(SPLIT(F306, ""-""), 2)
"),121.770835876465)</f>
        <v>121.7708359</v>
      </c>
    </row>
    <row r="307">
      <c r="A307" s="1">
        <v>305.0</v>
      </c>
      <c r="B307" s="1" t="s">
        <v>940</v>
      </c>
      <c r="C307" s="1">
        <v>3.0</v>
      </c>
      <c r="D307" s="1" t="s">
        <v>941</v>
      </c>
      <c r="E307" s="1" t="s">
        <v>657</v>
      </c>
      <c r="F307" s="1" t="s">
        <v>942</v>
      </c>
      <c r="G307">
        <f>IFERROR(__xludf.DUMMYFUNCTION("INDEX(SPLIT(F307, ""-""), 1)
"),37.7749533109683)</f>
        <v>37.77495331</v>
      </c>
      <c r="H307">
        <f>IFERROR(__xludf.DUMMYFUNCTION("INDEX(SPLIT(F307, ""-""), 2)
"),121.924073739228)</f>
        <v>121.9240737</v>
      </c>
    </row>
    <row r="308">
      <c r="A308" s="1">
        <v>306.0</v>
      </c>
      <c r="B308" s="1" t="s">
        <v>943</v>
      </c>
      <c r="C308" s="1">
        <v>4.0</v>
      </c>
      <c r="D308" s="1" t="s">
        <v>944</v>
      </c>
      <c r="E308" s="1" t="s">
        <v>710</v>
      </c>
      <c r="F308" s="1" t="s">
        <v>945</v>
      </c>
      <c r="G308">
        <f>IFERROR(__xludf.DUMMYFUNCTION("INDEX(SPLIT(F308, ""-""), 1)
"),37.68)</f>
        <v>37.68</v>
      </c>
      <c r="H308">
        <f>IFERROR(__xludf.DUMMYFUNCTION("INDEX(SPLIT(F308, ""-""), 2)
"),121.77058)</f>
        <v>121.77058</v>
      </c>
    </row>
    <row r="309">
      <c r="A309" s="1">
        <v>307.0</v>
      </c>
      <c r="B309" s="1" t="s">
        <v>946</v>
      </c>
      <c r="C309" s="1">
        <v>3.5</v>
      </c>
      <c r="D309" s="1" t="s">
        <v>947</v>
      </c>
      <c r="E309" s="1" t="s">
        <v>710</v>
      </c>
      <c r="F309" s="1" t="s">
        <v>948</v>
      </c>
      <c r="G309">
        <f>IFERROR(__xludf.DUMMYFUNCTION("INDEX(SPLIT(F309, ""-""), 1)
"),37.7181756552264)</f>
        <v>37.71817566</v>
      </c>
      <c r="H309">
        <f>IFERROR(__xludf.DUMMYFUNCTION("INDEX(SPLIT(F309, ""-""), 2)
"),121.724808264734)</f>
        <v>121.7248083</v>
      </c>
    </row>
    <row r="310">
      <c r="A310" s="1">
        <v>308.0</v>
      </c>
      <c r="B310" s="1" t="s">
        <v>949</v>
      </c>
      <c r="C310" s="1">
        <v>4.0</v>
      </c>
      <c r="D310" s="1" t="s">
        <v>950</v>
      </c>
      <c r="E310" s="1" t="s">
        <v>710</v>
      </c>
      <c r="F310" s="1" t="s">
        <v>951</v>
      </c>
      <c r="G310">
        <f>IFERROR(__xludf.DUMMYFUNCTION("INDEX(SPLIT(F310, ""-""), 1)
"),37.6783516)</f>
        <v>37.6783516</v>
      </c>
      <c r="H310">
        <f>IFERROR(__xludf.DUMMYFUNCTION("INDEX(SPLIT(F310, ""-""), 2)
"),121.784120699999)</f>
        <v>121.7841207</v>
      </c>
    </row>
    <row r="311">
      <c r="A311" s="1">
        <v>309.0</v>
      </c>
      <c r="B311" s="1" t="s">
        <v>952</v>
      </c>
      <c r="C311" s="1">
        <v>4.0</v>
      </c>
      <c r="D311" s="1" t="s">
        <v>953</v>
      </c>
      <c r="E311" s="1" t="s">
        <v>10</v>
      </c>
      <c r="F311" s="1" t="s">
        <v>954</v>
      </c>
      <c r="G311">
        <f>IFERROR(__xludf.DUMMYFUNCTION("INDEX(SPLIT(F311, ""-""), 1)
"),37.5566932750951)</f>
        <v>37.55669328</v>
      </c>
      <c r="H311">
        <f>IFERROR(__xludf.DUMMYFUNCTION("INDEX(SPLIT(F311, ""-""), 2)
"),121.952448293212)</f>
        <v>121.9524483</v>
      </c>
    </row>
    <row r="312">
      <c r="A312" s="1">
        <v>310.0</v>
      </c>
      <c r="B312" s="1" t="s">
        <v>955</v>
      </c>
      <c r="C312" s="1">
        <v>4.0</v>
      </c>
      <c r="D312" s="1" t="s">
        <v>956</v>
      </c>
      <c r="E312" s="1" t="s">
        <v>10</v>
      </c>
      <c r="F312" s="1" t="s">
        <v>957</v>
      </c>
      <c r="G312">
        <f>IFERROR(__xludf.DUMMYFUNCTION("INDEX(SPLIT(F312, ""-""), 1)
"),37.556529)</f>
        <v>37.556529</v>
      </c>
      <c r="H312">
        <f>IFERROR(__xludf.DUMMYFUNCTION("INDEX(SPLIT(F312, ""-""), 2)
"),121.952556)</f>
        <v>121.952556</v>
      </c>
    </row>
    <row r="313">
      <c r="A313" s="1">
        <v>311.0</v>
      </c>
      <c r="B313" s="1" t="s">
        <v>958</v>
      </c>
      <c r="C313" s="1">
        <v>4.0</v>
      </c>
      <c r="D313" s="1" t="s">
        <v>959</v>
      </c>
      <c r="E313" s="1" t="s">
        <v>960</v>
      </c>
      <c r="F313" s="1" t="s">
        <v>961</v>
      </c>
      <c r="G313">
        <f>IFERROR(__xludf.DUMMYFUNCTION("INDEX(SPLIT(F313, ""-""), 1)
"),37.7986554)</f>
        <v>37.7986554</v>
      </c>
      <c r="H313">
        <f>IFERROR(__xludf.DUMMYFUNCTION("INDEX(SPLIT(F313, ""-""), 2)
"),121.918740599999)</f>
        <v>121.9187406</v>
      </c>
    </row>
    <row r="314">
      <c r="A314" s="1">
        <v>312.0</v>
      </c>
      <c r="B314" s="1" t="s">
        <v>962</v>
      </c>
      <c r="C314" s="1">
        <v>4.0</v>
      </c>
      <c r="D314" s="1" t="s">
        <v>963</v>
      </c>
      <c r="E314" s="1" t="s">
        <v>10</v>
      </c>
      <c r="F314" s="1" t="s">
        <v>964</v>
      </c>
      <c r="G314">
        <f>IFERROR(__xludf.DUMMYFUNCTION("INDEX(SPLIT(F314, ""-""), 1)
"),37.5327289999999)</f>
        <v>37.532729</v>
      </c>
      <c r="H314">
        <f>IFERROR(__xludf.DUMMYFUNCTION("INDEX(SPLIT(F314, ""-""), 2)
"),121.95934)</f>
        <v>121.95934</v>
      </c>
    </row>
    <row r="315">
      <c r="A315" s="1">
        <v>313.0</v>
      </c>
      <c r="B315" s="1" t="s">
        <v>965</v>
      </c>
      <c r="C315" s="1">
        <v>4.0</v>
      </c>
      <c r="D315" s="1" t="s">
        <v>966</v>
      </c>
      <c r="E315" s="1" t="s">
        <v>657</v>
      </c>
      <c r="F315" s="1" t="s">
        <v>967</v>
      </c>
      <c r="G315">
        <f>IFERROR(__xludf.DUMMYFUNCTION("INDEX(SPLIT(F315, ""-""), 1)
"),37.7624177187681)</f>
        <v>37.76241772</v>
      </c>
      <c r="H315">
        <f>IFERROR(__xludf.DUMMYFUNCTION("INDEX(SPLIT(F315, ""-""), 2)
"),121.960900202394)</f>
        <v>121.9609002</v>
      </c>
    </row>
    <row r="316">
      <c r="A316" s="1">
        <v>314.0</v>
      </c>
      <c r="B316" s="1" t="s">
        <v>968</v>
      </c>
      <c r="C316" s="1">
        <v>4.5</v>
      </c>
      <c r="D316" s="1" t="s">
        <v>969</v>
      </c>
      <c r="E316" s="1" t="s">
        <v>94</v>
      </c>
      <c r="F316" s="1" t="s">
        <v>970</v>
      </c>
      <c r="G316">
        <f>IFERROR(__xludf.DUMMYFUNCTION("INDEX(SPLIT(F316, ""-""), 1)
"),37.4068109566105)</f>
        <v>37.40681096</v>
      </c>
      <c r="H316">
        <f>IFERROR(__xludf.DUMMYFUNCTION("INDEX(SPLIT(F316, ""-""), 2)
"),122.106984711639)</f>
        <v>122.1069847</v>
      </c>
    </row>
    <row r="317">
      <c r="A317" s="1">
        <v>315.0</v>
      </c>
      <c r="B317" s="1" t="s">
        <v>971</v>
      </c>
      <c r="C317" s="1">
        <v>3.0</v>
      </c>
      <c r="D317" s="1" t="s">
        <v>972</v>
      </c>
      <c r="E317" s="1" t="s">
        <v>94</v>
      </c>
      <c r="F317" s="1" t="s">
        <v>973</v>
      </c>
      <c r="G317">
        <f>IFERROR(__xludf.DUMMYFUNCTION("INDEX(SPLIT(F317, ""-""), 1)
"),37.3936614990234)</f>
        <v>37.3936615</v>
      </c>
      <c r="H317">
        <f>IFERROR(__xludf.DUMMYFUNCTION("INDEX(SPLIT(F317, ""-""), 2)
"),122.079444885254)</f>
        <v>122.0794449</v>
      </c>
    </row>
    <row r="318">
      <c r="A318" s="1">
        <v>316.0</v>
      </c>
      <c r="B318" s="1" t="s">
        <v>974</v>
      </c>
      <c r="C318" s="1">
        <v>3.5</v>
      </c>
      <c r="D318" s="1" t="s">
        <v>975</v>
      </c>
      <c r="E318" s="1" t="s">
        <v>135</v>
      </c>
      <c r="F318" s="1" t="s">
        <v>976</v>
      </c>
      <c r="G318">
        <f>IFERROR(__xludf.DUMMYFUNCTION("INDEX(SPLIT(F318, ""-""), 1)
"),37.44451)</f>
        <v>37.44451</v>
      </c>
      <c r="H318">
        <f>IFERROR(__xludf.DUMMYFUNCTION("INDEX(SPLIT(F318, ""-""), 2)
"),122.16337)</f>
        <v>122.16337</v>
      </c>
    </row>
    <row r="319">
      <c r="A319" s="1">
        <v>317.0</v>
      </c>
      <c r="B319" s="1" t="s">
        <v>977</v>
      </c>
      <c r="C319" s="1">
        <v>3.5</v>
      </c>
      <c r="D319" s="1" t="s">
        <v>978</v>
      </c>
      <c r="E319" s="1" t="s">
        <v>94</v>
      </c>
      <c r="F319" s="1" t="s">
        <v>979</v>
      </c>
      <c r="G319">
        <f>IFERROR(__xludf.DUMMYFUNCTION("INDEX(SPLIT(F319, ""-""), 1)
"),37.402982863672)</f>
        <v>37.40298286</v>
      </c>
      <c r="H319">
        <f>IFERROR(__xludf.DUMMYFUNCTION("INDEX(SPLIT(F319, ""-""), 2)
"),122.10676106228)</f>
        <v>122.1067611</v>
      </c>
    </row>
    <row r="320">
      <c r="A320" s="1">
        <v>318.0</v>
      </c>
      <c r="B320" s="1" t="s">
        <v>980</v>
      </c>
      <c r="C320" s="1">
        <v>3.0</v>
      </c>
      <c r="D320" s="1" t="s">
        <v>981</v>
      </c>
      <c r="E320" s="1" t="s">
        <v>94</v>
      </c>
      <c r="F320" s="1" t="s">
        <v>982</v>
      </c>
      <c r="G320">
        <f>IFERROR(__xludf.DUMMYFUNCTION("INDEX(SPLIT(F320, ""-""), 1)
"),37.39379)</f>
        <v>37.39379</v>
      </c>
      <c r="H320">
        <f>IFERROR(__xludf.DUMMYFUNCTION("INDEX(SPLIT(F320, ""-""), 2)
"),122.078389999999)</f>
        <v>122.07839</v>
      </c>
    </row>
    <row r="321">
      <c r="A321" s="1">
        <v>319.0</v>
      </c>
      <c r="B321" s="1" t="s">
        <v>983</v>
      </c>
      <c r="C321" s="1">
        <v>4.5</v>
      </c>
      <c r="D321" s="1" t="s">
        <v>984</v>
      </c>
      <c r="E321" s="1" t="s">
        <v>135</v>
      </c>
      <c r="F321" s="1" t="s">
        <v>985</v>
      </c>
      <c r="G321">
        <f>IFERROR(__xludf.DUMMYFUNCTION("INDEX(SPLIT(F321, ""-""), 1)
"),37.4340849999999)</f>
        <v>37.434085</v>
      </c>
      <c r="H321">
        <f>IFERROR(__xludf.DUMMYFUNCTION("INDEX(SPLIT(F321, ""-""), 2)
"),122.129446)</f>
        <v>122.129446</v>
      </c>
    </row>
    <row r="322">
      <c r="A322" s="1">
        <v>320.0</v>
      </c>
      <c r="B322" s="1" t="s">
        <v>986</v>
      </c>
      <c r="C322" s="1">
        <v>4.0</v>
      </c>
      <c r="D322" s="1" t="s">
        <v>987</v>
      </c>
      <c r="E322" s="1" t="s">
        <v>128</v>
      </c>
      <c r="F322" s="1" t="s">
        <v>988</v>
      </c>
      <c r="G322">
        <f>IFERROR(__xludf.DUMMYFUNCTION("INDEX(SPLIT(F322, ""-""), 1)
"),37.42868)</f>
        <v>37.42868</v>
      </c>
      <c r="H322">
        <f>IFERROR(__xludf.DUMMYFUNCTION("INDEX(SPLIT(F322, ""-""), 2)
"),121.911319999999)</f>
        <v>121.91132</v>
      </c>
    </row>
    <row r="323">
      <c r="A323" s="1">
        <v>321.0</v>
      </c>
      <c r="B323" s="1" t="s">
        <v>989</v>
      </c>
      <c r="C323" s="1">
        <v>3.5</v>
      </c>
      <c r="D323" s="1" t="s">
        <v>990</v>
      </c>
      <c r="E323" s="1" t="s">
        <v>128</v>
      </c>
      <c r="F323" s="1" t="s">
        <v>991</v>
      </c>
      <c r="G323">
        <f>IFERROR(__xludf.DUMMYFUNCTION("INDEX(SPLIT(F323, ""-""), 1)
"),37.4341782)</f>
        <v>37.4341782</v>
      </c>
      <c r="H323">
        <f>IFERROR(__xludf.DUMMYFUNCTION("INDEX(SPLIT(F323, ""-""), 2)
"),121.9007438)</f>
        <v>121.9007438</v>
      </c>
    </row>
    <row r="324">
      <c r="A324" s="1">
        <v>322.0</v>
      </c>
      <c r="B324" s="1" t="s">
        <v>992</v>
      </c>
      <c r="C324" s="1">
        <v>3.5</v>
      </c>
      <c r="D324" s="1" t="s">
        <v>993</v>
      </c>
      <c r="E324" s="1" t="s">
        <v>128</v>
      </c>
      <c r="F324" s="1" t="s">
        <v>994</v>
      </c>
      <c r="G324">
        <f>IFERROR(__xludf.DUMMYFUNCTION("INDEX(SPLIT(F324, ""-""), 1)
"),37.4207404131486)</f>
        <v>37.42074041</v>
      </c>
      <c r="H324">
        <f>IFERROR(__xludf.DUMMYFUNCTION("INDEX(SPLIT(F324, ""-""), 2)
"),121.91664888892)</f>
        <v>121.9166489</v>
      </c>
    </row>
    <row r="325">
      <c r="A325" s="1">
        <v>323.0</v>
      </c>
      <c r="B325" s="1" t="s">
        <v>995</v>
      </c>
      <c r="C325" s="1">
        <v>4.0</v>
      </c>
      <c r="D325" s="1" t="s">
        <v>996</v>
      </c>
      <c r="E325" s="1" t="s">
        <v>128</v>
      </c>
      <c r="F325" s="1" t="s">
        <v>997</v>
      </c>
      <c r="G325">
        <f>IFERROR(__xludf.DUMMYFUNCTION("INDEX(SPLIT(F325, ""-""), 1)
"),37.4264901499098)</f>
        <v>37.42649015</v>
      </c>
      <c r="H325">
        <f>IFERROR(__xludf.DUMMYFUNCTION("INDEX(SPLIT(F325, ""-""), 2)
"),121.909996320473)</f>
        <v>121.9099963</v>
      </c>
    </row>
    <row r="326">
      <c r="A326" s="1">
        <v>324.0</v>
      </c>
      <c r="B326" s="1" t="s">
        <v>998</v>
      </c>
      <c r="C326" s="1">
        <v>4.5</v>
      </c>
      <c r="D326" s="1" t="s">
        <v>999</v>
      </c>
      <c r="E326" s="1" t="s">
        <v>128</v>
      </c>
      <c r="F326" s="1" t="s">
        <v>1000</v>
      </c>
      <c r="G326">
        <f>IFERROR(__xludf.DUMMYFUNCTION("INDEX(SPLIT(F326, ""-""), 1)
"),37.4128099773883)</f>
        <v>37.41280998</v>
      </c>
      <c r="H326">
        <f>IFERROR(__xludf.DUMMYFUNCTION("INDEX(SPLIT(F326, ""-""), 2)
"),121.902977563441)</f>
        <v>121.9029776</v>
      </c>
    </row>
    <row r="327">
      <c r="A327" s="1">
        <v>325.0</v>
      </c>
      <c r="B327" s="1" t="s">
        <v>1001</v>
      </c>
      <c r="C327" s="1">
        <v>4.0</v>
      </c>
      <c r="D327" s="1" t="s">
        <v>1002</v>
      </c>
      <c r="E327" s="1" t="s">
        <v>128</v>
      </c>
      <c r="F327" s="1" t="s">
        <v>1003</v>
      </c>
      <c r="G327">
        <f>IFERROR(__xludf.DUMMYFUNCTION("INDEX(SPLIT(F327, ""-""), 1)
"),37.4274706596526)</f>
        <v>37.42747066</v>
      </c>
      <c r="H327">
        <f>IFERROR(__xludf.DUMMYFUNCTION("INDEX(SPLIT(F327, ""-""), 2)
"),121.91078242325)</f>
        <v>121.9107824</v>
      </c>
    </row>
    <row r="328">
      <c r="A328" s="1">
        <v>326.0</v>
      </c>
      <c r="B328" s="1" t="s">
        <v>1004</v>
      </c>
      <c r="C328" s="1">
        <v>4.0</v>
      </c>
      <c r="D328" s="1" t="s">
        <v>1005</v>
      </c>
      <c r="E328" s="1" t="s">
        <v>117</v>
      </c>
      <c r="F328" s="1" t="s">
        <v>1006</v>
      </c>
      <c r="G328">
        <f>IFERROR(__xludf.DUMMYFUNCTION("INDEX(SPLIT(F328, ""-""), 1)
"),37.414925)</f>
        <v>37.414925</v>
      </c>
      <c r="H328">
        <f>IFERROR(__xludf.DUMMYFUNCTION("INDEX(SPLIT(F328, ""-""), 2)
"),121.875899)</f>
        <v>121.875899</v>
      </c>
    </row>
    <row r="329">
      <c r="A329" s="1">
        <v>327.0</v>
      </c>
      <c r="B329" s="1" t="s">
        <v>1007</v>
      </c>
      <c r="C329" s="1">
        <v>3.5</v>
      </c>
      <c r="D329" s="1" t="s">
        <v>1008</v>
      </c>
      <c r="E329" s="1" t="s">
        <v>128</v>
      </c>
      <c r="F329" s="1" t="s">
        <v>1009</v>
      </c>
      <c r="G329">
        <f>IFERROR(__xludf.DUMMYFUNCTION("INDEX(SPLIT(F329, ""-""), 1)
"),37.4558077007532)</f>
        <v>37.4558077</v>
      </c>
      <c r="H329">
        <f>IFERROR(__xludf.DUMMYFUNCTION("INDEX(SPLIT(F329, ""-""), 2)
"),121.911192834377)</f>
        <v>121.9111928</v>
      </c>
    </row>
    <row r="330">
      <c r="A330" s="1">
        <v>328.0</v>
      </c>
      <c r="B330" s="1" t="s">
        <v>1010</v>
      </c>
      <c r="C330" s="1">
        <v>3.5</v>
      </c>
      <c r="D330" s="1" t="s">
        <v>1011</v>
      </c>
      <c r="E330" s="1" t="s">
        <v>128</v>
      </c>
      <c r="F330" s="1" t="s">
        <v>1012</v>
      </c>
      <c r="G330">
        <f>IFERROR(__xludf.DUMMYFUNCTION("INDEX(SPLIT(F330, ""-""), 1)
"),37.4464966)</f>
        <v>37.4464966</v>
      </c>
      <c r="H330">
        <f>IFERROR(__xludf.DUMMYFUNCTION("INDEX(SPLIT(F330, ""-""), 2)
"),121.904016099999)</f>
        <v>121.9040161</v>
      </c>
    </row>
    <row r="331">
      <c r="A331" s="1">
        <v>329.0</v>
      </c>
      <c r="B331" s="1" t="s">
        <v>1013</v>
      </c>
      <c r="C331" s="1">
        <v>3.5</v>
      </c>
      <c r="D331" s="1" t="s">
        <v>1014</v>
      </c>
      <c r="E331" s="1" t="s">
        <v>128</v>
      </c>
      <c r="F331" s="1" t="s">
        <v>1015</v>
      </c>
      <c r="G331">
        <f>IFERROR(__xludf.DUMMYFUNCTION("INDEX(SPLIT(F331, ""-""), 1)
"),37.4551887512207)</f>
        <v>37.45518875</v>
      </c>
      <c r="H331">
        <f>IFERROR(__xludf.DUMMYFUNCTION("INDEX(SPLIT(F331, ""-""), 2)
"),121.911521911621)</f>
        <v>121.9115219</v>
      </c>
    </row>
    <row r="332">
      <c r="A332" s="1">
        <v>330.0</v>
      </c>
      <c r="B332" s="1" t="s">
        <v>1016</v>
      </c>
      <c r="C332" s="1">
        <v>3.5</v>
      </c>
      <c r="D332" s="1" t="s">
        <v>1017</v>
      </c>
      <c r="E332" s="1" t="s">
        <v>117</v>
      </c>
      <c r="F332" s="1" t="s">
        <v>1018</v>
      </c>
      <c r="G332">
        <f>IFERROR(__xludf.DUMMYFUNCTION("INDEX(SPLIT(F332, ""-""), 1)
"),37.3973731994629)</f>
        <v>37.3973732</v>
      </c>
      <c r="H332">
        <f>IFERROR(__xludf.DUMMYFUNCTION("INDEX(SPLIT(F332, ""-""), 2)
"),121.873687744141)</f>
        <v>121.8736877</v>
      </c>
    </row>
    <row r="333">
      <c r="A333" s="1">
        <v>331.0</v>
      </c>
      <c r="B333" s="1" t="s">
        <v>1019</v>
      </c>
      <c r="C333" s="1">
        <v>3.5</v>
      </c>
      <c r="D333" s="1" t="s">
        <v>1020</v>
      </c>
      <c r="E333" s="1" t="s">
        <v>128</v>
      </c>
      <c r="F333" s="1" t="s">
        <v>1021</v>
      </c>
      <c r="G333">
        <f>IFERROR(__xludf.DUMMYFUNCTION("INDEX(SPLIT(F333, ""-""), 1)
"),37.4224649523506)</f>
        <v>37.42246495</v>
      </c>
      <c r="H333">
        <f>IFERROR(__xludf.DUMMYFUNCTION("INDEX(SPLIT(F333, ""-""), 2)
"),121.916673478539)</f>
        <v>121.9166735</v>
      </c>
    </row>
    <row r="334">
      <c r="A334" s="1">
        <v>332.0</v>
      </c>
      <c r="B334" s="1" t="s">
        <v>1022</v>
      </c>
      <c r="C334" s="1">
        <v>4.0</v>
      </c>
      <c r="D334" s="1" t="s">
        <v>1023</v>
      </c>
      <c r="E334" s="1" t="s">
        <v>117</v>
      </c>
      <c r="F334" s="1" t="s">
        <v>1024</v>
      </c>
      <c r="G334">
        <f>IFERROR(__xludf.DUMMYFUNCTION("INDEX(SPLIT(F334, ""-""), 1)
"),37.40685)</f>
        <v>37.40685</v>
      </c>
      <c r="H334">
        <f>IFERROR(__xludf.DUMMYFUNCTION("INDEX(SPLIT(F334, ""-""), 2)
"),121.88672)</f>
        <v>121.88672</v>
      </c>
    </row>
    <row r="335">
      <c r="A335" s="1">
        <v>333.0</v>
      </c>
      <c r="B335" s="1" t="s">
        <v>1025</v>
      </c>
      <c r="C335" s="1">
        <v>4.0</v>
      </c>
      <c r="D335" s="1" t="s">
        <v>1026</v>
      </c>
      <c r="E335" s="1" t="s">
        <v>117</v>
      </c>
      <c r="F335" s="1" t="s">
        <v>1027</v>
      </c>
      <c r="G335">
        <f>IFERROR(__xludf.DUMMYFUNCTION("INDEX(SPLIT(F335, ""-""), 1)
"),37.3862088776267)</f>
        <v>37.38620888</v>
      </c>
      <c r="H335">
        <f>IFERROR(__xludf.DUMMYFUNCTION("INDEX(SPLIT(F335, ""-""), 2)
"),121.884416049074)</f>
        <v>121.884416</v>
      </c>
    </row>
    <row r="336">
      <c r="A336" s="1">
        <v>334.0</v>
      </c>
      <c r="B336" s="1" t="s">
        <v>1028</v>
      </c>
      <c r="C336" s="1">
        <v>3.0</v>
      </c>
      <c r="D336" s="1" t="s">
        <v>1029</v>
      </c>
      <c r="E336" s="1" t="s">
        <v>117</v>
      </c>
      <c r="F336" s="1" t="s">
        <v>1030</v>
      </c>
      <c r="G336">
        <f>IFERROR(__xludf.DUMMYFUNCTION("INDEX(SPLIT(F336, ""-""), 1)
"),37.3843159241917)</f>
        <v>37.38431592</v>
      </c>
      <c r="H336">
        <f>IFERROR(__xludf.DUMMYFUNCTION("INDEX(SPLIT(F336, ""-""), 2)
"),121.89744169577)</f>
        <v>121.8974417</v>
      </c>
    </row>
    <row r="337">
      <c r="A337" s="1">
        <v>335.0</v>
      </c>
      <c r="B337" s="1" t="s">
        <v>1031</v>
      </c>
      <c r="C337" s="1">
        <v>4.5</v>
      </c>
      <c r="D337" s="1" t="s">
        <v>1026</v>
      </c>
      <c r="E337" s="1" t="s">
        <v>117</v>
      </c>
      <c r="F337" s="1" t="s">
        <v>1032</v>
      </c>
      <c r="G337">
        <f>IFERROR(__xludf.DUMMYFUNCTION("INDEX(SPLIT(F337, ""-""), 1)
"),37.3863881481701)</f>
        <v>37.38638815</v>
      </c>
      <c r="H337">
        <f>IFERROR(__xludf.DUMMYFUNCTION("INDEX(SPLIT(F337, ""-""), 2)
"),121.884803238097)</f>
        <v>121.8848032</v>
      </c>
    </row>
    <row r="338">
      <c r="A338" s="1">
        <v>336.0</v>
      </c>
      <c r="B338" s="1" t="s">
        <v>1033</v>
      </c>
      <c r="C338" s="1">
        <v>3.5</v>
      </c>
      <c r="D338" s="1" t="s">
        <v>1034</v>
      </c>
      <c r="E338" s="1" t="s">
        <v>128</v>
      </c>
      <c r="F338" s="1" t="s">
        <v>1035</v>
      </c>
      <c r="G338">
        <f>IFERROR(__xludf.DUMMYFUNCTION("INDEX(SPLIT(F338, ""-""), 1)
"),37.419465)</f>
        <v>37.419465</v>
      </c>
      <c r="H338">
        <f>IFERROR(__xludf.DUMMYFUNCTION("INDEX(SPLIT(F338, ""-""), 2)
"),121.915568)</f>
        <v>121.915568</v>
      </c>
    </row>
    <row r="339">
      <c r="A339" s="1">
        <v>337.0</v>
      </c>
      <c r="B339" s="1" t="s">
        <v>1036</v>
      </c>
      <c r="C339" s="1">
        <v>3.5</v>
      </c>
      <c r="D339" s="1" t="s">
        <v>1037</v>
      </c>
      <c r="E339" s="1" t="s">
        <v>128</v>
      </c>
      <c r="F339" s="1" t="s">
        <v>1038</v>
      </c>
      <c r="G339">
        <f>IFERROR(__xludf.DUMMYFUNCTION("INDEX(SPLIT(F339, ""-""), 1)
"),37.416848)</f>
        <v>37.416848</v>
      </c>
      <c r="H339">
        <f>IFERROR(__xludf.DUMMYFUNCTION("INDEX(SPLIT(F339, ""-""), 2)
"),121.8768983)</f>
        <v>121.8768983</v>
      </c>
    </row>
    <row r="340">
      <c r="A340" s="1">
        <v>338.0</v>
      </c>
      <c r="B340" s="1" t="s">
        <v>1039</v>
      </c>
      <c r="C340" s="1">
        <v>3.5</v>
      </c>
      <c r="D340" s="1" t="s">
        <v>1040</v>
      </c>
      <c r="E340" s="1" t="s">
        <v>128</v>
      </c>
      <c r="F340" s="1" t="s">
        <v>1041</v>
      </c>
      <c r="G340">
        <f>IFERROR(__xludf.DUMMYFUNCTION("INDEX(SPLIT(F340, ""-""), 1)
"),37.433926)</f>
        <v>37.433926</v>
      </c>
      <c r="H340">
        <f>IFERROR(__xludf.DUMMYFUNCTION("INDEX(SPLIT(F340, ""-""), 2)
"),121.884259)</f>
        <v>121.884259</v>
      </c>
    </row>
    <row r="341">
      <c r="A341" s="1">
        <v>339.0</v>
      </c>
      <c r="B341" s="1" t="s">
        <v>1042</v>
      </c>
      <c r="C341" s="1">
        <v>3.0</v>
      </c>
      <c r="D341" s="1" t="s">
        <v>1043</v>
      </c>
      <c r="E341" s="1" t="s">
        <v>511</v>
      </c>
      <c r="F341" s="1" t="s">
        <v>1044</v>
      </c>
      <c r="G341">
        <f>IFERROR(__xludf.DUMMYFUNCTION("INDEX(SPLIT(F341, ""-""), 1)
"),37.3953035880334)</f>
        <v>37.39530359</v>
      </c>
      <c r="H341">
        <f>IFERROR(__xludf.DUMMYFUNCTION("INDEX(SPLIT(F341, ""-""), 2)
"),121.946540661156)</f>
        <v>121.9465407</v>
      </c>
    </row>
    <row r="342">
      <c r="A342" s="1">
        <v>340.0</v>
      </c>
      <c r="B342" s="1" t="s">
        <v>1045</v>
      </c>
      <c r="C342" s="1">
        <v>4.0</v>
      </c>
      <c r="D342" s="1" t="s">
        <v>1046</v>
      </c>
      <c r="E342" s="1" t="s">
        <v>128</v>
      </c>
      <c r="F342" s="1" t="s">
        <v>1047</v>
      </c>
      <c r="G342">
        <f>IFERROR(__xludf.DUMMYFUNCTION("INDEX(SPLIT(F342, ""-""), 1)
"),37.420773)</f>
        <v>37.420773</v>
      </c>
      <c r="H342">
        <f>IFERROR(__xludf.DUMMYFUNCTION("INDEX(SPLIT(F342, ""-""), 2)
"),121.916405)</f>
        <v>121.916405</v>
      </c>
    </row>
    <row r="343">
      <c r="A343" s="1">
        <v>341.0</v>
      </c>
      <c r="B343" s="1" t="s">
        <v>1048</v>
      </c>
      <c r="C343" s="1">
        <v>2.5</v>
      </c>
      <c r="D343" s="1" t="s">
        <v>1049</v>
      </c>
      <c r="E343" s="1" t="s">
        <v>128</v>
      </c>
      <c r="F343" s="1" t="s">
        <v>1050</v>
      </c>
      <c r="G343">
        <f>IFERROR(__xludf.DUMMYFUNCTION("INDEX(SPLIT(F343, ""-""), 1)
"),37.4178751788897)</f>
        <v>37.41787518</v>
      </c>
      <c r="H343">
        <f>IFERROR(__xludf.DUMMYFUNCTION("INDEX(SPLIT(F343, ""-""), 2)
"),121.874392975463)</f>
        <v>121.874393</v>
      </c>
    </row>
    <row r="344">
      <c r="A344" s="1">
        <v>342.0</v>
      </c>
      <c r="B344" s="1" t="s">
        <v>1051</v>
      </c>
      <c r="C344" s="1">
        <v>4.5</v>
      </c>
      <c r="D344" s="1" t="s">
        <v>1052</v>
      </c>
      <c r="E344" s="1" t="s">
        <v>117</v>
      </c>
      <c r="F344" s="1" t="s">
        <v>1053</v>
      </c>
      <c r="G344">
        <f>IFERROR(__xludf.DUMMYFUNCTION("INDEX(SPLIT(F344, ""-""), 1)
"),37.4093138578249)</f>
        <v>37.40931386</v>
      </c>
      <c r="H344">
        <f>IFERROR(__xludf.DUMMYFUNCTION("INDEX(SPLIT(F344, ""-""), 2)
"),121.945219193046)</f>
        <v>121.9452192</v>
      </c>
    </row>
    <row r="345">
      <c r="A345" s="1">
        <v>343.0</v>
      </c>
      <c r="B345" s="1" t="s">
        <v>1054</v>
      </c>
      <c r="C345" s="1">
        <v>4.0</v>
      </c>
      <c r="D345" s="1" t="s">
        <v>1037</v>
      </c>
      <c r="E345" s="1" t="s">
        <v>128</v>
      </c>
      <c r="F345" s="1" t="s">
        <v>1055</v>
      </c>
      <c r="G345">
        <f>IFERROR(__xludf.DUMMYFUNCTION("INDEX(SPLIT(F345, ""-""), 1)
"),37.4168459526991)</f>
        <v>37.41684595</v>
      </c>
      <c r="H345">
        <f>IFERROR(__xludf.DUMMYFUNCTION("INDEX(SPLIT(F345, ""-""), 2)
"),121.876774057745)</f>
        <v>121.8767741</v>
      </c>
    </row>
    <row r="346">
      <c r="A346" s="1">
        <v>344.0</v>
      </c>
      <c r="B346" s="1" t="s">
        <v>1056</v>
      </c>
      <c r="C346" s="1">
        <v>4.0</v>
      </c>
      <c r="D346" s="1" t="s">
        <v>1057</v>
      </c>
      <c r="E346" s="1" t="s">
        <v>789</v>
      </c>
      <c r="F346" s="1" t="s">
        <v>1058</v>
      </c>
      <c r="G346">
        <f>IFERROR(__xludf.DUMMYFUNCTION("INDEX(SPLIT(F346, ""-""), 1)
"),37.4846042071457)</f>
        <v>37.48460421</v>
      </c>
      <c r="H346">
        <f>IFERROR(__xludf.DUMMYFUNCTION("INDEX(SPLIT(F346, ""-""), 2)
"),122.232427139501)</f>
        <v>122.2324271</v>
      </c>
    </row>
    <row r="347">
      <c r="A347" s="1">
        <v>345.0</v>
      </c>
      <c r="B347" s="1" t="s">
        <v>1059</v>
      </c>
      <c r="C347" s="1">
        <v>4.0</v>
      </c>
      <c r="D347" s="1" t="s">
        <v>1060</v>
      </c>
      <c r="E347" s="1" t="s">
        <v>789</v>
      </c>
      <c r="F347" s="1" t="s">
        <v>1061</v>
      </c>
      <c r="G347">
        <f>IFERROR(__xludf.DUMMYFUNCTION("INDEX(SPLIT(F347, ""-""), 1)
"),37.4868)</f>
        <v>37.4868</v>
      </c>
      <c r="H347">
        <f>IFERROR(__xludf.DUMMYFUNCTION("INDEX(SPLIT(F347, ""-""), 2)
"),122.22766)</f>
        <v>122.22766</v>
      </c>
    </row>
    <row r="348">
      <c r="A348" s="1">
        <v>346.0</v>
      </c>
      <c r="B348" s="1" t="s">
        <v>1062</v>
      </c>
      <c r="C348" s="1">
        <v>4.0</v>
      </c>
      <c r="D348" s="1" t="s">
        <v>1063</v>
      </c>
      <c r="E348" s="1" t="s">
        <v>789</v>
      </c>
      <c r="F348" s="1" t="s">
        <v>1064</v>
      </c>
      <c r="G348">
        <f>IFERROR(__xludf.DUMMYFUNCTION("INDEX(SPLIT(F348, ""-""), 1)
"),37.4861601263273)</f>
        <v>37.48616013</v>
      </c>
      <c r="H348">
        <f>IFERROR(__xludf.DUMMYFUNCTION("INDEX(SPLIT(F348, ""-""), 2)
"),122.230740152299)</f>
        <v>122.2307402</v>
      </c>
    </row>
    <row r="349">
      <c r="A349" s="1">
        <v>347.0</v>
      </c>
      <c r="B349" s="1" t="s">
        <v>1065</v>
      </c>
      <c r="C349" s="1">
        <v>4.5</v>
      </c>
      <c r="D349" s="1" t="s">
        <v>1066</v>
      </c>
      <c r="E349" s="1" t="s">
        <v>135</v>
      </c>
      <c r="F349" s="1" t="s">
        <v>1067</v>
      </c>
      <c r="G349">
        <f>IFERROR(__xludf.DUMMYFUNCTION("INDEX(SPLIT(F349, ""-""), 1)
"),37.4461057)</f>
        <v>37.4461057</v>
      </c>
      <c r="H349">
        <f>IFERROR(__xludf.DUMMYFUNCTION("INDEX(SPLIT(F349, ""-""), 2)
"),122.1610267)</f>
        <v>122.1610267</v>
      </c>
    </row>
    <row r="350">
      <c r="A350" s="1">
        <v>348.0</v>
      </c>
      <c r="B350" s="1" t="s">
        <v>1068</v>
      </c>
      <c r="C350" s="1">
        <v>3.5</v>
      </c>
      <c r="D350" s="1" t="s">
        <v>1069</v>
      </c>
      <c r="E350" s="1" t="s">
        <v>135</v>
      </c>
      <c r="F350" s="1" t="s">
        <v>1070</v>
      </c>
      <c r="G350">
        <f>IFERROR(__xludf.DUMMYFUNCTION("INDEX(SPLIT(F350, ""-""), 1)
"),37.438632)</f>
        <v>37.438632</v>
      </c>
      <c r="H350">
        <f>IFERROR(__xludf.DUMMYFUNCTION("INDEX(SPLIT(F350, ""-""), 2)
"),122.160532)</f>
        <v>122.160532</v>
      </c>
    </row>
    <row r="351">
      <c r="A351" s="1">
        <v>349.0</v>
      </c>
      <c r="B351" s="1" t="s">
        <v>1071</v>
      </c>
      <c r="C351" s="1">
        <v>4.0</v>
      </c>
      <c r="D351" s="1" t="s">
        <v>1072</v>
      </c>
      <c r="E351" s="1" t="s">
        <v>135</v>
      </c>
      <c r="F351" s="1" t="s">
        <v>1073</v>
      </c>
      <c r="G351">
        <f>IFERROR(__xludf.DUMMYFUNCTION("INDEX(SPLIT(F351, ""-""), 1)
"),37.44413)</f>
        <v>37.44413</v>
      </c>
      <c r="H351">
        <f>IFERROR(__xludf.DUMMYFUNCTION("INDEX(SPLIT(F351, ""-""), 2)
"),122.16237)</f>
        <v>122.16237</v>
      </c>
    </row>
    <row r="352">
      <c r="A352" s="1">
        <v>350.0</v>
      </c>
      <c r="B352" s="1" t="s">
        <v>1074</v>
      </c>
      <c r="C352" s="1">
        <v>3.5</v>
      </c>
      <c r="D352" s="1" t="s">
        <v>1075</v>
      </c>
      <c r="E352" s="1" t="s">
        <v>135</v>
      </c>
      <c r="F352" s="1" t="s">
        <v>1076</v>
      </c>
      <c r="G352">
        <f>IFERROR(__xludf.DUMMYFUNCTION("INDEX(SPLIT(F352, ""-""), 1)
"),37.4446105957031)</f>
        <v>37.4446106</v>
      </c>
      <c r="H352">
        <f>IFERROR(__xludf.DUMMYFUNCTION("INDEX(SPLIT(F352, ""-""), 2)
"),122.161544799804)</f>
        <v>122.1615448</v>
      </c>
    </row>
    <row r="353">
      <c r="A353" s="1">
        <v>351.0</v>
      </c>
      <c r="B353" s="1" t="s">
        <v>1077</v>
      </c>
      <c r="C353" s="1">
        <v>4.5</v>
      </c>
      <c r="D353" s="1" t="s">
        <v>1078</v>
      </c>
      <c r="E353" s="1" t="s">
        <v>135</v>
      </c>
      <c r="F353" s="1" t="s">
        <v>1079</v>
      </c>
      <c r="G353">
        <f>IFERROR(__xludf.DUMMYFUNCTION("INDEX(SPLIT(F353, ""-""), 1)
"),37.44752)</f>
        <v>37.44752</v>
      </c>
      <c r="H353">
        <f>IFERROR(__xludf.DUMMYFUNCTION("INDEX(SPLIT(F353, ""-""), 2)
"),122.15965)</f>
        <v>122.15965</v>
      </c>
    </row>
    <row r="354">
      <c r="A354" s="1">
        <v>352.0</v>
      </c>
      <c r="B354" s="1" t="s">
        <v>1080</v>
      </c>
      <c r="C354" s="1">
        <v>3.5</v>
      </c>
      <c r="D354" s="1" t="s">
        <v>1081</v>
      </c>
      <c r="E354" s="1" t="s">
        <v>135</v>
      </c>
      <c r="F354" s="1" t="s">
        <v>1082</v>
      </c>
      <c r="G354">
        <f>IFERROR(__xludf.DUMMYFUNCTION("INDEX(SPLIT(F354, ""-""), 1)
"),37.41643)</f>
        <v>37.41643</v>
      </c>
      <c r="H354">
        <f>IFERROR(__xludf.DUMMYFUNCTION("INDEX(SPLIT(F354, ""-""), 2)
"),122.13004)</f>
        <v>122.13004</v>
      </c>
    </row>
    <row r="355">
      <c r="A355" s="1">
        <v>353.0</v>
      </c>
      <c r="B355" s="1" t="s">
        <v>1083</v>
      </c>
      <c r="C355" s="1">
        <v>3.5</v>
      </c>
      <c r="D355" s="1" t="s">
        <v>1084</v>
      </c>
      <c r="E355" s="1" t="s">
        <v>836</v>
      </c>
      <c r="F355" s="1" t="s">
        <v>1085</v>
      </c>
      <c r="G355">
        <f>IFERROR(__xludf.DUMMYFUNCTION("INDEX(SPLIT(F355, ""-""), 1)
"),37.390076192143)</f>
        <v>37.39007619</v>
      </c>
      <c r="H355">
        <f>IFERROR(__xludf.DUMMYFUNCTION("INDEX(SPLIT(F355, ""-""), 2)
"),122.042184743589)</f>
        <v>122.0421847</v>
      </c>
    </row>
    <row r="356">
      <c r="A356" s="1">
        <v>354.0</v>
      </c>
      <c r="B356" s="1" t="s">
        <v>1086</v>
      </c>
      <c r="C356" s="1">
        <v>4.0</v>
      </c>
      <c r="D356" s="1" t="s">
        <v>1087</v>
      </c>
      <c r="E356" s="1" t="s">
        <v>135</v>
      </c>
      <c r="F356" s="1" t="s">
        <v>1088</v>
      </c>
      <c r="G356">
        <f>IFERROR(__xludf.DUMMYFUNCTION("INDEX(SPLIT(F356, ""-""), 1)
"),37.4438754674247)</f>
        <v>37.44387547</v>
      </c>
      <c r="H356">
        <f>IFERROR(__xludf.DUMMYFUNCTION("INDEX(SPLIT(F356, ""-""), 2)
"),122.161595821381)</f>
        <v>122.1615958</v>
      </c>
    </row>
    <row r="357">
      <c r="A357" s="1">
        <v>355.0</v>
      </c>
      <c r="B357" s="1" t="s">
        <v>1089</v>
      </c>
      <c r="C357" s="1">
        <v>3.0</v>
      </c>
      <c r="D357" s="1" t="s">
        <v>1090</v>
      </c>
      <c r="E357" s="1" t="s">
        <v>789</v>
      </c>
      <c r="F357" s="1" t="s">
        <v>1091</v>
      </c>
      <c r="G357">
        <f>IFERROR(__xludf.DUMMYFUNCTION("INDEX(SPLIT(F357, ""-""), 1)
"),37.4917931901457)</f>
        <v>37.49179319</v>
      </c>
      <c r="H357">
        <f>IFERROR(__xludf.DUMMYFUNCTION("INDEX(SPLIT(F357, ""-""), 2)
"),122.224192531476)</f>
        <v>122.2241925</v>
      </c>
    </row>
    <row r="358">
      <c r="A358" s="1">
        <v>356.0</v>
      </c>
      <c r="B358" s="1" t="s">
        <v>1092</v>
      </c>
      <c r="C358" s="1">
        <v>3.5</v>
      </c>
      <c r="D358" s="1" t="s">
        <v>1093</v>
      </c>
      <c r="E358" s="1" t="s">
        <v>135</v>
      </c>
      <c r="F358" s="1" t="s">
        <v>1094</v>
      </c>
      <c r="G358">
        <f>IFERROR(__xludf.DUMMYFUNCTION("INDEX(SPLIT(F358, ""-""), 1)
"),37.444682)</f>
        <v>37.444682</v>
      </c>
      <c r="H358">
        <f>IFERROR(__xludf.DUMMYFUNCTION("INDEX(SPLIT(F358, ""-""), 2)
"),122.161533)</f>
        <v>122.161533</v>
      </c>
    </row>
    <row r="359">
      <c r="A359" s="1">
        <v>357.0</v>
      </c>
      <c r="B359" s="1" t="s">
        <v>1095</v>
      </c>
      <c r="C359" s="1">
        <v>3.5</v>
      </c>
      <c r="D359" s="1" t="s">
        <v>1096</v>
      </c>
      <c r="E359" s="1" t="s">
        <v>135</v>
      </c>
      <c r="F359" s="1" t="s">
        <v>1097</v>
      </c>
      <c r="G359">
        <f>IFERROR(__xludf.DUMMYFUNCTION("INDEX(SPLIT(F359, ""-""), 1)
"),37.447555)</f>
        <v>37.447555</v>
      </c>
      <c r="H359">
        <f>IFERROR(__xludf.DUMMYFUNCTION("INDEX(SPLIT(F359, ""-""), 2)
"),122.159804)</f>
        <v>122.159804</v>
      </c>
    </row>
    <row r="360">
      <c r="A360" s="1">
        <v>358.0</v>
      </c>
      <c r="B360" s="1" t="s">
        <v>1098</v>
      </c>
      <c r="C360" s="1">
        <v>4.0</v>
      </c>
      <c r="D360" s="1" t="s">
        <v>1099</v>
      </c>
      <c r="E360" s="1" t="s">
        <v>789</v>
      </c>
      <c r="F360" s="1" t="s">
        <v>1100</v>
      </c>
      <c r="G360">
        <f>IFERROR(__xludf.DUMMYFUNCTION("INDEX(SPLIT(F360, ""-""), 1)
"),37.46868)</f>
        <v>37.46868</v>
      </c>
      <c r="H360">
        <f>IFERROR(__xludf.DUMMYFUNCTION("INDEX(SPLIT(F360, ""-""), 2)
"),122.223999999999)</f>
        <v>122.224</v>
      </c>
    </row>
    <row r="361">
      <c r="A361" s="1">
        <v>359.0</v>
      </c>
      <c r="B361" s="1" t="s">
        <v>1101</v>
      </c>
      <c r="C361" s="1">
        <v>4.0</v>
      </c>
      <c r="D361" s="1" t="s">
        <v>1102</v>
      </c>
      <c r="E361" s="1" t="s">
        <v>135</v>
      </c>
      <c r="F361" s="1" t="s">
        <v>1103</v>
      </c>
      <c r="G361">
        <f>IFERROR(__xludf.DUMMYFUNCTION("INDEX(SPLIT(F361, ""-""), 1)
"),37.4480657)</f>
        <v>37.4480657</v>
      </c>
      <c r="H361">
        <f>IFERROR(__xludf.DUMMYFUNCTION("INDEX(SPLIT(F361, ""-""), 2)
"),122.159221)</f>
        <v>122.159221</v>
      </c>
    </row>
    <row r="362">
      <c r="A362" s="1">
        <v>360.0</v>
      </c>
      <c r="B362" s="1" t="s">
        <v>1104</v>
      </c>
      <c r="C362" s="1">
        <v>3.5</v>
      </c>
      <c r="D362" s="1" t="s">
        <v>1105</v>
      </c>
      <c r="E362" s="1" t="s">
        <v>135</v>
      </c>
      <c r="F362" s="1" t="s">
        <v>1106</v>
      </c>
      <c r="G362">
        <f>IFERROR(__xludf.DUMMYFUNCTION("INDEX(SPLIT(F362, ""-""), 1)
"),37.4444718383711)</f>
        <v>37.44447184</v>
      </c>
      <c r="H362">
        <f>IFERROR(__xludf.DUMMYFUNCTION("INDEX(SPLIT(F362, ""-""), 2)
"),122.165222240072)</f>
        <v>122.1652222</v>
      </c>
    </row>
    <row r="363">
      <c r="A363" s="1">
        <v>361.0</v>
      </c>
      <c r="B363" s="1" t="s">
        <v>1107</v>
      </c>
      <c r="C363" s="1">
        <v>3.5</v>
      </c>
      <c r="D363" s="1" t="s">
        <v>1108</v>
      </c>
      <c r="E363" s="1" t="s">
        <v>98</v>
      </c>
      <c r="F363" s="1" t="s">
        <v>1109</v>
      </c>
      <c r="G363">
        <f>IFERROR(__xludf.DUMMYFUNCTION("INDEX(SPLIT(F363, ""-""), 1)
"),37.3604672926655)</f>
        <v>37.36046729</v>
      </c>
      <c r="H363">
        <f>IFERROR(__xludf.DUMMYFUNCTION("INDEX(SPLIT(F363, ""-""), 2)
"),122.096757004484)</f>
        <v>122.096757</v>
      </c>
    </row>
    <row r="364">
      <c r="A364" s="1">
        <v>362.0</v>
      </c>
      <c r="B364" s="1" t="s">
        <v>1110</v>
      </c>
      <c r="C364" s="1">
        <v>3.5</v>
      </c>
      <c r="D364" s="1" t="s">
        <v>1111</v>
      </c>
      <c r="E364" s="1" t="s">
        <v>1112</v>
      </c>
      <c r="F364" s="1" t="s">
        <v>1113</v>
      </c>
      <c r="G364">
        <f>IFERROR(__xludf.DUMMYFUNCTION("INDEX(SPLIT(F364, ""-""), 1)
"),37.42398)</f>
        <v>37.42398</v>
      </c>
      <c r="H364">
        <f>IFERROR(__xludf.DUMMYFUNCTION("INDEX(SPLIT(F364, ""-""), 2)
"),122.19693)</f>
        <v>122.19693</v>
      </c>
    </row>
    <row r="365">
      <c r="A365" s="1">
        <v>363.0</v>
      </c>
      <c r="B365" s="1" t="s">
        <v>1114</v>
      </c>
      <c r="C365" s="1">
        <v>3.5</v>
      </c>
      <c r="D365" s="1" t="s">
        <v>1115</v>
      </c>
      <c r="E365" s="1" t="s">
        <v>98</v>
      </c>
      <c r="F365" s="1" t="s">
        <v>1116</v>
      </c>
      <c r="G365">
        <f>IFERROR(__xludf.DUMMYFUNCTION("INDEX(SPLIT(F365, ""-""), 1)
"),37.3783798)</f>
        <v>37.3783798</v>
      </c>
      <c r="H365">
        <f>IFERROR(__xludf.DUMMYFUNCTION("INDEX(SPLIT(F365, ""-""), 2)
"),122.117019699999)</f>
        <v>122.1170197</v>
      </c>
    </row>
    <row r="366">
      <c r="A366" s="1">
        <v>364.0</v>
      </c>
      <c r="B366" s="1" t="s">
        <v>1117</v>
      </c>
      <c r="C366" s="1">
        <v>3.5</v>
      </c>
      <c r="D366" s="1" t="s">
        <v>1118</v>
      </c>
      <c r="E366" s="1" t="s">
        <v>135</v>
      </c>
      <c r="F366" s="1" t="s">
        <v>1119</v>
      </c>
      <c r="G366">
        <f>IFERROR(__xludf.DUMMYFUNCTION("INDEX(SPLIT(F366, ""-""), 1)
"),37.4471969604492)</f>
        <v>37.44719696</v>
      </c>
      <c r="H366">
        <f>IFERROR(__xludf.DUMMYFUNCTION("INDEX(SPLIT(F366, ""-""), 2)
"),122.160781860352)</f>
        <v>122.1607819</v>
      </c>
    </row>
    <row r="367">
      <c r="A367" s="1">
        <v>365.0</v>
      </c>
      <c r="B367" s="1" t="s">
        <v>1120</v>
      </c>
      <c r="C367" s="1">
        <v>5.0</v>
      </c>
      <c r="D367" s="1" t="s">
        <v>1121</v>
      </c>
      <c r="E367" s="1" t="s">
        <v>789</v>
      </c>
      <c r="F367" s="1" t="s">
        <v>1122</v>
      </c>
      <c r="G367">
        <f>IFERROR(__xludf.DUMMYFUNCTION("INDEX(SPLIT(F367, ""-""), 1)
"),37.4868656)</f>
        <v>37.4868656</v>
      </c>
      <c r="H367">
        <f>IFERROR(__xludf.DUMMYFUNCTION("INDEX(SPLIT(F367, ""-""), 2)
"),122.223413299999)</f>
        <v>122.2234133</v>
      </c>
    </row>
    <row r="368">
      <c r="A368" s="1">
        <v>366.0</v>
      </c>
      <c r="B368" s="1" t="s">
        <v>1123</v>
      </c>
      <c r="C368" s="1">
        <v>3.5</v>
      </c>
      <c r="D368" s="1" t="s">
        <v>1124</v>
      </c>
      <c r="E368" s="1" t="s">
        <v>135</v>
      </c>
      <c r="F368" s="1" t="s">
        <v>1125</v>
      </c>
      <c r="G368">
        <f>IFERROR(__xludf.DUMMYFUNCTION("INDEX(SPLIT(F368, ""-""), 1)
"),37.41883)</f>
        <v>37.41883</v>
      </c>
      <c r="H368">
        <f>IFERROR(__xludf.DUMMYFUNCTION("INDEX(SPLIT(F368, ""-""), 2)
"),122.1099)</f>
        <v>122.1099</v>
      </c>
    </row>
    <row r="369">
      <c r="A369" s="1">
        <v>367.0</v>
      </c>
      <c r="B369" s="1" t="s">
        <v>1126</v>
      </c>
      <c r="C369" s="1">
        <v>4.0</v>
      </c>
      <c r="D369" s="1" t="s">
        <v>1127</v>
      </c>
      <c r="E369" s="1" t="s">
        <v>789</v>
      </c>
      <c r="F369" s="1" t="s">
        <v>1128</v>
      </c>
      <c r="G369">
        <f>IFERROR(__xludf.DUMMYFUNCTION("INDEX(SPLIT(F369, ""-""), 1)
"),37.4867482944358)</f>
        <v>37.48674829</v>
      </c>
      <c r="H369">
        <f>IFERROR(__xludf.DUMMYFUNCTION("INDEX(SPLIT(F369, ""-""), 2)
"),122.229360103705)</f>
        <v>122.2293601</v>
      </c>
    </row>
    <row r="370">
      <c r="A370" s="1">
        <v>368.0</v>
      </c>
      <c r="B370" s="1" t="s">
        <v>1129</v>
      </c>
      <c r="C370" s="1">
        <v>5.0</v>
      </c>
      <c r="D370" s="1" t="s">
        <v>1130</v>
      </c>
      <c r="E370" s="1" t="s">
        <v>836</v>
      </c>
      <c r="F370" s="1" t="s">
        <v>1131</v>
      </c>
      <c r="G370">
        <f>IFERROR(__xludf.DUMMYFUNCTION("INDEX(SPLIT(F370, ""-""), 1)
"),37.35338)</f>
        <v>37.35338</v>
      </c>
      <c r="H370">
        <f>IFERROR(__xludf.DUMMYFUNCTION("INDEX(SPLIT(F370, ""-""), 2)
"),122.05071)</f>
        <v>122.05071</v>
      </c>
    </row>
    <row r="371">
      <c r="A371" s="1">
        <v>369.0</v>
      </c>
      <c r="B371" s="1" t="s">
        <v>1132</v>
      </c>
      <c r="C371" s="1">
        <v>3.5</v>
      </c>
      <c r="D371" s="1" t="s">
        <v>1133</v>
      </c>
      <c r="E371" s="1" t="s">
        <v>1134</v>
      </c>
      <c r="F371" s="1" t="s">
        <v>1135</v>
      </c>
      <c r="G371">
        <f>IFERROR(__xludf.DUMMYFUNCTION("INDEX(SPLIT(F371, ""-""), 1)
"),37.426249336151)</f>
        <v>37.42624934</v>
      </c>
      <c r="H371">
        <f>IFERROR(__xludf.DUMMYFUNCTION("INDEX(SPLIT(F371, ""-""), 2)
"),122.16706752777)</f>
        <v>122.1670675</v>
      </c>
    </row>
    <row r="372">
      <c r="A372" s="1">
        <v>370.0</v>
      </c>
      <c r="B372" s="1" t="s">
        <v>1136</v>
      </c>
      <c r="C372" s="1">
        <v>3.5</v>
      </c>
      <c r="D372" s="1" t="s">
        <v>1137</v>
      </c>
      <c r="E372" s="1" t="s">
        <v>135</v>
      </c>
      <c r="F372" s="1" t="s">
        <v>1138</v>
      </c>
      <c r="G372">
        <f>IFERROR(__xludf.DUMMYFUNCTION("INDEX(SPLIT(F372, ""-""), 1)
"),37.4203109741211)</f>
        <v>37.42031097</v>
      </c>
      <c r="H372">
        <f>IFERROR(__xludf.DUMMYFUNCTION("INDEX(SPLIT(F372, ""-""), 2)
"),122.102348327637)</f>
        <v>122.1023483</v>
      </c>
    </row>
    <row r="373">
      <c r="A373" s="1">
        <v>371.0</v>
      </c>
      <c r="B373" s="1" t="s">
        <v>1139</v>
      </c>
      <c r="C373" s="1">
        <v>2.0</v>
      </c>
      <c r="D373" s="1" t="s">
        <v>1140</v>
      </c>
      <c r="E373" s="1" t="s">
        <v>94</v>
      </c>
      <c r="F373" s="1" t="s">
        <v>1141</v>
      </c>
      <c r="G373">
        <f>IFERROR(__xludf.DUMMYFUNCTION("INDEX(SPLIT(F373, ""-""), 1)
"),37.390983766688)</f>
        <v>37.39098377</v>
      </c>
      <c r="H373">
        <f>IFERROR(__xludf.DUMMYFUNCTION("INDEX(SPLIT(F373, ""-""), 2)
"),122.095294088778)</f>
        <v>122.0952941</v>
      </c>
    </row>
    <row r="374">
      <c r="A374" s="1">
        <v>372.0</v>
      </c>
      <c r="B374" s="1" t="s">
        <v>1142</v>
      </c>
      <c r="C374" s="1">
        <v>3.5</v>
      </c>
      <c r="D374" s="1" t="s">
        <v>1143</v>
      </c>
      <c r="E374" s="1" t="s">
        <v>94</v>
      </c>
      <c r="F374" s="1" t="s">
        <v>1144</v>
      </c>
      <c r="G374">
        <f>IFERROR(__xludf.DUMMYFUNCTION("INDEX(SPLIT(F374, ""-""), 1)
"),37.4015598999999)</f>
        <v>37.4015599</v>
      </c>
      <c r="H374">
        <f>IFERROR(__xludf.DUMMYFUNCTION("INDEX(SPLIT(F374, ""-""), 2)
"),122.1132477)</f>
        <v>122.1132477</v>
      </c>
    </row>
    <row r="375">
      <c r="A375" s="1">
        <v>373.0</v>
      </c>
      <c r="B375" s="1" t="s">
        <v>1145</v>
      </c>
      <c r="C375" s="1">
        <v>4.0</v>
      </c>
      <c r="D375" s="1" t="s">
        <v>1146</v>
      </c>
      <c r="E375" s="1" t="s">
        <v>789</v>
      </c>
      <c r="F375" s="1" t="s">
        <v>1147</v>
      </c>
      <c r="G375">
        <f>IFERROR(__xludf.DUMMYFUNCTION("INDEX(SPLIT(F375, ""-""), 1)
"),37.4857502210641)</f>
        <v>37.48575022</v>
      </c>
      <c r="H375">
        <f>IFERROR(__xludf.DUMMYFUNCTION("INDEX(SPLIT(F375, ""-""), 2)
"),122.228834925786)</f>
        <v>122.2288349</v>
      </c>
    </row>
    <row r="376">
      <c r="A376" s="1">
        <v>374.0</v>
      </c>
      <c r="B376" s="1" t="s">
        <v>1148</v>
      </c>
      <c r="C376" s="1">
        <v>3.5</v>
      </c>
      <c r="D376" s="1" t="s">
        <v>1149</v>
      </c>
      <c r="E376" s="1" t="s">
        <v>1112</v>
      </c>
      <c r="F376" s="1" t="s">
        <v>1150</v>
      </c>
      <c r="G376">
        <f>IFERROR(__xludf.DUMMYFUNCTION("INDEX(SPLIT(F376, ""-""), 1)
"),37.4483544)</f>
        <v>37.4483544</v>
      </c>
      <c r="H376">
        <f>IFERROR(__xludf.DUMMYFUNCTION("INDEX(SPLIT(F376, ""-""), 2)
"),122.174376799999)</f>
        <v>122.1743768</v>
      </c>
    </row>
    <row r="377">
      <c r="A377" s="1">
        <v>375.0</v>
      </c>
      <c r="B377" s="1" t="s">
        <v>1151</v>
      </c>
      <c r="C377" s="1">
        <v>2.5</v>
      </c>
      <c r="D377" s="1" t="s">
        <v>1152</v>
      </c>
      <c r="E377" s="1" t="s">
        <v>1134</v>
      </c>
      <c r="F377" s="1" t="s">
        <v>1153</v>
      </c>
      <c r="G377">
        <f>IFERROR(__xludf.DUMMYFUNCTION("INDEX(SPLIT(F377, ""-""), 1)
"),37.425371754743)</f>
        <v>37.42537175</v>
      </c>
      <c r="H377">
        <f>IFERROR(__xludf.DUMMYFUNCTION("INDEX(SPLIT(F377, ""-""), 2)
"),122.170543670654)</f>
        <v>122.1705437</v>
      </c>
    </row>
    <row r="378">
      <c r="A378" s="1">
        <v>376.0</v>
      </c>
      <c r="B378" s="1" t="s">
        <v>1154</v>
      </c>
      <c r="C378" s="1">
        <v>4.0</v>
      </c>
      <c r="D378" s="1" t="s">
        <v>1155</v>
      </c>
      <c r="E378" s="1" t="s">
        <v>836</v>
      </c>
      <c r="F378" s="1" t="s">
        <v>1156</v>
      </c>
      <c r="G378">
        <f>IFERROR(__xludf.DUMMYFUNCTION("INDEX(SPLIT(F378, ""-""), 1)
"),37.3517264451999)</f>
        <v>37.35172645</v>
      </c>
      <c r="H378">
        <f>IFERROR(__xludf.DUMMYFUNCTION("INDEX(SPLIT(F378, ""-""), 2)
"),122.002505609904)</f>
        <v>122.0025056</v>
      </c>
    </row>
    <row r="379">
      <c r="A379" s="1">
        <v>377.0</v>
      </c>
      <c r="B379" s="1" t="s">
        <v>1157</v>
      </c>
      <c r="C379" s="1">
        <v>3.5</v>
      </c>
      <c r="D379" s="1" t="s">
        <v>1158</v>
      </c>
      <c r="E379" s="1" t="s">
        <v>836</v>
      </c>
      <c r="F379" s="1" t="s">
        <v>1159</v>
      </c>
      <c r="G379">
        <f>IFERROR(__xludf.DUMMYFUNCTION("INDEX(SPLIT(F379, ""-""), 1)
"),37.3973885)</f>
        <v>37.3973885</v>
      </c>
      <c r="H379">
        <f>IFERROR(__xludf.DUMMYFUNCTION("INDEX(SPLIT(F379, ""-""), 2)
"),121.9967194)</f>
        <v>121.9967194</v>
      </c>
    </row>
    <row r="380">
      <c r="A380" s="1">
        <v>378.0</v>
      </c>
      <c r="B380" s="1" t="s">
        <v>1160</v>
      </c>
      <c r="C380" s="1">
        <v>3.5</v>
      </c>
      <c r="D380" s="1" t="s">
        <v>1161</v>
      </c>
      <c r="E380" s="1" t="s">
        <v>836</v>
      </c>
      <c r="F380" s="1" t="s">
        <v>1162</v>
      </c>
      <c r="G380">
        <f>IFERROR(__xludf.DUMMYFUNCTION("INDEX(SPLIT(F380, ""-""), 1)
"),37.3761833999999)</f>
        <v>37.3761834</v>
      </c>
      <c r="H380">
        <f>IFERROR(__xludf.DUMMYFUNCTION("INDEX(SPLIT(F380, ""-""), 2)
"),122.0301825)</f>
        <v>122.0301825</v>
      </c>
    </row>
    <row r="381">
      <c r="A381" s="1">
        <v>379.0</v>
      </c>
      <c r="B381" s="1" t="s">
        <v>1163</v>
      </c>
      <c r="C381" s="1">
        <v>3.5</v>
      </c>
      <c r="D381" s="1" t="s">
        <v>1164</v>
      </c>
      <c r="E381" s="1" t="s">
        <v>511</v>
      </c>
      <c r="F381" s="1" t="s">
        <v>1165</v>
      </c>
      <c r="G381">
        <f>IFERROR(__xludf.DUMMYFUNCTION("INDEX(SPLIT(F381, ""-""), 1)
"),37.3255099999999)</f>
        <v>37.32551</v>
      </c>
      <c r="H381">
        <f>IFERROR(__xludf.DUMMYFUNCTION("INDEX(SPLIT(F381, ""-""), 2)
"),121.94462)</f>
        <v>121.94462</v>
      </c>
    </row>
    <row r="382">
      <c r="A382" s="1">
        <v>380.0</v>
      </c>
      <c r="B382" s="1" t="s">
        <v>1166</v>
      </c>
      <c r="C382" s="1">
        <v>2.5</v>
      </c>
      <c r="D382" s="1" t="s">
        <v>1167</v>
      </c>
      <c r="E382" s="1" t="s">
        <v>511</v>
      </c>
      <c r="F382" s="1" t="s">
        <v>1168</v>
      </c>
      <c r="G382">
        <f>IFERROR(__xludf.DUMMYFUNCTION("INDEX(SPLIT(F382, ""-""), 1)
"),37.3515863912687)</f>
        <v>37.35158639</v>
      </c>
      <c r="H382">
        <f>IFERROR(__xludf.DUMMYFUNCTION("INDEX(SPLIT(F382, ""-""), 2)
"),121.99270148474)</f>
        <v>121.9927015</v>
      </c>
    </row>
    <row r="383">
      <c r="A383" s="1">
        <v>381.0</v>
      </c>
      <c r="B383" s="1" t="s">
        <v>1169</v>
      </c>
      <c r="C383" s="1">
        <v>3.5</v>
      </c>
      <c r="D383" s="1" t="s">
        <v>1170</v>
      </c>
      <c r="E383" s="1" t="s">
        <v>511</v>
      </c>
      <c r="F383" s="1" t="s">
        <v>1171</v>
      </c>
      <c r="G383">
        <f>IFERROR(__xludf.DUMMYFUNCTION("INDEX(SPLIT(F383, ""-""), 1)
"),37.3515681496377)</f>
        <v>37.35156815</v>
      </c>
      <c r="H383">
        <f>IFERROR(__xludf.DUMMYFUNCTION("INDEX(SPLIT(F383, ""-""), 2)
"),121.992844729458)</f>
        <v>121.9928447</v>
      </c>
    </row>
    <row r="384">
      <c r="A384" s="1">
        <v>382.0</v>
      </c>
      <c r="B384" s="1" t="s">
        <v>1172</v>
      </c>
      <c r="C384" s="1">
        <v>4.5</v>
      </c>
      <c r="D384" s="1" t="s">
        <v>1173</v>
      </c>
      <c r="E384" s="1" t="s">
        <v>511</v>
      </c>
      <c r="F384" s="1" t="s">
        <v>1174</v>
      </c>
      <c r="G384">
        <f>IFERROR(__xludf.DUMMYFUNCTION("INDEX(SPLIT(F384, ""-""), 1)
"),37.38919)</f>
        <v>37.38919</v>
      </c>
      <c r="H384">
        <f>IFERROR(__xludf.DUMMYFUNCTION("INDEX(SPLIT(F384, ""-""), 2)
"),121.983389999999)</f>
        <v>121.98339</v>
      </c>
    </row>
    <row r="385">
      <c r="A385" s="1">
        <v>383.0</v>
      </c>
      <c r="B385" s="1" t="s">
        <v>1175</v>
      </c>
      <c r="C385" s="1">
        <v>2.5</v>
      </c>
      <c r="D385" s="1" t="s">
        <v>1164</v>
      </c>
      <c r="E385" s="1" t="s">
        <v>511</v>
      </c>
      <c r="F385" s="1" t="s">
        <v>1176</v>
      </c>
      <c r="G385">
        <f>IFERROR(__xludf.DUMMYFUNCTION("INDEX(SPLIT(F385, ""-""), 1)
"),37.326036489104)</f>
        <v>37.32603649</v>
      </c>
      <c r="H385">
        <f>IFERROR(__xludf.DUMMYFUNCTION("INDEX(SPLIT(F385, ""-""), 2)
"),121.944165208983)</f>
        <v>121.9441652</v>
      </c>
    </row>
    <row r="386">
      <c r="A386" s="1">
        <v>384.0</v>
      </c>
      <c r="B386" s="1" t="s">
        <v>1177</v>
      </c>
      <c r="C386" s="1">
        <v>3.5</v>
      </c>
      <c r="D386" s="1" t="s">
        <v>920</v>
      </c>
      <c r="E386" s="1" t="s">
        <v>511</v>
      </c>
      <c r="F386" s="1" t="s">
        <v>1178</v>
      </c>
      <c r="G386">
        <f>IFERROR(__xludf.DUMMYFUNCTION("INDEX(SPLIT(F386, ""-""), 1)
"),37.3503848)</f>
        <v>37.3503848</v>
      </c>
      <c r="H386">
        <f>IFERROR(__xludf.DUMMYFUNCTION("INDEX(SPLIT(F386, ""-""), 2)
"),121.9437883)</f>
        <v>121.9437883</v>
      </c>
    </row>
    <row r="387">
      <c r="A387" s="1">
        <v>385.0</v>
      </c>
      <c r="B387" s="1" t="s">
        <v>1179</v>
      </c>
      <c r="C387" s="1">
        <v>3.5</v>
      </c>
      <c r="D387" s="1" t="s">
        <v>1180</v>
      </c>
      <c r="E387" s="1" t="s">
        <v>1181</v>
      </c>
      <c r="F387" s="1" t="s">
        <v>1182</v>
      </c>
      <c r="G387">
        <f>IFERROR(__xludf.DUMMYFUNCTION("INDEX(SPLIT(F387, ""-""), 1)
"),37.6492551499593)</f>
        <v>37.64925515</v>
      </c>
      <c r="H387">
        <f>IFERROR(__xludf.DUMMYFUNCTION("INDEX(SPLIT(F387, ""-""), 2)
"),122.429556883872)</f>
        <v>122.4295569</v>
      </c>
    </row>
    <row r="388">
      <c r="A388" s="1">
        <v>386.0</v>
      </c>
      <c r="B388" s="1" t="s">
        <v>1183</v>
      </c>
      <c r="C388" s="1">
        <v>4.5</v>
      </c>
      <c r="D388" s="1" t="s">
        <v>1184</v>
      </c>
      <c r="E388" s="1" t="s">
        <v>1185</v>
      </c>
      <c r="F388" s="1" t="s">
        <v>1186</v>
      </c>
      <c r="G388">
        <f>IFERROR(__xludf.DUMMYFUNCTION("INDEX(SPLIT(F388, ""-""), 1)
"),37.594114)</f>
        <v>37.594114</v>
      </c>
      <c r="H388">
        <f>IFERROR(__xludf.DUMMYFUNCTION("INDEX(SPLIT(F388, ""-""), 2)
"),122.384605)</f>
        <v>122.384605</v>
      </c>
    </row>
    <row r="389">
      <c r="A389" s="1">
        <v>387.0</v>
      </c>
      <c r="B389" s="1" t="s">
        <v>1187</v>
      </c>
      <c r="C389" s="1">
        <v>4.5</v>
      </c>
      <c r="D389" s="1" t="s">
        <v>1188</v>
      </c>
      <c r="E389" s="1" t="s">
        <v>1189</v>
      </c>
      <c r="F389" s="1" t="s">
        <v>1190</v>
      </c>
      <c r="G389">
        <f>IFERROR(__xludf.DUMMYFUNCTION("INDEX(SPLIT(F389, ""-""), 1)
"),37.622566)</f>
        <v>37.622566</v>
      </c>
      <c r="H389">
        <f>IFERROR(__xludf.DUMMYFUNCTION("INDEX(SPLIT(F389, ""-""), 2)
"),122.410941999999)</f>
        <v>122.410942</v>
      </c>
    </row>
    <row r="390">
      <c r="A390" s="1">
        <v>388.0</v>
      </c>
      <c r="B390" s="1" t="s">
        <v>1191</v>
      </c>
      <c r="C390" s="1">
        <v>4.0</v>
      </c>
      <c r="D390" s="1" t="s">
        <v>1192</v>
      </c>
      <c r="E390" s="1" t="s">
        <v>1193</v>
      </c>
      <c r="F390" s="1" t="s">
        <v>1194</v>
      </c>
      <c r="G390">
        <f>IFERROR(__xludf.DUMMYFUNCTION("INDEX(SPLIT(F390, ""-""), 1)
"),37.5671987999999)</f>
        <v>37.5671988</v>
      </c>
      <c r="H390">
        <f>IFERROR(__xludf.DUMMYFUNCTION("INDEX(SPLIT(F390, ""-""), 2)
"),122.3253964)</f>
        <v>122.3253964</v>
      </c>
    </row>
    <row r="391">
      <c r="A391" s="1">
        <v>389.0</v>
      </c>
      <c r="B391" s="1" t="s">
        <v>1195</v>
      </c>
      <c r="C391" s="1">
        <v>4.0</v>
      </c>
      <c r="D391" s="1" t="s">
        <v>1196</v>
      </c>
      <c r="E391" s="1" t="s">
        <v>1185</v>
      </c>
      <c r="F391" s="1" t="s">
        <v>1197</v>
      </c>
      <c r="G391">
        <f>IFERROR(__xludf.DUMMYFUNCTION("INDEX(SPLIT(F391, ""-""), 1)
"),37.5773026)</f>
        <v>37.5773026</v>
      </c>
      <c r="H391">
        <f>IFERROR(__xludf.DUMMYFUNCTION("INDEX(SPLIT(F391, ""-""), 2)
"),122.3486125)</f>
        <v>122.3486125</v>
      </c>
    </row>
    <row r="392">
      <c r="A392" s="1">
        <v>390.0</v>
      </c>
      <c r="B392" s="1" t="s">
        <v>1198</v>
      </c>
      <c r="C392" s="1">
        <v>4.0</v>
      </c>
      <c r="D392" s="1" t="s">
        <v>1199</v>
      </c>
      <c r="E392" s="1" t="s">
        <v>1181</v>
      </c>
      <c r="F392" s="1" t="s">
        <v>1200</v>
      </c>
      <c r="G392">
        <f>IFERROR(__xludf.DUMMYFUNCTION("INDEX(SPLIT(F392, ""-""), 1)
"),37.6492265)</f>
        <v>37.6492265</v>
      </c>
      <c r="H392">
        <f>IFERROR(__xludf.DUMMYFUNCTION("INDEX(SPLIT(F392, ""-""), 2)
"),122.430214299999)</f>
        <v>122.4302143</v>
      </c>
    </row>
    <row r="393">
      <c r="A393" s="1">
        <v>391.0</v>
      </c>
      <c r="B393" s="1" t="s">
        <v>1201</v>
      </c>
      <c r="C393" s="1">
        <v>4.0</v>
      </c>
      <c r="D393" s="1" t="s">
        <v>1202</v>
      </c>
      <c r="E393" s="1" t="s">
        <v>1185</v>
      </c>
      <c r="F393" s="1" t="s">
        <v>1203</v>
      </c>
      <c r="G393">
        <f>IFERROR(__xludf.DUMMYFUNCTION("INDEX(SPLIT(F393, ""-""), 1)
"),37.5794379623736)</f>
        <v>37.57943796</v>
      </c>
      <c r="H393">
        <f>IFERROR(__xludf.DUMMYFUNCTION("INDEX(SPLIT(F393, ""-""), 2)
"),122.345903012389)</f>
        <v>122.345903</v>
      </c>
    </row>
    <row r="394">
      <c r="A394" s="1">
        <v>392.0</v>
      </c>
      <c r="B394" s="1" t="s">
        <v>1204</v>
      </c>
      <c r="C394" s="1">
        <v>4.0</v>
      </c>
      <c r="D394" s="1" t="s">
        <v>1205</v>
      </c>
      <c r="E394" s="1" t="s">
        <v>1193</v>
      </c>
      <c r="F394" s="1" t="s">
        <v>1206</v>
      </c>
      <c r="G394">
        <f>IFERROR(__xludf.DUMMYFUNCTION("INDEX(SPLIT(F394, ""-""), 1)
"),37.564318)</f>
        <v>37.564318</v>
      </c>
      <c r="H394">
        <f>IFERROR(__xludf.DUMMYFUNCTION("INDEX(SPLIT(F394, ""-""), 2)
"),122.323843099999)</f>
        <v>122.3238431</v>
      </c>
    </row>
    <row r="395">
      <c r="A395" s="1">
        <v>393.0</v>
      </c>
      <c r="B395" s="1" t="s">
        <v>1207</v>
      </c>
      <c r="C395" s="1">
        <v>4.0</v>
      </c>
      <c r="D395" s="1" t="s">
        <v>1208</v>
      </c>
      <c r="E395" s="1" t="s">
        <v>1193</v>
      </c>
      <c r="F395" s="1" t="s">
        <v>1209</v>
      </c>
      <c r="G395">
        <f>IFERROR(__xludf.DUMMYFUNCTION("INDEX(SPLIT(F395, ""-""), 1)
"),37.5649712999999)</f>
        <v>37.5649713</v>
      </c>
      <c r="H395">
        <f>IFERROR(__xludf.DUMMYFUNCTION("INDEX(SPLIT(F395, ""-""), 2)
"),122.3228903)</f>
        <v>122.3228903</v>
      </c>
    </row>
    <row r="396">
      <c r="A396" s="1">
        <v>394.0</v>
      </c>
      <c r="B396" s="1" t="s">
        <v>1210</v>
      </c>
      <c r="C396" s="1">
        <v>4.0</v>
      </c>
      <c r="D396" s="1" t="s">
        <v>1211</v>
      </c>
      <c r="E396" s="1" t="s">
        <v>1212</v>
      </c>
      <c r="F396" s="1" t="s">
        <v>1213</v>
      </c>
      <c r="G396">
        <f>IFERROR(__xludf.DUMMYFUNCTION("INDEX(SPLIT(F396, ""-""), 1)
"),37.61218)</f>
        <v>37.61218</v>
      </c>
      <c r="H396">
        <f>IFERROR(__xludf.DUMMYFUNCTION("INDEX(SPLIT(F396, ""-""), 2)
"),122.404)</f>
        <v>122.404</v>
      </c>
    </row>
    <row r="397">
      <c r="A397" s="1">
        <v>395.0</v>
      </c>
      <c r="B397" s="1" t="s">
        <v>1214</v>
      </c>
      <c r="C397" s="1">
        <v>4.0</v>
      </c>
      <c r="D397" s="1" t="s">
        <v>1215</v>
      </c>
      <c r="E397" s="1" t="s">
        <v>1216</v>
      </c>
      <c r="F397" s="1" t="s">
        <v>1217</v>
      </c>
      <c r="G397">
        <f>IFERROR(__xludf.DUMMYFUNCTION("INDEX(SPLIT(F397, ""-""), 1)
"),37.6337492)</f>
        <v>37.6337492</v>
      </c>
      <c r="H397">
        <f>IFERROR(__xludf.DUMMYFUNCTION("INDEX(SPLIT(F397, ""-""), 2)
"),122.4887216)</f>
        <v>122.4887216</v>
      </c>
    </row>
    <row r="398">
      <c r="A398" s="1">
        <v>396.0</v>
      </c>
      <c r="B398" s="1" t="s">
        <v>1218</v>
      </c>
      <c r="C398" s="1">
        <v>3.5</v>
      </c>
      <c r="D398" s="1" t="s">
        <v>1219</v>
      </c>
      <c r="E398" s="1" t="s">
        <v>1212</v>
      </c>
      <c r="F398" s="1" t="s">
        <v>1220</v>
      </c>
      <c r="G398">
        <f>IFERROR(__xludf.DUMMYFUNCTION("INDEX(SPLIT(F398, ""-""), 1)
"),37.601183)</f>
        <v>37.601183</v>
      </c>
      <c r="H398">
        <f>IFERROR(__xludf.DUMMYFUNCTION("INDEX(SPLIT(F398, ""-""), 2)
"),122.392173)</f>
        <v>122.392173</v>
      </c>
    </row>
    <row r="399">
      <c r="A399" s="1">
        <v>397.0</v>
      </c>
      <c r="B399" s="1" t="s">
        <v>1221</v>
      </c>
      <c r="C399" s="1">
        <v>5.0</v>
      </c>
      <c r="D399" s="1" t="s">
        <v>1222</v>
      </c>
      <c r="E399" s="1" t="s">
        <v>1185</v>
      </c>
      <c r="F399" s="1" t="s">
        <v>1223</v>
      </c>
      <c r="G399">
        <f>IFERROR(__xludf.DUMMYFUNCTION("INDEX(SPLIT(F399, ""-""), 1)
"),37.5801206)</f>
        <v>37.5801206</v>
      </c>
      <c r="H399">
        <f>IFERROR(__xludf.DUMMYFUNCTION("INDEX(SPLIT(F399, ""-""), 2)
"),122.346889099999)</f>
        <v>122.3468891</v>
      </c>
    </row>
    <row r="400">
      <c r="A400" s="1">
        <v>398.0</v>
      </c>
      <c r="B400" s="1" t="s">
        <v>1224</v>
      </c>
      <c r="C400" s="1">
        <v>3.5</v>
      </c>
      <c r="D400" s="1" t="s">
        <v>1225</v>
      </c>
      <c r="E400" s="1" t="s">
        <v>1226</v>
      </c>
      <c r="F400" s="1" t="s">
        <v>1227</v>
      </c>
      <c r="G400">
        <f>IFERROR(__xludf.DUMMYFUNCTION("INDEX(SPLIT(F400, ""-""), 1)
"),37.4702203984019)</f>
        <v>37.4702204</v>
      </c>
      <c r="H400">
        <f>IFERROR(__xludf.DUMMYFUNCTION("INDEX(SPLIT(F400, ""-""), 2)
"),122.435569055378)</f>
        <v>122.4355691</v>
      </c>
    </row>
    <row r="401">
      <c r="A401" s="1">
        <v>399.0</v>
      </c>
      <c r="B401" s="1" t="s">
        <v>1228</v>
      </c>
      <c r="C401" s="1">
        <v>4.0</v>
      </c>
      <c r="D401" s="1" t="s">
        <v>1229</v>
      </c>
      <c r="E401" s="1" t="s">
        <v>1212</v>
      </c>
      <c r="F401" s="1" t="s">
        <v>1230</v>
      </c>
      <c r="G401">
        <f>IFERROR(__xludf.DUMMYFUNCTION("INDEX(SPLIT(F401, ""-""), 1)
"),37.6048409390981)</f>
        <v>37.60484094</v>
      </c>
      <c r="H401">
        <f>IFERROR(__xludf.DUMMYFUNCTION("INDEX(SPLIT(F401, ""-""), 2)
"),122.397278312931)</f>
        <v>122.3972783</v>
      </c>
    </row>
    <row r="402">
      <c r="A402" s="1">
        <v>400.0</v>
      </c>
      <c r="B402" s="1" t="s">
        <v>1231</v>
      </c>
      <c r="C402" s="1">
        <v>3.5</v>
      </c>
      <c r="D402" s="1" t="s">
        <v>1232</v>
      </c>
      <c r="E402" s="1" t="s">
        <v>1193</v>
      </c>
      <c r="F402" s="1" t="s">
        <v>1233</v>
      </c>
      <c r="G402">
        <f>IFERROR(__xludf.DUMMYFUNCTION("INDEX(SPLIT(F402, ""-""), 1)
"),37.5667191)</f>
        <v>37.5667191</v>
      </c>
      <c r="H402">
        <f>IFERROR(__xludf.DUMMYFUNCTION("INDEX(SPLIT(F402, ""-""), 2)
"),122.3239517)</f>
        <v>122.3239517</v>
      </c>
    </row>
    <row r="403">
      <c r="A403" s="1">
        <v>401.0</v>
      </c>
      <c r="B403" s="1" t="s">
        <v>1234</v>
      </c>
      <c r="C403" s="1">
        <v>3.5</v>
      </c>
      <c r="D403" s="1" t="s">
        <v>1235</v>
      </c>
      <c r="E403" s="1" t="s">
        <v>1181</v>
      </c>
      <c r="F403" s="1" t="s">
        <v>1236</v>
      </c>
      <c r="G403">
        <f>IFERROR(__xludf.DUMMYFUNCTION("INDEX(SPLIT(F403, ""-""), 1)
"),37.649195)</f>
        <v>37.649195</v>
      </c>
      <c r="H403">
        <f>IFERROR(__xludf.DUMMYFUNCTION("INDEX(SPLIT(F403, ""-""), 2)
"),122.4530236)</f>
        <v>122.4530236</v>
      </c>
    </row>
    <row r="404">
      <c r="A404" s="1">
        <v>402.0</v>
      </c>
      <c r="B404" s="1" t="s">
        <v>1237</v>
      </c>
      <c r="C404" s="1">
        <v>3.5</v>
      </c>
      <c r="D404" s="1" t="s">
        <v>1238</v>
      </c>
      <c r="E404" s="1" t="s">
        <v>1193</v>
      </c>
      <c r="F404" s="1" t="s">
        <v>1239</v>
      </c>
      <c r="G404">
        <f>IFERROR(__xludf.DUMMYFUNCTION("INDEX(SPLIT(F404, ""-""), 1)
"),37.5444733117821)</f>
        <v>37.54447331</v>
      </c>
      <c r="H404">
        <f>IFERROR(__xludf.DUMMYFUNCTION("INDEX(SPLIT(F404, ""-""), 2)
"),122.28505220123)</f>
        <v>122.2850522</v>
      </c>
    </row>
    <row r="405">
      <c r="A405" s="1">
        <v>403.0</v>
      </c>
      <c r="B405" s="1" t="s">
        <v>1240</v>
      </c>
      <c r="C405" s="1">
        <v>4.0</v>
      </c>
      <c r="D405" s="1" t="s">
        <v>1241</v>
      </c>
      <c r="E405" s="1" t="s">
        <v>1193</v>
      </c>
      <c r="F405" s="1" t="s">
        <v>1242</v>
      </c>
      <c r="G405">
        <f>IFERROR(__xludf.DUMMYFUNCTION("INDEX(SPLIT(F405, ""-""), 1)
"),37.5665365)</f>
        <v>37.5665365</v>
      </c>
      <c r="H405">
        <f>IFERROR(__xludf.DUMMYFUNCTION("INDEX(SPLIT(F405, ""-""), 2)
"),122.3232678)</f>
        <v>122.3232678</v>
      </c>
    </row>
    <row r="406">
      <c r="A406" s="1">
        <v>404.0</v>
      </c>
      <c r="B406" s="1" t="s">
        <v>1243</v>
      </c>
      <c r="C406" s="1">
        <v>4.0</v>
      </c>
      <c r="D406" s="1" t="s">
        <v>1244</v>
      </c>
      <c r="E406" s="1" t="s">
        <v>1193</v>
      </c>
      <c r="F406" s="1" t="s">
        <v>1245</v>
      </c>
      <c r="G406">
        <f>IFERROR(__xludf.DUMMYFUNCTION("INDEX(SPLIT(F406, ""-""), 1)
"),37.5674099999999)</f>
        <v>37.56741</v>
      </c>
      <c r="H406">
        <f>IFERROR(__xludf.DUMMYFUNCTION("INDEX(SPLIT(F406, ""-""), 2)
"),122.324069999999)</f>
        <v>122.32407</v>
      </c>
    </row>
    <row r="407">
      <c r="A407" s="1">
        <v>405.0</v>
      </c>
      <c r="B407" s="1" t="s">
        <v>1246</v>
      </c>
      <c r="C407" s="1">
        <v>3.5</v>
      </c>
      <c r="D407" s="1" t="s">
        <v>1247</v>
      </c>
      <c r="E407" s="1" t="s">
        <v>1193</v>
      </c>
      <c r="F407" s="1" t="s">
        <v>1248</v>
      </c>
      <c r="G407">
        <f>IFERROR(__xludf.DUMMYFUNCTION("INDEX(SPLIT(F407, ""-""), 1)
"),37.56413)</f>
        <v>37.56413</v>
      </c>
      <c r="H407">
        <f>IFERROR(__xludf.DUMMYFUNCTION("INDEX(SPLIT(F407, ""-""), 2)
"),122.322939999999)</f>
        <v>122.32294</v>
      </c>
    </row>
    <row r="408">
      <c r="A408" s="1">
        <v>406.0</v>
      </c>
      <c r="B408" s="1" t="s">
        <v>1249</v>
      </c>
      <c r="C408" s="1">
        <v>4.0</v>
      </c>
      <c r="D408" s="1" t="s">
        <v>1250</v>
      </c>
      <c r="E408" s="1" t="s">
        <v>1251</v>
      </c>
      <c r="F408" s="1" t="s">
        <v>1252</v>
      </c>
      <c r="G408">
        <f>IFERROR(__xludf.DUMMYFUNCTION("INDEX(SPLIT(F408, ""-""), 1)
"),37.5573531403401)</f>
        <v>37.55735314</v>
      </c>
      <c r="H408">
        <f>IFERROR(__xludf.DUMMYFUNCTION("INDEX(SPLIT(F408, ""-""), 2)
"),122.274742340384)</f>
        <v>122.2747423</v>
      </c>
    </row>
    <row r="409">
      <c r="A409" s="1">
        <v>407.0</v>
      </c>
      <c r="B409" s="1" t="s">
        <v>1253</v>
      </c>
      <c r="C409" s="1">
        <v>4.0</v>
      </c>
      <c r="D409" s="1" t="s">
        <v>1254</v>
      </c>
      <c r="E409" s="1" t="s">
        <v>1193</v>
      </c>
      <c r="F409" s="1" t="s">
        <v>1255</v>
      </c>
      <c r="G409">
        <f>IFERROR(__xludf.DUMMYFUNCTION("INDEX(SPLIT(F409, ""-""), 1)
"),37.5448989862154)</f>
        <v>37.54489899</v>
      </c>
      <c r="H409">
        <f>IFERROR(__xludf.DUMMYFUNCTION("INDEX(SPLIT(F409, ""-""), 2)
"),122.28502356257)</f>
        <v>122.2850236</v>
      </c>
    </row>
    <row r="410">
      <c r="A410" s="1">
        <v>408.0</v>
      </c>
      <c r="B410" s="1" t="s">
        <v>1256</v>
      </c>
      <c r="C410" s="1">
        <v>3.5</v>
      </c>
      <c r="D410" s="1" t="s">
        <v>1257</v>
      </c>
      <c r="E410" s="1" t="s">
        <v>1251</v>
      </c>
      <c r="F410" s="1" t="s">
        <v>1258</v>
      </c>
      <c r="G410">
        <f>IFERROR(__xludf.DUMMYFUNCTION("INDEX(SPLIT(F410, ""-""), 1)
"),37.544739)</f>
        <v>37.544739</v>
      </c>
      <c r="H410">
        <f>IFERROR(__xludf.DUMMYFUNCTION("INDEX(SPLIT(F410, ""-""), 2)
"),122.271085)</f>
        <v>122.271085</v>
      </c>
    </row>
    <row r="411">
      <c r="A411" s="1">
        <v>409.0</v>
      </c>
      <c r="B411" s="1" t="s">
        <v>1259</v>
      </c>
      <c r="C411" s="1">
        <v>3.5</v>
      </c>
      <c r="D411" s="1" t="s">
        <v>1260</v>
      </c>
      <c r="E411" s="1" t="s">
        <v>1193</v>
      </c>
      <c r="F411" s="1" t="s">
        <v>1261</v>
      </c>
      <c r="G411">
        <f>IFERROR(__xludf.DUMMYFUNCTION("INDEX(SPLIT(F411, ""-""), 1)
"),37.5643615722656)</f>
        <v>37.56436157</v>
      </c>
      <c r="H411">
        <f>IFERROR(__xludf.DUMMYFUNCTION("INDEX(SPLIT(F411, ""-""), 2)
"),122.323524475098)</f>
        <v>122.3235245</v>
      </c>
    </row>
    <row r="412">
      <c r="A412" s="1">
        <v>410.0</v>
      </c>
      <c r="B412" s="1" t="s">
        <v>1262</v>
      </c>
      <c r="C412" s="1">
        <v>3.0</v>
      </c>
      <c r="D412" s="1" t="s">
        <v>1263</v>
      </c>
      <c r="E412" s="1" t="s">
        <v>1193</v>
      </c>
      <c r="F412" s="1" t="s">
        <v>1264</v>
      </c>
      <c r="G412">
        <f>IFERROR(__xludf.DUMMYFUNCTION("INDEX(SPLIT(F412, ""-""), 1)
"),37.5633809)</f>
        <v>37.5633809</v>
      </c>
      <c r="H412">
        <f>IFERROR(__xludf.DUMMYFUNCTION("INDEX(SPLIT(F412, ""-""), 2)
"),122.3251999)</f>
        <v>122.3251999</v>
      </c>
    </row>
    <row r="413">
      <c r="A413" s="1">
        <v>411.0</v>
      </c>
      <c r="B413" s="1" t="s">
        <v>1265</v>
      </c>
      <c r="C413" s="1">
        <v>4.0</v>
      </c>
      <c r="D413" s="1" t="s">
        <v>1266</v>
      </c>
      <c r="E413" s="1" t="s">
        <v>1267</v>
      </c>
      <c r="F413" s="1" t="s">
        <v>1268</v>
      </c>
      <c r="G413">
        <f>IFERROR(__xludf.DUMMYFUNCTION("INDEX(SPLIT(F413, ""-""), 1)
"),37.5102232)</f>
        <v>37.5102232</v>
      </c>
      <c r="H413">
        <f>IFERROR(__xludf.DUMMYFUNCTION("INDEX(SPLIT(F413, ""-""), 2)
"),122.293820799999)</f>
        <v>122.2938208</v>
      </c>
    </row>
    <row r="414">
      <c r="A414" s="1">
        <v>412.0</v>
      </c>
      <c r="B414" s="1" t="s">
        <v>1269</v>
      </c>
      <c r="C414" s="1">
        <v>4.5</v>
      </c>
      <c r="D414" s="1" t="s">
        <v>1270</v>
      </c>
      <c r="E414" s="1" t="s">
        <v>1193</v>
      </c>
      <c r="F414" s="1" t="s">
        <v>1271</v>
      </c>
      <c r="G414">
        <f>IFERROR(__xludf.DUMMYFUNCTION("INDEX(SPLIT(F414, ""-""), 1)
"),37.5683427999999)</f>
        <v>37.5683428</v>
      </c>
      <c r="H414">
        <f>IFERROR(__xludf.DUMMYFUNCTION("INDEX(SPLIT(F414, ""-""), 2)
"),122.3254578)</f>
        <v>122.3254578</v>
      </c>
    </row>
    <row r="415">
      <c r="A415" s="1">
        <v>413.0</v>
      </c>
      <c r="B415" s="1" t="s">
        <v>1272</v>
      </c>
      <c r="C415" s="1">
        <v>3.5</v>
      </c>
      <c r="D415" s="1" t="s">
        <v>1273</v>
      </c>
      <c r="E415" s="1" t="s">
        <v>1193</v>
      </c>
      <c r="F415" s="1" t="s">
        <v>1274</v>
      </c>
      <c r="G415">
        <f>IFERROR(__xludf.DUMMYFUNCTION("INDEX(SPLIT(F415, ""-""), 1)
"),37.5669003999999)</f>
        <v>37.5669004</v>
      </c>
      <c r="H415">
        <f>IFERROR(__xludf.DUMMYFUNCTION("INDEX(SPLIT(F415, ""-""), 2)
"),122.3234145)</f>
        <v>122.3234145</v>
      </c>
    </row>
    <row r="416">
      <c r="A416" s="1">
        <v>414.0</v>
      </c>
      <c r="B416" s="1" t="s">
        <v>1275</v>
      </c>
      <c r="C416" s="1">
        <v>4.5</v>
      </c>
      <c r="D416" s="1" t="s">
        <v>1276</v>
      </c>
      <c r="E416" s="1" t="s">
        <v>785</v>
      </c>
      <c r="F416" s="1" t="s">
        <v>1277</v>
      </c>
      <c r="G416">
        <f>IFERROR(__xludf.DUMMYFUNCTION("INDEX(SPLIT(F416, ""-""), 1)
"),37.49613)</f>
        <v>37.49613</v>
      </c>
      <c r="H416">
        <f>IFERROR(__xludf.DUMMYFUNCTION("INDEX(SPLIT(F416, ""-""), 2)
"),122.2477)</f>
        <v>122.2477</v>
      </c>
    </row>
    <row r="417">
      <c r="A417" s="1">
        <v>415.0</v>
      </c>
      <c r="B417" s="1" t="s">
        <v>1278</v>
      </c>
      <c r="C417" s="1">
        <v>4.5</v>
      </c>
      <c r="D417" s="1" t="s">
        <v>1279</v>
      </c>
      <c r="E417" s="1" t="s">
        <v>1212</v>
      </c>
      <c r="F417" s="1" t="s">
        <v>1280</v>
      </c>
      <c r="G417">
        <f>IFERROR(__xludf.DUMMYFUNCTION("INDEX(SPLIT(F417, ""-""), 1)
"),37.6003797)</f>
        <v>37.6003797</v>
      </c>
      <c r="H417">
        <f>IFERROR(__xludf.DUMMYFUNCTION("INDEX(SPLIT(F417, ""-""), 2)
"),122.3900105)</f>
        <v>122.3900105</v>
      </c>
    </row>
    <row r="418">
      <c r="A418" s="1">
        <v>416.0</v>
      </c>
      <c r="B418" s="1" t="s">
        <v>1281</v>
      </c>
      <c r="C418" s="1">
        <v>4.0</v>
      </c>
      <c r="D418" s="1" t="s">
        <v>1282</v>
      </c>
      <c r="E418" s="1" t="s">
        <v>1193</v>
      </c>
      <c r="F418" s="1" t="s">
        <v>1283</v>
      </c>
      <c r="G418">
        <f>IFERROR(__xludf.DUMMYFUNCTION("INDEX(SPLIT(F418, ""-""), 1)
"),37.5652198999999)</f>
        <v>37.5652199</v>
      </c>
      <c r="H418">
        <f>IFERROR(__xludf.DUMMYFUNCTION("INDEX(SPLIT(F418, ""-""), 2)
"),122.3225)</f>
        <v>122.3225</v>
      </c>
    </row>
    <row r="419">
      <c r="A419" s="1">
        <v>417.0</v>
      </c>
      <c r="B419" s="1" t="s">
        <v>1284</v>
      </c>
      <c r="C419" s="1">
        <v>4.5</v>
      </c>
      <c r="D419" s="1" t="s">
        <v>1285</v>
      </c>
      <c r="E419" s="1" t="s">
        <v>1193</v>
      </c>
      <c r="F419" s="1" t="s">
        <v>1286</v>
      </c>
      <c r="G419">
        <f>IFERROR(__xludf.DUMMYFUNCTION("INDEX(SPLIT(F419, ""-""), 1)
"),37.54368)</f>
        <v>37.54368</v>
      </c>
      <c r="H419">
        <f>IFERROR(__xludf.DUMMYFUNCTION("INDEX(SPLIT(F419, ""-""), 2)
"),122.30661)</f>
        <v>122.30661</v>
      </c>
    </row>
    <row r="420">
      <c r="A420" s="1">
        <v>418.0</v>
      </c>
      <c r="B420" s="1" t="s">
        <v>1287</v>
      </c>
      <c r="C420" s="1">
        <v>3.5</v>
      </c>
      <c r="D420" s="1" t="s">
        <v>1288</v>
      </c>
      <c r="E420" s="1" t="s">
        <v>1185</v>
      </c>
      <c r="F420" s="1" t="s">
        <v>1289</v>
      </c>
      <c r="G420">
        <f>IFERROR(__xludf.DUMMYFUNCTION("INDEX(SPLIT(F420, ""-""), 1)
"),37.5771875948767)</f>
        <v>37.57718759</v>
      </c>
      <c r="H420">
        <f>IFERROR(__xludf.DUMMYFUNCTION("INDEX(SPLIT(F420, ""-""), 2)
"),122.34879302025)</f>
        <v>122.348793</v>
      </c>
    </row>
    <row r="421">
      <c r="A421" s="1">
        <v>419.0</v>
      </c>
      <c r="B421" s="1" t="s">
        <v>1290</v>
      </c>
      <c r="C421" s="1">
        <v>4.5</v>
      </c>
      <c r="D421" s="1" t="s">
        <v>1291</v>
      </c>
      <c r="E421" s="1" t="s">
        <v>1193</v>
      </c>
      <c r="F421" s="1" t="s">
        <v>1292</v>
      </c>
      <c r="G421">
        <f>IFERROR(__xludf.DUMMYFUNCTION("INDEX(SPLIT(F421, ""-""), 1)
"),37.5659547999999)</f>
        <v>37.5659548</v>
      </c>
      <c r="H421">
        <f>IFERROR(__xludf.DUMMYFUNCTION("INDEX(SPLIT(F421, ""-""), 2)
"),122.3233725)</f>
        <v>122.3233725</v>
      </c>
    </row>
    <row r="422">
      <c r="A422" s="1">
        <v>420.0</v>
      </c>
      <c r="B422" s="1" t="s">
        <v>1293</v>
      </c>
      <c r="C422" s="1">
        <v>3.0</v>
      </c>
      <c r="D422" s="1" t="s">
        <v>1294</v>
      </c>
      <c r="E422" s="1" t="s">
        <v>1251</v>
      </c>
      <c r="F422" s="1" t="s">
        <v>1295</v>
      </c>
      <c r="G422">
        <f>IFERROR(__xludf.DUMMYFUNCTION("INDEX(SPLIT(F422, ""-""), 1)
"),37.5447598999999)</f>
        <v>37.5447599</v>
      </c>
      <c r="H422">
        <f>IFERROR(__xludf.DUMMYFUNCTION("INDEX(SPLIT(F422, ""-""), 2)
"),122.271039999999)</f>
        <v>122.27104</v>
      </c>
    </row>
    <row r="423">
      <c r="A423" s="1">
        <v>421.0</v>
      </c>
      <c r="B423" s="1" t="s">
        <v>1296</v>
      </c>
      <c r="C423" s="1">
        <v>4.0</v>
      </c>
      <c r="D423" s="1" t="s">
        <v>1297</v>
      </c>
      <c r="E423" s="1" t="s">
        <v>1251</v>
      </c>
      <c r="F423" s="1" t="s">
        <v>1298</v>
      </c>
      <c r="G423">
        <f>IFERROR(__xludf.DUMMYFUNCTION("INDEX(SPLIT(F423, ""-""), 1)
"),37.5441112400917)</f>
        <v>37.54411124</v>
      </c>
      <c r="H423">
        <f>IFERROR(__xludf.DUMMYFUNCTION("INDEX(SPLIT(F423, ""-""), 2)
"),122.270671007271)</f>
        <v>122.270671</v>
      </c>
    </row>
    <row r="424">
      <c r="A424" s="1">
        <v>422.0</v>
      </c>
      <c r="B424" s="1" t="s">
        <v>1299</v>
      </c>
      <c r="C424" s="1">
        <v>4.0</v>
      </c>
      <c r="D424" s="1" t="s">
        <v>1300</v>
      </c>
      <c r="E424" s="1" t="s">
        <v>1193</v>
      </c>
      <c r="F424" s="1" t="s">
        <v>1301</v>
      </c>
      <c r="G424">
        <f>IFERROR(__xludf.DUMMYFUNCTION("INDEX(SPLIT(F424, ""-""), 1)
"),37.5643)</f>
        <v>37.5643</v>
      </c>
      <c r="H424">
        <f>IFERROR(__xludf.DUMMYFUNCTION("INDEX(SPLIT(F424, ""-""), 2)
"),122.32361)</f>
        <v>122.32361</v>
      </c>
    </row>
    <row r="425">
      <c r="A425" s="1">
        <v>423.0</v>
      </c>
      <c r="B425" s="1" t="s">
        <v>1302</v>
      </c>
      <c r="C425" s="1">
        <v>3.0</v>
      </c>
      <c r="D425" s="1" t="s">
        <v>1303</v>
      </c>
      <c r="E425" s="1" t="s">
        <v>1193</v>
      </c>
      <c r="F425" s="1" t="s">
        <v>1304</v>
      </c>
      <c r="G425">
        <f>IFERROR(__xludf.DUMMYFUNCTION("INDEX(SPLIT(F425, ""-""), 1)
"),37.56386)</f>
        <v>37.56386</v>
      </c>
      <c r="H425">
        <f>IFERROR(__xludf.DUMMYFUNCTION("INDEX(SPLIT(F425, ""-""), 2)
"),122.32335)</f>
        <v>122.32335</v>
      </c>
    </row>
    <row r="426">
      <c r="A426" s="1">
        <v>424.0</v>
      </c>
      <c r="B426" s="1" t="s">
        <v>1305</v>
      </c>
      <c r="C426" s="1">
        <v>4.0</v>
      </c>
      <c r="D426" s="1" t="s">
        <v>1306</v>
      </c>
      <c r="E426" s="1" t="s">
        <v>1193</v>
      </c>
      <c r="F426" s="1" t="s">
        <v>1307</v>
      </c>
      <c r="G426">
        <f>IFERROR(__xludf.DUMMYFUNCTION("INDEX(SPLIT(F426, ""-""), 1)
"),37.5665107999999)</f>
        <v>37.5665108</v>
      </c>
      <c r="H426">
        <f>IFERROR(__xludf.DUMMYFUNCTION("INDEX(SPLIT(F426, ""-""), 2)
"),122.3237287)</f>
        <v>122.3237287</v>
      </c>
    </row>
    <row r="427">
      <c r="A427" s="1">
        <v>425.0</v>
      </c>
      <c r="B427" s="1" t="s">
        <v>1308</v>
      </c>
      <c r="C427" s="1">
        <v>4.0</v>
      </c>
      <c r="D427" s="1" t="s">
        <v>1309</v>
      </c>
      <c r="E427" s="1" t="s">
        <v>1193</v>
      </c>
      <c r="F427" s="1" t="s">
        <v>1310</v>
      </c>
      <c r="G427">
        <f>IFERROR(__xludf.DUMMYFUNCTION("INDEX(SPLIT(F427, ""-""), 1)
"),37.5674055)</f>
        <v>37.5674055</v>
      </c>
      <c r="H427">
        <f>IFERROR(__xludf.DUMMYFUNCTION("INDEX(SPLIT(F427, ""-""), 2)
"),122.324276099999)</f>
        <v>122.3242761</v>
      </c>
    </row>
    <row r="428">
      <c r="A428" s="1">
        <v>426.0</v>
      </c>
      <c r="B428" s="1" t="s">
        <v>1311</v>
      </c>
      <c r="C428" s="1">
        <v>5.0</v>
      </c>
      <c r="D428" s="1" t="s">
        <v>1312</v>
      </c>
      <c r="E428" s="1" t="s">
        <v>1185</v>
      </c>
      <c r="F428" s="1" t="s">
        <v>1313</v>
      </c>
      <c r="G428">
        <f>IFERROR(__xludf.DUMMYFUNCTION("INDEX(SPLIT(F428, ""-""), 1)
"),37.590323)</f>
        <v>37.590323</v>
      </c>
      <c r="H428">
        <f>IFERROR(__xludf.DUMMYFUNCTION("INDEX(SPLIT(F428, ""-""), 2)
"),122.34142)</f>
        <v>122.34142</v>
      </c>
    </row>
    <row r="429">
      <c r="A429" s="1">
        <v>427.0</v>
      </c>
      <c r="B429" s="1" t="s">
        <v>1314</v>
      </c>
      <c r="C429" s="1">
        <v>3.5</v>
      </c>
      <c r="D429" s="1" t="s">
        <v>1315</v>
      </c>
      <c r="E429" s="1" t="s">
        <v>1189</v>
      </c>
      <c r="F429" s="1" t="s">
        <v>1316</v>
      </c>
      <c r="G429">
        <f>IFERROR(__xludf.DUMMYFUNCTION("INDEX(SPLIT(F429, ""-""), 1)
"),37.6241)</f>
        <v>37.6241</v>
      </c>
      <c r="H429">
        <f>IFERROR(__xludf.DUMMYFUNCTION("INDEX(SPLIT(F429, ""-""), 2)
"),122.41095)</f>
        <v>122.41095</v>
      </c>
    </row>
    <row r="430">
      <c r="A430" s="1">
        <v>428.0</v>
      </c>
      <c r="B430" s="1" t="s">
        <v>1317</v>
      </c>
      <c r="C430" s="1">
        <v>4.5</v>
      </c>
      <c r="D430" s="1" t="s">
        <v>1318</v>
      </c>
      <c r="E430" s="1" t="s">
        <v>1185</v>
      </c>
      <c r="F430" s="1" t="s">
        <v>1319</v>
      </c>
      <c r="G430">
        <f>IFERROR(__xludf.DUMMYFUNCTION("INDEX(SPLIT(F430, ""-""), 1)
"),37.5793126)</f>
        <v>37.5793126</v>
      </c>
      <c r="H430">
        <f>IFERROR(__xludf.DUMMYFUNCTION("INDEX(SPLIT(F430, ""-""), 2)
"),122.345740099999)</f>
        <v>122.3457401</v>
      </c>
    </row>
    <row r="431">
      <c r="A431" s="1">
        <v>429.0</v>
      </c>
      <c r="B431" s="1" t="s">
        <v>1320</v>
      </c>
      <c r="C431" s="1">
        <v>4.0</v>
      </c>
      <c r="D431" s="1" t="s">
        <v>1321</v>
      </c>
      <c r="E431" s="1" t="s">
        <v>1193</v>
      </c>
      <c r="F431" s="1" t="s">
        <v>1322</v>
      </c>
      <c r="G431">
        <f>IFERROR(__xludf.DUMMYFUNCTION("INDEX(SPLIT(F431, ""-""), 1)
"),37.56167)</f>
        <v>37.56167</v>
      </c>
      <c r="H431">
        <f>IFERROR(__xludf.DUMMYFUNCTION("INDEX(SPLIT(F431, ""-""), 2)
"),122.31891)</f>
        <v>122.31891</v>
      </c>
    </row>
    <row r="432">
      <c r="A432" s="1">
        <v>430.0</v>
      </c>
      <c r="B432" s="1" t="s">
        <v>1323</v>
      </c>
      <c r="C432" s="1">
        <v>3.0</v>
      </c>
      <c r="D432" s="1" t="s">
        <v>1324</v>
      </c>
      <c r="E432" s="1" t="s">
        <v>1212</v>
      </c>
      <c r="F432" s="1" t="s">
        <v>1325</v>
      </c>
      <c r="G432">
        <f>IFERROR(__xludf.DUMMYFUNCTION("INDEX(SPLIT(F432, ""-""), 1)
"),37.6007901)</f>
        <v>37.6007901</v>
      </c>
      <c r="H432">
        <f>IFERROR(__xludf.DUMMYFUNCTION("INDEX(SPLIT(F432, ""-""), 2)
"),122.3914315)</f>
        <v>122.3914315</v>
      </c>
    </row>
    <row r="433">
      <c r="A433" s="1">
        <v>431.0</v>
      </c>
      <c r="B433" s="1" t="s">
        <v>1326</v>
      </c>
      <c r="C433" s="1">
        <v>4.0</v>
      </c>
      <c r="D433" s="1" t="s">
        <v>1327</v>
      </c>
      <c r="E433" s="1" t="s">
        <v>1193</v>
      </c>
      <c r="F433" s="1" t="s">
        <v>1328</v>
      </c>
      <c r="G433">
        <f>IFERROR(__xludf.DUMMYFUNCTION("INDEX(SPLIT(F433, ""-""), 1)
"),37.5621429)</f>
        <v>37.5621429</v>
      </c>
      <c r="H433">
        <f>IFERROR(__xludf.DUMMYFUNCTION("INDEX(SPLIT(F433, ""-""), 2)
"),122.3185051)</f>
        <v>122.3185051</v>
      </c>
    </row>
    <row r="434">
      <c r="A434" s="1">
        <v>432.0</v>
      </c>
      <c r="B434" s="1" t="s">
        <v>1329</v>
      </c>
      <c r="C434" s="1">
        <v>4.5</v>
      </c>
      <c r="D434" s="1" t="s">
        <v>1330</v>
      </c>
      <c r="E434" s="1" t="s">
        <v>1212</v>
      </c>
      <c r="F434" s="1" t="s">
        <v>1331</v>
      </c>
      <c r="G434">
        <f>IFERROR(__xludf.DUMMYFUNCTION("INDEX(SPLIT(F434, ""-""), 1)
"),37.60147)</f>
        <v>37.60147</v>
      </c>
      <c r="H434">
        <f>IFERROR(__xludf.DUMMYFUNCTION("INDEX(SPLIT(F434, ""-""), 2)
"),122.39148)</f>
        <v>122.39148</v>
      </c>
    </row>
    <row r="435">
      <c r="A435" s="1">
        <v>433.0</v>
      </c>
      <c r="B435" s="1" t="s">
        <v>1332</v>
      </c>
      <c r="C435" s="1">
        <v>3.5</v>
      </c>
      <c r="D435" s="1" t="s">
        <v>1333</v>
      </c>
      <c r="E435" s="1" t="s">
        <v>600</v>
      </c>
      <c r="F435" s="1" t="s">
        <v>1334</v>
      </c>
      <c r="G435">
        <f>IFERROR(__xludf.DUMMYFUNCTION("INDEX(SPLIT(F435, ""-""), 1)
"),38.2640655855632)</f>
        <v>38.26406559</v>
      </c>
      <c r="H435">
        <f>IFERROR(__xludf.DUMMYFUNCTION("INDEX(SPLIT(F435, ""-""), 2)
"),122.050264324325)</f>
        <v>122.0502643</v>
      </c>
    </row>
    <row r="436">
      <c r="A436" s="1">
        <v>434.0</v>
      </c>
      <c r="B436" s="1" t="s">
        <v>1335</v>
      </c>
      <c r="C436" s="1">
        <v>3.0</v>
      </c>
      <c r="D436" s="1" t="s">
        <v>1336</v>
      </c>
      <c r="E436" s="1" t="s">
        <v>600</v>
      </c>
      <c r="F436" s="1" t="s">
        <v>1337</v>
      </c>
      <c r="G436">
        <f>IFERROR(__xludf.DUMMYFUNCTION("INDEX(SPLIT(F436, ""-""), 1)
"),38.2767099999999)</f>
        <v>38.27671</v>
      </c>
      <c r="H436">
        <f>IFERROR(__xludf.DUMMYFUNCTION("INDEX(SPLIT(F436, ""-""), 2)
"),122.03353)</f>
        <v>122.03353</v>
      </c>
    </row>
    <row r="437">
      <c r="A437" s="1">
        <v>435.0</v>
      </c>
      <c r="B437" s="1" t="s">
        <v>1338</v>
      </c>
      <c r="C437" s="1">
        <v>4.0</v>
      </c>
      <c r="D437" s="1" t="s">
        <v>1339</v>
      </c>
      <c r="E437" s="1" t="s">
        <v>1340</v>
      </c>
      <c r="F437" s="1" t="s">
        <v>1341</v>
      </c>
      <c r="G437">
        <f>IFERROR(__xludf.DUMMYFUNCTION("INDEX(SPLIT(F437, ""-""), 1)
"),38.3353873467452)</f>
        <v>38.33538735</v>
      </c>
      <c r="H437">
        <f>IFERROR(__xludf.DUMMYFUNCTION("INDEX(SPLIT(F437, ""-""), 2)
"),121.954629868269)</f>
        <v>121.9546299</v>
      </c>
    </row>
    <row r="438">
      <c r="A438" s="1">
        <v>436.0</v>
      </c>
      <c r="B438" s="1" t="s">
        <v>1342</v>
      </c>
      <c r="C438" s="1">
        <v>4.0</v>
      </c>
      <c r="D438" s="1" t="s">
        <v>1343</v>
      </c>
      <c r="E438" s="1" t="s">
        <v>1344</v>
      </c>
      <c r="F438" s="1" t="s">
        <v>1345</v>
      </c>
      <c r="G438">
        <f>IFERROR(__xludf.DUMMYFUNCTION("INDEX(SPLIT(F438, ""-""), 1)
"),38.24225)</f>
        <v>38.24225</v>
      </c>
      <c r="H438">
        <f>IFERROR(__xludf.DUMMYFUNCTION("INDEX(SPLIT(F438, ""-""), 2)
"),122.01803)</f>
        <v>122.01803</v>
      </c>
    </row>
    <row r="439">
      <c r="A439" s="1">
        <v>437.0</v>
      </c>
      <c r="B439" s="1" t="s">
        <v>1346</v>
      </c>
      <c r="C439" s="1">
        <v>2.5</v>
      </c>
      <c r="D439" s="1" t="s">
        <v>1347</v>
      </c>
      <c r="E439" s="1" t="s">
        <v>600</v>
      </c>
      <c r="F439" s="1" t="s">
        <v>1348</v>
      </c>
      <c r="G439">
        <f>IFERROR(__xludf.DUMMYFUNCTION("INDEX(SPLIT(F439, ""-""), 1)
"),38.2603729)</f>
        <v>38.2603729</v>
      </c>
      <c r="H439">
        <f>IFERROR(__xludf.DUMMYFUNCTION("INDEX(SPLIT(F439, ""-""), 2)
"),122.054640099999)</f>
        <v>122.0546401</v>
      </c>
    </row>
    <row r="440">
      <c r="A440" s="1">
        <v>438.0</v>
      </c>
      <c r="B440" s="1" t="s">
        <v>1349</v>
      </c>
      <c r="C440" s="1">
        <v>4.0</v>
      </c>
      <c r="D440" s="1" t="s">
        <v>1350</v>
      </c>
      <c r="E440" s="1" t="s">
        <v>600</v>
      </c>
      <c r="F440" s="1" t="s">
        <v>1351</v>
      </c>
      <c r="G440">
        <f>IFERROR(__xludf.DUMMYFUNCTION("INDEX(SPLIT(F440, ""-""), 1)
"),38.2890102925701)</f>
        <v>38.28901029</v>
      </c>
      <c r="H440">
        <f>IFERROR(__xludf.DUMMYFUNCTION("INDEX(SPLIT(F440, ""-""), 2)
"),122.033686637877)</f>
        <v>122.0336866</v>
      </c>
    </row>
    <row r="441">
      <c r="A441" s="1">
        <v>439.0</v>
      </c>
      <c r="B441" s="1" t="s">
        <v>1352</v>
      </c>
      <c r="C441" s="1">
        <v>4.0</v>
      </c>
      <c r="D441" s="1" t="s">
        <v>1353</v>
      </c>
      <c r="E441" s="1" t="s">
        <v>1354</v>
      </c>
      <c r="F441" s="1" t="s">
        <v>1355</v>
      </c>
      <c r="G441">
        <f>IFERROR(__xludf.DUMMYFUNCTION("INDEX(SPLIT(F441, ""-""), 1)
"),37.9761596024036)</f>
        <v>37.9761596</v>
      </c>
      <c r="H441">
        <f>IFERROR(__xludf.DUMMYFUNCTION("INDEX(SPLIT(F441, ""-""), 2)
"),122.033636346459)</f>
        <v>122.0336363</v>
      </c>
    </row>
    <row r="442">
      <c r="A442" s="1">
        <v>440.0</v>
      </c>
      <c r="B442" s="1" t="s">
        <v>1356</v>
      </c>
      <c r="C442" s="1">
        <v>4.0</v>
      </c>
      <c r="D442" s="1" t="s">
        <v>1357</v>
      </c>
      <c r="E442" s="1" t="s">
        <v>1358</v>
      </c>
      <c r="F442" s="1" t="s">
        <v>1359</v>
      </c>
      <c r="G442">
        <f>IFERROR(__xludf.DUMMYFUNCTION("INDEX(SPLIT(F442, ""-""), 1)
"),38.0108707398176)</f>
        <v>38.01087074</v>
      </c>
      <c r="H442">
        <f>IFERROR(__xludf.DUMMYFUNCTION("INDEX(SPLIT(F442, ""-""), 2)
"),121.868887022138)</f>
        <v>121.868887</v>
      </c>
    </row>
    <row r="443">
      <c r="A443" s="1">
        <v>441.0</v>
      </c>
      <c r="B443" s="1" t="s">
        <v>1360</v>
      </c>
      <c r="C443" s="1">
        <v>3.5</v>
      </c>
      <c r="D443" s="1" t="s">
        <v>1361</v>
      </c>
      <c r="E443" s="1" t="s">
        <v>596</v>
      </c>
      <c r="F443" s="1" t="s">
        <v>1362</v>
      </c>
      <c r="G443">
        <f>IFERROR(__xludf.DUMMYFUNCTION("INDEX(SPLIT(F443, ""-""), 1)
"),38.1340827941895)</f>
        <v>38.13408279</v>
      </c>
      <c r="H443">
        <f>IFERROR(__xludf.DUMMYFUNCTION("INDEX(SPLIT(F443, ""-""), 2)
"),122.21915435791)</f>
        <v>122.2191544</v>
      </c>
    </row>
    <row r="444">
      <c r="A444" s="1">
        <v>442.0</v>
      </c>
      <c r="B444" s="1" t="s">
        <v>1363</v>
      </c>
      <c r="C444" s="1">
        <v>4.5</v>
      </c>
      <c r="D444" s="1" t="s">
        <v>1364</v>
      </c>
      <c r="E444" s="1" t="s">
        <v>1365</v>
      </c>
      <c r="F444" s="1" t="s">
        <v>1366</v>
      </c>
      <c r="G444">
        <f>IFERROR(__xludf.DUMMYFUNCTION("INDEX(SPLIT(F444, ""-""), 1)
"),37.9369147127279)</f>
        <v>37.93691471</v>
      </c>
      <c r="H444">
        <f>IFERROR(__xludf.DUMMYFUNCTION("INDEX(SPLIT(F444, ""-""), 2)
"),121.698112115264)</f>
        <v>121.6981121</v>
      </c>
    </row>
    <row r="445">
      <c r="A445" s="1">
        <v>443.0</v>
      </c>
      <c r="B445" s="1" t="s">
        <v>1367</v>
      </c>
      <c r="C445" s="1">
        <v>2.5</v>
      </c>
      <c r="D445" s="1" t="s">
        <v>1368</v>
      </c>
      <c r="E445" s="1" t="s">
        <v>1340</v>
      </c>
      <c r="F445" s="1" t="s">
        <v>1369</v>
      </c>
      <c r="G445">
        <f>IFERROR(__xludf.DUMMYFUNCTION("INDEX(SPLIT(F445, ""-""), 1)
"),38.3700576)</f>
        <v>38.3700576</v>
      </c>
      <c r="H445">
        <f>IFERROR(__xludf.DUMMYFUNCTION("INDEX(SPLIT(F445, ""-""), 2)
"),121.961772)</f>
        <v>121.961772</v>
      </c>
    </row>
    <row r="446">
      <c r="A446" s="1">
        <v>444.0</v>
      </c>
      <c r="B446" s="1" t="s">
        <v>1370</v>
      </c>
      <c r="C446" s="1">
        <v>4.0</v>
      </c>
      <c r="D446" s="1" t="s">
        <v>1371</v>
      </c>
      <c r="E446" s="1" t="s">
        <v>1372</v>
      </c>
      <c r="F446" s="1" t="s">
        <v>1373</v>
      </c>
      <c r="G446">
        <f>IFERROR(__xludf.DUMMYFUNCTION("INDEX(SPLIT(F446, ""-""), 1)
"),38.5541889)</f>
        <v>38.5541889</v>
      </c>
      <c r="H446">
        <f>IFERROR(__xludf.DUMMYFUNCTION("INDEX(SPLIT(F446, ""-""), 2)
"),121.7869827)</f>
        <v>121.7869827</v>
      </c>
    </row>
    <row r="447">
      <c r="A447" s="1">
        <v>445.0</v>
      </c>
      <c r="B447" s="1" t="s">
        <v>1374</v>
      </c>
      <c r="C447" s="1">
        <v>3.0</v>
      </c>
      <c r="D447" s="1" t="s">
        <v>1375</v>
      </c>
      <c r="E447" s="1" t="s">
        <v>596</v>
      </c>
      <c r="F447" s="1" t="s">
        <v>1376</v>
      </c>
      <c r="G447">
        <f>IFERROR(__xludf.DUMMYFUNCTION("INDEX(SPLIT(F447, ""-""), 1)
"),38.125256896019)</f>
        <v>38.1252569</v>
      </c>
      <c r="H447">
        <f>IFERROR(__xludf.DUMMYFUNCTION("INDEX(SPLIT(F447, ""-""), 2)
"),122.255262583494)</f>
        <v>122.2552626</v>
      </c>
    </row>
    <row r="448">
      <c r="A448" s="1">
        <v>446.0</v>
      </c>
      <c r="B448" s="1" t="s">
        <v>1377</v>
      </c>
      <c r="C448" s="1">
        <v>4.5</v>
      </c>
      <c r="D448" s="1" t="s">
        <v>1378</v>
      </c>
      <c r="E448" s="1" t="s">
        <v>1340</v>
      </c>
      <c r="F448" s="1" t="s">
        <v>1379</v>
      </c>
      <c r="G448">
        <f>IFERROR(__xludf.DUMMYFUNCTION("INDEX(SPLIT(F448, ""-""), 1)
"),38.3703303337097)</f>
        <v>38.37033033</v>
      </c>
      <c r="H448">
        <f>IFERROR(__xludf.DUMMYFUNCTION("INDEX(SPLIT(F448, ""-""), 2)
"),121.959481313825)</f>
        <v>121.9594813</v>
      </c>
    </row>
    <row r="449">
      <c r="A449" s="1">
        <v>447.0</v>
      </c>
      <c r="B449" s="1" t="s">
        <v>1380</v>
      </c>
      <c r="C449" s="1">
        <v>4.0</v>
      </c>
      <c r="D449" s="1" t="s">
        <v>1381</v>
      </c>
      <c r="E449" s="1" t="s">
        <v>1382</v>
      </c>
      <c r="F449" s="1" t="s">
        <v>1383</v>
      </c>
      <c r="G449">
        <f>IFERROR(__xludf.DUMMYFUNCTION("INDEX(SPLIT(F449, ""-""), 1)
"),38.00996)</f>
        <v>38.00996</v>
      </c>
      <c r="H449">
        <f>IFERROR(__xludf.DUMMYFUNCTION("INDEX(SPLIT(F449, ""-""), 2)
"),122.270604)</f>
        <v>122.270604</v>
      </c>
    </row>
    <row r="450">
      <c r="A450" s="1">
        <v>448.0</v>
      </c>
      <c r="B450" s="1" t="s">
        <v>1384</v>
      </c>
      <c r="C450" s="1">
        <v>4.0</v>
      </c>
      <c r="D450" s="1" t="s">
        <v>1385</v>
      </c>
      <c r="E450" s="1" t="s">
        <v>600</v>
      </c>
      <c r="F450" s="1" t="s">
        <v>1386</v>
      </c>
      <c r="G450">
        <f>IFERROR(__xludf.DUMMYFUNCTION("INDEX(SPLIT(F450, ""-""), 1)
"),38.26504)</f>
        <v>38.26504</v>
      </c>
      <c r="H450">
        <f>IFERROR(__xludf.DUMMYFUNCTION("INDEX(SPLIT(F450, ""-""), 2)
"),122.033139999999)</f>
        <v>122.03314</v>
      </c>
    </row>
    <row r="451">
      <c r="A451" s="1">
        <v>449.0</v>
      </c>
      <c r="B451" s="1" t="s">
        <v>1387</v>
      </c>
      <c r="C451" s="1">
        <v>4.0</v>
      </c>
      <c r="D451" s="1" t="s">
        <v>1388</v>
      </c>
      <c r="E451" s="1" t="s">
        <v>1372</v>
      </c>
      <c r="F451" s="1" t="s">
        <v>1389</v>
      </c>
      <c r="G451">
        <f>IFERROR(__xludf.DUMMYFUNCTION("INDEX(SPLIT(F451, ""-""), 1)
"),38.5465253999999)</f>
        <v>38.5465254</v>
      </c>
      <c r="H451">
        <f>IFERROR(__xludf.DUMMYFUNCTION("INDEX(SPLIT(F451, ""-""), 2)
"),121.7607466)</f>
        <v>121.7607466</v>
      </c>
    </row>
    <row r="452">
      <c r="A452" s="1">
        <v>450.0</v>
      </c>
      <c r="B452" s="1" t="s">
        <v>1390</v>
      </c>
      <c r="C452" s="1">
        <v>4.0</v>
      </c>
      <c r="D452" s="1" t="s">
        <v>1391</v>
      </c>
      <c r="E452" s="1" t="s">
        <v>1392</v>
      </c>
      <c r="F452" s="1" t="s">
        <v>1393</v>
      </c>
      <c r="G452">
        <f>IFERROR(__xludf.DUMMYFUNCTION("INDEX(SPLIT(F452, ""-""), 1)
"),37.9659262678636)</f>
        <v>37.96592627</v>
      </c>
      <c r="H452">
        <f>IFERROR(__xludf.DUMMYFUNCTION("INDEX(SPLIT(F452, ""-""), 2)
"),121.780671279596)</f>
        <v>121.7806713</v>
      </c>
    </row>
    <row r="453">
      <c r="A453" s="1">
        <v>451.0</v>
      </c>
      <c r="B453" s="1" t="s">
        <v>1394</v>
      </c>
      <c r="C453" s="1">
        <v>3.5</v>
      </c>
      <c r="D453" s="1" t="s">
        <v>1395</v>
      </c>
      <c r="E453" s="1" t="s">
        <v>1354</v>
      </c>
      <c r="F453" s="1" t="s">
        <v>1396</v>
      </c>
      <c r="G453">
        <f>IFERROR(__xludf.DUMMYFUNCTION("INDEX(SPLIT(F453, ""-""), 1)
"),37.9749903198783)</f>
        <v>37.97499032</v>
      </c>
      <c r="H453">
        <f>IFERROR(__xludf.DUMMYFUNCTION("INDEX(SPLIT(F453, ""-""), 2)
"),122.038871629666)</f>
        <v>122.0388716</v>
      </c>
    </row>
    <row r="454">
      <c r="A454" s="1">
        <v>452.0</v>
      </c>
      <c r="B454" s="1" t="s">
        <v>1397</v>
      </c>
      <c r="C454" s="1">
        <v>3.5</v>
      </c>
      <c r="D454" s="1" t="s">
        <v>1398</v>
      </c>
      <c r="E454" s="1" t="s">
        <v>1372</v>
      </c>
      <c r="F454" s="1" t="s">
        <v>1399</v>
      </c>
      <c r="G454">
        <f>IFERROR(__xludf.DUMMYFUNCTION("INDEX(SPLIT(F454, ""-""), 1)
"),38.5407655197016)</f>
        <v>38.54076552</v>
      </c>
      <c r="H454">
        <f>IFERROR(__xludf.DUMMYFUNCTION("INDEX(SPLIT(F454, ""-""), 2)
"),121.724717874066)</f>
        <v>121.7247179</v>
      </c>
    </row>
    <row r="455">
      <c r="A455" s="1">
        <v>453.0</v>
      </c>
      <c r="B455" s="1" t="s">
        <v>1400</v>
      </c>
      <c r="C455" s="1">
        <v>3.5</v>
      </c>
      <c r="D455" s="1" t="s">
        <v>1401</v>
      </c>
      <c r="E455" s="1" t="s">
        <v>1372</v>
      </c>
      <c r="F455" s="1" t="s">
        <v>1402</v>
      </c>
      <c r="G455">
        <f>IFERROR(__xludf.DUMMYFUNCTION("INDEX(SPLIT(F455, ""-""), 1)
"),38.5465)</f>
        <v>38.5465</v>
      </c>
      <c r="H455">
        <f>IFERROR(__xludf.DUMMYFUNCTION("INDEX(SPLIT(F455, ""-""), 2)
"),121.74006)</f>
        <v>121.74006</v>
      </c>
    </row>
    <row r="456">
      <c r="A456" s="1">
        <v>454.0</v>
      </c>
      <c r="B456" s="1" t="s">
        <v>1403</v>
      </c>
      <c r="C456" s="1">
        <v>4.0</v>
      </c>
      <c r="D456" s="1" t="s">
        <v>1404</v>
      </c>
      <c r="E456" s="1" t="s">
        <v>1405</v>
      </c>
      <c r="F456" s="1" t="s">
        <v>1406</v>
      </c>
      <c r="G456">
        <f>IFERROR(__xludf.DUMMYFUNCTION("INDEX(SPLIT(F456, ""-""), 1)
"),37.954766898894)</f>
        <v>37.9547669</v>
      </c>
      <c r="H456">
        <f>IFERROR(__xludf.DUMMYFUNCTION("INDEX(SPLIT(F456, ""-""), 2)
"),122.334166861144)</f>
        <v>122.3341669</v>
      </c>
    </row>
    <row r="457">
      <c r="A457" s="1">
        <v>455.0</v>
      </c>
      <c r="B457" s="1" t="s">
        <v>1407</v>
      </c>
      <c r="C457" s="1">
        <v>3.5</v>
      </c>
      <c r="D457" s="1" t="s">
        <v>1408</v>
      </c>
      <c r="E457" s="1" t="s">
        <v>1354</v>
      </c>
      <c r="F457" s="1" t="s">
        <v>1409</v>
      </c>
      <c r="G457">
        <f>IFERROR(__xludf.DUMMYFUNCTION("INDEX(SPLIT(F457, ""-""), 1)
"),37.9776375471723)</f>
        <v>37.97763755</v>
      </c>
      <c r="H457">
        <f>IFERROR(__xludf.DUMMYFUNCTION("INDEX(SPLIT(F457, ""-""), 2)
"),122.034577466548)</f>
        <v>122.0345775</v>
      </c>
    </row>
    <row r="458">
      <c r="A458" s="1">
        <v>456.0</v>
      </c>
      <c r="B458" s="1" t="s">
        <v>1410</v>
      </c>
      <c r="C458" s="1">
        <v>3.5</v>
      </c>
      <c r="D458" s="1" t="s">
        <v>1411</v>
      </c>
      <c r="E458" s="1" t="s">
        <v>1412</v>
      </c>
      <c r="F458" s="1" t="s">
        <v>1413</v>
      </c>
      <c r="G458">
        <f>IFERROR(__xludf.DUMMYFUNCTION("INDEX(SPLIT(F458, ""-""), 1)
"),37.96301)</f>
        <v>37.96301</v>
      </c>
      <c r="H458">
        <f>IFERROR(__xludf.DUMMYFUNCTION("INDEX(SPLIT(F458, ""-""), 2)
"),122.31987)</f>
        <v>122.31987</v>
      </c>
    </row>
    <row r="459">
      <c r="A459" s="1">
        <v>457.0</v>
      </c>
      <c r="B459" s="1" t="s">
        <v>1414</v>
      </c>
      <c r="C459" s="1">
        <v>3.5</v>
      </c>
      <c r="D459" s="1" t="s">
        <v>1415</v>
      </c>
      <c r="E459" s="1" t="s">
        <v>600</v>
      </c>
      <c r="F459" s="1" t="s">
        <v>1416</v>
      </c>
      <c r="G459">
        <f>IFERROR(__xludf.DUMMYFUNCTION("INDEX(SPLIT(F459, ""-""), 1)
"),38.25803)</f>
        <v>38.25803</v>
      </c>
      <c r="H459">
        <f>IFERROR(__xludf.DUMMYFUNCTION("INDEX(SPLIT(F459, ""-""), 2)
"),122.03509)</f>
        <v>122.03509</v>
      </c>
    </row>
    <row r="460">
      <c r="A460" s="1">
        <v>458.0</v>
      </c>
      <c r="B460" s="1" t="s">
        <v>1417</v>
      </c>
      <c r="C460" s="1">
        <v>3.5</v>
      </c>
      <c r="D460" s="1" t="s">
        <v>1418</v>
      </c>
      <c r="E460" s="1" t="s">
        <v>1372</v>
      </c>
      <c r="F460" s="1" t="s">
        <v>1419</v>
      </c>
      <c r="G460">
        <f>IFERROR(__xludf.DUMMYFUNCTION("INDEX(SPLIT(F460, ""-""), 1)
"),38.5620003834934)</f>
        <v>38.56200038</v>
      </c>
      <c r="H460">
        <f>IFERROR(__xludf.DUMMYFUNCTION("INDEX(SPLIT(F460, ""-""), 2)
"),121.765583911777)</f>
        <v>121.7655839</v>
      </c>
    </row>
    <row r="461">
      <c r="A461" s="1">
        <v>459.0</v>
      </c>
      <c r="B461" s="1" t="s">
        <v>1420</v>
      </c>
      <c r="C461" s="1">
        <v>3.5</v>
      </c>
      <c r="D461" s="1" t="s">
        <v>1421</v>
      </c>
      <c r="E461" s="1" t="s">
        <v>1344</v>
      </c>
      <c r="F461" s="1" t="s">
        <v>1345</v>
      </c>
      <c r="G461">
        <f>IFERROR(__xludf.DUMMYFUNCTION("INDEX(SPLIT(F461, ""-""), 1)
"),38.24225)</f>
        <v>38.24225</v>
      </c>
      <c r="H461">
        <f>IFERROR(__xludf.DUMMYFUNCTION("INDEX(SPLIT(F461, ""-""), 2)
"),122.01803)</f>
        <v>122.01803</v>
      </c>
    </row>
    <row r="462">
      <c r="A462" s="1">
        <v>460.0</v>
      </c>
      <c r="B462" s="1" t="s">
        <v>1422</v>
      </c>
      <c r="C462" s="1">
        <v>3.5</v>
      </c>
      <c r="D462" s="1" t="s">
        <v>1423</v>
      </c>
      <c r="E462" s="1" t="s">
        <v>1372</v>
      </c>
      <c r="F462" s="1" t="s">
        <v>1424</v>
      </c>
      <c r="G462">
        <f>IFERROR(__xludf.DUMMYFUNCTION("INDEX(SPLIT(F462, ""-""), 1)
"),38.5436287)</f>
        <v>38.5436287</v>
      </c>
      <c r="H462">
        <f>IFERROR(__xludf.DUMMYFUNCTION("INDEX(SPLIT(F462, ""-""), 2)
"),121.7415001)</f>
        <v>121.7415001</v>
      </c>
    </row>
    <row r="463">
      <c r="A463" s="1">
        <v>461.0</v>
      </c>
      <c r="B463" s="1" t="s">
        <v>1425</v>
      </c>
      <c r="C463" s="1">
        <v>4.5</v>
      </c>
      <c r="D463" s="1" t="s">
        <v>1426</v>
      </c>
      <c r="E463" s="1" t="s">
        <v>1365</v>
      </c>
      <c r="F463" s="1" t="s">
        <v>1427</v>
      </c>
      <c r="G463">
        <f>IFERROR(__xludf.DUMMYFUNCTION("INDEX(SPLIT(F463, ""-""), 1)
"),37.9603143999999)</f>
        <v>37.9603144</v>
      </c>
      <c r="H463">
        <f>IFERROR(__xludf.DUMMYFUNCTION("INDEX(SPLIT(F463, ""-""), 2)
"),121.7326581)</f>
        <v>121.7326581</v>
      </c>
    </row>
    <row r="464">
      <c r="A464" s="1">
        <v>462.0</v>
      </c>
      <c r="B464" s="1" t="s">
        <v>1428</v>
      </c>
      <c r="C464" s="1">
        <v>4.0</v>
      </c>
      <c r="D464" s="1" t="s">
        <v>1429</v>
      </c>
      <c r="E464" s="1" t="s">
        <v>1372</v>
      </c>
      <c r="F464" s="1" t="s">
        <v>1430</v>
      </c>
      <c r="G464">
        <f>IFERROR(__xludf.DUMMYFUNCTION("INDEX(SPLIT(F464, ""-""), 1)
"),38.5430607163953)</f>
        <v>38.54306072</v>
      </c>
      <c r="H464">
        <f>IFERROR(__xludf.DUMMYFUNCTION("INDEX(SPLIT(F464, ""-""), 2)
"),121.740498058498)</f>
        <v>121.7404981</v>
      </c>
    </row>
    <row r="465">
      <c r="A465" s="1">
        <v>463.0</v>
      </c>
      <c r="B465" s="1" t="s">
        <v>1431</v>
      </c>
      <c r="C465" s="1">
        <v>4.0</v>
      </c>
      <c r="D465" s="1" t="s">
        <v>1432</v>
      </c>
      <c r="E465" s="1" t="s">
        <v>600</v>
      </c>
      <c r="F465" s="1" t="s">
        <v>1433</v>
      </c>
      <c r="G465">
        <f>IFERROR(__xludf.DUMMYFUNCTION("INDEX(SPLIT(F465, ""-""), 1)
"),38.29174)</f>
        <v>38.29174</v>
      </c>
      <c r="H465">
        <f>IFERROR(__xludf.DUMMYFUNCTION("INDEX(SPLIT(F465, ""-""), 2)
"),122.03293)</f>
        <v>122.03293</v>
      </c>
    </row>
    <row r="466">
      <c r="A466" s="1">
        <v>464.0</v>
      </c>
      <c r="B466" s="1" t="s">
        <v>1434</v>
      </c>
      <c r="C466" s="1">
        <v>4.5</v>
      </c>
      <c r="D466" s="1" t="s">
        <v>1435</v>
      </c>
      <c r="E466" s="1" t="s">
        <v>1372</v>
      </c>
      <c r="F466" s="1" t="s">
        <v>1436</v>
      </c>
      <c r="G466">
        <f>IFERROR(__xludf.DUMMYFUNCTION("INDEX(SPLIT(F466, ""-""), 1)
"),38.5603285349925)</f>
        <v>38.56032853</v>
      </c>
      <c r="H466">
        <f>IFERROR(__xludf.DUMMYFUNCTION("INDEX(SPLIT(F466, ""-""), 2)
"),121.757062978432)</f>
        <v>121.757063</v>
      </c>
    </row>
    <row r="467">
      <c r="A467" s="1">
        <v>465.0</v>
      </c>
      <c r="B467" s="1" t="s">
        <v>1437</v>
      </c>
      <c r="C467" s="1">
        <v>3.5</v>
      </c>
      <c r="D467" s="1" t="s">
        <v>1438</v>
      </c>
      <c r="E467" s="1" t="s">
        <v>1372</v>
      </c>
      <c r="F467" s="1" t="s">
        <v>1439</v>
      </c>
      <c r="G467">
        <f>IFERROR(__xludf.DUMMYFUNCTION("INDEX(SPLIT(F467, ""-""), 1)
"),38.5436861078294)</f>
        <v>38.54368611</v>
      </c>
      <c r="H467">
        <f>IFERROR(__xludf.DUMMYFUNCTION("INDEX(SPLIT(F467, ""-""), 2)
"),121.746784233134)</f>
        <v>121.7467842</v>
      </c>
    </row>
    <row r="468">
      <c r="A468" s="1">
        <v>466.0</v>
      </c>
      <c r="B468" s="1" t="s">
        <v>1440</v>
      </c>
      <c r="C468" s="1">
        <v>4.0</v>
      </c>
      <c r="D468" s="1" t="s">
        <v>1388</v>
      </c>
      <c r="E468" s="1" t="s">
        <v>1372</v>
      </c>
      <c r="F468" s="1" t="s">
        <v>1389</v>
      </c>
      <c r="G468">
        <f>IFERROR(__xludf.DUMMYFUNCTION("INDEX(SPLIT(F468, ""-""), 1)
"),38.5465253999999)</f>
        <v>38.5465254</v>
      </c>
      <c r="H468">
        <f>IFERROR(__xludf.DUMMYFUNCTION("INDEX(SPLIT(F468, ""-""), 2)
"),121.7607466)</f>
        <v>121.7607466</v>
      </c>
    </row>
    <row r="469">
      <c r="A469" s="1">
        <v>467.0</v>
      </c>
      <c r="B469" s="1" t="s">
        <v>1441</v>
      </c>
      <c r="C469" s="1">
        <v>3.5</v>
      </c>
      <c r="D469" s="1" t="s">
        <v>1442</v>
      </c>
      <c r="E469" s="1" t="s">
        <v>600</v>
      </c>
      <c r="F469" s="1" t="s">
        <v>1443</v>
      </c>
      <c r="G469">
        <f>IFERROR(__xludf.DUMMYFUNCTION("INDEX(SPLIT(F469, ""-""), 1)
"),38.2583578295892)</f>
        <v>38.25835783</v>
      </c>
      <c r="H469">
        <f>IFERROR(__xludf.DUMMYFUNCTION("INDEX(SPLIT(F469, ""-""), 2)
"),122.020811644487)</f>
        <v>122.0208116</v>
      </c>
    </row>
    <row r="470">
      <c r="A470" s="1">
        <v>468.0</v>
      </c>
      <c r="B470" s="1" t="s">
        <v>1444</v>
      </c>
      <c r="C470" s="1">
        <v>4.5</v>
      </c>
      <c r="D470" s="1" t="s">
        <v>1445</v>
      </c>
      <c r="E470" s="1" t="s">
        <v>1358</v>
      </c>
      <c r="F470" s="1" t="s">
        <v>1446</v>
      </c>
      <c r="G470">
        <f>IFERROR(__xludf.DUMMYFUNCTION("INDEX(SPLIT(F470, ""-""), 1)
"),38.0329401103612)</f>
        <v>38.03294011</v>
      </c>
      <c r="H470">
        <f>IFERROR(__xludf.DUMMYFUNCTION("INDEX(SPLIT(F470, ""-""), 2)
"),121.882134117186)</f>
        <v>121.8821341</v>
      </c>
    </row>
    <row r="471">
      <c r="A471" s="1">
        <v>469.0</v>
      </c>
      <c r="B471" s="1" t="s">
        <v>1447</v>
      </c>
      <c r="C471" s="1">
        <v>3.0</v>
      </c>
      <c r="D471" s="1" t="s">
        <v>1333</v>
      </c>
      <c r="E471" s="1" t="s">
        <v>600</v>
      </c>
      <c r="F471" s="1" t="s">
        <v>1448</v>
      </c>
      <c r="G471">
        <f>IFERROR(__xludf.DUMMYFUNCTION("INDEX(SPLIT(F471, ""-""), 1)
"),38.263944)</f>
        <v>38.263944</v>
      </c>
      <c r="H471">
        <f>IFERROR(__xludf.DUMMYFUNCTION("INDEX(SPLIT(F471, ""-""), 2)
"),122.050281)</f>
        <v>122.050281</v>
      </c>
    </row>
    <row r="472">
      <c r="A472" s="1">
        <v>470.0</v>
      </c>
      <c r="B472" s="1" t="s">
        <v>1449</v>
      </c>
      <c r="C472" s="1">
        <v>3.0</v>
      </c>
      <c r="D472" s="1" t="s">
        <v>1421</v>
      </c>
      <c r="E472" s="1" t="s">
        <v>1344</v>
      </c>
      <c r="F472" s="1" t="s">
        <v>1345</v>
      </c>
      <c r="G472">
        <f>IFERROR(__xludf.DUMMYFUNCTION("INDEX(SPLIT(F472, ""-""), 1)
"),38.24225)</f>
        <v>38.24225</v>
      </c>
      <c r="H472">
        <f>IFERROR(__xludf.DUMMYFUNCTION("INDEX(SPLIT(F472, ""-""), 2)
"),122.01803)</f>
        <v>122.01803</v>
      </c>
    </row>
    <row r="473">
      <c r="A473" s="1">
        <v>471.0</v>
      </c>
      <c r="B473" s="1" t="s">
        <v>1450</v>
      </c>
      <c r="C473" s="1">
        <v>4.5</v>
      </c>
      <c r="D473" s="1" t="s">
        <v>1451</v>
      </c>
      <c r="E473" s="1" t="s">
        <v>1452</v>
      </c>
      <c r="F473" s="1" t="s">
        <v>1453</v>
      </c>
      <c r="G473">
        <f>IFERROR(__xludf.DUMMYFUNCTION("INDEX(SPLIT(F473, ""-""), 1)
"),38.0543339252472)</f>
        <v>38.05433393</v>
      </c>
      <c r="H473">
        <f>IFERROR(__xludf.DUMMYFUNCTION("INDEX(SPLIT(F473, ""-""), 2)
"),122.152609080076)</f>
        <v>122.1526091</v>
      </c>
    </row>
    <row r="474">
      <c r="A474" s="1">
        <v>472.0</v>
      </c>
      <c r="B474" s="1" t="s">
        <v>1454</v>
      </c>
      <c r="C474" s="1">
        <v>4.0</v>
      </c>
      <c r="D474" s="1" t="s">
        <v>1455</v>
      </c>
      <c r="E474" s="1" t="s">
        <v>1456</v>
      </c>
      <c r="F474" s="1" t="s">
        <v>1457</v>
      </c>
      <c r="G474">
        <f>IFERROR(__xludf.DUMMYFUNCTION("INDEX(SPLIT(F474, ""-""), 1)
"),37.9952735900879)</f>
        <v>37.99527359</v>
      </c>
      <c r="H474">
        <f>IFERROR(__xludf.DUMMYFUNCTION("INDEX(SPLIT(F474, ""-""), 2)
"),122.285331726074)</f>
        <v>122.2853317</v>
      </c>
    </row>
    <row r="475">
      <c r="A475" s="1">
        <v>473.0</v>
      </c>
      <c r="B475" s="1" t="s">
        <v>1458</v>
      </c>
      <c r="C475" s="1">
        <v>3.0</v>
      </c>
      <c r="D475" s="1" t="s">
        <v>1459</v>
      </c>
      <c r="E475" s="1" t="s">
        <v>1365</v>
      </c>
      <c r="F475" s="1" t="s">
        <v>1460</v>
      </c>
      <c r="G475">
        <f>IFERROR(__xludf.DUMMYFUNCTION("INDEX(SPLIT(F475, ""-""), 1)
"),37.946219)</f>
        <v>37.946219</v>
      </c>
      <c r="H475">
        <f>IFERROR(__xludf.DUMMYFUNCTION("INDEX(SPLIT(F475, ""-""), 2)
"),121.738762)</f>
        <v>121.738762</v>
      </c>
    </row>
    <row r="476">
      <c r="A476" s="1">
        <v>474.0</v>
      </c>
      <c r="B476" s="1" t="s">
        <v>1461</v>
      </c>
      <c r="C476" s="1">
        <v>4.5</v>
      </c>
      <c r="D476" s="1" t="s">
        <v>1462</v>
      </c>
      <c r="E476" s="1" t="s">
        <v>1463</v>
      </c>
      <c r="F476" s="1" t="s">
        <v>1464</v>
      </c>
      <c r="G476">
        <f>IFERROR(__xludf.DUMMYFUNCTION("INDEX(SPLIT(F476, ""-""), 1)
"),37.9934616)</f>
        <v>37.9934616</v>
      </c>
      <c r="H476">
        <f>IFERROR(__xludf.DUMMYFUNCTION("INDEX(SPLIT(F476, ""-""), 2)
"),122.1024094)</f>
        <v>122.1024094</v>
      </c>
    </row>
    <row r="477">
      <c r="A477" s="1">
        <v>475.0</v>
      </c>
      <c r="B477" s="1" t="s">
        <v>1465</v>
      </c>
      <c r="C477" s="1">
        <v>3.5</v>
      </c>
      <c r="D477" s="1" t="s">
        <v>1466</v>
      </c>
      <c r="E477" s="1" t="s">
        <v>1392</v>
      </c>
      <c r="F477" s="1" t="s">
        <v>1467</v>
      </c>
      <c r="G477">
        <f>IFERROR(__xludf.DUMMYFUNCTION("INDEX(SPLIT(F477, ""-""), 1)
"),38.004497387479)</f>
        <v>38.00449739</v>
      </c>
      <c r="H477">
        <f>IFERROR(__xludf.DUMMYFUNCTION("INDEX(SPLIT(F477, ""-""), 2)
"),121.799923304048)</f>
        <v>121.7999233</v>
      </c>
    </row>
    <row r="478">
      <c r="A478" s="1">
        <v>476.0</v>
      </c>
      <c r="B478" s="1" t="s">
        <v>1468</v>
      </c>
      <c r="C478" s="1">
        <v>3.5</v>
      </c>
      <c r="D478" s="1" t="s">
        <v>1469</v>
      </c>
      <c r="E478" s="1" t="s">
        <v>1340</v>
      </c>
      <c r="F478" s="1" t="s">
        <v>1470</v>
      </c>
      <c r="G478">
        <f>IFERROR(__xludf.DUMMYFUNCTION("INDEX(SPLIT(F478, ""-""), 1)
"),38.3539886474609)</f>
        <v>38.35398865</v>
      </c>
      <c r="H478">
        <f>IFERROR(__xludf.DUMMYFUNCTION("INDEX(SPLIT(F478, ""-""), 2)
"),121.978248596191)</f>
        <v>121.9782486</v>
      </c>
    </row>
    <row r="479">
      <c r="A479" s="1">
        <v>477.0</v>
      </c>
      <c r="B479" s="1" t="s">
        <v>1471</v>
      </c>
      <c r="C479" s="1">
        <v>4.0</v>
      </c>
      <c r="D479" s="1" t="s">
        <v>1472</v>
      </c>
      <c r="E479" s="1" t="s">
        <v>372</v>
      </c>
      <c r="F479" s="1" t="s">
        <v>1473</v>
      </c>
      <c r="G479">
        <f>IFERROR(__xludf.DUMMYFUNCTION("INDEX(SPLIT(F479, ""-""), 1)
"),37.9297795146704)</f>
        <v>37.92977951</v>
      </c>
      <c r="H479">
        <f>IFERROR(__xludf.DUMMYFUNCTION("INDEX(SPLIT(F479, ""-""), 2)
"),122.016731053591)</f>
        <v>122.0167311</v>
      </c>
    </row>
    <row r="480">
      <c r="A480" s="1">
        <v>478.0</v>
      </c>
      <c r="B480" s="1" t="s">
        <v>1474</v>
      </c>
      <c r="C480" s="1">
        <v>3.5</v>
      </c>
      <c r="D480" s="1" t="s">
        <v>1475</v>
      </c>
      <c r="E480" s="1" t="s">
        <v>372</v>
      </c>
      <c r="F480" s="1" t="s">
        <v>1476</v>
      </c>
      <c r="G480">
        <f>IFERROR(__xludf.DUMMYFUNCTION("INDEX(SPLIT(F480, ""-""), 1)
"),37.9174137)</f>
        <v>37.9174137</v>
      </c>
      <c r="H480">
        <f>IFERROR(__xludf.DUMMYFUNCTION("INDEX(SPLIT(F480, ""-""), 2)
"),122.0375497)</f>
        <v>122.0375497</v>
      </c>
    </row>
    <row r="481">
      <c r="A481" s="1">
        <v>479.0</v>
      </c>
      <c r="B481" s="1" t="s">
        <v>1477</v>
      </c>
      <c r="C481" s="1">
        <v>3.5</v>
      </c>
      <c r="D481" s="1" t="s">
        <v>1478</v>
      </c>
      <c r="E481" s="1" t="s">
        <v>372</v>
      </c>
      <c r="F481" s="1" t="s">
        <v>1479</v>
      </c>
      <c r="G481">
        <f>IFERROR(__xludf.DUMMYFUNCTION("INDEX(SPLIT(F481, ""-""), 1)
"),37.8981)</f>
        <v>37.8981</v>
      </c>
      <c r="H481">
        <f>IFERROR(__xludf.DUMMYFUNCTION("INDEX(SPLIT(F481, ""-""), 2)
"),122.06206)</f>
        <v>122.06206</v>
      </c>
    </row>
    <row r="482">
      <c r="A482" s="1">
        <v>480.0</v>
      </c>
      <c r="B482" s="1" t="s">
        <v>1480</v>
      </c>
      <c r="C482" s="1">
        <v>3.5</v>
      </c>
      <c r="D482" s="1" t="s">
        <v>1481</v>
      </c>
      <c r="E482" s="1" t="s">
        <v>372</v>
      </c>
      <c r="F482" s="1" t="s">
        <v>1482</v>
      </c>
      <c r="G482">
        <f>IFERROR(__xludf.DUMMYFUNCTION("INDEX(SPLIT(F482, ""-""), 1)
"),37.9000639934234)</f>
        <v>37.90006399</v>
      </c>
      <c r="H482">
        <f>IFERROR(__xludf.DUMMYFUNCTION("INDEX(SPLIT(F482, ""-""), 2)
"),122.062495370938)</f>
        <v>122.0624954</v>
      </c>
    </row>
    <row r="483">
      <c r="A483" s="1">
        <v>481.0</v>
      </c>
      <c r="B483" s="1" t="s">
        <v>1483</v>
      </c>
      <c r="C483" s="1">
        <v>4.0</v>
      </c>
      <c r="D483" s="1" t="s">
        <v>1484</v>
      </c>
      <c r="E483" s="1" t="s">
        <v>960</v>
      </c>
      <c r="F483" s="1" t="s">
        <v>1485</v>
      </c>
      <c r="G483">
        <f>IFERROR(__xludf.DUMMYFUNCTION("INDEX(SPLIT(F483, ""-""), 1)
"),37.8227538431367)</f>
        <v>37.82275384</v>
      </c>
      <c r="H483">
        <f>IFERROR(__xludf.DUMMYFUNCTION("INDEX(SPLIT(F483, ""-""), 2)
"),122.001181084905)</f>
        <v>122.0011811</v>
      </c>
    </row>
    <row r="484">
      <c r="A484" s="1">
        <v>482.0</v>
      </c>
      <c r="B484" s="1" t="s">
        <v>1486</v>
      </c>
      <c r="C484" s="1">
        <v>3.0</v>
      </c>
      <c r="D484" s="1" t="s">
        <v>1487</v>
      </c>
      <c r="E484" s="1" t="s">
        <v>1354</v>
      </c>
      <c r="F484" s="1" t="s">
        <v>1488</v>
      </c>
      <c r="G484">
        <f>IFERROR(__xludf.DUMMYFUNCTION("INDEX(SPLIT(F484, ""-""), 1)
"),37.97879750393)</f>
        <v>37.9787975</v>
      </c>
      <c r="H484">
        <f>IFERROR(__xludf.DUMMYFUNCTION("INDEX(SPLIT(F484, ""-""), 2)
"),121.992360118227)</f>
        <v>121.9923601</v>
      </c>
    </row>
    <row r="485">
      <c r="A485" s="1">
        <v>483.0</v>
      </c>
      <c r="B485" s="1" t="s">
        <v>1489</v>
      </c>
      <c r="C485" s="1">
        <v>2.5</v>
      </c>
      <c r="D485" s="1" t="s">
        <v>1490</v>
      </c>
      <c r="E485" s="1" t="s">
        <v>1354</v>
      </c>
      <c r="F485" s="1" t="s">
        <v>1491</v>
      </c>
      <c r="G485">
        <f>IFERROR(__xludf.DUMMYFUNCTION("INDEX(SPLIT(F485, ""-""), 1)
"),37.9728660583496)</f>
        <v>37.97286606</v>
      </c>
      <c r="H485">
        <f>IFERROR(__xludf.DUMMYFUNCTION("INDEX(SPLIT(F485, ""-""), 2)
"),122.043716430664)</f>
        <v>122.0437164</v>
      </c>
    </row>
    <row r="486">
      <c r="A486" s="1">
        <v>484.0</v>
      </c>
      <c r="B486" s="1" t="s">
        <v>1492</v>
      </c>
      <c r="C486" s="1">
        <v>3.5</v>
      </c>
      <c r="D486" s="1" t="s">
        <v>1493</v>
      </c>
      <c r="E486" s="1" t="s">
        <v>372</v>
      </c>
      <c r="F486" s="1" t="s">
        <v>1494</v>
      </c>
      <c r="G486">
        <f>IFERROR(__xludf.DUMMYFUNCTION("INDEX(SPLIT(F486, ""-""), 1)
"),37.89883)</f>
        <v>37.89883</v>
      </c>
      <c r="H486">
        <f>IFERROR(__xludf.DUMMYFUNCTION("INDEX(SPLIT(F486, ""-""), 2)
"),122.06105)</f>
        <v>122.06105</v>
      </c>
    </row>
    <row r="487">
      <c r="A487" s="1">
        <v>485.0</v>
      </c>
      <c r="B487" s="1" t="s">
        <v>1495</v>
      </c>
      <c r="C487" s="1">
        <v>4.5</v>
      </c>
      <c r="D487" s="1" t="s">
        <v>1496</v>
      </c>
      <c r="E487" s="1" t="s">
        <v>1497</v>
      </c>
      <c r="F487" s="1" t="s">
        <v>1498</v>
      </c>
      <c r="G487">
        <f>IFERROR(__xludf.DUMMYFUNCTION("INDEX(SPLIT(F487, ""-""), 1)
"),37.8353491)</f>
        <v>37.8353491</v>
      </c>
      <c r="H487">
        <f>IFERROR(__xludf.DUMMYFUNCTION("INDEX(SPLIT(F487, ""-""), 2)
"),122.1264706)</f>
        <v>122.1264706</v>
      </c>
    </row>
    <row r="488">
      <c r="A488" s="1">
        <v>486.0</v>
      </c>
      <c r="B488" s="1" t="s">
        <v>1499</v>
      </c>
      <c r="C488" s="1">
        <v>4.0</v>
      </c>
      <c r="D488" s="1" t="s">
        <v>1500</v>
      </c>
      <c r="E488" s="1" t="s">
        <v>1501</v>
      </c>
      <c r="F488" s="1" t="s">
        <v>1502</v>
      </c>
      <c r="G488">
        <f>IFERROR(__xludf.DUMMYFUNCTION("INDEX(SPLIT(F488, ""-""), 1)
"),37.8906068)</f>
        <v>37.8906068</v>
      </c>
      <c r="H488">
        <f>IFERROR(__xludf.DUMMYFUNCTION("INDEX(SPLIT(F488, ""-""), 2)
"),122.127733299999)</f>
        <v>122.1277333</v>
      </c>
    </row>
    <row r="489">
      <c r="A489" s="1">
        <v>487.0</v>
      </c>
      <c r="B489" s="1" t="s">
        <v>1503</v>
      </c>
      <c r="C489" s="1">
        <v>4.0</v>
      </c>
      <c r="D489" s="1" t="s">
        <v>1504</v>
      </c>
      <c r="E489" s="1" t="s">
        <v>356</v>
      </c>
      <c r="F489" s="1" t="s">
        <v>1505</v>
      </c>
      <c r="G489">
        <f>IFERROR(__xludf.DUMMYFUNCTION("INDEX(SPLIT(F489, ""-""), 1)
"),37.94665)</f>
        <v>37.94665</v>
      </c>
      <c r="H489">
        <f>IFERROR(__xludf.DUMMYFUNCTION("INDEX(SPLIT(F489, ""-""), 2)
"),122.061619999999)</f>
        <v>122.06162</v>
      </c>
    </row>
    <row r="490">
      <c r="A490" s="1">
        <v>488.0</v>
      </c>
      <c r="B490" s="1" t="s">
        <v>1506</v>
      </c>
      <c r="C490" s="1">
        <v>3.5</v>
      </c>
      <c r="D490" s="1" t="s">
        <v>1507</v>
      </c>
      <c r="E490" s="1" t="s">
        <v>1354</v>
      </c>
      <c r="F490" s="1" t="s">
        <v>1508</v>
      </c>
      <c r="G490">
        <f>IFERROR(__xludf.DUMMYFUNCTION("INDEX(SPLIT(F490, ""-""), 1)
"),37.9672766)</f>
        <v>37.9672766</v>
      </c>
      <c r="H490">
        <f>IFERROR(__xludf.DUMMYFUNCTION("INDEX(SPLIT(F490, ""-""), 2)
"),122.0621762)</f>
        <v>122.0621762</v>
      </c>
    </row>
    <row r="491">
      <c r="A491" s="1">
        <v>489.0</v>
      </c>
      <c r="B491" s="1" t="s">
        <v>1509</v>
      </c>
      <c r="C491" s="1">
        <v>4.0</v>
      </c>
      <c r="D491" s="1" t="s">
        <v>1510</v>
      </c>
      <c r="E491" s="1" t="s">
        <v>1354</v>
      </c>
      <c r="F491" s="1" t="s">
        <v>1511</v>
      </c>
      <c r="G491">
        <f>IFERROR(__xludf.DUMMYFUNCTION("INDEX(SPLIT(F491, ""-""), 1)
"),37.95516)</f>
        <v>37.95516</v>
      </c>
      <c r="H491">
        <f>IFERROR(__xludf.DUMMYFUNCTION("INDEX(SPLIT(F491, ""-""), 2)
"),122.04158)</f>
        <v>122.04158</v>
      </c>
    </row>
    <row r="492">
      <c r="A492" s="1">
        <v>490.0</v>
      </c>
      <c r="B492" s="1" t="s">
        <v>1512</v>
      </c>
      <c r="C492" s="1">
        <v>4.0</v>
      </c>
      <c r="D492" s="1" t="s">
        <v>1513</v>
      </c>
      <c r="E492" s="1" t="s">
        <v>1354</v>
      </c>
      <c r="F492" s="1" t="s">
        <v>1514</v>
      </c>
      <c r="G492">
        <f>IFERROR(__xludf.DUMMYFUNCTION("INDEX(SPLIT(F492, ""-""), 1)
"),37.9603599999999)</f>
        <v>37.96036</v>
      </c>
      <c r="H492">
        <f>IFERROR(__xludf.DUMMYFUNCTION("INDEX(SPLIT(F492, ""-""), 2)
"),122.03578)</f>
        <v>122.03578</v>
      </c>
    </row>
    <row r="493">
      <c r="A493" s="1">
        <v>491.0</v>
      </c>
      <c r="B493" s="1" t="s">
        <v>1515</v>
      </c>
      <c r="C493" s="1">
        <v>3.5</v>
      </c>
      <c r="D493" s="1" t="s">
        <v>1516</v>
      </c>
      <c r="E493" s="1" t="s">
        <v>1354</v>
      </c>
      <c r="F493" s="1" t="s">
        <v>1517</v>
      </c>
      <c r="G493">
        <f>IFERROR(__xludf.DUMMYFUNCTION("INDEX(SPLIT(F493, ""-""), 1)
"),37.9762523253409)</f>
        <v>37.97625233</v>
      </c>
      <c r="H493">
        <f>IFERROR(__xludf.DUMMYFUNCTION("INDEX(SPLIT(F493, ""-""), 2)
"),122.037221553584)</f>
        <v>122.0372216</v>
      </c>
    </row>
    <row r="494">
      <c r="A494" s="1">
        <v>492.0</v>
      </c>
      <c r="B494" s="1" t="s">
        <v>1518</v>
      </c>
      <c r="C494" s="1">
        <v>4.5</v>
      </c>
      <c r="D494" s="1" t="s">
        <v>1478</v>
      </c>
      <c r="E494" s="1" t="s">
        <v>372</v>
      </c>
      <c r="F494" s="1" t="s">
        <v>1479</v>
      </c>
      <c r="G494">
        <f>IFERROR(__xludf.DUMMYFUNCTION("INDEX(SPLIT(F494, ""-""), 1)
"),37.8981)</f>
        <v>37.8981</v>
      </c>
      <c r="H494">
        <f>IFERROR(__xludf.DUMMYFUNCTION("INDEX(SPLIT(F494, ""-""), 2)
"),122.06206)</f>
        <v>122.06206</v>
      </c>
    </row>
    <row r="495">
      <c r="A495" s="1">
        <v>493.0</v>
      </c>
      <c r="B495" s="1" t="s">
        <v>1519</v>
      </c>
      <c r="C495" s="1">
        <v>3.5</v>
      </c>
      <c r="D495" s="1" t="s">
        <v>1520</v>
      </c>
      <c r="E495" s="1" t="s">
        <v>1354</v>
      </c>
      <c r="F495" s="1" t="s">
        <v>1521</v>
      </c>
      <c r="G495">
        <f>IFERROR(__xludf.DUMMYFUNCTION("INDEX(SPLIT(F495, ""-""), 1)
"),37.974103)</f>
        <v>37.974103</v>
      </c>
      <c r="H495">
        <f>IFERROR(__xludf.DUMMYFUNCTION("INDEX(SPLIT(F495, ""-""), 2)
"),122.041692)</f>
        <v>122.041692</v>
      </c>
    </row>
    <row r="496">
      <c r="A496" s="1">
        <v>494.0</v>
      </c>
      <c r="B496" s="1" t="s">
        <v>1522</v>
      </c>
      <c r="C496" s="1">
        <v>3.5</v>
      </c>
      <c r="D496" s="1" t="s">
        <v>1523</v>
      </c>
      <c r="E496" s="1" t="s">
        <v>1354</v>
      </c>
      <c r="F496" s="1" t="s">
        <v>1524</v>
      </c>
      <c r="G496">
        <f>IFERROR(__xludf.DUMMYFUNCTION("INDEX(SPLIT(F496, ""-""), 1)
"),37.974712)</f>
        <v>37.974712</v>
      </c>
      <c r="H496">
        <f>IFERROR(__xludf.DUMMYFUNCTION("INDEX(SPLIT(F496, ""-""), 2)
"),122.039859)</f>
        <v>122.039859</v>
      </c>
    </row>
    <row r="497">
      <c r="A497" s="1">
        <v>495.0</v>
      </c>
      <c r="B497" s="1" t="s">
        <v>1525</v>
      </c>
      <c r="C497" s="1">
        <v>3.5</v>
      </c>
      <c r="D497" s="1" t="s">
        <v>1526</v>
      </c>
      <c r="E497" s="1" t="s">
        <v>1452</v>
      </c>
      <c r="F497" s="1" t="s">
        <v>1527</v>
      </c>
      <c r="G497">
        <f>IFERROR(__xludf.DUMMYFUNCTION("INDEX(SPLIT(F497, ""-""), 1)
"),38.04837)</f>
        <v>38.04837</v>
      </c>
      <c r="H497">
        <f>IFERROR(__xludf.DUMMYFUNCTION("INDEX(SPLIT(F497, ""-""), 2)
"),122.15871)</f>
        <v>122.15871</v>
      </c>
    </row>
    <row r="498">
      <c r="A498" s="1">
        <v>496.0</v>
      </c>
      <c r="B498" s="1" t="s">
        <v>1528</v>
      </c>
      <c r="C498" s="1">
        <v>4.5</v>
      </c>
      <c r="D498" s="1" t="s">
        <v>1529</v>
      </c>
      <c r="E498" s="1" t="s">
        <v>1358</v>
      </c>
      <c r="F498" s="1" t="s">
        <v>1530</v>
      </c>
      <c r="G498">
        <f>IFERROR(__xludf.DUMMYFUNCTION("INDEX(SPLIT(F498, ""-""), 1)
"),38.0134741)</f>
        <v>38.0134741</v>
      </c>
      <c r="H498">
        <f>IFERROR(__xludf.DUMMYFUNCTION("INDEX(SPLIT(F498, ""-""), 2)
"),121.8905534)</f>
        <v>121.8905534</v>
      </c>
    </row>
    <row r="499">
      <c r="A499" s="1">
        <v>497.0</v>
      </c>
      <c r="B499" s="1" t="s">
        <v>1531</v>
      </c>
      <c r="C499" s="1">
        <v>3.0</v>
      </c>
      <c r="D499" s="1" t="s">
        <v>1532</v>
      </c>
      <c r="E499" s="1" t="s">
        <v>1354</v>
      </c>
      <c r="F499" s="1" t="s">
        <v>1533</v>
      </c>
      <c r="G499">
        <f>IFERROR(__xludf.DUMMYFUNCTION("INDEX(SPLIT(F499, ""-""), 1)
"),37.97341)</f>
        <v>37.97341</v>
      </c>
      <c r="H499">
        <f>IFERROR(__xludf.DUMMYFUNCTION("INDEX(SPLIT(F499, ""-""), 2)
"),122.0557)</f>
        <v>122.0557</v>
      </c>
    </row>
    <row r="500">
      <c r="A500" s="1">
        <v>498.0</v>
      </c>
      <c r="B500" s="1" t="s">
        <v>1534</v>
      </c>
      <c r="C500" s="1">
        <v>3.5</v>
      </c>
      <c r="D500" s="1" t="s">
        <v>1535</v>
      </c>
      <c r="E500" s="1" t="s">
        <v>1354</v>
      </c>
      <c r="F500" s="1" t="s">
        <v>1536</v>
      </c>
      <c r="G500">
        <f>IFERROR(__xludf.DUMMYFUNCTION("INDEX(SPLIT(F500, ""-""), 1)
"),37.97514)</f>
        <v>37.97514</v>
      </c>
      <c r="H500">
        <f>IFERROR(__xludf.DUMMYFUNCTION("INDEX(SPLIT(F500, ""-""), 2)
"),122.03901)</f>
        <v>122.03901</v>
      </c>
    </row>
    <row r="501">
      <c r="A501" s="1">
        <v>499.0</v>
      </c>
      <c r="B501" s="1" t="s">
        <v>1537</v>
      </c>
      <c r="C501" s="1">
        <v>3.5</v>
      </c>
      <c r="D501" s="1" t="s">
        <v>1538</v>
      </c>
      <c r="E501" s="1" t="s">
        <v>356</v>
      </c>
      <c r="F501" s="1" t="s">
        <v>1539</v>
      </c>
      <c r="G501">
        <f>IFERROR(__xludf.DUMMYFUNCTION("INDEX(SPLIT(F501, ""-""), 1)
"),37.980899)</f>
        <v>37.980899</v>
      </c>
      <c r="H501">
        <f>IFERROR(__xludf.DUMMYFUNCTION("INDEX(SPLIT(F501, ""-""), 2)
"),122.068382)</f>
        <v>122.068382</v>
      </c>
    </row>
    <row r="502">
      <c r="A502" s="1">
        <v>500.0</v>
      </c>
      <c r="B502" s="1" t="s">
        <v>1540</v>
      </c>
      <c r="C502" s="1">
        <v>4.0</v>
      </c>
      <c r="D502" s="1" t="s">
        <v>1541</v>
      </c>
      <c r="E502" s="1" t="s">
        <v>372</v>
      </c>
      <c r="F502" s="1" t="s">
        <v>1542</v>
      </c>
      <c r="G502">
        <f>IFERROR(__xludf.DUMMYFUNCTION("INDEX(SPLIT(F502, ""-""), 1)
"),37.9079856872558)</f>
        <v>37.90798569</v>
      </c>
      <c r="H502">
        <f>IFERROR(__xludf.DUMMYFUNCTION("INDEX(SPLIT(F502, ""-""), 2)
"),122.064300537108)</f>
        <v>122.0643005</v>
      </c>
    </row>
    <row r="503">
      <c r="A503" s="1">
        <v>501.0</v>
      </c>
      <c r="B503" s="1" t="s">
        <v>1543</v>
      </c>
      <c r="C503" s="1">
        <v>3.5</v>
      </c>
      <c r="D503" s="1" t="s">
        <v>1544</v>
      </c>
      <c r="E503" s="1" t="s">
        <v>1501</v>
      </c>
      <c r="F503" s="1" t="s">
        <v>1545</v>
      </c>
      <c r="G503">
        <f>IFERROR(__xludf.DUMMYFUNCTION("INDEX(SPLIT(F503, ""-""), 1)
"),37.8916207)</f>
        <v>37.8916207</v>
      </c>
      <c r="H503">
        <f>IFERROR(__xludf.DUMMYFUNCTION("INDEX(SPLIT(F503, ""-""), 2)
"),122.1198696)</f>
        <v>122.1198696</v>
      </c>
    </row>
    <row r="504">
      <c r="A504" s="1">
        <v>502.0</v>
      </c>
      <c r="B504" s="1" t="s">
        <v>1546</v>
      </c>
      <c r="C504" s="1">
        <v>4.5</v>
      </c>
      <c r="D504" s="1" t="s">
        <v>1547</v>
      </c>
      <c r="E504" s="1" t="s">
        <v>1452</v>
      </c>
      <c r="F504" s="1" t="s">
        <v>1548</v>
      </c>
      <c r="G504">
        <f>IFERROR(__xludf.DUMMYFUNCTION("INDEX(SPLIT(F504, ""-""), 1)
"),38.066112359505)</f>
        <v>38.06611236</v>
      </c>
      <c r="H504">
        <f>IFERROR(__xludf.DUMMYFUNCTION("INDEX(SPLIT(F504, ""-""), 2)
"),122.165491386026)</f>
        <v>122.1654914</v>
      </c>
    </row>
    <row r="505">
      <c r="A505" s="1">
        <v>503.0</v>
      </c>
      <c r="B505" s="1" t="s">
        <v>1549</v>
      </c>
      <c r="C505" s="1">
        <v>4.5</v>
      </c>
      <c r="E505" s="1" t="s">
        <v>1501</v>
      </c>
      <c r="F505" s="1" t="s">
        <v>1550</v>
      </c>
      <c r="G505">
        <f>IFERROR(__xludf.DUMMYFUNCTION("INDEX(SPLIT(F505, ""-""), 1)
"),37.89301)</f>
        <v>37.89301</v>
      </c>
      <c r="H505">
        <f>IFERROR(__xludf.DUMMYFUNCTION("INDEX(SPLIT(F505, ""-""), 2)
"),122.12063)</f>
        <v>122.12063</v>
      </c>
    </row>
    <row r="506">
      <c r="A506" s="1">
        <v>504.0</v>
      </c>
      <c r="B506" s="1" t="s">
        <v>1551</v>
      </c>
      <c r="C506" s="1">
        <v>4.0</v>
      </c>
      <c r="D506" s="1" t="s">
        <v>1552</v>
      </c>
      <c r="E506" s="1" t="s">
        <v>356</v>
      </c>
      <c r="F506" s="1" t="s">
        <v>1553</v>
      </c>
      <c r="G506">
        <f>IFERROR(__xludf.DUMMYFUNCTION("INDEX(SPLIT(F506, ""-""), 1)
"),37.9448334310086)</f>
        <v>37.94483343</v>
      </c>
      <c r="H506">
        <f>IFERROR(__xludf.DUMMYFUNCTION("INDEX(SPLIT(F506, ""-""), 2)
"),122.056119731669)</f>
        <v>122.0561197</v>
      </c>
    </row>
    <row r="507">
      <c r="A507" s="1">
        <v>505.0</v>
      </c>
      <c r="B507" s="1" t="s">
        <v>1554</v>
      </c>
      <c r="C507" s="1">
        <v>5.0</v>
      </c>
      <c r="D507" s="1" t="s">
        <v>1555</v>
      </c>
      <c r="E507" s="1" t="s">
        <v>1358</v>
      </c>
      <c r="F507" s="1" t="s">
        <v>1556</v>
      </c>
      <c r="G507">
        <f>IFERROR(__xludf.DUMMYFUNCTION("INDEX(SPLIT(F507, ""-""), 1)
"),38.0136496)</f>
        <v>38.0136496</v>
      </c>
      <c r="H507">
        <f>IFERROR(__xludf.DUMMYFUNCTION("INDEX(SPLIT(F507, ""-""), 2)
"),121.8904874)</f>
        <v>121.8904874</v>
      </c>
    </row>
    <row r="508">
      <c r="A508" s="1">
        <v>506.0</v>
      </c>
      <c r="B508" s="1" t="s">
        <v>1557</v>
      </c>
      <c r="C508" s="1">
        <v>4.0</v>
      </c>
      <c r="D508" s="1" t="s">
        <v>1558</v>
      </c>
      <c r="E508" s="1" t="s">
        <v>321</v>
      </c>
      <c r="F508" s="1" t="s">
        <v>1559</v>
      </c>
      <c r="G508">
        <f>IFERROR(__xludf.DUMMYFUNCTION("INDEX(SPLIT(F508, ""-""), 1)
"),37.8261642)</f>
        <v>37.8261642</v>
      </c>
      <c r="H508">
        <f>IFERROR(__xludf.DUMMYFUNCTION("INDEX(SPLIT(F508, ""-""), 2)
"),122.209205599999)</f>
        <v>122.2092056</v>
      </c>
    </row>
    <row r="509">
      <c r="A509" s="1">
        <v>507.0</v>
      </c>
      <c r="B509" s="1" t="s">
        <v>1560</v>
      </c>
      <c r="C509" s="1">
        <v>4.5</v>
      </c>
      <c r="D509" s="1" t="s">
        <v>1561</v>
      </c>
      <c r="E509" s="1" t="s">
        <v>1497</v>
      </c>
      <c r="F509" s="1" t="s">
        <v>1562</v>
      </c>
      <c r="G509">
        <f>IFERROR(__xludf.DUMMYFUNCTION("INDEX(SPLIT(F509, ""-""), 1)
"),37.8600274754793)</f>
        <v>37.86002748</v>
      </c>
      <c r="H509">
        <f>IFERROR(__xludf.DUMMYFUNCTION("INDEX(SPLIT(F509, ""-""), 2)
"),122.125603221525)</f>
        <v>122.1256032</v>
      </c>
    </row>
    <row r="510">
      <c r="A510" s="1">
        <v>508.0</v>
      </c>
      <c r="B510" s="1" t="s">
        <v>1563</v>
      </c>
      <c r="C510" s="1">
        <v>3.5</v>
      </c>
      <c r="D510" s="1" t="s">
        <v>1564</v>
      </c>
      <c r="E510" s="1" t="s">
        <v>1392</v>
      </c>
      <c r="F510" s="1" t="s">
        <v>1565</v>
      </c>
      <c r="G510">
        <f>IFERROR(__xludf.DUMMYFUNCTION("INDEX(SPLIT(F510, ""-""), 1)
"),38.0000664)</f>
        <v>38.0000664</v>
      </c>
      <c r="H510">
        <f>IFERROR(__xludf.DUMMYFUNCTION("INDEX(SPLIT(F510, ""-""), 2)
"),121.841951799999)</f>
        <v>121.8419518</v>
      </c>
    </row>
    <row r="511">
      <c r="A511" s="1">
        <v>509.0</v>
      </c>
      <c r="B511" s="1" t="s">
        <v>1566</v>
      </c>
      <c r="C511" s="1">
        <v>4.0</v>
      </c>
      <c r="D511" s="1" t="s">
        <v>1567</v>
      </c>
      <c r="E511" s="1" t="s">
        <v>596</v>
      </c>
      <c r="F511" s="1" t="s">
        <v>1568</v>
      </c>
      <c r="G511">
        <f>IFERROR(__xludf.DUMMYFUNCTION("INDEX(SPLIT(F511, ""-""), 1)
"),38.1054840087891)</f>
        <v>38.10548401</v>
      </c>
      <c r="H511">
        <f>IFERROR(__xludf.DUMMYFUNCTION("INDEX(SPLIT(F511, ""-""), 2)
"),122.207710266113)</f>
        <v>122.2077103</v>
      </c>
    </row>
    <row r="512">
      <c r="A512" s="1">
        <v>510.0</v>
      </c>
      <c r="B512" s="1" t="s">
        <v>1569</v>
      </c>
      <c r="C512" s="1">
        <v>4.0</v>
      </c>
      <c r="D512" s="1" t="s">
        <v>1570</v>
      </c>
      <c r="E512" s="1" t="s">
        <v>1354</v>
      </c>
      <c r="F512" s="1" t="s">
        <v>1571</v>
      </c>
      <c r="G512">
        <f>IFERROR(__xludf.DUMMYFUNCTION("INDEX(SPLIT(F512, ""-""), 1)
"),37.97514)</f>
        <v>37.97514</v>
      </c>
      <c r="H512">
        <f>IFERROR(__xludf.DUMMYFUNCTION("INDEX(SPLIT(F512, ""-""), 2)
"),122.038739999999)</f>
        <v>122.03874</v>
      </c>
    </row>
    <row r="513">
      <c r="A513" s="1">
        <v>511.0</v>
      </c>
      <c r="B513" s="1" t="s">
        <v>1572</v>
      </c>
      <c r="C513" s="1">
        <v>3.5</v>
      </c>
      <c r="D513" s="1" t="s">
        <v>1573</v>
      </c>
      <c r="E513" s="1" t="s">
        <v>1463</v>
      </c>
      <c r="F513" s="1" t="s">
        <v>1574</v>
      </c>
      <c r="G513">
        <f>IFERROR(__xludf.DUMMYFUNCTION("INDEX(SPLIT(F513, ""-""), 1)
"),37.9969242)</f>
        <v>37.9969242</v>
      </c>
      <c r="H513">
        <f>IFERROR(__xludf.DUMMYFUNCTION("INDEX(SPLIT(F513, ""-""), 2)
"),122.1078972)</f>
        <v>122.1078972</v>
      </c>
    </row>
    <row r="514">
      <c r="A514" s="1">
        <v>512.0</v>
      </c>
      <c r="B514" s="1" t="s">
        <v>1575</v>
      </c>
      <c r="C514" s="1">
        <v>4.0</v>
      </c>
      <c r="D514" s="1" t="s">
        <v>1490</v>
      </c>
      <c r="E514" s="1" t="s">
        <v>1354</v>
      </c>
      <c r="F514" s="1" t="s">
        <v>1576</v>
      </c>
      <c r="G514">
        <f>IFERROR(__xludf.DUMMYFUNCTION("INDEX(SPLIT(F514, ""-""), 1)
"),37.9728762316744)</f>
        <v>37.97287623</v>
      </c>
      <c r="H514">
        <f>IFERROR(__xludf.DUMMYFUNCTION("INDEX(SPLIT(F514, ""-""), 2)
"),122.043781183031)</f>
        <v>122.0437812</v>
      </c>
    </row>
    <row r="515">
      <c r="A515" s="1">
        <v>513.0</v>
      </c>
      <c r="B515" s="1" t="s">
        <v>1577</v>
      </c>
      <c r="C515" s="1">
        <v>3.0</v>
      </c>
      <c r="D515" s="1" t="s">
        <v>1578</v>
      </c>
      <c r="E515" s="1" t="s">
        <v>356</v>
      </c>
      <c r="F515" s="1" t="s">
        <v>1579</v>
      </c>
      <c r="G515">
        <f>IFERROR(__xludf.DUMMYFUNCTION("INDEX(SPLIT(F515, ""-""), 1)
"),37.9544806480407)</f>
        <v>37.95448065</v>
      </c>
      <c r="H515">
        <f>IFERROR(__xludf.DUMMYFUNCTION("INDEX(SPLIT(F515, ""-""), 2)
"),122.060296833515)</f>
        <v>122.0602968</v>
      </c>
    </row>
    <row r="516">
      <c r="A516" s="1">
        <v>514.0</v>
      </c>
      <c r="B516" s="1" t="s">
        <v>1580</v>
      </c>
      <c r="C516" s="1">
        <v>3.5</v>
      </c>
      <c r="D516" s="1" t="s">
        <v>1581</v>
      </c>
      <c r="E516" s="1" t="s">
        <v>1358</v>
      </c>
      <c r="F516" s="1" t="s">
        <v>1582</v>
      </c>
      <c r="G516">
        <f>IFERROR(__xludf.DUMMYFUNCTION("INDEX(SPLIT(F516, ""-""), 1)
"),38.0068147913603)</f>
        <v>38.00681479</v>
      </c>
      <c r="H516">
        <f>IFERROR(__xludf.DUMMYFUNCTION("INDEX(SPLIT(F516, ""-""), 2)
"),121.841531507671)</f>
        <v>121.8415315</v>
      </c>
    </row>
    <row r="517">
      <c r="A517" s="1">
        <v>515.0</v>
      </c>
      <c r="B517" s="1" t="s">
        <v>1583</v>
      </c>
      <c r="C517" s="1">
        <v>3.5</v>
      </c>
      <c r="D517" s="1" t="s">
        <v>1584</v>
      </c>
      <c r="E517" s="1" t="s">
        <v>1358</v>
      </c>
      <c r="F517" s="1" t="s">
        <v>1585</v>
      </c>
      <c r="G517">
        <f>IFERROR(__xludf.DUMMYFUNCTION("INDEX(SPLIT(F517, ""-""), 1)
"),38.0114778891117)</f>
        <v>38.01147789</v>
      </c>
      <c r="H517">
        <f>IFERROR(__xludf.DUMMYFUNCTION("INDEX(SPLIT(F517, ""-""), 2)
"),121.889719069004)</f>
        <v>121.8897191</v>
      </c>
    </row>
    <row r="518">
      <c r="A518" s="1">
        <v>516.0</v>
      </c>
      <c r="B518" s="1" t="s">
        <v>1586</v>
      </c>
      <c r="C518" s="1">
        <v>4.0</v>
      </c>
      <c r="D518" s="1" t="s">
        <v>1587</v>
      </c>
      <c r="E518" s="1" t="s">
        <v>1392</v>
      </c>
      <c r="F518" s="1" t="s">
        <v>1588</v>
      </c>
      <c r="G518">
        <f>IFERROR(__xludf.DUMMYFUNCTION("INDEX(SPLIT(F518, ""-""), 1)
"),38.0040780947741)</f>
        <v>38.00407809</v>
      </c>
      <c r="H518">
        <f>IFERROR(__xludf.DUMMYFUNCTION("INDEX(SPLIT(F518, ""-""), 2)
"),121.844287128215)</f>
        <v>121.8442871</v>
      </c>
    </row>
    <row r="519">
      <c r="A519" s="1">
        <v>517.0</v>
      </c>
      <c r="B519" s="1" t="s">
        <v>1589</v>
      </c>
      <c r="C519" s="1">
        <v>3.5</v>
      </c>
      <c r="D519" s="1" t="s">
        <v>1590</v>
      </c>
      <c r="E519" s="1" t="s">
        <v>1497</v>
      </c>
      <c r="F519" s="1" t="s">
        <v>1591</v>
      </c>
      <c r="G519">
        <f>IFERROR(__xludf.DUMMYFUNCTION("INDEX(SPLIT(F519, ""-""), 1)
"),37.8578085)</f>
        <v>37.8578085</v>
      </c>
      <c r="H519">
        <f>IFERROR(__xludf.DUMMYFUNCTION("INDEX(SPLIT(F519, ""-""), 2)
"),122.1258359)</f>
        <v>122.1258359</v>
      </c>
    </row>
    <row r="520">
      <c r="A520" s="1">
        <v>518.0</v>
      </c>
      <c r="B520" s="1" t="s">
        <v>1592</v>
      </c>
      <c r="C520" s="1">
        <v>3.5</v>
      </c>
      <c r="D520" s="1" t="s">
        <v>1593</v>
      </c>
      <c r="E520" s="1" t="s">
        <v>1594</v>
      </c>
      <c r="F520" s="1" t="s">
        <v>1595</v>
      </c>
      <c r="G520">
        <f>IFERROR(__xludf.DUMMYFUNCTION("INDEX(SPLIT(F520, ""-""), 1)
"),37.8988113)</f>
        <v>37.8988113</v>
      </c>
      <c r="H520">
        <f>IFERROR(__xludf.DUMMYFUNCTION("INDEX(SPLIT(F520, ""-""), 2)
"),122.3075638)</f>
        <v>122.3075638</v>
      </c>
    </row>
    <row r="521">
      <c r="A521" s="1">
        <v>519.0</v>
      </c>
      <c r="B521" s="1" t="s">
        <v>1596</v>
      </c>
      <c r="C521" s="1">
        <v>4.0</v>
      </c>
      <c r="D521" s="1" t="s">
        <v>1593</v>
      </c>
      <c r="E521" s="1" t="s">
        <v>1594</v>
      </c>
      <c r="F521" s="1" t="s">
        <v>1597</v>
      </c>
      <c r="G521">
        <f>IFERROR(__xludf.DUMMYFUNCTION("INDEX(SPLIT(F521, ""-""), 1)
"),37.8987543089592)</f>
        <v>37.89875431</v>
      </c>
      <c r="H521">
        <f>IFERROR(__xludf.DUMMYFUNCTION("INDEX(SPLIT(F521, ""-""), 2)
"),122.307458450512)</f>
        <v>122.3074585</v>
      </c>
    </row>
    <row r="522">
      <c r="A522" s="1">
        <v>520.0</v>
      </c>
      <c r="B522" s="1" t="s">
        <v>1598</v>
      </c>
      <c r="C522" s="1">
        <v>3.5</v>
      </c>
      <c r="D522" s="1" t="s">
        <v>1599</v>
      </c>
      <c r="E522" s="1" t="s">
        <v>1600</v>
      </c>
      <c r="F522" s="1" t="s">
        <v>1601</v>
      </c>
      <c r="G522">
        <f>IFERROR(__xludf.DUMMYFUNCTION("INDEX(SPLIT(F522, ""-""), 1)
"),37.9131379268406)</f>
        <v>37.91313793</v>
      </c>
      <c r="H522">
        <f>IFERROR(__xludf.DUMMYFUNCTION("INDEX(SPLIT(F522, ""-""), 2)
"),122.309712024741)</f>
        <v>122.309712</v>
      </c>
    </row>
    <row r="523">
      <c r="A523" s="1">
        <v>521.0</v>
      </c>
      <c r="B523" s="1" t="s">
        <v>1602</v>
      </c>
      <c r="C523" s="1">
        <v>3.5</v>
      </c>
      <c r="D523" s="1" t="s">
        <v>1603</v>
      </c>
      <c r="E523" s="1" t="s">
        <v>1604</v>
      </c>
      <c r="F523" s="1" t="s">
        <v>1605</v>
      </c>
      <c r="G523">
        <f>IFERROR(__xludf.DUMMYFUNCTION("INDEX(SPLIT(F523, ""-""), 1)
"),37.9717057943344)</f>
        <v>37.97170579</v>
      </c>
      <c r="H523">
        <f>IFERROR(__xludf.DUMMYFUNCTION("INDEX(SPLIT(F523, ""-""), 2)
"),122.518760114908)</f>
        <v>122.5187601</v>
      </c>
    </row>
    <row r="524">
      <c r="A524" s="1">
        <v>522.0</v>
      </c>
      <c r="B524" s="1" t="s">
        <v>1606</v>
      </c>
      <c r="C524" s="1">
        <v>3.5</v>
      </c>
      <c r="D524" s="1" t="s">
        <v>1607</v>
      </c>
      <c r="E524" s="1" t="s">
        <v>1604</v>
      </c>
      <c r="F524" s="1" t="s">
        <v>1608</v>
      </c>
      <c r="G524">
        <f>IFERROR(__xludf.DUMMYFUNCTION("INDEX(SPLIT(F524, ""-""), 1)
"),38.0039492652398)</f>
        <v>38.00394927</v>
      </c>
      <c r="H524">
        <f>IFERROR(__xludf.DUMMYFUNCTION("INDEX(SPLIT(F524, ""-""), 2)
"),122.5438844508)</f>
        <v>122.5438845</v>
      </c>
    </row>
    <row r="525">
      <c r="A525" s="1">
        <v>523.0</v>
      </c>
      <c r="B525" s="1" t="s">
        <v>1609</v>
      </c>
      <c r="C525" s="1">
        <v>3.5</v>
      </c>
      <c r="D525" s="1" t="s">
        <v>1593</v>
      </c>
      <c r="E525" s="1" t="s">
        <v>1594</v>
      </c>
      <c r="F525" s="1" t="s">
        <v>1610</v>
      </c>
      <c r="G525">
        <f>IFERROR(__xludf.DUMMYFUNCTION("INDEX(SPLIT(F525, ""-""), 1)
"),37.89881)</f>
        <v>37.89881</v>
      </c>
      <c r="H525">
        <f>IFERROR(__xludf.DUMMYFUNCTION("INDEX(SPLIT(F525, ""-""), 2)
"),122.30756)</f>
        <v>122.30756</v>
      </c>
    </row>
    <row r="526">
      <c r="A526" s="1">
        <v>524.0</v>
      </c>
      <c r="B526" s="1" t="s">
        <v>1611</v>
      </c>
      <c r="C526" s="1">
        <v>4.5</v>
      </c>
      <c r="D526" s="1" t="s">
        <v>1612</v>
      </c>
      <c r="E526" s="1" t="s">
        <v>1405</v>
      </c>
      <c r="F526" s="1" t="s">
        <v>1613</v>
      </c>
      <c r="G526">
        <f>IFERROR(__xludf.DUMMYFUNCTION("INDEX(SPLIT(F526, ""-""), 1)
"),37.966045)</f>
        <v>37.966045</v>
      </c>
      <c r="H526">
        <f>IFERROR(__xludf.DUMMYFUNCTION("INDEX(SPLIT(F526, ""-""), 2)
"),122.343246)</f>
        <v>122.343246</v>
      </c>
    </row>
    <row r="527">
      <c r="A527" s="1">
        <v>525.0</v>
      </c>
      <c r="B527" s="1" t="s">
        <v>1614</v>
      </c>
      <c r="C527" s="1">
        <v>4.5</v>
      </c>
      <c r="D527" s="1" t="s">
        <v>1615</v>
      </c>
      <c r="E527" s="1" t="s">
        <v>1616</v>
      </c>
      <c r="F527" s="1" t="s">
        <v>1617</v>
      </c>
      <c r="G527">
        <f>IFERROR(__xludf.DUMMYFUNCTION("INDEX(SPLIT(F527, ""-""), 1)
"),37.9283378273249)</f>
        <v>37.92833783</v>
      </c>
      <c r="H527">
        <f>IFERROR(__xludf.DUMMYFUNCTION("INDEX(SPLIT(F527, ""-""), 2)
"),122.518047988414)</f>
        <v>122.518048</v>
      </c>
    </row>
    <row r="528">
      <c r="A528" s="1">
        <v>526.0</v>
      </c>
      <c r="B528" s="1" t="s">
        <v>1618</v>
      </c>
      <c r="C528" s="1">
        <v>3.0</v>
      </c>
      <c r="D528" s="1" t="s">
        <v>1619</v>
      </c>
      <c r="E528" s="1" t="s">
        <v>1600</v>
      </c>
      <c r="F528" s="1" t="s">
        <v>1620</v>
      </c>
      <c r="G528">
        <f>IFERROR(__xludf.DUMMYFUNCTION("INDEX(SPLIT(F528, ""-""), 1)
"),37.9012082234262)</f>
        <v>37.90120822</v>
      </c>
      <c r="H528">
        <f>IFERROR(__xludf.DUMMYFUNCTION("INDEX(SPLIT(F528, ""-""), 2)
"),122.299600839615)</f>
        <v>122.2996008</v>
      </c>
    </row>
    <row r="529">
      <c r="A529" s="1">
        <v>527.0</v>
      </c>
      <c r="B529" s="1" t="s">
        <v>1621</v>
      </c>
      <c r="C529" s="1">
        <v>3.5</v>
      </c>
      <c r="D529" s="1" t="s">
        <v>1622</v>
      </c>
      <c r="E529" s="1" t="s">
        <v>1623</v>
      </c>
      <c r="F529" s="1" t="s">
        <v>1624</v>
      </c>
      <c r="G529">
        <f>IFERROR(__xludf.DUMMYFUNCTION("INDEX(SPLIT(F529, ""-""), 1)
"),37.8902299999999)</f>
        <v>37.89023</v>
      </c>
      <c r="H529">
        <f>IFERROR(__xludf.DUMMYFUNCTION("INDEX(SPLIT(F529, ""-""), 2)
"),122.29626)</f>
        <v>122.29626</v>
      </c>
    </row>
    <row r="530">
      <c r="A530" s="1">
        <v>528.0</v>
      </c>
      <c r="B530" s="1" t="s">
        <v>1625</v>
      </c>
      <c r="C530" s="1">
        <v>3.5</v>
      </c>
      <c r="D530" s="1" t="s">
        <v>1626</v>
      </c>
      <c r="E530" s="1" t="s">
        <v>331</v>
      </c>
      <c r="F530" s="1" t="s">
        <v>1627</v>
      </c>
      <c r="G530">
        <f>IFERROR(__xludf.DUMMYFUNCTION("INDEX(SPLIT(F530, ""-""), 1)
"),37.8680525)</f>
        <v>37.8680525</v>
      </c>
      <c r="H530">
        <f>IFERROR(__xludf.DUMMYFUNCTION("INDEX(SPLIT(F530, ""-""), 2)
"),122.258168)</f>
        <v>122.258168</v>
      </c>
    </row>
    <row r="531">
      <c r="A531" s="1">
        <v>529.0</v>
      </c>
      <c r="B531" s="1" t="s">
        <v>1628</v>
      </c>
      <c r="C531" s="1">
        <v>3.5</v>
      </c>
      <c r="D531" s="1" t="s">
        <v>1629</v>
      </c>
      <c r="E531" s="1" t="s">
        <v>331</v>
      </c>
      <c r="F531" s="1" t="s">
        <v>1630</v>
      </c>
      <c r="G531">
        <f>IFERROR(__xludf.DUMMYFUNCTION("INDEX(SPLIT(F531, ""-""), 1)
"),37.86727)</f>
        <v>37.86727</v>
      </c>
      <c r="H531">
        <f>IFERROR(__xludf.DUMMYFUNCTION("INDEX(SPLIT(F531, ""-""), 2)
"),122.25905)</f>
        <v>122.25905</v>
      </c>
    </row>
    <row r="532">
      <c r="A532" s="1">
        <v>530.0</v>
      </c>
      <c r="B532" s="1" t="s">
        <v>1631</v>
      </c>
      <c r="C532" s="1">
        <v>2.0</v>
      </c>
      <c r="D532" s="1" t="s">
        <v>1593</v>
      </c>
      <c r="E532" s="1" t="s">
        <v>1594</v>
      </c>
      <c r="F532" s="1" t="s">
        <v>1632</v>
      </c>
      <c r="G532">
        <f>IFERROR(__xludf.DUMMYFUNCTION("INDEX(SPLIT(F532, ""-""), 1)
"),37.8988979999999)</f>
        <v>37.898898</v>
      </c>
      <c r="H532">
        <f>IFERROR(__xludf.DUMMYFUNCTION("INDEX(SPLIT(F532, ""-""), 2)
"),122.307341)</f>
        <v>122.307341</v>
      </c>
    </row>
    <row r="533">
      <c r="A533" s="1">
        <v>531.0</v>
      </c>
      <c r="B533" s="1" t="s">
        <v>1633</v>
      </c>
      <c r="C533" s="1">
        <v>3.0</v>
      </c>
      <c r="D533" s="1" t="s">
        <v>1634</v>
      </c>
      <c r="E533" s="1" t="s">
        <v>1604</v>
      </c>
      <c r="F533" s="1" t="s">
        <v>1635</v>
      </c>
      <c r="G533">
        <f>IFERROR(__xludf.DUMMYFUNCTION("INDEX(SPLIT(F533, ""-""), 1)
"),37.9733537)</f>
        <v>37.9733537</v>
      </c>
      <c r="H533">
        <f>IFERROR(__xludf.DUMMYFUNCTION("INDEX(SPLIT(F533, ""-""), 2)
"),122.528937999999)</f>
        <v>122.528938</v>
      </c>
    </row>
    <row r="534">
      <c r="A534" s="1">
        <v>532.0</v>
      </c>
      <c r="B534" s="1" t="s">
        <v>1636</v>
      </c>
      <c r="C534" s="1">
        <v>4.5</v>
      </c>
      <c r="D534" s="1" t="s">
        <v>1637</v>
      </c>
      <c r="E534" s="1" t="s">
        <v>793</v>
      </c>
      <c r="F534" s="1" t="s">
        <v>1638</v>
      </c>
      <c r="G534">
        <f>IFERROR(__xludf.DUMMYFUNCTION("INDEX(SPLIT(F534, ""-""), 1)
"),37.67244)</f>
        <v>37.67244</v>
      </c>
      <c r="H534">
        <f>IFERROR(__xludf.DUMMYFUNCTION("INDEX(SPLIT(F534, ""-""), 2)
"),122.08685)</f>
        <v>122.08685</v>
      </c>
    </row>
    <row r="535">
      <c r="A535" s="1">
        <v>533.0</v>
      </c>
      <c r="B535" s="1" t="s">
        <v>1639</v>
      </c>
      <c r="C535" s="1">
        <v>5.0</v>
      </c>
      <c r="D535" s="1" t="s">
        <v>1640</v>
      </c>
      <c r="E535" s="1" t="s">
        <v>793</v>
      </c>
      <c r="F535" s="1" t="s">
        <v>1641</v>
      </c>
      <c r="G535">
        <f>IFERROR(__xludf.DUMMYFUNCTION("INDEX(SPLIT(F535, ""-""), 1)
"),37.6542332)</f>
        <v>37.6542332</v>
      </c>
      <c r="H535">
        <f>IFERROR(__xludf.DUMMYFUNCTION("INDEX(SPLIT(F535, ""-""), 2)
"),122.1048419)</f>
        <v>122.1048419</v>
      </c>
    </row>
    <row r="536">
      <c r="A536" s="1">
        <v>534.0</v>
      </c>
      <c r="B536" s="1" t="s">
        <v>1642</v>
      </c>
      <c r="C536" s="1">
        <v>4.0</v>
      </c>
      <c r="D536" s="1" t="s">
        <v>1643</v>
      </c>
      <c r="E536" s="1" t="s">
        <v>657</v>
      </c>
      <c r="F536" s="1" t="s">
        <v>1644</v>
      </c>
      <c r="G536">
        <f>IFERROR(__xludf.DUMMYFUNCTION("INDEX(SPLIT(F536, ""-""), 1)
"),37.7747421264647)</f>
        <v>37.77474213</v>
      </c>
      <c r="H536">
        <f>IFERROR(__xludf.DUMMYFUNCTION("INDEX(SPLIT(F536, ""-""), 2)
"),121.977684020996)</f>
        <v>121.977684</v>
      </c>
    </row>
    <row r="537">
      <c r="A537" s="1">
        <v>535.0</v>
      </c>
      <c r="B537" s="1" t="s">
        <v>1645</v>
      </c>
      <c r="C537" s="1">
        <v>3.5</v>
      </c>
      <c r="D537" s="1" t="s">
        <v>1646</v>
      </c>
      <c r="E537" s="1" t="s">
        <v>121</v>
      </c>
      <c r="F537" s="1" t="s">
        <v>1647</v>
      </c>
      <c r="G537">
        <f>IFERROR(__xludf.DUMMYFUNCTION("INDEX(SPLIT(F537, ""-""), 1)
"),37.70864)</f>
        <v>37.70864</v>
      </c>
      <c r="H537">
        <f>IFERROR(__xludf.DUMMYFUNCTION("INDEX(SPLIT(F537, ""-""), 2)
"),122.091339999999)</f>
        <v>122.09134</v>
      </c>
    </row>
    <row r="538">
      <c r="A538" s="1">
        <v>536.0</v>
      </c>
      <c r="B538" s="1" t="s">
        <v>1648</v>
      </c>
      <c r="C538" s="1">
        <v>2.5</v>
      </c>
      <c r="D538" s="1" t="s">
        <v>1649</v>
      </c>
      <c r="E538" s="1" t="s">
        <v>793</v>
      </c>
      <c r="F538" s="1" t="s">
        <v>1650</v>
      </c>
      <c r="G538">
        <f>IFERROR(__xludf.DUMMYFUNCTION("INDEX(SPLIT(F538, ""-""), 1)
"),37.6443550220492)</f>
        <v>37.64435502</v>
      </c>
      <c r="H538">
        <f>IFERROR(__xludf.DUMMYFUNCTION("INDEX(SPLIT(F538, ""-""), 2)
"),122.104630560233)</f>
        <v>122.1046306</v>
      </c>
    </row>
    <row r="539">
      <c r="A539" s="1">
        <v>537.0</v>
      </c>
      <c r="B539" s="1" t="s">
        <v>1651</v>
      </c>
      <c r="C539" s="1">
        <v>4.0</v>
      </c>
      <c r="D539" s="1" t="s">
        <v>1652</v>
      </c>
      <c r="E539" s="1" t="s">
        <v>166</v>
      </c>
      <c r="F539" s="1" t="s">
        <v>1653</v>
      </c>
      <c r="G539">
        <f>IFERROR(__xludf.DUMMYFUNCTION("INDEX(SPLIT(F539, ""-""), 1)
"),37.7310477)</f>
        <v>37.7310477</v>
      </c>
      <c r="H539">
        <f>IFERROR(__xludf.DUMMYFUNCTION("INDEX(SPLIT(F539, ""-""), 2)
"),122.1605656)</f>
        <v>122.1605656</v>
      </c>
    </row>
    <row r="540">
      <c r="A540" s="1">
        <v>538.0</v>
      </c>
      <c r="B540" s="1" t="s">
        <v>1654</v>
      </c>
      <c r="C540" s="1">
        <v>4.0</v>
      </c>
      <c r="D540" s="1" t="s">
        <v>1655</v>
      </c>
      <c r="E540" s="1" t="s">
        <v>793</v>
      </c>
      <c r="F540" s="1" t="s">
        <v>1656</v>
      </c>
      <c r="G540">
        <f>IFERROR(__xludf.DUMMYFUNCTION("INDEX(SPLIT(F540, ""-""), 1)
"),37.652548372651)</f>
        <v>37.65254837</v>
      </c>
      <c r="H540">
        <f>IFERROR(__xludf.DUMMYFUNCTION("INDEX(SPLIT(F540, ""-""), 2)
"),122.106453901274)</f>
        <v>122.1064539</v>
      </c>
    </row>
    <row r="541">
      <c r="A541" s="1">
        <v>539.0</v>
      </c>
      <c r="B541" s="1" t="s">
        <v>1657</v>
      </c>
      <c r="C541" s="1">
        <v>3.5</v>
      </c>
      <c r="D541" s="1" t="s">
        <v>1658</v>
      </c>
      <c r="E541" s="1" t="s">
        <v>121</v>
      </c>
      <c r="F541" s="1" t="s">
        <v>1659</v>
      </c>
      <c r="G541">
        <f>IFERROR(__xludf.DUMMYFUNCTION("INDEX(SPLIT(F541, ""-""), 1)
"),37.69529)</f>
        <v>37.69529</v>
      </c>
      <c r="H541">
        <f>IFERROR(__xludf.DUMMYFUNCTION("INDEX(SPLIT(F541, ""-""), 2)
"),122.07956)</f>
        <v>122.07956</v>
      </c>
    </row>
    <row r="542">
      <c r="A542" s="1">
        <v>540.0</v>
      </c>
      <c r="B542" s="1" t="s">
        <v>1660</v>
      </c>
      <c r="C542" s="1">
        <v>3.5</v>
      </c>
      <c r="D542" s="1" t="s">
        <v>1661</v>
      </c>
      <c r="E542" s="1" t="s">
        <v>863</v>
      </c>
      <c r="F542" s="1" t="s">
        <v>1662</v>
      </c>
      <c r="G542">
        <f>IFERROR(__xludf.DUMMYFUNCTION("INDEX(SPLIT(F542, ""-""), 1)
"),37.2574696)</f>
        <v>37.2574696</v>
      </c>
      <c r="H542">
        <f>IFERROR(__xludf.DUMMYFUNCTION("INDEX(SPLIT(F542, ""-""), 2)
"),122.0335427)</f>
        <v>122.0335427</v>
      </c>
    </row>
    <row r="543">
      <c r="A543" s="1">
        <v>541.0</v>
      </c>
      <c r="B543" s="1" t="s">
        <v>1663</v>
      </c>
      <c r="C543" s="1">
        <v>4.0</v>
      </c>
      <c r="E543" s="1" t="s">
        <v>117</v>
      </c>
      <c r="F543" s="1" t="s">
        <v>1664</v>
      </c>
      <c r="G543">
        <f>IFERROR(__xludf.DUMMYFUNCTION("INDEX(SPLIT(F543, ""-""), 1)
"),37.3136978149414)</f>
        <v>37.31369781</v>
      </c>
      <c r="H543">
        <f>IFERROR(__xludf.DUMMYFUNCTION("INDEX(SPLIT(F543, ""-""), 2)
"),121.946624755858)</f>
        <v>121.9466248</v>
      </c>
    </row>
    <row r="544">
      <c r="A544" s="1">
        <v>542.0</v>
      </c>
      <c r="B544" s="1" t="s">
        <v>1665</v>
      </c>
      <c r="C544" s="1">
        <v>4.5</v>
      </c>
      <c r="D544" s="1" t="s">
        <v>1666</v>
      </c>
      <c r="E544" s="1" t="s">
        <v>863</v>
      </c>
      <c r="F544" s="1" t="s">
        <v>1667</v>
      </c>
      <c r="G544">
        <f>IFERROR(__xludf.DUMMYFUNCTION("INDEX(SPLIT(F544, ""-""), 1)
"),37.282037944475)</f>
        <v>37.28203794</v>
      </c>
      <c r="H544">
        <f>IFERROR(__xludf.DUMMYFUNCTION("INDEX(SPLIT(F544, ""-""), 2)
"),122.03191663334)</f>
        <v>122.0319166</v>
      </c>
    </row>
    <row r="545">
      <c r="A545" s="1">
        <v>543.0</v>
      </c>
      <c r="B545" s="1" t="s">
        <v>1668</v>
      </c>
      <c r="C545" s="1">
        <v>3.5</v>
      </c>
      <c r="D545" s="1" t="s">
        <v>1669</v>
      </c>
      <c r="E545" s="1" t="s">
        <v>117</v>
      </c>
      <c r="F545" s="1" t="s">
        <v>1670</v>
      </c>
      <c r="G545">
        <f>IFERROR(__xludf.DUMMYFUNCTION("INDEX(SPLIT(F545, ""-""), 1)
"),37.3155981167824)</f>
        <v>37.31559812</v>
      </c>
      <c r="H545">
        <f>IFERROR(__xludf.DUMMYFUNCTION("INDEX(SPLIT(F545, ""-""), 2)
"),121.977282188172)</f>
        <v>121.9772822</v>
      </c>
    </row>
    <row r="546">
      <c r="A546" s="1">
        <v>544.0</v>
      </c>
      <c r="B546" s="1" t="s">
        <v>1671</v>
      </c>
      <c r="C546" s="1">
        <v>4.5</v>
      </c>
      <c r="D546" s="1" t="s">
        <v>1672</v>
      </c>
      <c r="E546" s="1" t="s">
        <v>1673</v>
      </c>
      <c r="F546" s="1" t="s">
        <v>1674</v>
      </c>
      <c r="G546">
        <f>IFERROR(__xludf.DUMMYFUNCTION("INDEX(SPLIT(F546, ""-""), 1)
"),37.28691)</f>
        <v>37.28691</v>
      </c>
      <c r="H546">
        <f>IFERROR(__xludf.DUMMYFUNCTION("INDEX(SPLIT(F546, ""-""), 2)
"),121.94397)</f>
        <v>121.94397</v>
      </c>
    </row>
    <row r="547">
      <c r="A547" s="1">
        <v>545.0</v>
      </c>
      <c r="B547" s="1" t="s">
        <v>1675</v>
      </c>
      <c r="C547" s="1">
        <v>3.5</v>
      </c>
      <c r="D547" s="1" t="s">
        <v>1676</v>
      </c>
      <c r="E547" s="1" t="s">
        <v>1673</v>
      </c>
      <c r="F547" s="1" t="s">
        <v>1677</v>
      </c>
      <c r="G547">
        <f>IFERROR(__xludf.DUMMYFUNCTION("INDEX(SPLIT(F547, ""-""), 1)
"),37.2784787)</f>
        <v>37.2784787</v>
      </c>
      <c r="H547">
        <f>IFERROR(__xludf.DUMMYFUNCTION("INDEX(SPLIT(F547, ""-""), 2)
"),121.9497792)</f>
        <v>121.9497792</v>
      </c>
    </row>
    <row r="548">
      <c r="A548" s="1">
        <v>546.0</v>
      </c>
      <c r="B548" s="1" t="s">
        <v>1678</v>
      </c>
      <c r="C548" s="1">
        <v>2.5</v>
      </c>
      <c r="D548" s="1" t="s">
        <v>1164</v>
      </c>
      <c r="E548" s="1" t="s">
        <v>511</v>
      </c>
      <c r="F548" s="1" t="s">
        <v>1679</v>
      </c>
      <c r="G548">
        <f>IFERROR(__xludf.DUMMYFUNCTION("INDEX(SPLIT(F548, ""-""), 1)
"),37.3260982962994)</f>
        <v>37.3260983</v>
      </c>
      <c r="H548">
        <f>IFERROR(__xludf.DUMMYFUNCTION("INDEX(SPLIT(F548, ""-""), 2)
"),121.944144442677)</f>
        <v>121.9441444</v>
      </c>
    </row>
    <row r="549">
      <c r="A549" s="1">
        <v>547.0</v>
      </c>
      <c r="B549" s="1" t="s">
        <v>1680</v>
      </c>
      <c r="C549" s="1">
        <v>3.0</v>
      </c>
      <c r="D549" s="1" t="s">
        <v>1681</v>
      </c>
      <c r="E549" s="1" t="s">
        <v>511</v>
      </c>
      <c r="F549" s="1" t="s">
        <v>1682</v>
      </c>
      <c r="G549">
        <f>IFERROR(__xludf.DUMMYFUNCTION("INDEX(SPLIT(F549, ""-""), 1)
"),37.3260983428105)</f>
        <v>37.32609834</v>
      </c>
      <c r="H549">
        <f>IFERROR(__xludf.DUMMYFUNCTION("INDEX(SPLIT(F549, ""-""), 2)
"),121.945618966269)</f>
        <v>121.945619</v>
      </c>
    </row>
    <row r="550">
      <c r="A550" s="1">
        <v>548.0</v>
      </c>
      <c r="B550" s="1" t="s">
        <v>1683</v>
      </c>
      <c r="C550" s="1">
        <v>3.5</v>
      </c>
      <c r="D550" s="1" t="s">
        <v>1684</v>
      </c>
      <c r="E550" s="1" t="s">
        <v>1673</v>
      </c>
      <c r="F550" s="1" t="s">
        <v>1685</v>
      </c>
      <c r="G550">
        <f>IFERROR(__xludf.DUMMYFUNCTION("INDEX(SPLIT(F550, ""-""), 1)
"),37.2878194445875)</f>
        <v>37.28781944</v>
      </c>
      <c r="H550">
        <f>IFERROR(__xludf.DUMMYFUNCTION("INDEX(SPLIT(F550, ""-""), 2)
"),121.975211858331)</f>
        <v>121.9752119</v>
      </c>
    </row>
    <row r="551">
      <c r="A551" s="1">
        <v>549.0</v>
      </c>
      <c r="B551" s="1" t="s">
        <v>1686</v>
      </c>
      <c r="C551" s="1">
        <v>3.5</v>
      </c>
      <c r="D551" s="1" t="s">
        <v>1687</v>
      </c>
      <c r="E551" s="1" t="s">
        <v>511</v>
      </c>
      <c r="F551" s="1" t="s">
        <v>1688</v>
      </c>
      <c r="G551">
        <f>IFERROR(__xludf.DUMMYFUNCTION("INDEX(SPLIT(F551, ""-""), 1)
"),37.33882)</f>
        <v>37.33882</v>
      </c>
      <c r="H551">
        <f>IFERROR(__xludf.DUMMYFUNCTION("INDEX(SPLIT(F551, ""-""), 2)
"),121.99497)</f>
        <v>121.99497</v>
      </c>
    </row>
    <row r="552">
      <c r="A552" s="1">
        <v>550.0</v>
      </c>
      <c r="B552" s="1" t="s">
        <v>1689</v>
      </c>
      <c r="C552" s="1">
        <v>4.5</v>
      </c>
      <c r="D552" s="1" t="s">
        <v>1690</v>
      </c>
      <c r="E552" s="1" t="s">
        <v>596</v>
      </c>
      <c r="F552" s="1" t="s">
        <v>1691</v>
      </c>
      <c r="G552">
        <f>IFERROR(__xludf.DUMMYFUNCTION("INDEX(SPLIT(F552, ""-""), 1)
"),38.133641)</f>
        <v>38.133641</v>
      </c>
      <c r="H552">
        <f>IFERROR(__xludf.DUMMYFUNCTION("INDEX(SPLIT(F552, ""-""), 2)
"),122.222463999999)</f>
        <v>122.222464</v>
      </c>
    </row>
    <row r="553">
      <c r="A553" s="1">
        <v>551.0</v>
      </c>
      <c r="B553" s="1" t="s">
        <v>1692</v>
      </c>
      <c r="C553" s="1">
        <v>4.5</v>
      </c>
      <c r="D553" s="1" t="s">
        <v>1693</v>
      </c>
      <c r="E553" s="1" t="s">
        <v>596</v>
      </c>
      <c r="F553" s="1" t="s">
        <v>1694</v>
      </c>
      <c r="G553">
        <f>IFERROR(__xludf.DUMMYFUNCTION("INDEX(SPLIT(F553, ""-""), 1)
"),38.1253132837656)</f>
        <v>38.12531328</v>
      </c>
      <c r="H553">
        <f>IFERROR(__xludf.DUMMYFUNCTION("INDEX(SPLIT(F553, ""-""), 2)
"),122.254159189761)</f>
        <v>122.2541592</v>
      </c>
    </row>
    <row r="554">
      <c r="A554" s="1">
        <v>552.0</v>
      </c>
      <c r="B554" s="1" t="s">
        <v>1695</v>
      </c>
      <c r="C554" s="1">
        <v>4.0</v>
      </c>
      <c r="D554" s="1" t="s">
        <v>1696</v>
      </c>
      <c r="E554" s="1" t="s">
        <v>596</v>
      </c>
      <c r="F554" s="1" t="s">
        <v>1697</v>
      </c>
      <c r="G554">
        <f>IFERROR(__xludf.DUMMYFUNCTION("INDEX(SPLIT(F554, ""-""), 1)
"),38.1266670227051)</f>
        <v>38.12666702</v>
      </c>
      <c r="H554">
        <f>IFERROR(__xludf.DUMMYFUNCTION("INDEX(SPLIT(F554, ""-""), 2)
"),122.256126403808)</f>
        <v>122.2561264</v>
      </c>
    </row>
    <row r="555">
      <c r="A555" s="1">
        <v>553.0</v>
      </c>
      <c r="B555" s="1" t="s">
        <v>1698</v>
      </c>
      <c r="C555" s="1">
        <v>3.0</v>
      </c>
      <c r="D555" s="1" t="s">
        <v>1699</v>
      </c>
      <c r="E555" s="1" t="s">
        <v>596</v>
      </c>
      <c r="F555" s="1" t="s">
        <v>1700</v>
      </c>
      <c r="G555">
        <f>IFERROR(__xludf.DUMMYFUNCTION("INDEX(SPLIT(F555, ""-""), 1)
"),38.1221466064453)</f>
        <v>38.12214661</v>
      </c>
      <c r="H555">
        <f>IFERROR(__xludf.DUMMYFUNCTION("INDEX(SPLIT(F555, ""-""), 2)
"),122.254501342773)</f>
        <v>122.2545013</v>
      </c>
    </row>
    <row r="556">
      <c r="A556" s="1">
        <v>554.0</v>
      </c>
      <c r="B556" s="1" t="s">
        <v>1701</v>
      </c>
      <c r="C556" s="1">
        <v>3.0</v>
      </c>
      <c r="D556" s="1" t="s">
        <v>1702</v>
      </c>
      <c r="E556" s="1" t="s">
        <v>596</v>
      </c>
      <c r="F556" s="1" t="s">
        <v>1703</v>
      </c>
      <c r="G556">
        <f>IFERROR(__xludf.DUMMYFUNCTION("INDEX(SPLIT(F556, ""-""), 1)
"),38.10589)</f>
        <v>38.10589</v>
      </c>
      <c r="H556">
        <f>IFERROR(__xludf.DUMMYFUNCTION("INDEX(SPLIT(F556, ""-""), 2)
"),122.227089999999)</f>
        <v>122.22709</v>
      </c>
    </row>
    <row r="557">
      <c r="A557" s="1">
        <v>555.0</v>
      </c>
      <c r="B557" s="1" t="s">
        <v>1704</v>
      </c>
      <c r="C557" s="1">
        <v>3.5</v>
      </c>
      <c r="D557" s="1" t="s">
        <v>1705</v>
      </c>
      <c r="E557" s="1" t="s">
        <v>596</v>
      </c>
      <c r="F557" s="1" t="s">
        <v>1706</v>
      </c>
      <c r="G557">
        <f>IFERROR(__xludf.DUMMYFUNCTION("INDEX(SPLIT(F557, ""-""), 1)
"),38.0837651342154)</f>
        <v>38.08376513</v>
      </c>
      <c r="H557">
        <f>IFERROR(__xludf.DUMMYFUNCTION("INDEX(SPLIT(F557, ""-""), 2)
"),122.211666628717)</f>
        <v>122.2116666</v>
      </c>
    </row>
    <row r="558">
      <c r="A558" s="1">
        <v>556.0</v>
      </c>
      <c r="B558" s="1" t="s">
        <v>1707</v>
      </c>
      <c r="C558" s="1">
        <v>3.5</v>
      </c>
      <c r="D558" s="1" t="s">
        <v>1708</v>
      </c>
      <c r="E558" s="1" t="s">
        <v>596</v>
      </c>
      <c r="F558" s="1" t="s">
        <v>1709</v>
      </c>
      <c r="G558">
        <f>IFERROR(__xludf.DUMMYFUNCTION("INDEX(SPLIT(F558, ""-""), 1)
"),38.1214397080506)</f>
        <v>38.12143971</v>
      </c>
      <c r="H558">
        <f>IFERROR(__xludf.DUMMYFUNCTION("INDEX(SPLIT(F558, ""-""), 2)
"),122.254726908082)</f>
        <v>122.2547269</v>
      </c>
    </row>
    <row r="559">
      <c r="A559" s="1">
        <v>557.0</v>
      </c>
      <c r="B559" s="1" t="s">
        <v>1710</v>
      </c>
      <c r="C559" s="1">
        <v>3.0</v>
      </c>
      <c r="D559" s="1" t="s">
        <v>1711</v>
      </c>
      <c r="E559" s="1" t="s">
        <v>596</v>
      </c>
      <c r="F559" s="1" t="s">
        <v>1712</v>
      </c>
      <c r="G559">
        <f>IFERROR(__xludf.DUMMYFUNCTION("INDEX(SPLIT(F559, ""-""), 1)
"),38.10499)</f>
        <v>38.10499</v>
      </c>
      <c r="H559">
        <f>IFERROR(__xludf.DUMMYFUNCTION("INDEX(SPLIT(F559, ""-""), 2)
"),122.215319999999)</f>
        <v>122.21532</v>
      </c>
    </row>
    <row r="560">
      <c r="A560" s="1">
        <v>558.0</v>
      </c>
      <c r="B560" s="1" t="s">
        <v>1713</v>
      </c>
      <c r="C560" s="1">
        <v>4.5</v>
      </c>
      <c r="D560" s="1" t="s">
        <v>1714</v>
      </c>
      <c r="E560" s="1" t="s">
        <v>596</v>
      </c>
      <c r="F560" s="1" t="s">
        <v>1715</v>
      </c>
      <c r="G560">
        <f>IFERROR(__xludf.DUMMYFUNCTION("INDEX(SPLIT(F560, ""-""), 1)
"),38.1238496636738)</f>
        <v>38.12384966</v>
      </c>
      <c r="H560">
        <f>IFERROR(__xludf.DUMMYFUNCTION("INDEX(SPLIT(F560, ""-""), 2)
"),122.253961014274)</f>
        <v>122.253961</v>
      </c>
    </row>
    <row r="561">
      <c r="A561" s="1">
        <v>559.0</v>
      </c>
      <c r="B561" s="1" t="s">
        <v>1716</v>
      </c>
      <c r="C561" s="1">
        <v>3.0</v>
      </c>
      <c r="D561" s="1" t="s">
        <v>1717</v>
      </c>
      <c r="E561" s="1" t="s">
        <v>596</v>
      </c>
      <c r="F561" s="1" t="s">
        <v>1718</v>
      </c>
      <c r="G561">
        <f>IFERROR(__xludf.DUMMYFUNCTION("INDEX(SPLIT(F561, ""-""), 1)
"),38.1224127025498)</f>
        <v>38.1224127</v>
      </c>
      <c r="H561">
        <f>IFERROR(__xludf.DUMMYFUNCTION("INDEX(SPLIT(F561, ""-""), 2)
"),122.258621526624)</f>
        <v>122.2586215</v>
      </c>
    </row>
    <row r="562">
      <c r="A562" s="1">
        <v>560.0</v>
      </c>
      <c r="B562" s="1" t="s">
        <v>1719</v>
      </c>
      <c r="C562" s="1">
        <v>3.0</v>
      </c>
      <c r="D562" s="1" t="s">
        <v>1717</v>
      </c>
      <c r="E562" s="1" t="s">
        <v>596</v>
      </c>
      <c r="F562" s="1" t="s">
        <v>1720</v>
      </c>
      <c r="G562">
        <f>IFERROR(__xludf.DUMMYFUNCTION("INDEX(SPLIT(F562, ""-""), 1)
"),38.121818)</f>
        <v>38.121818</v>
      </c>
      <c r="H562">
        <f>IFERROR(__xludf.DUMMYFUNCTION("INDEX(SPLIT(F562, ""-""), 2)
"),122.2554405)</f>
        <v>122.2554405</v>
      </c>
    </row>
    <row r="563">
      <c r="A563" s="1">
        <v>561.0</v>
      </c>
      <c r="B563" s="1" t="s">
        <v>1721</v>
      </c>
      <c r="C563" s="1">
        <v>4.0</v>
      </c>
      <c r="D563" s="1" t="s">
        <v>1722</v>
      </c>
      <c r="E563" s="1" t="s">
        <v>596</v>
      </c>
      <c r="F563" s="1" t="s">
        <v>1723</v>
      </c>
      <c r="G563">
        <f>IFERROR(__xludf.DUMMYFUNCTION("INDEX(SPLIT(F563, ""-""), 1)
"),38.1211891174316)</f>
        <v>38.12118912</v>
      </c>
      <c r="H563">
        <f>IFERROR(__xludf.DUMMYFUNCTION("INDEX(SPLIT(F563, ""-""), 2)
"),122.254600524902)</f>
        <v>122.2546005</v>
      </c>
    </row>
    <row r="564">
      <c r="A564" s="1">
        <v>562.0</v>
      </c>
      <c r="B564" s="1" t="s">
        <v>1724</v>
      </c>
      <c r="C564" s="1">
        <v>4.0</v>
      </c>
      <c r="D564" s="1" t="s">
        <v>1725</v>
      </c>
      <c r="E564" s="1" t="s">
        <v>1267</v>
      </c>
      <c r="F564" s="1" t="s">
        <v>1726</v>
      </c>
      <c r="G564">
        <f>IFERROR(__xludf.DUMMYFUNCTION("INDEX(SPLIT(F564, ""-""), 1)
"),37.5189045)</f>
        <v>37.5189045</v>
      </c>
      <c r="H564">
        <f>IFERROR(__xludf.DUMMYFUNCTION("INDEX(SPLIT(F564, ""-""), 2)
"),122.2744648)</f>
        <v>122.2744648</v>
      </c>
    </row>
    <row r="565">
      <c r="A565" s="1">
        <v>563.0</v>
      </c>
      <c r="B565" s="1" t="s">
        <v>1727</v>
      </c>
      <c r="C565" s="1">
        <v>4.0</v>
      </c>
      <c r="D565" s="1" t="s">
        <v>1728</v>
      </c>
      <c r="E565" s="1" t="s">
        <v>1251</v>
      </c>
      <c r="F565" s="1" t="s">
        <v>1729</v>
      </c>
      <c r="G565">
        <f>IFERROR(__xludf.DUMMYFUNCTION("INDEX(SPLIT(F565, ""-""), 1)
"),37.5452836454887)</f>
        <v>37.54528365</v>
      </c>
      <c r="H565">
        <f>IFERROR(__xludf.DUMMYFUNCTION("INDEX(SPLIT(F565, ""-""), 2)
"),122.27046500734)</f>
        <v>122.270465</v>
      </c>
    </row>
    <row r="566">
      <c r="A566" s="1">
        <v>564.0</v>
      </c>
      <c r="B566" s="1" t="s">
        <v>1730</v>
      </c>
      <c r="C566" s="1">
        <v>3.5</v>
      </c>
      <c r="D566" s="1" t="s">
        <v>1731</v>
      </c>
      <c r="E566" s="1" t="s">
        <v>1251</v>
      </c>
      <c r="F566" s="1" t="s">
        <v>1732</v>
      </c>
      <c r="G566">
        <f>IFERROR(__xludf.DUMMYFUNCTION("INDEX(SPLIT(F566, ""-""), 1)
"),37.5532937)</f>
        <v>37.5532937</v>
      </c>
      <c r="H566">
        <f>IFERROR(__xludf.DUMMYFUNCTION("INDEX(SPLIT(F566, ""-""), 2)
"),122.2565492)</f>
        <v>122.2565492</v>
      </c>
    </row>
    <row r="567">
      <c r="A567" s="1">
        <v>565.0</v>
      </c>
      <c r="B567" s="1" t="s">
        <v>1733</v>
      </c>
      <c r="C567" s="1">
        <v>3.5</v>
      </c>
      <c r="E567" s="1" t="s">
        <v>1267</v>
      </c>
      <c r="F567" s="1" t="s">
        <v>1734</v>
      </c>
      <c r="G567">
        <f>IFERROR(__xludf.DUMMYFUNCTION("INDEX(SPLIT(F567, ""-""), 1)
"),37.5240325927734)</f>
        <v>37.52403259</v>
      </c>
      <c r="H567">
        <f>IFERROR(__xludf.DUMMYFUNCTION("INDEX(SPLIT(F567, ""-""), 2)
"),122.279075622558)</f>
        <v>122.2790756</v>
      </c>
    </row>
    <row r="568">
      <c r="A568" s="1">
        <v>566.0</v>
      </c>
      <c r="B568" s="1" t="s">
        <v>1735</v>
      </c>
      <c r="C568" s="1">
        <v>3.0</v>
      </c>
      <c r="D568" s="1" t="s">
        <v>1736</v>
      </c>
      <c r="E568" s="1" t="s">
        <v>1193</v>
      </c>
      <c r="F568" s="1" t="s">
        <v>1737</v>
      </c>
      <c r="G568">
        <f>IFERROR(__xludf.DUMMYFUNCTION("INDEX(SPLIT(F568, ""-""), 1)
"),37.5444118546376)</f>
        <v>37.54441185</v>
      </c>
      <c r="H568">
        <f>IFERROR(__xludf.DUMMYFUNCTION("INDEX(SPLIT(F568, ""-""), 2)
"),122.284796650842)</f>
        <v>122.2847967</v>
      </c>
    </row>
    <row r="569">
      <c r="A569" s="1">
        <v>567.0</v>
      </c>
      <c r="B569" s="1" t="s">
        <v>1738</v>
      </c>
      <c r="C569" s="1">
        <v>3.5</v>
      </c>
      <c r="D569" s="1" t="s">
        <v>1739</v>
      </c>
      <c r="E569" s="1" t="s">
        <v>1251</v>
      </c>
      <c r="F569" s="1" t="s">
        <v>1740</v>
      </c>
      <c r="G569">
        <f>IFERROR(__xludf.DUMMYFUNCTION("INDEX(SPLIT(F569, ""-""), 1)
"),37.5446131174646)</f>
        <v>37.54461312</v>
      </c>
      <c r="H569">
        <f>IFERROR(__xludf.DUMMYFUNCTION("INDEX(SPLIT(F569, ""-""), 2)
"),122.270425803511)</f>
        <v>122.2704258</v>
      </c>
    </row>
    <row r="570">
      <c r="A570" s="1">
        <v>568.0</v>
      </c>
      <c r="B570" s="1" t="s">
        <v>1741</v>
      </c>
      <c r="C570" s="1">
        <v>3.0</v>
      </c>
      <c r="D570" s="1" t="s">
        <v>1742</v>
      </c>
      <c r="E570" s="1" t="s">
        <v>1193</v>
      </c>
      <c r="F570" s="1" t="s">
        <v>1743</v>
      </c>
      <c r="G570">
        <f>IFERROR(__xludf.DUMMYFUNCTION("INDEX(SPLIT(F570, ""-""), 1)
"),37.5452652)</f>
        <v>37.5452652</v>
      </c>
      <c r="H570">
        <f>IFERROR(__xludf.DUMMYFUNCTION("INDEX(SPLIT(F570, ""-""), 2)
"),122.284477099999)</f>
        <v>122.2844771</v>
      </c>
    </row>
    <row r="571">
      <c r="A571" s="1">
        <v>569.0</v>
      </c>
      <c r="B571" s="1" t="s">
        <v>1744</v>
      </c>
      <c r="C571" s="1">
        <v>4.5</v>
      </c>
      <c r="E571" s="1" t="s">
        <v>94</v>
      </c>
      <c r="F571" s="1" t="s">
        <v>1745</v>
      </c>
      <c r="G571">
        <f>IFERROR(__xludf.DUMMYFUNCTION("INDEX(SPLIT(F571, ""-""), 1)
"),37.3931694030762)</f>
        <v>37.3931694</v>
      </c>
      <c r="H571">
        <f>IFERROR(__xludf.DUMMYFUNCTION("INDEX(SPLIT(F571, ""-""), 2)
"),122.085517883301)</f>
        <v>122.0855179</v>
      </c>
    </row>
    <row r="572">
      <c r="A572" s="1">
        <v>570.0</v>
      </c>
      <c r="B572" s="1" t="s">
        <v>1746</v>
      </c>
      <c r="C572" s="1">
        <v>3.0</v>
      </c>
      <c r="D572" s="1" t="s">
        <v>1747</v>
      </c>
      <c r="E572" s="1" t="s">
        <v>1193</v>
      </c>
      <c r="F572" s="1" t="s">
        <v>1748</v>
      </c>
      <c r="G572">
        <f>IFERROR(__xludf.DUMMYFUNCTION("INDEX(SPLIT(F572, ""-""), 1)
"),37.5445885811679)</f>
        <v>37.54458858</v>
      </c>
      <c r="H572">
        <f>IFERROR(__xludf.DUMMYFUNCTION("INDEX(SPLIT(F572, ""-""), 2)
"),122.284968805751)</f>
        <v>122.2849688</v>
      </c>
    </row>
    <row r="573">
      <c r="A573" s="1">
        <v>571.0</v>
      </c>
      <c r="B573" s="1" t="s">
        <v>1749</v>
      </c>
      <c r="C573" s="1">
        <v>3.5</v>
      </c>
      <c r="D573" s="1" t="s">
        <v>1750</v>
      </c>
      <c r="E573" s="1" t="s">
        <v>1193</v>
      </c>
      <c r="F573" s="1" t="s">
        <v>1751</v>
      </c>
      <c r="G573">
        <f>IFERROR(__xludf.DUMMYFUNCTION("INDEX(SPLIT(F573, ""-""), 1)
"),37.5447841763127)</f>
        <v>37.54478418</v>
      </c>
      <c r="H573">
        <f>IFERROR(__xludf.DUMMYFUNCTION("INDEX(SPLIT(F573, ""-""), 2)
"),122.284946071312)</f>
        <v>122.2849461</v>
      </c>
    </row>
    <row r="574">
      <c r="A574" s="1">
        <v>572.0</v>
      </c>
      <c r="B574" s="1" t="s">
        <v>1752</v>
      </c>
      <c r="C574" s="1">
        <v>3.0</v>
      </c>
      <c r="D574" s="1" t="s">
        <v>1753</v>
      </c>
      <c r="E574" s="1" t="s">
        <v>789</v>
      </c>
      <c r="F574" s="1" t="s">
        <v>1754</v>
      </c>
      <c r="G574">
        <f>IFERROR(__xludf.DUMMYFUNCTION("INDEX(SPLIT(F574, ""-""), 1)
"),37.5224668331409)</f>
        <v>37.52246683</v>
      </c>
      <c r="H574">
        <f>IFERROR(__xludf.DUMMYFUNCTION("INDEX(SPLIT(F574, ""-""), 2)
"),122.251625135719)</f>
        <v>122.2516251</v>
      </c>
    </row>
    <row r="575">
      <c r="A575" s="1">
        <v>573.0</v>
      </c>
      <c r="B575" s="1" t="s">
        <v>1755</v>
      </c>
      <c r="C575" s="1">
        <v>3.5</v>
      </c>
      <c r="D575" s="1" t="s">
        <v>1756</v>
      </c>
      <c r="E575" s="1" t="s">
        <v>166</v>
      </c>
      <c r="F575" s="1" t="s">
        <v>1757</v>
      </c>
      <c r="G575">
        <f>IFERROR(__xludf.DUMMYFUNCTION("INDEX(SPLIT(F575, ""-""), 1)
"),37.7215444)</f>
        <v>37.7215444</v>
      </c>
      <c r="H575">
        <f>IFERROR(__xludf.DUMMYFUNCTION("INDEX(SPLIT(F575, ""-""), 2)
"),122.1509912)</f>
        <v>122.1509912</v>
      </c>
    </row>
    <row r="576">
      <c r="A576" s="1">
        <v>574.0</v>
      </c>
      <c r="B576" s="1" t="s">
        <v>1758</v>
      </c>
      <c r="C576" s="1">
        <v>3.5</v>
      </c>
      <c r="D576" s="1" t="s">
        <v>1759</v>
      </c>
      <c r="E576" s="1" t="s">
        <v>166</v>
      </c>
      <c r="F576" s="1" t="s">
        <v>1760</v>
      </c>
      <c r="G576">
        <f>IFERROR(__xludf.DUMMYFUNCTION("INDEX(SPLIT(F576, ""-""), 1)
"),37.7239999)</f>
        <v>37.7239999</v>
      </c>
      <c r="H576">
        <f>IFERROR(__xludf.DUMMYFUNCTION("INDEX(SPLIT(F576, ""-""), 2)
"),122.15511)</f>
        <v>122.15511</v>
      </c>
    </row>
    <row r="577">
      <c r="A577" s="1">
        <v>575.0</v>
      </c>
      <c r="B577" s="1" t="s">
        <v>1761</v>
      </c>
      <c r="C577" s="1">
        <v>2.5</v>
      </c>
      <c r="D577" s="1" t="s">
        <v>1762</v>
      </c>
      <c r="E577" s="1" t="s">
        <v>166</v>
      </c>
      <c r="F577" s="1" t="s">
        <v>1763</v>
      </c>
      <c r="G577">
        <f>IFERROR(__xludf.DUMMYFUNCTION("INDEX(SPLIT(F577, ""-""), 1)
"),37.6978340148926)</f>
        <v>37.69783401</v>
      </c>
      <c r="H577">
        <f>IFERROR(__xludf.DUMMYFUNCTION("INDEX(SPLIT(F577, ""-""), 2)
"),122.130355834961)</f>
        <v>122.1303558</v>
      </c>
    </row>
    <row r="578">
      <c r="A578" s="1">
        <v>576.0</v>
      </c>
      <c r="B578" s="1" t="s">
        <v>1764</v>
      </c>
      <c r="C578" s="1">
        <v>3.5</v>
      </c>
      <c r="D578" s="1" t="s">
        <v>1765</v>
      </c>
      <c r="E578" s="1" t="s">
        <v>166</v>
      </c>
      <c r="F578" s="1" t="s">
        <v>1766</v>
      </c>
      <c r="G578">
        <f>IFERROR(__xludf.DUMMYFUNCTION("INDEX(SPLIT(F578, ""-""), 1)
"),37.7240845354245)</f>
        <v>37.72408454</v>
      </c>
      <c r="H578">
        <f>IFERROR(__xludf.DUMMYFUNCTION("INDEX(SPLIT(F578, ""-""), 2)
"),122.154812393848)</f>
        <v>122.1548124</v>
      </c>
    </row>
    <row r="579">
      <c r="A579" s="1">
        <v>577.0</v>
      </c>
      <c r="B579" s="1" t="s">
        <v>1767</v>
      </c>
      <c r="C579" s="1">
        <v>3.5</v>
      </c>
      <c r="D579" s="1" t="s">
        <v>1768</v>
      </c>
      <c r="E579" s="1" t="s">
        <v>166</v>
      </c>
      <c r="F579" s="1" t="s">
        <v>1769</v>
      </c>
      <c r="G579">
        <f>IFERROR(__xludf.DUMMYFUNCTION("INDEX(SPLIT(F579, ""-""), 1)
"),37.69982)</f>
        <v>37.69982</v>
      </c>
      <c r="H579">
        <f>IFERROR(__xludf.DUMMYFUNCTION("INDEX(SPLIT(F579, ""-""), 2)
"),122.175639999999)</f>
        <v>122.17564</v>
      </c>
    </row>
    <row r="580">
      <c r="A580" s="1">
        <v>578.0</v>
      </c>
      <c r="B580" s="1" t="s">
        <v>1770</v>
      </c>
      <c r="C580" s="1">
        <v>2.0</v>
      </c>
      <c r="D580" s="1" t="s">
        <v>1771</v>
      </c>
      <c r="E580" s="1" t="s">
        <v>166</v>
      </c>
      <c r="F580" s="1" t="s">
        <v>1772</v>
      </c>
      <c r="G580">
        <f>IFERROR(__xludf.DUMMYFUNCTION("INDEX(SPLIT(F580, ""-""), 1)
"),37.7026172)</f>
        <v>37.7026172</v>
      </c>
      <c r="H580">
        <f>IFERROR(__xludf.DUMMYFUNCTION("INDEX(SPLIT(F580, ""-""), 2)
"),122.1272393)</f>
        <v>122.1272393</v>
      </c>
    </row>
    <row r="581">
      <c r="A581" s="1">
        <v>579.0</v>
      </c>
      <c r="B581" s="1" t="s">
        <v>1773</v>
      </c>
      <c r="C581" s="1">
        <v>4.0</v>
      </c>
      <c r="D581" s="1" t="s">
        <v>1774</v>
      </c>
      <c r="E581" s="1" t="s">
        <v>166</v>
      </c>
      <c r="F581" s="1" t="s">
        <v>1775</v>
      </c>
      <c r="G581">
        <f>IFERROR(__xludf.DUMMYFUNCTION("INDEX(SPLIT(F581, ""-""), 1)
"),37.7228)</f>
        <v>37.7228</v>
      </c>
      <c r="H581">
        <f>IFERROR(__xludf.DUMMYFUNCTION("INDEX(SPLIT(F581, ""-""), 2)
"),122.155194)</f>
        <v>122.155194</v>
      </c>
    </row>
    <row r="582">
      <c r="A582" s="1">
        <v>580.0</v>
      </c>
      <c r="B582" s="1" t="s">
        <v>1776</v>
      </c>
      <c r="C582" s="1">
        <v>3.5</v>
      </c>
      <c r="D582" s="1" t="s">
        <v>1777</v>
      </c>
      <c r="E582" s="1" t="s">
        <v>166</v>
      </c>
      <c r="F582" s="1" t="s">
        <v>1778</v>
      </c>
      <c r="G582">
        <f>IFERROR(__xludf.DUMMYFUNCTION("INDEX(SPLIT(F582, ""-""), 1)
"),37.6799806952477)</f>
        <v>37.6799807</v>
      </c>
      <c r="H582">
        <f>IFERROR(__xludf.DUMMYFUNCTION("INDEX(SPLIT(F582, ""-""), 2)
"),122.154671028255)</f>
        <v>122.154671</v>
      </c>
    </row>
    <row r="583">
      <c r="A583" s="1">
        <v>581.0</v>
      </c>
      <c r="B583" s="1" t="s">
        <v>1779</v>
      </c>
      <c r="C583" s="1">
        <v>4.5</v>
      </c>
      <c r="D583" s="1" t="s">
        <v>1646</v>
      </c>
      <c r="E583" s="1" t="s">
        <v>121</v>
      </c>
      <c r="F583" s="1" t="s">
        <v>1647</v>
      </c>
      <c r="G583">
        <f>IFERROR(__xludf.DUMMYFUNCTION("INDEX(SPLIT(F583, ""-""), 1)
"),37.70864)</f>
        <v>37.70864</v>
      </c>
      <c r="H583">
        <f>IFERROR(__xludf.DUMMYFUNCTION("INDEX(SPLIT(F583, ""-""), 2)
"),122.091339999999)</f>
        <v>122.09134</v>
      </c>
    </row>
    <row r="584">
      <c r="A584" s="1">
        <v>582.0</v>
      </c>
      <c r="B584" s="1" t="s">
        <v>1780</v>
      </c>
      <c r="C584" s="1">
        <v>4.0</v>
      </c>
      <c r="D584" s="1" t="s">
        <v>1781</v>
      </c>
      <c r="E584" s="1" t="s">
        <v>166</v>
      </c>
      <c r="F584" s="1" t="s">
        <v>1782</v>
      </c>
      <c r="G584">
        <f>IFERROR(__xludf.DUMMYFUNCTION("INDEX(SPLIT(F584, ""-""), 1)
"),37.7229449751301)</f>
        <v>37.72294498</v>
      </c>
      <c r="H584">
        <f>IFERROR(__xludf.DUMMYFUNCTION("INDEX(SPLIT(F584, ""-""), 2)
"),122.153543170361)</f>
        <v>122.1535432</v>
      </c>
    </row>
    <row r="585">
      <c r="A585" s="1">
        <v>583.0</v>
      </c>
      <c r="B585" s="1" t="s">
        <v>1783</v>
      </c>
      <c r="C585" s="1">
        <v>3.5</v>
      </c>
      <c r="D585" s="1" t="s">
        <v>1784</v>
      </c>
      <c r="E585" s="1" t="s">
        <v>1785</v>
      </c>
      <c r="F585" s="1" t="s">
        <v>1786</v>
      </c>
      <c r="G585">
        <f>IFERROR(__xludf.DUMMYFUNCTION("INDEX(SPLIT(F585, ""-""), 1)
"),37.6729889960688)</f>
        <v>37.672989</v>
      </c>
      <c r="H585">
        <f>IFERROR(__xludf.DUMMYFUNCTION("INDEX(SPLIT(F585, ""-""), 2)
"),122.122139773525)</f>
        <v>122.1221398</v>
      </c>
    </row>
    <row r="586">
      <c r="A586" s="1">
        <v>584.0</v>
      </c>
      <c r="B586" s="1" t="s">
        <v>1787</v>
      </c>
      <c r="C586" s="1">
        <v>3.5</v>
      </c>
      <c r="D586" s="1" t="s">
        <v>1788</v>
      </c>
      <c r="E586" s="1" t="s">
        <v>340</v>
      </c>
      <c r="F586" s="1" t="s">
        <v>1789</v>
      </c>
      <c r="G586">
        <f>IFERROR(__xludf.DUMMYFUNCTION("INDEX(SPLIT(F586, ""-""), 1)
"),37.76273)</f>
        <v>37.76273</v>
      </c>
      <c r="H586">
        <f>IFERROR(__xludf.DUMMYFUNCTION("INDEX(SPLIT(F586, ""-""), 2)
"),122.24497)</f>
        <v>122.24497</v>
      </c>
    </row>
    <row r="587">
      <c r="A587" s="1">
        <v>585.0</v>
      </c>
      <c r="B587" s="1" t="s">
        <v>1790</v>
      </c>
      <c r="C587" s="1">
        <v>2.5</v>
      </c>
      <c r="D587" s="1" t="s">
        <v>423</v>
      </c>
      <c r="E587" s="1" t="s">
        <v>166</v>
      </c>
      <c r="F587" s="1" t="s">
        <v>1791</v>
      </c>
      <c r="G587">
        <f>IFERROR(__xludf.DUMMYFUNCTION("INDEX(SPLIT(F587, ""-""), 1)
"),37.7236583501576)</f>
        <v>37.72365835</v>
      </c>
      <c r="H587">
        <f>IFERROR(__xludf.DUMMYFUNCTION("INDEX(SPLIT(F587, ""-""), 2)
"),122.154530547558)</f>
        <v>122.1545305</v>
      </c>
    </row>
    <row r="588">
      <c r="A588" s="1">
        <v>586.0</v>
      </c>
      <c r="B588" s="1" t="s">
        <v>1792</v>
      </c>
      <c r="C588" s="1">
        <v>3.0</v>
      </c>
      <c r="D588" s="1" t="s">
        <v>1793</v>
      </c>
      <c r="E588" s="1" t="s">
        <v>121</v>
      </c>
      <c r="F588" s="1" t="s">
        <v>1794</v>
      </c>
      <c r="G588">
        <f>IFERROR(__xludf.DUMMYFUNCTION("INDEX(SPLIT(F588, ""-""), 1)
"),37.6947791129351)</f>
        <v>37.69477911</v>
      </c>
      <c r="H588">
        <f>IFERROR(__xludf.DUMMYFUNCTION("INDEX(SPLIT(F588, ""-""), 2)
"),122.073979452252)</f>
        <v>122.0739795</v>
      </c>
    </row>
    <row r="589">
      <c r="A589" s="1">
        <v>587.0</v>
      </c>
      <c r="B589" s="1" t="s">
        <v>1795</v>
      </c>
      <c r="C589" s="1">
        <v>2.0</v>
      </c>
      <c r="D589" s="1" t="s">
        <v>1796</v>
      </c>
      <c r="E589" s="1" t="s">
        <v>166</v>
      </c>
      <c r="F589" s="1" t="s">
        <v>1797</v>
      </c>
      <c r="G589">
        <f>IFERROR(__xludf.DUMMYFUNCTION("INDEX(SPLIT(F589, ""-""), 1)
"),37.7154007)</f>
        <v>37.7154007</v>
      </c>
      <c r="H589">
        <f>IFERROR(__xludf.DUMMYFUNCTION("INDEX(SPLIT(F589, ""-""), 2)
"),122.1423264)</f>
        <v>122.1423264</v>
      </c>
    </row>
    <row r="590">
      <c r="A590" s="1">
        <v>588.0</v>
      </c>
      <c r="B590" s="1" t="s">
        <v>1798</v>
      </c>
      <c r="C590" s="1">
        <v>3.5</v>
      </c>
      <c r="D590" s="1" t="s">
        <v>1799</v>
      </c>
      <c r="E590" s="1" t="s">
        <v>166</v>
      </c>
      <c r="F590" s="1" t="s">
        <v>1800</v>
      </c>
      <c r="G590">
        <f>IFERROR(__xludf.DUMMYFUNCTION("INDEX(SPLIT(F590, ""-""), 1)
"),37.702842)</f>
        <v>37.702842</v>
      </c>
      <c r="H590">
        <f>IFERROR(__xludf.DUMMYFUNCTION("INDEX(SPLIT(F590, ""-""), 2)
"),122.142028)</f>
        <v>122.142028</v>
      </c>
    </row>
    <row r="591">
      <c r="A591" s="1">
        <v>589.0</v>
      </c>
      <c r="B591" s="1" t="s">
        <v>1801</v>
      </c>
      <c r="C591" s="1">
        <v>3.5</v>
      </c>
      <c r="D591" s="1" t="s">
        <v>368</v>
      </c>
      <c r="E591" s="1" t="s">
        <v>340</v>
      </c>
      <c r="F591" s="1" t="s">
        <v>369</v>
      </c>
      <c r="G591">
        <f>IFERROR(__xludf.DUMMYFUNCTION("INDEX(SPLIT(F591, ""-""), 1)
"),37.76394)</f>
        <v>37.76394</v>
      </c>
      <c r="H591">
        <f>IFERROR(__xludf.DUMMYFUNCTION("INDEX(SPLIT(F591, ""-""), 2)
"),122.24266)</f>
        <v>122.24266</v>
      </c>
    </row>
    <row r="592">
      <c r="A592" s="1">
        <v>590.0</v>
      </c>
      <c r="B592" s="1" t="s">
        <v>1802</v>
      </c>
      <c r="C592" s="1">
        <v>4.5</v>
      </c>
      <c r="D592" s="1" t="s">
        <v>1803</v>
      </c>
      <c r="E592" s="1" t="s">
        <v>321</v>
      </c>
      <c r="F592" s="1" t="s">
        <v>1804</v>
      </c>
      <c r="G592">
        <f>IFERROR(__xludf.DUMMYFUNCTION("INDEX(SPLIT(F592, ""-""), 1)
"),37.78606)</f>
        <v>37.78606</v>
      </c>
      <c r="H592">
        <f>IFERROR(__xludf.DUMMYFUNCTION("INDEX(SPLIT(F592, ""-""), 2)
"),122.24101)</f>
        <v>122.24101</v>
      </c>
    </row>
    <row r="593">
      <c r="A593" s="1">
        <v>591.0</v>
      </c>
      <c r="B593" s="1" t="s">
        <v>1805</v>
      </c>
      <c r="C593" s="1">
        <v>4.5</v>
      </c>
      <c r="D593" s="1" t="s">
        <v>1646</v>
      </c>
      <c r="E593" s="1" t="s">
        <v>121</v>
      </c>
      <c r="F593" s="1" t="s">
        <v>1647</v>
      </c>
      <c r="G593">
        <f>IFERROR(__xludf.DUMMYFUNCTION("INDEX(SPLIT(F593, ""-""), 1)
"),37.70864)</f>
        <v>37.70864</v>
      </c>
      <c r="H593">
        <f>IFERROR(__xludf.DUMMYFUNCTION("INDEX(SPLIT(F593, ""-""), 2)
"),122.091339999999)</f>
        <v>122.09134</v>
      </c>
    </row>
    <row r="594">
      <c r="A594" s="1">
        <v>592.0</v>
      </c>
      <c r="B594" s="1" t="s">
        <v>1806</v>
      </c>
      <c r="C594" s="1">
        <v>3.5</v>
      </c>
      <c r="D594" s="1" t="s">
        <v>1807</v>
      </c>
      <c r="E594" s="1" t="s">
        <v>340</v>
      </c>
      <c r="F594" s="1" t="s">
        <v>1808</v>
      </c>
      <c r="G594">
        <f>IFERROR(__xludf.DUMMYFUNCTION("INDEX(SPLIT(F594, ""-""), 1)
"),37.765703473918)</f>
        <v>37.76570347</v>
      </c>
      <c r="H594">
        <f>IFERROR(__xludf.DUMMYFUNCTION("INDEX(SPLIT(F594, ""-""), 2)
"),122.242378592491)</f>
        <v>122.2423786</v>
      </c>
    </row>
    <row r="595">
      <c r="A595" s="1">
        <v>593.0</v>
      </c>
      <c r="B595" s="1" t="s">
        <v>1809</v>
      </c>
      <c r="C595" s="1">
        <v>4.5</v>
      </c>
      <c r="D595" s="1" t="s">
        <v>1810</v>
      </c>
      <c r="E595" s="1" t="s">
        <v>793</v>
      </c>
      <c r="F595" s="1" t="s">
        <v>1811</v>
      </c>
      <c r="G595">
        <f>IFERROR(__xludf.DUMMYFUNCTION("INDEX(SPLIT(F595, ""-""), 1)
"),37.6651882648286)</f>
        <v>37.66518826</v>
      </c>
      <c r="H595">
        <f>IFERROR(__xludf.DUMMYFUNCTION("INDEX(SPLIT(F595, ""-""), 2)
"),122.116480568499)</f>
        <v>122.1164806</v>
      </c>
    </row>
    <row r="596">
      <c r="A596" s="1">
        <v>594.0</v>
      </c>
      <c r="B596" s="1" t="s">
        <v>1812</v>
      </c>
      <c r="C596" s="1">
        <v>4.0</v>
      </c>
      <c r="D596" s="1" t="s">
        <v>1813</v>
      </c>
      <c r="E596" s="1" t="s">
        <v>166</v>
      </c>
      <c r="F596" s="1" t="s">
        <v>1814</v>
      </c>
      <c r="G596">
        <f>IFERROR(__xludf.DUMMYFUNCTION("INDEX(SPLIT(F596, ""-""), 1)
"),37.72437)</f>
        <v>37.72437</v>
      </c>
      <c r="H596">
        <f>IFERROR(__xludf.DUMMYFUNCTION("INDEX(SPLIT(F596, ""-""), 2)
"),122.155085)</f>
        <v>122.155085</v>
      </c>
    </row>
    <row r="597">
      <c r="A597" s="1">
        <v>595.0</v>
      </c>
      <c r="B597" s="1" t="s">
        <v>1815</v>
      </c>
      <c r="C597" s="1">
        <v>3.5</v>
      </c>
      <c r="D597" s="1" t="s">
        <v>1816</v>
      </c>
      <c r="E597" s="1" t="s">
        <v>166</v>
      </c>
      <c r="F597" s="1" t="s">
        <v>1817</v>
      </c>
      <c r="G597">
        <f>IFERROR(__xludf.DUMMYFUNCTION("INDEX(SPLIT(F597, ""-""), 1)
"),37.71929)</f>
        <v>37.71929</v>
      </c>
      <c r="H597">
        <f>IFERROR(__xludf.DUMMYFUNCTION("INDEX(SPLIT(F597, ""-""), 2)
"),122.14865)</f>
        <v>122.14865</v>
      </c>
    </row>
    <row r="598">
      <c r="A598" s="1">
        <v>596.0</v>
      </c>
      <c r="B598" s="1" t="s">
        <v>1818</v>
      </c>
      <c r="C598" s="1">
        <v>3.5</v>
      </c>
      <c r="D598" s="1" t="s">
        <v>1819</v>
      </c>
      <c r="E598" s="1" t="s">
        <v>166</v>
      </c>
      <c r="F598" s="1" t="s">
        <v>1820</v>
      </c>
      <c r="G598">
        <f>IFERROR(__xludf.DUMMYFUNCTION("INDEX(SPLIT(F598, ""-""), 1)
"),37.6906647206597)</f>
        <v>37.69066472</v>
      </c>
      <c r="H598">
        <f>IFERROR(__xludf.DUMMYFUNCTION("INDEX(SPLIT(F598, ""-""), 2)
"),122.151571007974)</f>
        <v>122.151571</v>
      </c>
    </row>
    <row r="599">
      <c r="A599" s="1">
        <v>597.0</v>
      </c>
      <c r="B599" s="1" t="s">
        <v>1821</v>
      </c>
      <c r="C599" s="1">
        <v>4.0</v>
      </c>
      <c r="D599" s="1" t="s">
        <v>1822</v>
      </c>
      <c r="E599" s="1" t="s">
        <v>1785</v>
      </c>
      <c r="F599" s="1" t="s">
        <v>1823</v>
      </c>
      <c r="G599">
        <f>IFERROR(__xludf.DUMMYFUNCTION("INDEX(SPLIT(F599, ""-""), 1)
"),37.6770314768334)</f>
        <v>37.67703148</v>
      </c>
      <c r="H599">
        <f>IFERROR(__xludf.DUMMYFUNCTION("INDEX(SPLIT(F599, ""-""), 2)
"),122.142561774295)</f>
        <v>122.1425618</v>
      </c>
    </row>
    <row r="600">
      <c r="A600" s="1">
        <v>598.0</v>
      </c>
      <c r="B600" s="1" t="s">
        <v>1824</v>
      </c>
      <c r="C600" s="1">
        <v>4.0</v>
      </c>
      <c r="D600" s="1" t="s">
        <v>1825</v>
      </c>
      <c r="E600" s="1" t="s">
        <v>793</v>
      </c>
      <c r="F600" s="1" t="s">
        <v>1826</v>
      </c>
      <c r="G600">
        <f>IFERROR(__xludf.DUMMYFUNCTION("INDEX(SPLIT(F600, ""-""), 1)
"),37.631869)</f>
        <v>37.631869</v>
      </c>
      <c r="H600">
        <f>IFERROR(__xludf.DUMMYFUNCTION("INDEX(SPLIT(F600, ""-""), 2)
"),122.075384)</f>
        <v>122.075384</v>
      </c>
    </row>
    <row r="601">
      <c r="A601" s="1">
        <v>599.0</v>
      </c>
      <c r="B601" s="1" t="s">
        <v>1827</v>
      </c>
      <c r="C601" s="1">
        <v>3.5</v>
      </c>
      <c r="D601" s="1" t="s">
        <v>1828</v>
      </c>
      <c r="E601" s="1" t="s">
        <v>166</v>
      </c>
      <c r="F601" s="1" t="s">
        <v>1829</v>
      </c>
      <c r="G601">
        <f>IFERROR(__xludf.DUMMYFUNCTION("INDEX(SPLIT(F601, ""-""), 1)
"),37.6795)</f>
        <v>37.6795</v>
      </c>
      <c r="H601">
        <f>IFERROR(__xludf.DUMMYFUNCTION("INDEX(SPLIT(F601, ""-""), 2)
"),122.154789999999)</f>
        <v>122.15479</v>
      </c>
    </row>
    <row r="602">
      <c r="A602" s="1">
        <v>600.0</v>
      </c>
      <c r="B602" s="1" t="s">
        <v>1830</v>
      </c>
      <c r="C602" s="1">
        <v>4.0</v>
      </c>
      <c r="D602" s="1" t="s">
        <v>1831</v>
      </c>
      <c r="E602" s="1" t="s">
        <v>793</v>
      </c>
      <c r="F602" s="1" t="s">
        <v>1832</v>
      </c>
      <c r="G602">
        <f>IFERROR(__xludf.DUMMYFUNCTION("INDEX(SPLIT(F602, ""-""), 1)
"),37.651128)</f>
        <v>37.651128</v>
      </c>
      <c r="H602">
        <f>IFERROR(__xludf.DUMMYFUNCTION("INDEX(SPLIT(F602, ""-""), 2)
"),122.101295999999)</f>
        <v>122.101296</v>
      </c>
    </row>
    <row r="603">
      <c r="A603" s="1">
        <v>601.0</v>
      </c>
      <c r="B603" s="1" t="s">
        <v>1833</v>
      </c>
      <c r="C603" s="1">
        <v>4.0</v>
      </c>
      <c r="D603" s="1" t="s">
        <v>1834</v>
      </c>
      <c r="E603" s="1" t="s">
        <v>793</v>
      </c>
      <c r="F603" s="1" t="s">
        <v>1835</v>
      </c>
      <c r="G603">
        <f>IFERROR(__xludf.DUMMYFUNCTION("INDEX(SPLIT(F603, ""-""), 1)
"),37.67355)</f>
        <v>37.67355</v>
      </c>
      <c r="H603">
        <f>IFERROR(__xludf.DUMMYFUNCTION("INDEX(SPLIT(F603, ""-""), 2)
"),122.081139999999)</f>
        <v>122.08114</v>
      </c>
    </row>
    <row r="604">
      <c r="A604" s="1">
        <v>602.0</v>
      </c>
      <c r="B604" s="1" t="s">
        <v>1836</v>
      </c>
      <c r="C604" s="1">
        <v>3.0</v>
      </c>
      <c r="D604" s="1" t="s">
        <v>1837</v>
      </c>
      <c r="E604" s="1" t="s">
        <v>166</v>
      </c>
      <c r="F604" s="1" t="s">
        <v>1838</v>
      </c>
      <c r="G604">
        <f>IFERROR(__xludf.DUMMYFUNCTION("INDEX(SPLIT(F604, ""-""), 1)
"),37.7001159999999)</f>
        <v>37.700116</v>
      </c>
      <c r="H604">
        <f>IFERROR(__xludf.DUMMYFUNCTION("INDEX(SPLIT(F604, ""-""), 2)
"),122.126858)</f>
        <v>122.126858</v>
      </c>
    </row>
  </sheetData>
  <conditionalFormatting sqref="C1:C1000">
    <cfRule type="cellIs" dxfId="0" priority="1" operator="greaterThanOrEqual">
      <formula>5</formula>
    </cfRule>
  </conditionalFormatting>
  <drawing r:id="rId1"/>
</worksheet>
</file>