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8dfe9ffbec024/ZAnalytics Internship/Wave_002/Lect-004/C1W1-Workbooks/"/>
    </mc:Choice>
  </mc:AlternateContent>
  <xr:revisionPtr revIDLastSave="0" documentId="8_{AAE11DBE-D7BE-4F5D-9702-C4A4D77814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  <definedName name="Amount">'MC Invoice Report'!$J$5:$J$88</definedName>
    <definedName name="Amount_Paid">'Supplier Invoice Statement'!$Q$2:$Q$85</definedName>
    <definedName name="Bank_Details">'MC Invoice Report'!$G$5:$G$88</definedName>
    <definedName name="Due_Date">'MC Invoice Report'!$E$5:$E$88</definedName>
    <definedName name="Invoice_Date">'MC Invoice Report'!$D$5:$D$88</definedName>
    <definedName name="Invoice_Day">'MC Invoice Report'!$K$5:$K$88</definedName>
    <definedName name="Invoice_Month">'MC Invoice Report'!$L$5:$L$88</definedName>
    <definedName name="Late_Charge">'MC Invoice Report'!$N$5:$N$88</definedName>
    <definedName name="Location">'MC Invoice Report'!$I$5:$I$88</definedName>
    <definedName name="Over_Due_By">'MC Invoice Report'!$M$5:$M$88</definedName>
    <definedName name="paid_date">'Supplier Invoice Statement'!$T$2:$T$85</definedName>
    <definedName name="Payment_Date">'MC Invoice Report'!$F$5:$F$88</definedName>
    <definedName name="Payment_No">'MC Invoice Report'!$C$5:$C$88</definedName>
    <definedName name="Payment_Ref">'MC Invoice Report'!$A$5:$A$88</definedName>
    <definedName name="Penalty_Rate">'MC Invoice Report'!$N$2:$N$2</definedName>
    <definedName name="PO_Number">'MC Invoice Report'!$H$5:$H$88</definedName>
    <definedName name="supplier_code">'MC Invoice Report'!$B$5:$B$88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L2" i="2"/>
  <c r="K2" i="2"/>
  <c r="P5" i="1" s="1"/>
  <c r="J89" i="1"/>
  <c r="B89" i="1"/>
  <c r="AD3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C8" i="4"/>
  <c r="C9" i="4"/>
  <c r="B8" i="4"/>
  <c r="B9" i="4"/>
  <c r="B4" i="4"/>
  <c r="Q3" i="2"/>
  <c r="E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L5" i="1"/>
  <c r="B2" i="1"/>
  <c r="T86" i="2"/>
  <c r="S3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S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Q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R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4" i="2"/>
  <c r="R2" i="2"/>
  <c r="O2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M3" i="2"/>
  <c r="L5" i="2"/>
  <c r="L4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3" i="2"/>
  <c r="K4" i="2"/>
  <c r="P7" i="1" s="1"/>
  <c r="K5" i="2"/>
  <c r="P8" i="1" s="1"/>
  <c r="K6" i="2"/>
  <c r="P9" i="1" s="1"/>
  <c r="K7" i="2"/>
  <c r="P10" i="1" s="1"/>
  <c r="K8" i="2"/>
  <c r="P11" i="1" s="1"/>
  <c r="K9" i="2"/>
  <c r="P12" i="1" s="1"/>
  <c r="K10" i="2"/>
  <c r="P13" i="1" s="1"/>
  <c r="K11" i="2"/>
  <c r="P14" i="1" s="1"/>
  <c r="K12" i="2"/>
  <c r="P15" i="1" s="1"/>
  <c r="K13" i="2"/>
  <c r="P16" i="1" s="1"/>
  <c r="K14" i="2"/>
  <c r="P17" i="1" s="1"/>
  <c r="K15" i="2"/>
  <c r="P18" i="1" s="1"/>
  <c r="K16" i="2"/>
  <c r="P19" i="1" s="1"/>
  <c r="K17" i="2"/>
  <c r="P20" i="1" s="1"/>
  <c r="K18" i="2"/>
  <c r="P21" i="1" s="1"/>
  <c r="K19" i="2"/>
  <c r="P22" i="1" s="1"/>
  <c r="K20" i="2"/>
  <c r="P23" i="1" s="1"/>
  <c r="K21" i="2"/>
  <c r="P24" i="1" s="1"/>
  <c r="K22" i="2"/>
  <c r="P25" i="1" s="1"/>
  <c r="K23" i="2"/>
  <c r="P26" i="1" s="1"/>
  <c r="K24" i="2"/>
  <c r="P27" i="1" s="1"/>
  <c r="K25" i="2"/>
  <c r="P28" i="1" s="1"/>
  <c r="K26" i="2"/>
  <c r="P29" i="1" s="1"/>
  <c r="K27" i="2"/>
  <c r="P30" i="1" s="1"/>
  <c r="K28" i="2"/>
  <c r="P31" i="1" s="1"/>
  <c r="K29" i="2"/>
  <c r="P32" i="1" s="1"/>
  <c r="K30" i="2"/>
  <c r="P33" i="1" s="1"/>
  <c r="K31" i="2"/>
  <c r="P34" i="1" s="1"/>
  <c r="K32" i="2"/>
  <c r="P35" i="1" s="1"/>
  <c r="K33" i="2"/>
  <c r="P36" i="1" s="1"/>
  <c r="K34" i="2"/>
  <c r="P37" i="1" s="1"/>
  <c r="K35" i="2"/>
  <c r="P38" i="1" s="1"/>
  <c r="K36" i="2"/>
  <c r="P39" i="1" s="1"/>
  <c r="K37" i="2"/>
  <c r="P40" i="1" s="1"/>
  <c r="K38" i="2"/>
  <c r="P41" i="1" s="1"/>
  <c r="K39" i="2"/>
  <c r="P42" i="1" s="1"/>
  <c r="K40" i="2"/>
  <c r="P43" i="1" s="1"/>
  <c r="K41" i="2"/>
  <c r="P44" i="1" s="1"/>
  <c r="K42" i="2"/>
  <c r="P45" i="1" s="1"/>
  <c r="K43" i="2"/>
  <c r="P46" i="1" s="1"/>
  <c r="K44" i="2"/>
  <c r="P47" i="1" s="1"/>
  <c r="K45" i="2"/>
  <c r="P48" i="1" s="1"/>
  <c r="K46" i="2"/>
  <c r="P49" i="1" s="1"/>
  <c r="K47" i="2"/>
  <c r="P50" i="1" s="1"/>
  <c r="K48" i="2"/>
  <c r="P51" i="1" s="1"/>
  <c r="K49" i="2"/>
  <c r="P52" i="1" s="1"/>
  <c r="K50" i="2"/>
  <c r="P53" i="1" s="1"/>
  <c r="K51" i="2"/>
  <c r="P54" i="1" s="1"/>
  <c r="K52" i="2"/>
  <c r="P55" i="1" s="1"/>
  <c r="K53" i="2"/>
  <c r="P56" i="1" s="1"/>
  <c r="K54" i="2"/>
  <c r="P57" i="1" s="1"/>
  <c r="K55" i="2"/>
  <c r="P58" i="1" s="1"/>
  <c r="K56" i="2"/>
  <c r="P59" i="1" s="1"/>
  <c r="K57" i="2"/>
  <c r="P60" i="1" s="1"/>
  <c r="K58" i="2"/>
  <c r="P61" i="1" s="1"/>
  <c r="K59" i="2"/>
  <c r="P62" i="1" s="1"/>
  <c r="K60" i="2"/>
  <c r="P63" i="1" s="1"/>
  <c r="K61" i="2"/>
  <c r="P64" i="1" s="1"/>
  <c r="K62" i="2"/>
  <c r="P65" i="1" s="1"/>
  <c r="K63" i="2"/>
  <c r="P66" i="1" s="1"/>
  <c r="K64" i="2"/>
  <c r="P67" i="1" s="1"/>
  <c r="K65" i="2"/>
  <c r="P68" i="1" s="1"/>
  <c r="K66" i="2"/>
  <c r="P69" i="1" s="1"/>
  <c r="K67" i="2"/>
  <c r="P70" i="1" s="1"/>
  <c r="K68" i="2"/>
  <c r="P71" i="1" s="1"/>
  <c r="K69" i="2"/>
  <c r="P72" i="1" s="1"/>
  <c r="K70" i="2"/>
  <c r="P73" i="1" s="1"/>
  <c r="K71" i="2"/>
  <c r="P74" i="1" s="1"/>
  <c r="K72" i="2"/>
  <c r="P75" i="1" s="1"/>
  <c r="K73" i="2"/>
  <c r="P76" i="1" s="1"/>
  <c r="K74" i="2"/>
  <c r="P77" i="1" s="1"/>
  <c r="K75" i="2"/>
  <c r="P78" i="1" s="1"/>
  <c r="K76" i="2"/>
  <c r="P79" i="1" s="1"/>
  <c r="K77" i="2"/>
  <c r="P80" i="1" s="1"/>
  <c r="K78" i="2"/>
  <c r="P81" i="1" s="1"/>
  <c r="K79" i="2"/>
  <c r="P82" i="1" s="1"/>
  <c r="K80" i="2"/>
  <c r="P83" i="1" s="1"/>
  <c r="K81" i="2"/>
  <c r="P84" i="1" s="1"/>
  <c r="K82" i="2"/>
  <c r="P85" i="1" s="1"/>
  <c r="K83" i="2"/>
  <c r="P86" i="1" s="1"/>
  <c r="K84" i="2"/>
  <c r="P87" i="1" s="1"/>
  <c r="K85" i="2"/>
  <c r="P88" i="1" s="1"/>
  <c r="K3" i="2"/>
  <c r="P6" i="1" s="1"/>
  <c r="C5" i="1"/>
  <c r="V3" i="2" l="1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2" i="2"/>
  <c r="M5" i="1"/>
  <c r="O5" i="1"/>
  <c r="N5" i="1" s="1" a="1"/>
  <c r="N5" i="1" s="1"/>
  <c r="AD2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Q86" i="2"/>
  <c r="B3" i="4"/>
  <c r="B5" i="4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M88" i="1" l="1"/>
  <c r="O88" i="1"/>
  <c r="N88" i="1" s="1" a="1"/>
  <c r="N88" i="1" s="1"/>
  <c r="M87" i="1"/>
  <c r="O87" i="1"/>
  <c r="N87" i="1" s="1" a="1"/>
  <c r="N87" i="1" s="1"/>
  <c r="M86" i="1"/>
  <c r="O86" i="1"/>
  <c r="N86" i="1" s="1" a="1"/>
  <c r="N86" i="1" s="1"/>
  <c r="M85" i="1"/>
  <c r="O85" i="1"/>
  <c r="N85" i="1" s="1" a="1"/>
  <c r="N85" i="1" s="1"/>
  <c r="M84" i="1"/>
  <c r="O84" i="1"/>
  <c r="N84" i="1" s="1" a="1"/>
  <c r="N84" i="1" s="1"/>
  <c r="M83" i="1"/>
  <c r="O83" i="1"/>
  <c r="N83" i="1" s="1" a="1"/>
  <c r="N83" i="1" s="1"/>
  <c r="M82" i="1"/>
  <c r="O82" i="1"/>
  <c r="N82" i="1" s="1" a="1"/>
  <c r="N82" i="1" s="1"/>
  <c r="M81" i="1"/>
  <c r="O81" i="1"/>
  <c r="N81" i="1" s="1" a="1"/>
  <c r="N81" i="1" s="1"/>
  <c r="M80" i="1"/>
  <c r="O80" i="1"/>
  <c r="N80" i="1" s="1" a="1"/>
  <c r="N80" i="1" s="1"/>
  <c r="M79" i="1"/>
  <c r="O79" i="1"/>
  <c r="N79" i="1" s="1" a="1"/>
  <c r="N79" i="1" s="1"/>
  <c r="M78" i="1"/>
  <c r="O78" i="1"/>
  <c r="N78" i="1" s="1" a="1"/>
  <c r="N78" i="1" s="1"/>
  <c r="M77" i="1"/>
  <c r="O77" i="1"/>
  <c r="N77" i="1" s="1" a="1"/>
  <c r="N77" i="1" s="1"/>
  <c r="M76" i="1"/>
  <c r="O76" i="1"/>
  <c r="N76" i="1" s="1" a="1"/>
  <c r="N76" i="1" s="1"/>
  <c r="M75" i="1"/>
  <c r="O75" i="1"/>
  <c r="N75" i="1" s="1" a="1"/>
  <c r="N75" i="1" s="1"/>
  <c r="M74" i="1"/>
  <c r="O74" i="1"/>
  <c r="N74" i="1" s="1" a="1"/>
  <c r="N74" i="1" s="1"/>
  <c r="M73" i="1"/>
  <c r="O73" i="1"/>
  <c r="N73" i="1" s="1" a="1"/>
  <c r="N73" i="1" s="1"/>
  <c r="M72" i="1"/>
  <c r="O72" i="1"/>
  <c r="N72" i="1" s="1" a="1"/>
  <c r="N72" i="1" s="1"/>
  <c r="M71" i="1"/>
  <c r="O71" i="1"/>
  <c r="N71" i="1" s="1" a="1"/>
  <c r="N71" i="1" s="1"/>
  <c r="M70" i="1"/>
  <c r="O70" i="1"/>
  <c r="N70" i="1" s="1" a="1"/>
  <c r="N70" i="1" s="1"/>
  <c r="M69" i="1"/>
  <c r="O69" i="1"/>
  <c r="N69" i="1" s="1" a="1"/>
  <c r="N69" i="1" s="1"/>
  <c r="M68" i="1"/>
  <c r="O68" i="1"/>
  <c r="N68" i="1" s="1" a="1"/>
  <c r="N68" i="1" s="1"/>
  <c r="M67" i="1"/>
  <c r="O67" i="1"/>
  <c r="N67" i="1" s="1" a="1"/>
  <c r="N67" i="1" s="1"/>
  <c r="M66" i="1"/>
  <c r="O66" i="1"/>
  <c r="N66" i="1" s="1" a="1"/>
  <c r="N66" i="1" s="1"/>
  <c r="M65" i="1"/>
  <c r="O65" i="1"/>
  <c r="N65" i="1" s="1" a="1"/>
  <c r="N65" i="1" s="1"/>
  <c r="M64" i="1"/>
  <c r="O64" i="1"/>
  <c r="N64" i="1" s="1" a="1"/>
  <c r="N64" i="1" s="1"/>
  <c r="M63" i="1"/>
  <c r="O63" i="1"/>
  <c r="N63" i="1" s="1" a="1"/>
  <c r="N63" i="1" s="1"/>
  <c r="M62" i="1"/>
  <c r="O62" i="1"/>
  <c r="N62" i="1" s="1" a="1"/>
  <c r="N62" i="1" s="1"/>
  <c r="M61" i="1"/>
  <c r="O61" i="1"/>
  <c r="N61" i="1" s="1" a="1"/>
  <c r="N61" i="1" s="1"/>
  <c r="M60" i="1"/>
  <c r="O60" i="1"/>
  <c r="N60" i="1" s="1" a="1"/>
  <c r="N60" i="1" s="1"/>
  <c r="M59" i="1"/>
  <c r="O59" i="1"/>
  <c r="N59" i="1" s="1" a="1"/>
  <c r="N59" i="1" s="1"/>
  <c r="M58" i="1"/>
  <c r="O58" i="1"/>
  <c r="N58" i="1" s="1" a="1"/>
  <c r="N58" i="1" s="1"/>
  <c r="M57" i="1"/>
  <c r="O57" i="1"/>
  <c r="N57" i="1" s="1" a="1"/>
  <c r="N57" i="1" s="1"/>
  <c r="M56" i="1"/>
  <c r="O56" i="1"/>
  <c r="N56" i="1" s="1" a="1"/>
  <c r="N56" i="1" s="1"/>
  <c r="M55" i="1"/>
  <c r="O55" i="1"/>
  <c r="N55" i="1" s="1" a="1"/>
  <c r="N55" i="1" s="1"/>
  <c r="M54" i="1"/>
  <c r="O54" i="1"/>
  <c r="N54" i="1" s="1" a="1"/>
  <c r="N54" i="1" s="1"/>
  <c r="M53" i="1"/>
  <c r="O53" i="1"/>
  <c r="N53" i="1" s="1" a="1"/>
  <c r="N53" i="1" s="1"/>
  <c r="M52" i="1"/>
  <c r="O52" i="1"/>
  <c r="N52" i="1" s="1" a="1"/>
  <c r="N52" i="1" s="1"/>
  <c r="M51" i="1"/>
  <c r="O51" i="1"/>
  <c r="N51" i="1" s="1" a="1"/>
  <c r="N51" i="1" s="1"/>
  <c r="M50" i="1"/>
  <c r="O50" i="1"/>
  <c r="N50" i="1" s="1" a="1"/>
  <c r="N50" i="1" s="1"/>
  <c r="M49" i="1"/>
  <c r="O49" i="1"/>
  <c r="N49" i="1" s="1" a="1"/>
  <c r="N49" i="1" s="1"/>
  <c r="M48" i="1"/>
  <c r="O48" i="1"/>
  <c r="N48" i="1" s="1" a="1"/>
  <c r="N48" i="1" s="1"/>
  <c r="M47" i="1"/>
  <c r="O47" i="1"/>
  <c r="N47" i="1" s="1" a="1"/>
  <c r="N47" i="1" s="1"/>
  <c r="M46" i="1"/>
  <c r="O46" i="1"/>
  <c r="N46" i="1" s="1" a="1"/>
  <c r="N46" i="1" s="1"/>
  <c r="M45" i="1"/>
  <c r="O45" i="1"/>
  <c r="N45" i="1" s="1" a="1"/>
  <c r="N45" i="1" s="1"/>
  <c r="M44" i="1"/>
  <c r="O44" i="1"/>
  <c r="N44" i="1" s="1" a="1"/>
  <c r="N44" i="1" s="1"/>
  <c r="M43" i="1"/>
  <c r="O43" i="1"/>
  <c r="N43" i="1" s="1" a="1"/>
  <c r="N43" i="1" s="1"/>
  <c r="M42" i="1"/>
  <c r="O42" i="1"/>
  <c r="N42" i="1" s="1" a="1"/>
  <c r="N42" i="1" s="1"/>
  <c r="M41" i="1"/>
  <c r="O41" i="1"/>
  <c r="N41" i="1" s="1" a="1"/>
  <c r="N41" i="1" s="1"/>
  <c r="M40" i="1"/>
  <c r="O40" i="1"/>
  <c r="N40" i="1" s="1" a="1"/>
  <c r="N40" i="1" s="1"/>
  <c r="M39" i="1"/>
  <c r="O39" i="1"/>
  <c r="N39" i="1" s="1" a="1"/>
  <c r="N39" i="1" s="1"/>
  <c r="M38" i="1"/>
  <c r="O38" i="1"/>
  <c r="N38" i="1" s="1" a="1"/>
  <c r="N38" i="1" s="1"/>
  <c r="M37" i="1"/>
  <c r="O37" i="1"/>
  <c r="N37" i="1" s="1" a="1"/>
  <c r="N37" i="1" s="1"/>
  <c r="M36" i="1"/>
  <c r="O36" i="1"/>
  <c r="N36" i="1" s="1" a="1"/>
  <c r="N36" i="1" s="1"/>
  <c r="M35" i="1"/>
  <c r="O35" i="1"/>
  <c r="N35" i="1" s="1" a="1"/>
  <c r="N35" i="1" s="1"/>
  <c r="M34" i="1"/>
  <c r="O34" i="1"/>
  <c r="N34" i="1" s="1" a="1"/>
  <c r="N34" i="1" s="1"/>
  <c r="M33" i="1"/>
  <c r="O33" i="1"/>
  <c r="N33" i="1" s="1" a="1"/>
  <c r="N33" i="1" s="1"/>
  <c r="M32" i="1"/>
  <c r="O32" i="1"/>
  <c r="N32" i="1" s="1" a="1"/>
  <c r="N32" i="1" s="1"/>
  <c r="M31" i="1"/>
  <c r="O31" i="1"/>
  <c r="N31" i="1" s="1" a="1"/>
  <c r="N31" i="1" s="1"/>
  <c r="M30" i="1"/>
  <c r="O30" i="1"/>
  <c r="N30" i="1" s="1" a="1"/>
  <c r="N30" i="1" s="1"/>
  <c r="M29" i="1"/>
  <c r="O29" i="1"/>
  <c r="N29" i="1" s="1" a="1"/>
  <c r="N29" i="1" s="1"/>
  <c r="M28" i="1"/>
  <c r="O28" i="1"/>
  <c r="N28" i="1" s="1" a="1"/>
  <c r="N28" i="1" s="1"/>
  <c r="M27" i="1"/>
  <c r="O27" i="1"/>
  <c r="N27" i="1" s="1" a="1"/>
  <c r="N27" i="1" s="1"/>
  <c r="M26" i="1"/>
  <c r="O26" i="1"/>
  <c r="N26" i="1" s="1" a="1"/>
  <c r="N26" i="1" s="1"/>
  <c r="M25" i="1"/>
  <c r="O25" i="1"/>
  <c r="N25" i="1" s="1" a="1"/>
  <c r="N25" i="1" s="1"/>
  <c r="M24" i="1"/>
  <c r="O24" i="1"/>
  <c r="N24" i="1" s="1" a="1"/>
  <c r="N24" i="1" s="1"/>
  <c r="M23" i="1"/>
  <c r="O23" i="1"/>
  <c r="N23" i="1" s="1" a="1"/>
  <c r="N23" i="1" s="1"/>
  <c r="M22" i="1"/>
  <c r="O22" i="1"/>
  <c r="N22" i="1" s="1" a="1"/>
  <c r="N22" i="1" s="1"/>
  <c r="M21" i="1"/>
  <c r="O21" i="1"/>
  <c r="N21" i="1" s="1" a="1"/>
  <c r="N21" i="1" s="1"/>
  <c r="M20" i="1"/>
  <c r="O20" i="1"/>
  <c r="N20" i="1" s="1" a="1"/>
  <c r="N20" i="1" s="1"/>
  <c r="M19" i="1"/>
  <c r="O19" i="1"/>
  <c r="N19" i="1" s="1" a="1"/>
  <c r="N19" i="1" s="1"/>
  <c r="M18" i="1"/>
  <c r="O18" i="1"/>
  <c r="N18" i="1" s="1" a="1"/>
  <c r="N18" i="1" s="1"/>
  <c r="M17" i="1"/>
  <c r="O17" i="1"/>
  <c r="N17" i="1" s="1" a="1"/>
  <c r="N17" i="1" s="1"/>
  <c r="M16" i="1"/>
  <c r="O16" i="1"/>
  <c r="N16" i="1" s="1" a="1"/>
  <c r="N16" i="1" s="1"/>
  <c r="M15" i="1"/>
  <c r="O15" i="1"/>
  <c r="N15" i="1" s="1" a="1"/>
  <c r="N15" i="1" s="1"/>
  <c r="M14" i="1"/>
  <c r="O14" i="1"/>
  <c r="N14" i="1" s="1" a="1"/>
  <c r="N14" i="1" s="1"/>
  <c r="M13" i="1"/>
  <c r="O13" i="1"/>
  <c r="N13" i="1" s="1" a="1"/>
  <c r="N13" i="1" s="1"/>
  <c r="M12" i="1"/>
  <c r="O12" i="1"/>
  <c r="N12" i="1" s="1" a="1"/>
  <c r="N12" i="1" s="1"/>
  <c r="M11" i="1"/>
  <c r="O11" i="1"/>
  <c r="N11" i="1" s="1" a="1"/>
  <c r="N11" i="1" s="1"/>
  <c r="M10" i="1"/>
  <c r="O10" i="1"/>
  <c r="N10" i="1" s="1" a="1"/>
  <c r="N10" i="1" s="1"/>
  <c r="M9" i="1"/>
  <c r="O9" i="1"/>
  <c r="N9" i="1" s="1" a="1"/>
  <c r="N9" i="1" s="1"/>
  <c r="M8" i="1"/>
  <c r="O8" i="1"/>
  <c r="N8" i="1" s="1" a="1"/>
  <c r="N8" i="1" s="1"/>
  <c r="M7" i="1"/>
  <c r="O7" i="1"/>
  <c r="N7" i="1" s="1" a="1"/>
  <c r="N7" i="1" s="1"/>
  <c r="M6" i="1"/>
  <c r="O6" i="1"/>
  <c r="N6" i="1" s="1" a="1"/>
  <c r="N6" i="1" s="1"/>
  <c r="D8" i="4"/>
  <c r="E9" i="4"/>
  <c r="D9" i="4"/>
  <c r="E8" i="4"/>
  <c r="N89" i="1"/>
  <c r="M86" i="2"/>
  <c r="K86" i="2"/>
  <c r="O8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<sst xmlns="http://schemas.openxmlformats.org/spreadsheetml/2006/main" count="1174" uniqueCount="715">
  <si>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</si>
  <si>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</si>
  <si>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</si>
  <si>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</si>
  <si>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</si>
  <si>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</si>
  <si>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</si>
  <si>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</si>
  <si>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</si>
  <si>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Check</t>
  </si>
  <si>
    <t>Payment No</t>
  </si>
  <si>
    <t>Bank Details</t>
  </si>
  <si>
    <t>Inv Month</t>
  </si>
  <si>
    <t>PO Number</t>
  </si>
  <si>
    <t>Location</t>
  </si>
  <si>
    <t>Type</t>
  </si>
  <si>
    <t>$ Amount</t>
  </si>
  <si>
    <t>Cleaned Data</t>
  </si>
  <si>
    <t>Invoice Date</t>
  </si>
  <si>
    <t>Paid Date</t>
  </si>
  <si>
    <t>Overdue Days</t>
  </si>
  <si>
    <t>Column1</t>
  </si>
  <si>
    <t>Column2</t>
  </si>
  <si>
    <t>Apr 20</t>
  </si>
  <si>
    <t>Apr 01</t>
  </si>
  <si>
    <t>inv_x000C_</t>
  </si>
  <si>
    <t>S 1021.02</t>
  </si>
  <si>
    <t>PO-Melbourne-327600</t>
  </si>
  <si>
    <t>Total Paid :</t>
  </si>
  <si>
    <t>Apr 17</t>
  </si>
  <si>
    <t>Mar 23</t>
  </si>
  <si>
    <t>INV_x000C_</t>
  </si>
  <si>
    <t>S 742.50</t>
  </si>
  <si>
    <t>PO-Sydney-223809</t>
  </si>
  <si>
    <t xml:space="preserve">Payments : </t>
  </si>
  <si>
    <t>Apr 05</t>
  </si>
  <si>
    <t>Mar 16</t>
  </si>
  <si>
    <t>S 409.53</t>
  </si>
  <si>
    <t>PO-Melbourne-332589</t>
  </si>
  <si>
    <t>Mar 25</t>
  </si>
  <si>
    <t>cr _x000C_</t>
  </si>
  <si>
    <t>S 234.96</t>
  </si>
  <si>
    <t>PO-Melbourne-337131</t>
  </si>
  <si>
    <t>Apr 10</t>
  </si>
  <si>
    <t>Mar 17</t>
  </si>
  <si>
    <t>cr_x000C_</t>
  </si>
  <si>
    <t>S 450.12</t>
  </si>
  <si>
    <t>PO-Melbourne-319376</t>
  </si>
  <si>
    <t>Apr 30</t>
  </si>
  <si>
    <t>Apr 09</t>
  </si>
  <si>
    <t>S 114.18</t>
  </si>
  <si>
    <t>PO-Melbourne-334724</t>
  </si>
  <si>
    <t>inv  _x000C_</t>
  </si>
  <si>
    <t>S 930.93</t>
  </si>
  <si>
    <t>PO-Melbourne-310607</t>
  </si>
  <si>
    <t>Apr 14</t>
  </si>
  <si>
    <t>Mar 27</t>
  </si>
  <si>
    <t xml:space="preserve">  inv_x000C_</t>
  </si>
  <si>
    <t>S 466.29</t>
  </si>
  <si>
    <t>PO-Sydney-226225</t>
  </si>
  <si>
    <t>Apr 27</t>
  </si>
  <si>
    <t>Mar 22</t>
  </si>
  <si>
    <t>S 222.42</t>
  </si>
  <si>
    <t>PO-Sydney-223858</t>
  </si>
  <si>
    <t>Apr 11</t>
  </si>
  <si>
    <t>Mar 09</t>
  </si>
  <si>
    <t>S 679.80</t>
  </si>
  <si>
    <t>PO-Sydney-211781</t>
  </si>
  <si>
    <t>Apr 23</t>
  </si>
  <si>
    <t>Apr 04</t>
  </si>
  <si>
    <t>S 171.93</t>
  </si>
  <si>
    <t>PO-Sydney-232805</t>
  </si>
  <si>
    <t>Apr 06</t>
  </si>
  <si>
    <t>Feb 24</t>
  </si>
  <si>
    <t>Inv_x000C_</t>
  </si>
  <si>
    <t>S 623.70</t>
  </si>
  <si>
    <t>PO-Melbourne-312187</t>
  </si>
  <si>
    <t>Apr 24</t>
  </si>
  <si>
    <t>Mar 29</t>
  </si>
  <si>
    <t>S 221.10</t>
  </si>
  <si>
    <t>PO-Melbourne-319790</t>
  </si>
  <si>
    <t>Apr 28</t>
  </si>
  <si>
    <t>S 393.36</t>
  </si>
  <si>
    <t>PO-Melbourne-327342</t>
  </si>
  <si>
    <t>Apr 21</t>
  </si>
  <si>
    <t>S 642.18</t>
  </si>
  <si>
    <t>PO-Melbourne-335460</t>
  </si>
  <si>
    <t>Mar 19</t>
  </si>
  <si>
    <t>S 499.95</t>
  </si>
  <si>
    <t>PO-Melbourne-323955</t>
  </si>
  <si>
    <t>Apr 07</t>
  </si>
  <si>
    <t>Feb 29</t>
  </si>
  <si>
    <t>S 299.64</t>
  </si>
  <si>
    <t>PO-Melbourne-316515</t>
  </si>
  <si>
    <t>S 312.84</t>
  </si>
  <si>
    <t>PO-Sydney-231320</t>
  </si>
  <si>
    <t>Mar 14</t>
  </si>
  <si>
    <t>S 993.63</t>
  </si>
  <si>
    <t>PO-Sydney-213670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</si>
  <si>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</si>
  <si>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</si>
  <si>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</si>
  <si>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</si>
  <si>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</si>
  <si>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</si>
  <si>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</si>
  <si>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</si>
  <si>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</si>
  <si>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</si>
  <si>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</si>
  <si>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</si>
  <si>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</si>
  <si>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</si>
  <si>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</si>
  <si>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</si>
  <si>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</si>
  <si>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</si>
  <si>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</si>
  <si>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</si>
  <si>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</si>
  <si>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</si>
  <si>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</si>
  <si>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</si>
  <si>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</si>
  <si>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</si>
  <si>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</si>
  <si>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</si>
  <si>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</si>
  <si>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</si>
  <si>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</si>
  <si>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</si>
  <si>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</si>
  <si>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</si>
  <si>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</si>
  <si>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</si>
  <si>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</si>
  <si>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</si>
  <si>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</si>
  <si>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</si>
  <si>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</si>
  <si>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</si>
  <si>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</si>
  <si>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</si>
  <si>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</si>
  <si>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</si>
  <si>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</si>
  <si>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</si>
  <si>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</si>
  <si>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</si>
  <si>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</si>
  <si>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</si>
  <si>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</si>
  <si>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</si>
  <si>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</si>
  <si>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</si>
  <si>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</si>
  <si>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</si>
  <si>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</si>
  <si>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</si>
  <si>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</si>
  <si>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</si>
  <si>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</si>
  <si>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</si>
  <si>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</si>
  <si>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</si>
  <si>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</si>
  <si>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</si>
  <si>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</si>
  <si>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</si>
  <si>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</si>
  <si>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</si>
  <si>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</si>
  <si>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</si>
  <si>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</si>
  <si>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</si>
  <si>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</si>
  <si>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</si>
  <si>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</si>
  <si>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</si>
  <si>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</si>
  <si>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</si>
  <si>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</si>
  <si>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</si>
  <si>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</si>
  <si>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</si>
  <si>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</si>
  <si>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</si>
  <si>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</si>
  <si>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</si>
  <si>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</si>
  <si>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</si>
  <si>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</si>
  <si>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</si>
  <si>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</si>
  <si>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</si>
  <si>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</si>
  <si>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</si>
  <si>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</si>
  <si>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</si>
  <si>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</si>
  <si>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</si>
  <si>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</si>
  <si>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</si>
  <si>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</si>
  <si>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</si>
  <si>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</si>
  <si>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</si>
  <si>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</si>
  <si>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</si>
  <si>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</si>
  <si>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</si>
  <si>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</si>
  <si>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</si>
  <si>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</si>
  <si>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</si>
  <si>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</si>
  <si>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</si>
  <si>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</si>
  <si>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</si>
  <si>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</si>
  <si>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</si>
  <si>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</si>
  <si>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</si>
  <si>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</si>
  <si>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</si>
  <si>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</si>
  <si>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</si>
  <si>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</si>
  <si>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</si>
  <si>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</si>
  <si>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</si>
  <si>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</si>
  <si>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</si>
  <si>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</si>
  <si>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</si>
  <si>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</si>
  <si>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</si>
  <si>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</si>
  <si>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</si>
  <si>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</si>
  <si>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</si>
  <si>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</si>
  <si>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</si>
  <si>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</si>
  <si>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</si>
  <si>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</si>
  <si>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</si>
  <si>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</si>
  <si>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</si>
  <si>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</si>
  <si>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</si>
  <si>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</si>
  <si>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</si>
  <si>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</si>
  <si>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</si>
  <si>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</si>
  <si>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</si>
  <si>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</si>
  <si>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</si>
  <si>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Total</t>
  </si>
  <si>
    <t>System Report for MedsCo April 2020</t>
  </si>
  <si>
    <t>System Date:</t>
  </si>
  <si>
    <t>Payments Made:</t>
  </si>
  <si>
    <t>Location:</t>
  </si>
  <si>
    <t>Melbourne</t>
  </si>
  <si>
    <t>Penalty Rate:</t>
  </si>
  <si>
    <t>Payment Ref</t>
  </si>
  <si>
    <t>Supplier Code</t>
  </si>
  <si>
    <t>Due Date</t>
  </si>
  <si>
    <t>Payment Date</t>
  </si>
  <si>
    <t>Amount</t>
  </si>
  <si>
    <t>Invoice Day</t>
  </si>
  <si>
    <t>Invoice Month</t>
  </si>
  <si>
    <t>Over Due By</t>
  </si>
  <si>
    <t>Late Charge</t>
  </si>
  <si>
    <t>Over Due</t>
  </si>
  <si>
    <t>24673_1</t>
  </si>
  <si>
    <t>MC2741</t>
  </si>
  <si>
    <t>1641-7654320-72</t>
  </si>
  <si>
    <t>Sydney</t>
  </si>
  <si>
    <t>2554-4551221-33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</si>
  <si>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</si>
  <si>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</si>
  <si>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</si>
  <si>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</si>
  <si>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</si>
  <si>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</si>
  <si>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</si>
  <si>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</si>
  <si>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</si>
  <si>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</si>
  <si>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</si>
  <si>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</si>
  <si>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</si>
  <si>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</si>
  <si>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</si>
  <si>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</si>
  <si>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</si>
  <si>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</si>
  <si>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</si>
  <si>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</si>
  <si>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</si>
  <si>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</si>
  <si>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</si>
  <si>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</si>
  <si>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</si>
  <si>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</si>
  <si>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</si>
  <si>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</si>
  <si>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</si>
  <si>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</si>
  <si>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</si>
  <si>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</si>
  <si>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</si>
  <si>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</si>
  <si>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</si>
  <si>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</si>
  <si>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</si>
  <si>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</si>
  <si>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</si>
  <si>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</si>
  <si>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</si>
  <si>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</si>
  <si>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</si>
  <si>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</si>
  <si>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</si>
  <si>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</si>
  <si>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</si>
  <si>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</si>
  <si>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</si>
  <si>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</si>
  <si>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</si>
  <si>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</si>
  <si>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</si>
  <si>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</si>
  <si>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</si>
  <si>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</si>
  <si>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</si>
  <si>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</si>
  <si>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</si>
  <si>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</si>
  <si>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</si>
  <si>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</si>
  <si>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</si>
  <si>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</si>
  <si>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</si>
  <si>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</si>
  <si>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</si>
  <si>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</si>
  <si>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</si>
  <si>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</si>
  <si>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</si>
  <si>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</si>
  <si>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</si>
  <si>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</si>
  <si>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</si>
  <si>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</si>
  <si>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</si>
  <si>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</si>
  <si>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</si>
  <si>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</si>
  <si>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</si>
  <si>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</si>
  <si>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Analysis for MedsCo April 2020</t>
  </si>
  <si>
    <t>Supplier Statement Total:</t>
  </si>
  <si>
    <t>DC Report Total Paid:</t>
  </si>
  <si>
    <t>Difference:</t>
  </si>
  <si>
    <t>Region</t>
  </si>
  <si>
    <t>Number of Invoices</t>
  </si>
  <si>
    <t>Total Paid</t>
  </si>
  <si>
    <t>Days Overdue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</si>
  <si>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</si>
  <si>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</si>
  <si>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</si>
  <si>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</si>
  <si>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</si>
  <si>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</si>
  <si>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</si>
  <si>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</si>
  <si>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</si>
  <si>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</si>
  <si>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</si>
  <si>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A</t>
  </si>
  <si>
    <t></t>
  </si>
  <si>
    <t>SOH</t>
  </si>
  <si>
    <t>start of header</t>
  </si>
  <si>
    <t>"</t>
  </si>
  <si>
    <t>double quote</t>
  </si>
  <si>
    <t>B</t>
  </si>
  <si>
    <t></t>
  </si>
  <si>
    <t>STX</t>
  </si>
  <si>
    <t>start of text</t>
  </si>
  <si>
    <t>#</t>
  </si>
  <si>
    <t>number</t>
  </si>
  <si>
    <t>C</t>
  </si>
  <si>
    <t></t>
  </si>
  <si>
    <t>ETX</t>
  </si>
  <si>
    <t>end of text</t>
  </si>
  <si>
    <t>$</t>
  </si>
  <si>
    <t>dollar</t>
  </si>
  <si>
    <t>D</t>
  </si>
  <si>
    <t></t>
  </si>
  <si>
    <t>EOT</t>
  </si>
  <si>
    <t>end of transmission</t>
  </si>
  <si>
    <t>%</t>
  </si>
  <si>
    <t>percent</t>
  </si>
  <si>
    <t>E</t>
  </si>
  <si>
    <t></t>
  </si>
  <si>
    <t>ENQ</t>
  </si>
  <si>
    <t>enquiry</t>
  </si>
  <si>
    <t>&amp;</t>
  </si>
  <si>
    <t>ampersand</t>
  </si>
  <si>
    <t>F</t>
  </si>
  <si>
    <t></t>
  </si>
  <si>
    <t>ACK</t>
  </si>
  <si>
    <t>acknowledge</t>
  </si>
  <si>
    <t>'</t>
  </si>
  <si>
    <t>single quote</t>
  </si>
  <si>
    <t>G</t>
  </si>
  <si>
    <t></t>
  </si>
  <si>
    <t>BEL</t>
  </si>
  <si>
    <t>bell</t>
  </si>
  <si>
    <t>(</t>
  </si>
  <si>
    <t>left parenthesis</t>
  </si>
  <si>
    <t>H</t>
  </si>
  <si>
    <t></t>
  </si>
  <si>
    <t>BS</t>
  </si>
  <si>
    <t>backspace</t>
  </si>
  <si>
    <t>)</t>
  </si>
  <si>
    <t>right parenthesis</t>
  </si>
  <si>
    <t>I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</si>
  <si>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</si>
  <si>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</si>
  <si>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</si>
  <si>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</si>
  <si>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</si>
  <si>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J</t>
  </si>
  <si>
    <t></t>
  </si>
  <si>
    <t>LF</t>
  </si>
  <si>
    <t>line feed</t>
  </si>
  <si>
    <t>+</t>
  </si>
  <si>
    <t>plus</t>
  </si>
  <si>
    <t>K</t>
  </si>
  <si>
    <t></t>
  </si>
  <si>
    <t>VT</t>
  </si>
  <si>
    <t>vertical tab</t>
  </si>
  <si>
    <t>,</t>
  </si>
  <si>
    <t>comma</t>
  </si>
  <si>
    <t>L</t>
  </si>
  <si>
    <t></t>
  </si>
  <si>
    <t>FF</t>
  </si>
  <si>
    <t>form feed</t>
  </si>
  <si>
    <t>-</t>
  </si>
  <si>
    <t>minus</t>
  </si>
  <si>
    <t>M</t>
  </si>
  <si>
    <t></t>
  </si>
  <si>
    <t>CR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</si>
  <si>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</si>
  <si>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</si>
  <si>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</si>
  <si>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N</t>
  </si>
  <si>
    <t></t>
  </si>
  <si>
    <t>SO</t>
  </si>
  <si>
    <t>shift out</t>
  </si>
  <si>
    <t>/</t>
  </si>
  <si>
    <t>slash</t>
  </si>
  <si>
    <t>O</t>
  </si>
  <si>
    <t></t>
  </si>
  <si>
    <t>SI</t>
  </si>
  <si>
    <t>shift in</t>
  </si>
  <si>
    <t>zero</t>
  </si>
  <si>
    <t>P</t>
  </si>
  <si>
    <t></t>
  </si>
  <si>
    <t>DLE</t>
  </si>
  <si>
    <t>data link escape</t>
  </si>
  <si>
    <t>one</t>
  </si>
  <si>
    <t>Q</t>
  </si>
  <si>
    <t></t>
  </si>
  <si>
    <t>DC1</t>
  </si>
  <si>
    <t>device control 1</t>
  </si>
  <si>
    <t>two</t>
  </si>
  <si>
    <t>R</t>
  </si>
  <si>
    <t></t>
  </si>
  <si>
    <t>DC2</t>
  </si>
  <si>
    <t>device control 2</t>
  </si>
  <si>
    <t>three</t>
  </si>
  <si>
    <t>S</t>
  </si>
  <si>
    <t></t>
  </si>
  <si>
    <t>DC3</t>
  </si>
  <si>
    <t>device control 3</t>
  </si>
  <si>
    <t>four</t>
  </si>
  <si>
    <t>T</t>
  </si>
  <si>
    <t></t>
  </si>
  <si>
    <t>DC4</t>
  </si>
  <si>
    <t>device control 4</t>
  </si>
  <si>
    <t>five</t>
  </si>
  <si>
    <t>U</t>
  </si>
  <si>
    <t></t>
  </si>
  <si>
    <t>NAK</t>
  </si>
  <si>
    <t>negative acknowledge</t>
  </si>
  <si>
    <t>six</t>
  </si>
  <si>
    <t>V</t>
  </si>
  <si>
    <t></t>
  </si>
  <si>
    <t>SYN</t>
  </si>
  <si>
    <t>synchronize</t>
  </si>
  <si>
    <t>seven</t>
  </si>
  <si>
    <t>W</t>
  </si>
  <si>
    <t></t>
  </si>
  <si>
    <t>ETB</t>
  </si>
  <si>
    <t>end of trans. block</t>
  </si>
  <si>
    <t>eight</t>
  </si>
  <si>
    <t>X</t>
  </si>
  <si>
    <t></t>
  </si>
  <si>
    <t>CAN</t>
  </si>
  <si>
    <t>cancel</t>
  </si>
  <si>
    <t>nine</t>
  </si>
  <si>
    <t>Y</t>
  </si>
  <si>
    <t></t>
  </si>
  <si>
    <t>EM</t>
  </si>
  <si>
    <t>end of medium</t>
  </si>
  <si>
    <t>:</t>
  </si>
  <si>
    <t>colon</t>
  </si>
  <si>
    <t>Z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</si>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</sst>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&quot;$&quot;#,##0.00;[Red]\-&quot;$&quot;#,##0.00"/>
    <numFmt numFmtId="166" formatCode="_-&quot;$&quot;* #,##0.00_-;\-&quot;$&quot;* #,##0.00_-;_-&quot;$&quot;* &quot;-&quot;??_-;_-@_-"/>
    <numFmt numFmtId="167" formatCode="&quot;$&quot;#,##0.00"/>
    <numFmt numFmtId="168" formatCode="yyyy\-mm\-dd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6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0" fontId="9" fillId="0" borderId="1" xfId="10"/>
    <xf numFmtId="0" fontId="10" fillId="0" borderId="0" xfId="11"/>
    <xf numFmtId="0" fontId="0" fillId="7" borderId="3" xfId="0" applyFill="1" applyBorder="1"/>
    <xf numFmtId="0" fontId="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1" fillId="2" borderId="0" xfId="1" applyBorder="1"/>
    <xf numFmtId="0" fontId="11" fillId="0" borderId="0" xfId="0" applyFont="1"/>
    <xf numFmtId="14" fontId="11" fillId="0" borderId="0" xfId="0" applyNumberFormat="1" applyFont="1"/>
    <xf numFmtId="165" fontId="11" fillId="0" borderId="0" xfId="0" applyNumberFormat="1" applyFont="1"/>
    <xf numFmtId="0" fontId="0" fillId="0" borderId="0" xfId="0" applyAlignment="1">
      <alignment wrapText="1"/>
    </xf>
    <xf numFmtId="0" fontId="12" fillId="0" borderId="0" xfId="0" applyFont="1" applyAlignment="1">
      <alignment horizontal="center" wrapText="1"/>
    </xf>
    <xf numFmtId="167" fontId="0" fillId="0" borderId="0" xfId="0" applyNumberFormat="1" applyAlignment="1">
      <alignment wrapText="1"/>
    </xf>
    <xf numFmtId="0" fontId="12" fillId="0" borderId="0" xfId="0" applyFont="1" applyAlignment="1">
      <alignment horizontal="center"/>
    </xf>
    <xf numFmtId="14" fontId="0" fillId="0" borderId="0" xfId="0" applyNumberFormat="1"/>
    <xf numFmtId="0" fontId="11" fillId="0" borderId="0" xfId="0" applyFont="1" applyAlignment="1">
      <alignment wrapText="1"/>
    </xf>
    <xf numFmtId="14" fontId="0" fillId="7" borderId="3" xfId="0" applyNumberFormat="1" applyFill="1" applyBorder="1"/>
    <xf numFmtId="168" fontId="0" fillId="7" borderId="0" xfId="0" applyNumberFormat="1" applyFill="1" applyBorder="1" applyAlignment="1">
      <alignment horizontal="right"/>
    </xf>
    <xf numFmtId="167" fontId="0" fillId="0" borderId="0" xfId="9" applyNumberFormat="1" applyFont="1" applyAlignment="1">
      <alignment wrapText="1"/>
    </xf>
    <xf numFmtId="0" fontId="0" fillId="8" borderId="0" xfId="0" applyFont="1" applyFill="1"/>
    <xf numFmtId="0" fontId="12" fillId="0" borderId="0" xfId="0" applyFont="1"/>
    <xf numFmtId="165" fontId="11" fillId="0" borderId="0" xfId="0" applyNumberFormat="1" applyFont="1" applyAlignment="1">
      <alignment wrapText="1"/>
    </xf>
    <xf numFmtId="168" fontId="0" fillId="7" borderId="3" xfId="0" applyNumberFormat="1" applyFill="1" applyBorder="1" applyAlignment="1">
      <alignment horizontal="right" wrapText="1"/>
    </xf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5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67" formatCode="&quot;$&quot;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BCA6F-8177-4CE6-8CF2-5DCBECBC96E3}" name="tbl_supplier" displayName="tbl_supplier" ref="A1:W86" totalsRowCount="1">
  <autoFilter ref="A1:W85" xr:uid="{98FBCA6F-8177-4CE6-8CF2-5DCBECBC96E3}"/>
  <sortState xmlns:xlrd2="http://schemas.microsoft.com/office/spreadsheetml/2017/richdata2" caseSensitive="1" ref="A2:T85">
    <sortCondition ref="A1:A85"/>
  </sortState>
  <tableColumns count="23">
    <tableColumn id="1" xr3:uid="{4C69827E-5A8C-4E97-A0C5-83276200D97A}" name="Document No" totalsRowLabel="Total" totalsRowDxfId="55" dataCellStyle="20% - Accent3"/>
    <tableColumn id="2" xr3:uid="{CFB593E7-86C0-4A88-9AF7-D89BFCD899AB}" name="Payment No." totalsRowDxfId="54" dataCellStyle="20% - Accent3"/>
    <tableColumn id="3" xr3:uid="{38915D3B-39C7-431C-A562-47F8B3FA92CB}" name="Paid" totalsRowDxfId="53" dataCellStyle="20% - Accent3"/>
    <tableColumn id="4" xr3:uid="{7AF82402-F739-43A8-A6B7-7883CE21E2BE}" name="Invoiced" totalsRowDxfId="52" dataCellStyle="20% - Accent3"/>
    <tableColumn id="5" xr3:uid="{3A1C9E19-EF73-4435-8A46-C2D30F1FD249}" name="Inv/cr" totalsRowDxfId="51" dataCellStyle="20% - Accent3"/>
    <tableColumn id="6" xr3:uid="{21C961F8-022F-4036-BADB-AB3494302BE2}" name="Paid Amount" totalsRowDxfId="50" dataCellStyle="20% - Accent3"/>
    <tableColumn id="7" xr3:uid="{24AE84D1-2C2D-470D-B2E6-7BE003732CCD}" name="Customer PO" totalsRowDxfId="49" dataCellStyle="20% - Accent3"/>
    <tableColumn id="8" xr3:uid="{6F29270A-B1D1-4C58-A3F2-7359B603FF3C}" name="ABN" totalsRowDxfId="48" dataCellStyle="20% - Accent3"/>
    <tableColumn id="9" xr3:uid="{8124A371-56F3-4E04-A62A-A36E2EBC355E}" name="Acct" totalsRowDxfId="47" dataCellStyle="20% - Accent3"/>
    <tableColumn id="10" xr3:uid="{E4FC3A63-B972-443A-9F84-A815EBF196EA}" name="Check" totalsRowDxfId="46" dataCellStyle="20% - Accent3"/>
    <tableColumn id="11" xr3:uid="{07C1FA0D-0C40-42E9-BC85-AEE51C720A5E}" name="Payment No" totalsRowFunction="custom">
      <totalsRowFormula>SUBTOTAL(102,K85:K87)</totalsRowFormula>
    </tableColumn>
    <tableColumn id="12" xr3:uid="{55A045F8-A4F1-4837-83ED-0A2835FDE9E7}" name="Bank Details"/>
    <tableColumn id="13" xr3:uid="{479126E9-BEC2-477F-B5E5-ECAC6C70675E}" name="Inv Month" totalsRowFunction="custom">
      <totalsRowFormula>SUBTOTAL(102,M85:M87)</totalsRowFormula>
    </tableColumn>
    <tableColumn id="14" xr3:uid="{1DB8CC0B-3EA0-43BC-A3BA-C3BF105539C3}" name="PO Number">
      <calculatedColumnFormula>VALUE(RIGHT(G2,6))</calculatedColumnFormula>
    </tableColumn>
    <tableColumn id="15" xr3:uid="{CF1FD1A7-42BA-4D9C-B79F-84605A6F50C5}" name="Location" totalsRowFunction="custom" dataDxfId="44" totalsRowDxfId="45">
      <totalsRowFormula>SUBTOTAL(103,O85:O87)</totalsRowFormula>
    </tableColumn>
    <tableColumn id="16" xr3:uid="{DA95BFD0-DAF6-45D6-B330-638F2F151276}" name="Type"/>
    <tableColumn id="17" xr3:uid="{14A8AC18-DA8B-4E85-ABA8-A11D1AAD37C0}" name="$ Amount" totalsRowFunction="custom" dataDxfId="42" totalsRowDxfId="43">
      <totalsRowFormula>SUBTOTAL(109,Q2:Q85)</totalsRowFormula>
    </tableColumn>
    <tableColumn id="18" xr3:uid="{8F50C853-9C39-4639-B0FA-C2086C1C5793}" name="Cleaned Data"/>
    <tableColumn id="19" xr3:uid="{498C0801-8666-43C8-B0F1-5AF99652D092}" name="Invoice Date" dataDxfId="41">
      <calculatedColumnFormula>VALUE(D2)</calculatedColumnFormula>
    </tableColumn>
    <tableColumn id="20" xr3:uid="{AFC29976-1A90-42F5-9A52-FA52E4BB8BB8}" name="Paid Date" totalsRowFunction="count"/>
    <tableColumn id="21" xr3:uid="{F55871F0-A481-4204-9AA1-8983FADFDC4A}" name="Overdue Days" dataDxfId="40">
      <calculatedColumnFormula>tbl_supplier[[#This Row],[Paid Date]]-tbl_supplier[[#This Row],[Invoice Date]]</calculatedColumnFormula>
    </tableColumn>
    <tableColumn id="22" xr3:uid="{C0472AB1-708A-477F-96C6-A0FC12D67F4C}" name="Column1" dataDxfId="39">
      <calculatedColumnFormula>VLOOKUP(tbl_supplier[[#This Row],[Payment No]],tbl_MC[Payment Ref],1,FALSE)</calculatedColumnFormula>
    </tableColumn>
    <tableColumn id="23" xr3:uid="{4D8ECE11-BEBC-4F09-9E57-B77EADBF8167}" name="Column2" dataDxfId="38">
      <calculatedColumnFormula>_xlfn.XLOOKUP(tbl_supplier[[#This Row],[PO Number]],'MC Invoice Report'!H5,'MC Invoice Report'!C5,"NOT FOUND",0,1)</calculatedColumnFormula>
    </tableColumn>
  </tableColumns>
  <tableStyleInfo name="TableStyleMedium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10AE7-7B26-4B9C-80F5-C075F49BD9DC}" name="tbl_MC" displayName="tbl_MC" ref="A4:P89" totalsRowCount="1" headerRowDxfId="35" dataDxfId="34">
  <autoFilter ref="A4:P88" xr:uid="{7F110AE7-7B26-4B9C-80F5-C075F49BD9DC}"/>
  <tableColumns count="16">
    <tableColumn id="1" xr3:uid="{5AA226A2-988D-4F32-B2A7-B1F52D539EAA}" name="Payment Ref" totalsRowLabel="Total" dataDxfId="32" totalsRowDxfId="33"/>
    <tableColumn id="2" xr3:uid="{4F471E53-4B50-4D22-8303-2BD20A515D25}" name="Supplier Code" totalsRowFunction="custom" dataDxfId="30" totalsRowDxfId="31">
      <totalsRowFormula>SUBTOTAL(103,B5:B88)</totalsRowFormula>
    </tableColumn>
    <tableColumn id="3" xr3:uid="{052BEBE1-3CF3-464D-9BCF-FAB10C062067}" name="Payment No." dataDxfId="28" totalsRowDxfId="29"/>
    <tableColumn id="4" xr3:uid="{42493DF1-AB7D-4688-8F95-5F9BB8E1E85C}" name="Invoice Date" dataDxfId="26" totalsRowDxfId="27"/>
    <tableColumn id="5" xr3:uid="{33E1150D-3FA0-4685-BF73-EB60610773C1}" name="Due Date" dataDxfId="24" totalsRowDxfId="25">
      <calculatedColumnFormula>WORKDAY(EDATE(D5,1)-1,1)</calculatedColumnFormula>
    </tableColumn>
    <tableColumn id="6" xr3:uid="{35D4CD48-0DDA-4516-BBCA-7F2D13757D08}" name="Payment Date" dataDxfId="22" totalsRowDxfId="23"/>
    <tableColumn id="7" xr3:uid="{372917B7-933C-4AB7-AB45-5E24BFF2DB6F}" name="Bank Details" dataDxfId="20" totalsRowDxfId="21"/>
    <tableColumn id="8" xr3:uid="{9E60D867-329F-4153-970F-680912F0081B}" name="PO Number" dataDxfId="18" totalsRowDxfId="19"/>
    <tableColumn id="9" xr3:uid="{EEA0DC0B-A67E-4F8F-AABF-7F0B1CA72C9B}" name="Location" dataDxfId="16" totalsRowDxfId="17"/>
    <tableColumn id="10" xr3:uid="{52D82B33-619A-4633-94C4-7E3407D86564}" name="Amount" totalsRowFunction="custom" dataDxfId="14" totalsRowDxfId="15">
      <totalsRowFormula>SUBTOTAL(109,J5:J88)</totalsRowFormula>
    </tableColumn>
    <tableColumn id="11" xr3:uid="{543863B3-C1DA-439A-B93A-33C3B5EC6043}" name="Invoice Day" dataDxfId="12" totalsRowDxfId="13">
      <calculatedColumnFormula>TEXT(D5,"DDD")</calculatedColumnFormula>
    </tableColumn>
    <tableColumn id="12" xr3:uid="{75286124-7D3A-4768-BE9F-F4190D2AA0AC}" name="Invoice Month" dataDxfId="10" totalsRowDxfId="11">
      <calculatedColumnFormula>MID(TEXT(D5,"YYYY-MMM-DD"),6,3)</calculatedColumnFormula>
    </tableColumn>
    <tableColumn id="13" xr3:uid="{285EFABF-3437-45F7-871D-603F7281E26E}" name="Over Due By" dataDxfId="8" totalsRowDxfId="9">
      <calculatedColumnFormula>IF(NETWORKDAYS(E5,F5,7) &gt; 0,NETWORKDAYS(E5,F5,7),0)</calculatedColumnFormula>
    </tableColumn>
    <tableColumn id="14" xr3:uid="{A3933D29-ADFC-482B-AF18-D2B666946AA7}" name="Late Charge" totalsRowFunction="sum" dataDxfId="6" totalsRowDxfId="7">
      <calculatedColumnFormula array="1">IF(AND(tbl_MC[[#This Row],[Over Due]]="YES",tbl_MC[[#This Row],[Amount]]&gt;=500),tbl_MC[[#This Row],[Amount]]*tbl_MC[[#This Row],[Over Due By]]*Penalty_Rate,0)</calculatedColumnFormula>
    </tableColumn>
    <tableColumn id="15" xr3:uid="{7804B1DD-4FD4-480B-895B-23581A206DA4}" name="Over Due" dataDxfId="4" totalsRowDxfId="5">
      <calculatedColumnFormula>IF(tbl_MC[[#This Row],[Payment Date]]&gt;tbl_MC[[#This Row],[Due Date]],"YES","")</calculatedColumnFormula>
    </tableColumn>
    <tableColumn id="16" xr3:uid="{6C9D9FA5-382F-4DA0-BF80-91E7580CDAA8}" name="Column1" dataDxfId="3">
      <calculatedColumnFormula>VLOOKUP(tbl_MC[[#This Row],[Payment Ref]],'Supplier Invoice Statement'!K2,1,FALSE)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7466D3-8FA2-413C-9156-7DBBE9FBE98D}" name="Table3" displayName="Table3" ref="A7:E9" totalsRowShown="0">
  <autoFilter ref="A7:E9" xr:uid="{E97466D3-8FA2-413C-9156-7DBBE9FBE98D}"/>
  <tableColumns count="5">
    <tableColumn id="1" xr3:uid="{C7C541E0-315B-42B0-8E85-CA3D3E2F0D0F}" name="Region"/>
    <tableColumn id="2" xr3:uid="{D7DC15B5-5134-429C-8FDC-9A71EC3BDE06}" name="Number of Invoices">
      <calculatedColumnFormula>COUNTIF(Location,A8)</calculatedColumnFormula>
    </tableColumn>
    <tableColumn id="3" xr3:uid="{8ACF3892-699A-4D60-A442-2CCC0B31E14F}" name="Total Paid" dataDxfId="2" dataCellStyle="Currency">
      <calculatedColumnFormula>SUMIF(Location,"Melbourne",Amount)</calculatedColumnFormula>
    </tableColumn>
    <tableColumn id="4" xr3:uid="{BF77F386-5367-4A00-B8DB-FB57112E57FD}" name="Days Overdue" dataDxfId="1">
      <calculatedColumnFormula>SUMIF(Location,$A8,tbl_MC[Over Due By])</calculatedColumnFormula>
    </tableColumn>
    <tableColumn id="5" xr3:uid="{4CF0C3CE-8DD2-46A7-B7C0-B26B73B09460}" name="Late Charge" dataDxfId="0">
      <calculatedColumnFormula>SUMIF(Location,$A8,tbl_MC[Late Charge])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7"/>
  <sheetViews>
    <sheetView topLeftCell="T1" zoomScale="130" zoomScaleNormal="130" workbookViewId="0">
      <selection activeCell="V1" sqref="V1"/>
    </sheetView>
  </sheetViews>
  <sheetFormatPr defaultRowHeight="14.45"/>
  <cols>
    <col min="1" max="1" width="15.42578125" customWidth="1"/>
    <col min="2" max="2" width="14.7109375" customWidth="1"/>
    <col min="3" max="3" width="11.7109375" customWidth="1"/>
    <col min="4" max="4" width="13.140625" customWidth="1"/>
    <col min="5" max="5" width="9.42578125" customWidth="1"/>
    <col min="6" max="6" width="14.7109375" customWidth="1"/>
    <col min="7" max="7" width="20.85546875" customWidth="1"/>
    <col min="8" max="8" width="7" customWidth="1"/>
    <col min="9" max="9" width="9.42578125" customWidth="1"/>
    <col min="10" max="10" width="8.42578125" customWidth="1"/>
    <col min="11" max="11" width="14.140625" customWidth="1"/>
    <col min="12" max="12" width="17.5703125" customWidth="1"/>
    <col min="13" max="13" width="12.42578125" customWidth="1"/>
    <col min="14" max="14" width="13.5703125" customWidth="1"/>
    <col min="15" max="15" width="11.140625" customWidth="1"/>
    <col min="17" max="17" width="12" style="1" customWidth="1"/>
    <col min="18" max="18" width="15" customWidth="1"/>
    <col min="19" max="19" width="14.28515625" bestFit="1" customWidth="1"/>
    <col min="20" max="20" width="11.7109375" bestFit="1" customWidth="1"/>
    <col min="21" max="22" width="36.5703125" bestFit="1" customWidth="1"/>
    <col min="23" max="23" width="11.140625" bestFit="1" customWidth="1"/>
    <col min="24" max="24" width="17.85546875" bestFit="1" customWidth="1"/>
    <col min="30" max="30" width="10.5703125" bestFit="1" customWidth="1"/>
  </cols>
  <sheetData>
    <row r="1" spans="1:30" s="11" customFormat="1" ht="22.9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9" t="s">
        <v>16</v>
      </c>
      <c r="R1" s="25" t="s">
        <v>17</v>
      </c>
      <c r="S1" s="27" t="s">
        <v>18</v>
      </c>
      <c r="T1" s="27" t="s">
        <v>19</v>
      </c>
      <c r="U1" s="27" t="s">
        <v>20</v>
      </c>
      <c r="V1" s="11" t="s">
        <v>21</v>
      </c>
      <c r="W1" s="11" t="s">
        <v>22</v>
      </c>
    </row>
    <row r="2" spans="1:30" ht="24.75" customHeight="1">
      <c r="A2" s="20">
        <v>24673</v>
      </c>
      <c r="B2" s="20">
        <v>1</v>
      </c>
      <c r="C2" s="20" t="s">
        <v>23</v>
      </c>
      <c r="D2" s="20" t="s">
        <v>24</v>
      </c>
      <c r="E2" s="20" t="s">
        <v>25</v>
      </c>
      <c r="F2" s="20" t="s">
        <v>26</v>
      </c>
      <c r="G2" s="20" t="s">
        <v>27</v>
      </c>
      <c r="H2" s="20">
        <v>2554</v>
      </c>
      <c r="I2" s="20">
        <v>4551221</v>
      </c>
      <c r="J2" s="20">
        <v>33</v>
      </c>
      <c r="K2" t="str">
        <f>CONCATENATE(A2,"_",B2)</f>
        <v>24673_1</v>
      </c>
      <c r="L2" t="str">
        <f>_xlfn.TEXTJOIN("-",TRUE,H2:J2)</f>
        <v>2554-4551221-33</v>
      </c>
      <c r="M2" t="str">
        <f>LEFT(D2,3)</f>
        <v>Apr</v>
      </c>
      <c r="N2">
        <f>VALUE(RIGHT(G2,6))</f>
        <v>327600</v>
      </c>
      <c r="O2" s="24" t="str">
        <f>MID(G2,4,FIND("-",G2,4)-4)</f>
        <v>Melbourne</v>
      </c>
      <c r="Q2" s="26">
        <f>VALUE(SUBSTITUTE(F2,MID(F2,1,2),""))</f>
        <v>1021.02</v>
      </c>
      <c r="R2" t="str">
        <f>UPPER(TRIM(CLEAN(E2)))</f>
        <v>INV</v>
      </c>
      <c r="S2" s="28">
        <f>VALUE(D2)</f>
        <v>45748</v>
      </c>
      <c r="T2" s="28">
        <f t="shared" ref="T2:T67" si="0">VALUE(C2)</f>
        <v>45767</v>
      </c>
      <c r="U2" s="24">
        <f>tbl_supplier[[#This Row],[Paid Date]]-tbl_supplier[[#This Row],[Invoice Date]]</f>
        <v>19</v>
      </c>
      <c r="V2" s="24" t="str">
        <f>VLOOKUP(tbl_supplier[[#This Row],[Payment No]],tbl_MC[Payment Ref],1,FALSE)</f>
        <v>24673_1</v>
      </c>
      <c r="W2" t="str">
        <f>_xlfn.XLOOKUP(tbl_supplier[[#This Row],[PO Number]],'MC Invoice Report'!H5,'MC Invoice Report'!C5,"NOT FOUND",0,1)</f>
        <v>NOT FOUND</v>
      </c>
      <c r="AC2" s="34" t="s">
        <v>28</v>
      </c>
      <c r="AD2" s="1">
        <f>SUM(tbl_supplier[$ Amount])</f>
        <v>48282.62999999999</v>
      </c>
    </row>
    <row r="3" spans="1:30" ht="15">
      <c r="A3" s="20">
        <v>24673</v>
      </c>
      <c r="B3" s="20">
        <v>1</v>
      </c>
      <c r="C3" s="20" t="s">
        <v>29</v>
      </c>
      <c r="D3" s="20" t="s">
        <v>30</v>
      </c>
      <c r="E3" s="20" t="s">
        <v>31</v>
      </c>
      <c r="F3" s="20" t="s">
        <v>32</v>
      </c>
      <c r="G3" s="20" t="s">
        <v>33</v>
      </c>
      <c r="H3" s="20">
        <v>1641</v>
      </c>
      <c r="I3" s="20">
        <v>7654320</v>
      </c>
      <c r="J3" s="20">
        <v>72</v>
      </c>
      <c r="K3" t="str">
        <f>CONCATENATE(A3,"_",B3)</f>
        <v>24673_1</v>
      </c>
      <c r="L3" t="str">
        <f>_xlfn.TEXTJOIN("-",TRUE,H3:J3)</f>
        <v>1641-7654320-72</v>
      </c>
      <c r="M3" t="str">
        <f>LEFT(D3,3)</f>
        <v>Mar</v>
      </c>
      <c r="N3">
        <f t="shared" ref="N3:N66" si="1">VALUE(RIGHT(G3,6))</f>
        <v>223809</v>
      </c>
      <c r="O3" s="24" t="str">
        <f>MID(G3,4,FIND("-",G3,4)-4)</f>
        <v>Sydney</v>
      </c>
      <c r="P3" s="24"/>
      <c r="Q3" s="26">
        <f>VALUE(SUBSTITUTE(F3,MID(F3,1,2),""))</f>
        <v>742.5</v>
      </c>
      <c r="R3" t="str">
        <f>UPPER(TRIM(CLEAN(E3)))</f>
        <v>INV</v>
      </c>
      <c r="S3" s="28">
        <f>VALUE(D3)</f>
        <v>45739</v>
      </c>
      <c r="T3" s="28">
        <f t="shared" si="0"/>
        <v>45764</v>
      </c>
      <c r="U3">
        <f>tbl_supplier[[#This Row],[Paid Date]]-tbl_supplier[[#This Row],[Invoice Date]]</f>
        <v>25</v>
      </c>
      <c r="V3" t="str">
        <f>VLOOKUP(tbl_supplier[[#This Row],[Payment No]],tbl_MC[Payment Ref],1,FALSE)</f>
        <v>24673_1</v>
      </c>
      <c r="W3" t="str">
        <f>_xlfn.XLOOKUP(tbl_supplier[[#This Row],[PO Number]],'MC Invoice Report'!H6,'MC Invoice Report'!C6,"NOT FOUND",0,1)</f>
        <v>NOT FOUND</v>
      </c>
      <c r="AC3" s="34" t="s">
        <v>34</v>
      </c>
      <c r="AD3">
        <f>ROWS(tbl_supplier[])</f>
        <v>84</v>
      </c>
    </row>
    <row r="4" spans="1:30" ht="15">
      <c r="A4" s="20">
        <v>24675</v>
      </c>
      <c r="B4" s="20">
        <v>1</v>
      </c>
      <c r="C4" s="20" t="s">
        <v>35</v>
      </c>
      <c r="D4" s="20" t="s">
        <v>36</v>
      </c>
      <c r="E4" s="20" t="s">
        <v>31</v>
      </c>
      <c r="F4" s="20" t="s">
        <v>37</v>
      </c>
      <c r="G4" s="20" t="s">
        <v>38</v>
      </c>
      <c r="H4" s="20">
        <v>2554</v>
      </c>
      <c r="I4" s="20">
        <v>4551221</v>
      </c>
      <c r="J4" s="20">
        <v>33</v>
      </c>
      <c r="K4" t="str">
        <f>CONCATENATE(A4,"_",B4)</f>
        <v>24675_1</v>
      </c>
      <c r="L4" t="str">
        <f>_xlfn.TEXTJOIN("-",TRUE,H4:J4)</f>
        <v>2554-4551221-33</v>
      </c>
      <c r="M4" t="str">
        <f>LEFT(D4,3)</f>
        <v>Mar</v>
      </c>
      <c r="N4">
        <f t="shared" si="1"/>
        <v>332589</v>
      </c>
      <c r="O4" s="24" t="str">
        <f>MID(G4,4,FIND("-",G4,4)-4)</f>
        <v>Melbourne</v>
      </c>
      <c r="Q4" s="26">
        <f>VALUE(SUBSTITUTE(F4,MID(F4,1,2),""))</f>
        <v>409.53</v>
      </c>
      <c r="R4" t="str">
        <f>UPPER(TRIM(CLEAN(E4)))</f>
        <v>INV</v>
      </c>
      <c r="S4" s="28">
        <f>VALUE(D4)</f>
        <v>45732</v>
      </c>
      <c r="T4" s="28">
        <f t="shared" si="0"/>
        <v>45752</v>
      </c>
      <c r="U4">
        <f>tbl_supplier[[#This Row],[Paid Date]]-tbl_supplier[[#This Row],[Invoice Date]]</f>
        <v>20</v>
      </c>
      <c r="V4" t="str">
        <f>VLOOKUP(tbl_supplier[[#This Row],[Payment No]],tbl_MC[Payment Ref],1,FALSE)</f>
        <v>24675_1</v>
      </c>
      <c r="W4">
        <f>_xlfn.XLOOKUP(tbl_supplier[[#This Row],[PO Number]],'MC Invoice Report'!H7,'MC Invoice Report'!C7,"NOT FOUND",0,1)</f>
        <v>545674</v>
      </c>
    </row>
    <row r="5" spans="1:30" ht="15">
      <c r="A5" s="20">
        <v>24676</v>
      </c>
      <c r="B5" s="20">
        <v>1</v>
      </c>
      <c r="C5" s="20" t="s">
        <v>23</v>
      </c>
      <c r="D5" s="20" t="s">
        <v>39</v>
      </c>
      <c r="E5" s="20" t="s">
        <v>40</v>
      </c>
      <c r="F5" s="20" t="s">
        <v>41</v>
      </c>
      <c r="G5" s="20" t="s">
        <v>42</v>
      </c>
      <c r="H5" s="20">
        <v>2554</v>
      </c>
      <c r="I5" s="20">
        <v>4551221</v>
      </c>
      <c r="J5" s="20">
        <v>33</v>
      </c>
      <c r="K5" t="str">
        <f>CONCATENATE(A5,"_",B5)</f>
        <v>24676_1</v>
      </c>
      <c r="L5" t="str">
        <f>_xlfn.TEXTJOIN("-",TRUE,H5:J5)</f>
        <v>2554-4551221-33</v>
      </c>
      <c r="M5" t="str">
        <f>LEFT(D5,3)</f>
        <v>Mar</v>
      </c>
      <c r="N5">
        <f t="shared" si="1"/>
        <v>337131</v>
      </c>
      <c r="O5" s="24" t="str">
        <f>MID(G5,4,FIND("-",G5,4)-4)</f>
        <v>Melbourne</v>
      </c>
      <c r="Q5" s="26">
        <f>VALUE(SUBSTITUTE(F5,MID(F5,1,2),""))</f>
        <v>234.96</v>
      </c>
      <c r="R5" t="str">
        <f>UPPER(TRIM(CLEAN(E5)))</f>
        <v>CR</v>
      </c>
      <c r="S5" s="28">
        <f>VALUE(D5)</f>
        <v>45741</v>
      </c>
      <c r="T5" s="28">
        <f t="shared" si="0"/>
        <v>45767</v>
      </c>
      <c r="U5">
        <f>tbl_supplier[[#This Row],[Paid Date]]-tbl_supplier[[#This Row],[Invoice Date]]</f>
        <v>26</v>
      </c>
      <c r="V5" t="str">
        <f>VLOOKUP(tbl_supplier[[#This Row],[Payment No]],tbl_MC[Payment Ref],1,FALSE)</f>
        <v>24676_1</v>
      </c>
      <c r="W5">
        <f>_xlfn.XLOOKUP(tbl_supplier[[#This Row],[PO Number]],'MC Invoice Report'!H8,'MC Invoice Report'!C8,"NOT FOUND",0,1)</f>
        <v>545676</v>
      </c>
    </row>
    <row r="6" spans="1:30" ht="15">
      <c r="A6" s="20">
        <v>24677</v>
      </c>
      <c r="B6" s="20">
        <v>1</v>
      </c>
      <c r="C6" s="20" t="s">
        <v>43</v>
      </c>
      <c r="D6" s="20" t="s">
        <v>44</v>
      </c>
      <c r="E6" s="20" t="s">
        <v>45</v>
      </c>
      <c r="F6" s="20" t="s">
        <v>46</v>
      </c>
      <c r="G6" s="20" t="s">
        <v>47</v>
      </c>
      <c r="H6" s="20">
        <v>2554</v>
      </c>
      <c r="I6" s="20">
        <v>4551221</v>
      </c>
      <c r="J6" s="20">
        <v>33</v>
      </c>
      <c r="K6" t="str">
        <f>CONCATENATE(A6,"_",B6)</f>
        <v>24677_1</v>
      </c>
      <c r="L6" t="str">
        <f>_xlfn.TEXTJOIN("-",TRUE,H6:J6)</f>
        <v>2554-4551221-33</v>
      </c>
      <c r="M6" t="str">
        <f>LEFT(D6,3)</f>
        <v>Mar</v>
      </c>
      <c r="N6">
        <f t="shared" si="1"/>
        <v>319376</v>
      </c>
      <c r="O6" s="24" t="str">
        <f>MID(G6,4,FIND("-",G6,4)-4)</f>
        <v>Melbourne</v>
      </c>
      <c r="Q6" s="26">
        <f>VALUE(SUBSTITUTE(F6,MID(F6,1,2),""))</f>
        <v>450.12</v>
      </c>
      <c r="R6" t="str">
        <f>UPPER(TRIM(CLEAN(E6)))</f>
        <v>CR</v>
      </c>
      <c r="S6" s="28">
        <f>VALUE(D6)</f>
        <v>45733</v>
      </c>
      <c r="T6" s="28">
        <f t="shared" si="0"/>
        <v>45757</v>
      </c>
      <c r="U6">
        <f>tbl_supplier[[#This Row],[Paid Date]]-tbl_supplier[[#This Row],[Invoice Date]]</f>
        <v>24</v>
      </c>
      <c r="V6" t="str">
        <f>VLOOKUP(tbl_supplier[[#This Row],[Payment No]],tbl_MC[Payment Ref],1,FALSE)</f>
        <v>24677_1</v>
      </c>
      <c r="W6">
        <f>_xlfn.XLOOKUP(tbl_supplier[[#This Row],[PO Number]],'MC Invoice Report'!H9,'MC Invoice Report'!C9,"NOT FOUND",0,1)</f>
        <v>545677</v>
      </c>
    </row>
    <row r="7" spans="1:30" ht="15">
      <c r="A7" s="20">
        <v>24679</v>
      </c>
      <c r="B7" s="20">
        <v>1</v>
      </c>
      <c r="C7" s="20" t="s">
        <v>48</v>
      </c>
      <c r="D7" s="20" t="s">
        <v>49</v>
      </c>
      <c r="E7" s="20" t="s">
        <v>25</v>
      </c>
      <c r="F7" s="20" t="s">
        <v>50</v>
      </c>
      <c r="G7" s="20" t="s">
        <v>51</v>
      </c>
      <c r="H7" s="20">
        <v>2554</v>
      </c>
      <c r="I7" s="20">
        <v>4551221</v>
      </c>
      <c r="J7" s="20">
        <v>33</v>
      </c>
      <c r="K7" t="str">
        <f>CONCATENATE(A7,"_",B7)</f>
        <v>24679_1</v>
      </c>
      <c r="L7" t="str">
        <f>_xlfn.TEXTJOIN("-",TRUE,H7:J7)</f>
        <v>2554-4551221-33</v>
      </c>
      <c r="M7" t="str">
        <f>LEFT(D7,3)</f>
        <v>Apr</v>
      </c>
      <c r="N7">
        <f t="shared" si="1"/>
        <v>334724</v>
      </c>
      <c r="O7" s="24" t="str">
        <f>MID(G7,4,FIND("-",G7,4)-4)</f>
        <v>Melbourne</v>
      </c>
      <c r="Q7" s="26">
        <f>VALUE(SUBSTITUTE(F7,MID(F7,1,2),""))</f>
        <v>114.18</v>
      </c>
      <c r="R7" t="str">
        <f>UPPER(TRIM(CLEAN(E7)))</f>
        <v>INV</v>
      </c>
      <c r="S7" s="28">
        <f>VALUE(D7)</f>
        <v>45756</v>
      </c>
      <c r="T7" s="28">
        <f t="shared" si="0"/>
        <v>45777</v>
      </c>
      <c r="U7">
        <f>tbl_supplier[[#This Row],[Paid Date]]-tbl_supplier[[#This Row],[Invoice Date]]</f>
        <v>21</v>
      </c>
      <c r="V7" t="str">
        <f>VLOOKUP(tbl_supplier[[#This Row],[Payment No]],tbl_MC[Payment Ref],1,FALSE)</f>
        <v>24679_1</v>
      </c>
      <c r="W7">
        <f>_xlfn.XLOOKUP(tbl_supplier[[#This Row],[PO Number]],'MC Invoice Report'!H10,'MC Invoice Report'!C10,"NOT FOUND",0,1)</f>
        <v>545678</v>
      </c>
    </row>
    <row r="8" spans="1:30" ht="15">
      <c r="A8" s="20">
        <v>24679</v>
      </c>
      <c r="B8" s="20">
        <v>2</v>
      </c>
      <c r="C8" s="20" t="s">
        <v>48</v>
      </c>
      <c r="D8" s="20" t="s">
        <v>30</v>
      </c>
      <c r="E8" s="20" t="s">
        <v>52</v>
      </c>
      <c r="F8" s="20" t="s">
        <v>53</v>
      </c>
      <c r="G8" s="20" t="s">
        <v>54</v>
      </c>
      <c r="H8" s="20">
        <v>2554</v>
      </c>
      <c r="I8" s="20">
        <v>4551221</v>
      </c>
      <c r="J8" s="20">
        <v>33</v>
      </c>
      <c r="K8" t="str">
        <f>CONCATENATE(A8,"_",B8)</f>
        <v>24679_2</v>
      </c>
      <c r="L8" t="str">
        <f>_xlfn.TEXTJOIN("-",TRUE,H8:J8)</f>
        <v>2554-4551221-33</v>
      </c>
      <c r="M8" t="str">
        <f>LEFT(D8,3)</f>
        <v>Mar</v>
      </c>
      <c r="N8">
        <f t="shared" si="1"/>
        <v>310607</v>
      </c>
      <c r="O8" s="24" t="str">
        <f>MID(G8,4,FIND("-",G8,4)-4)</f>
        <v>Melbourne</v>
      </c>
      <c r="Q8" s="26">
        <f>VALUE(SUBSTITUTE(F8,MID(F8,1,2),""))</f>
        <v>930.93</v>
      </c>
      <c r="R8" t="str">
        <f>UPPER(TRIM(CLEAN(E8)))</f>
        <v>INV</v>
      </c>
      <c r="S8" s="28">
        <f>VALUE(D8)</f>
        <v>45739</v>
      </c>
      <c r="T8" s="28">
        <f t="shared" si="0"/>
        <v>45777</v>
      </c>
      <c r="U8">
        <f>tbl_supplier[[#This Row],[Paid Date]]-tbl_supplier[[#This Row],[Invoice Date]]</f>
        <v>38</v>
      </c>
      <c r="V8" t="str">
        <f>VLOOKUP(tbl_supplier[[#This Row],[Payment No]],tbl_MC[Payment Ref],1,FALSE)</f>
        <v>24679_2</v>
      </c>
      <c r="W8">
        <f>_xlfn.XLOOKUP(tbl_supplier[[#This Row],[PO Number]],'MC Invoice Report'!H11,'MC Invoice Report'!C11,"NOT FOUND",0,1)</f>
        <v>545679</v>
      </c>
    </row>
    <row r="9" spans="1:30" ht="15">
      <c r="A9" s="20">
        <v>24680</v>
      </c>
      <c r="B9" s="20">
        <v>1</v>
      </c>
      <c r="C9" s="20" t="s">
        <v>55</v>
      </c>
      <c r="D9" s="20" t="s">
        <v>56</v>
      </c>
      <c r="E9" s="20" t="s">
        <v>57</v>
      </c>
      <c r="F9" s="20" t="s">
        <v>58</v>
      </c>
      <c r="G9" s="20" t="s">
        <v>59</v>
      </c>
      <c r="H9" s="20">
        <v>1641</v>
      </c>
      <c r="I9" s="20">
        <v>7654320</v>
      </c>
      <c r="J9" s="20">
        <v>72</v>
      </c>
      <c r="K9" t="str">
        <f>CONCATENATE(A9,"_",B9)</f>
        <v>24680_1</v>
      </c>
      <c r="L9" t="str">
        <f>_xlfn.TEXTJOIN("-",TRUE,H9:J9)</f>
        <v>1641-7654320-72</v>
      </c>
      <c r="M9" t="str">
        <f>LEFT(D9,3)</f>
        <v>Mar</v>
      </c>
      <c r="N9">
        <f t="shared" si="1"/>
        <v>226225</v>
      </c>
      <c r="O9" s="24" t="str">
        <f>MID(G9,4,FIND("-",G9,4)-4)</f>
        <v>Sydney</v>
      </c>
      <c r="Q9" s="26">
        <f>VALUE(SUBSTITUTE(F9,MID(F9,1,2),""))</f>
        <v>466.29</v>
      </c>
      <c r="R9" t="str">
        <f>UPPER(TRIM(CLEAN(E9)))</f>
        <v>INV</v>
      </c>
      <c r="S9" s="28">
        <f>VALUE(D9)</f>
        <v>45743</v>
      </c>
      <c r="T9" s="28">
        <f t="shared" si="0"/>
        <v>45761</v>
      </c>
      <c r="U9">
        <f>tbl_supplier[[#This Row],[Paid Date]]-tbl_supplier[[#This Row],[Invoice Date]]</f>
        <v>18</v>
      </c>
      <c r="V9" t="str">
        <f>VLOOKUP(tbl_supplier[[#This Row],[Payment No]],tbl_MC[Payment Ref],1,FALSE)</f>
        <v>24680_1</v>
      </c>
      <c r="W9">
        <f>_xlfn.XLOOKUP(tbl_supplier[[#This Row],[PO Number]],'MC Invoice Report'!H12,'MC Invoice Report'!C12,"NOT FOUND",0,1)</f>
        <v>545681</v>
      </c>
    </row>
    <row r="10" spans="1:30" ht="15">
      <c r="A10" s="20">
        <v>24683</v>
      </c>
      <c r="B10" s="20">
        <v>1</v>
      </c>
      <c r="C10" s="20" t="s">
        <v>60</v>
      </c>
      <c r="D10" s="20" t="s">
        <v>61</v>
      </c>
      <c r="E10" s="20" t="s">
        <v>25</v>
      </c>
      <c r="F10" s="20" t="s">
        <v>62</v>
      </c>
      <c r="G10" s="20" t="s">
        <v>63</v>
      </c>
      <c r="H10" s="20">
        <v>1641</v>
      </c>
      <c r="I10" s="20">
        <v>7654320</v>
      </c>
      <c r="J10" s="20">
        <v>72</v>
      </c>
      <c r="K10" t="str">
        <f>CONCATENATE(A10,"_",B10)</f>
        <v>24683_1</v>
      </c>
      <c r="L10" t="str">
        <f>_xlfn.TEXTJOIN("-",TRUE,H10:J10)</f>
        <v>1641-7654320-72</v>
      </c>
      <c r="M10" t="str">
        <f>LEFT(D10,3)</f>
        <v>Mar</v>
      </c>
      <c r="N10">
        <f t="shared" si="1"/>
        <v>223858</v>
      </c>
      <c r="O10" s="24" t="str">
        <f>MID(G10,4,FIND("-",G10,4)-4)</f>
        <v>Sydney</v>
      </c>
      <c r="Q10" s="26">
        <f>VALUE(SUBSTITUTE(F10,MID(F10,1,2),""))</f>
        <v>222.42</v>
      </c>
      <c r="R10" t="str">
        <f>UPPER(TRIM(CLEAN(E10)))</f>
        <v>INV</v>
      </c>
      <c r="S10" s="28">
        <f>VALUE(D10)</f>
        <v>45738</v>
      </c>
      <c r="T10" s="28">
        <f t="shared" si="0"/>
        <v>45774</v>
      </c>
      <c r="U10">
        <f>tbl_supplier[[#This Row],[Paid Date]]-tbl_supplier[[#This Row],[Invoice Date]]</f>
        <v>36</v>
      </c>
      <c r="V10" t="str">
        <f>VLOOKUP(tbl_supplier[[#This Row],[Payment No]],tbl_MC[Payment Ref],1,FALSE)</f>
        <v>24683_1</v>
      </c>
      <c r="W10">
        <f>_xlfn.XLOOKUP(tbl_supplier[[#This Row],[PO Number]],'MC Invoice Report'!H13,'MC Invoice Report'!C13,"NOT FOUND",0,1)</f>
        <v>545682</v>
      </c>
    </row>
    <row r="11" spans="1:30" ht="15">
      <c r="A11" s="20">
        <v>24685</v>
      </c>
      <c r="B11" s="20">
        <v>1</v>
      </c>
      <c r="C11" s="20" t="s">
        <v>64</v>
      </c>
      <c r="D11" s="20" t="s">
        <v>65</v>
      </c>
      <c r="E11" s="20" t="s">
        <v>31</v>
      </c>
      <c r="F11" s="20" t="s">
        <v>66</v>
      </c>
      <c r="G11" s="20" t="s">
        <v>67</v>
      </c>
      <c r="H11" s="20">
        <v>1641</v>
      </c>
      <c r="I11" s="20">
        <v>7654320</v>
      </c>
      <c r="J11" s="20">
        <v>72</v>
      </c>
      <c r="K11" t="str">
        <f>CONCATENATE(A11,"_",B11)</f>
        <v>24685_1</v>
      </c>
      <c r="L11" t="str">
        <f>_xlfn.TEXTJOIN("-",TRUE,H11:J11)</f>
        <v>1641-7654320-72</v>
      </c>
      <c r="M11" t="str">
        <f>LEFT(D11,3)</f>
        <v>Mar</v>
      </c>
      <c r="N11">
        <f t="shared" si="1"/>
        <v>211781</v>
      </c>
      <c r="O11" s="24" t="str">
        <f>MID(G11,4,FIND("-",G11,4)-4)</f>
        <v>Sydney</v>
      </c>
      <c r="Q11" s="26">
        <f>VALUE(SUBSTITUTE(F11,MID(F11,1,2),""))</f>
        <v>679.8</v>
      </c>
      <c r="R11" t="str">
        <f>UPPER(TRIM(CLEAN(E11)))</f>
        <v>INV</v>
      </c>
      <c r="S11" s="28">
        <f>VALUE(D11)</f>
        <v>45725</v>
      </c>
      <c r="T11" s="28">
        <f t="shared" si="0"/>
        <v>45758</v>
      </c>
      <c r="U11">
        <f>tbl_supplier[[#This Row],[Paid Date]]-tbl_supplier[[#This Row],[Invoice Date]]</f>
        <v>33</v>
      </c>
      <c r="V11" t="str">
        <f>VLOOKUP(tbl_supplier[[#This Row],[Payment No]],tbl_MC[Payment Ref],1,FALSE)</f>
        <v>24685_1</v>
      </c>
      <c r="W11">
        <f>_xlfn.XLOOKUP(tbl_supplier[[#This Row],[PO Number]],'MC Invoice Report'!H14,'MC Invoice Report'!C14,"NOT FOUND",0,1)</f>
        <v>545683</v>
      </c>
    </row>
    <row r="12" spans="1:30" ht="15">
      <c r="A12" s="20">
        <v>24690</v>
      </c>
      <c r="B12" s="20">
        <v>1</v>
      </c>
      <c r="C12" s="20" t="s">
        <v>68</v>
      </c>
      <c r="D12" s="20" t="s">
        <v>69</v>
      </c>
      <c r="E12" s="20" t="s">
        <v>25</v>
      </c>
      <c r="F12" s="20" t="s">
        <v>70</v>
      </c>
      <c r="G12" s="20" t="s">
        <v>71</v>
      </c>
      <c r="H12" s="20">
        <v>1641</v>
      </c>
      <c r="I12" s="20">
        <v>7654320</v>
      </c>
      <c r="J12" s="20">
        <v>72</v>
      </c>
      <c r="K12" t="str">
        <f>CONCATENATE(A12,"_",B12)</f>
        <v>24690_1</v>
      </c>
      <c r="L12" t="str">
        <f>_xlfn.TEXTJOIN("-",TRUE,H12:J12)</f>
        <v>1641-7654320-72</v>
      </c>
      <c r="M12" t="str">
        <f>LEFT(D12,3)</f>
        <v>Apr</v>
      </c>
      <c r="N12">
        <f t="shared" si="1"/>
        <v>232805</v>
      </c>
      <c r="O12" s="24" t="str">
        <f>MID(G12,4,FIND("-",G12,4)-4)</f>
        <v>Sydney</v>
      </c>
      <c r="Q12" s="26">
        <f>VALUE(SUBSTITUTE(F12,MID(F12,1,2),""))</f>
        <v>171.93</v>
      </c>
      <c r="R12" t="str">
        <f>UPPER(TRIM(CLEAN(E12)))</f>
        <v>INV</v>
      </c>
      <c r="S12" s="28">
        <f>VALUE(D12)</f>
        <v>45751</v>
      </c>
      <c r="T12" s="28">
        <f t="shared" si="0"/>
        <v>45770</v>
      </c>
      <c r="U12">
        <f>tbl_supplier[[#This Row],[Paid Date]]-tbl_supplier[[#This Row],[Invoice Date]]</f>
        <v>19</v>
      </c>
      <c r="V12" t="str">
        <f>VLOOKUP(tbl_supplier[[#This Row],[Payment No]],tbl_MC[Payment Ref],1,FALSE)</f>
        <v>24690_1</v>
      </c>
      <c r="W12">
        <f>_xlfn.XLOOKUP(tbl_supplier[[#This Row],[PO Number]],'MC Invoice Report'!H15,'MC Invoice Report'!C15,"NOT FOUND",0,1)</f>
        <v>545685</v>
      </c>
    </row>
    <row r="13" spans="1:30" ht="15">
      <c r="A13" s="20">
        <v>24693</v>
      </c>
      <c r="B13" s="20">
        <v>1</v>
      </c>
      <c r="C13" s="20" t="s">
        <v>72</v>
      </c>
      <c r="D13" s="20" t="s">
        <v>73</v>
      </c>
      <c r="E13" s="20" t="s">
        <v>74</v>
      </c>
      <c r="F13" s="20" t="s">
        <v>75</v>
      </c>
      <c r="G13" s="20" t="s">
        <v>76</v>
      </c>
      <c r="H13" s="20">
        <v>2554</v>
      </c>
      <c r="I13" s="20">
        <v>4551221</v>
      </c>
      <c r="J13" s="20">
        <v>33</v>
      </c>
      <c r="K13" t="str">
        <f>CONCATENATE(A13,"_",B13)</f>
        <v>24693_1</v>
      </c>
      <c r="L13" t="str">
        <f>_xlfn.TEXTJOIN("-",TRUE,H13:J13)</f>
        <v>2554-4551221-33</v>
      </c>
      <c r="M13" t="str">
        <f>LEFT(D13,3)</f>
        <v>Feb</v>
      </c>
      <c r="N13">
        <f t="shared" si="1"/>
        <v>312187</v>
      </c>
      <c r="O13" s="24" t="str">
        <f>MID(G13,4,FIND("-",G13,4)-4)</f>
        <v>Melbourne</v>
      </c>
      <c r="Q13" s="26">
        <f>VALUE(SUBSTITUTE(F13,MID(F13,1,2),""))</f>
        <v>623.70000000000005</v>
      </c>
      <c r="R13" t="str">
        <f>UPPER(TRIM(CLEAN(E13)))</f>
        <v>INV</v>
      </c>
      <c r="S13" s="28">
        <f>VALUE(D13)</f>
        <v>45712</v>
      </c>
      <c r="T13" s="28">
        <f t="shared" si="0"/>
        <v>45753</v>
      </c>
      <c r="U13">
        <f>tbl_supplier[[#This Row],[Paid Date]]-tbl_supplier[[#This Row],[Invoice Date]]</f>
        <v>41</v>
      </c>
      <c r="V13" t="str">
        <f>VLOOKUP(tbl_supplier[[#This Row],[Payment No]],tbl_MC[Payment Ref],1,FALSE)</f>
        <v>24693_1</v>
      </c>
      <c r="W13">
        <f>_xlfn.XLOOKUP(tbl_supplier[[#This Row],[PO Number]],'MC Invoice Report'!H16,'MC Invoice Report'!C16,"NOT FOUND",0,1)</f>
        <v>545687</v>
      </c>
    </row>
    <row r="14" spans="1:30" ht="15">
      <c r="A14" s="20">
        <v>24697</v>
      </c>
      <c r="B14" s="20">
        <v>1</v>
      </c>
      <c r="C14" s="20" t="s">
        <v>77</v>
      </c>
      <c r="D14" s="20" t="s">
        <v>78</v>
      </c>
      <c r="E14" s="20" t="s">
        <v>25</v>
      </c>
      <c r="F14" s="20" t="s">
        <v>79</v>
      </c>
      <c r="G14" s="20" t="s">
        <v>80</v>
      </c>
      <c r="H14" s="20">
        <v>2554</v>
      </c>
      <c r="I14" s="20">
        <v>4551221</v>
      </c>
      <c r="J14" s="20">
        <v>33</v>
      </c>
      <c r="K14" t="str">
        <f>CONCATENATE(A14,"_",B14)</f>
        <v>24697_1</v>
      </c>
      <c r="L14" t="str">
        <f>_xlfn.TEXTJOIN("-",TRUE,H14:J14)</f>
        <v>2554-4551221-33</v>
      </c>
      <c r="M14" t="str">
        <f>LEFT(D14,3)</f>
        <v>Mar</v>
      </c>
      <c r="N14">
        <f t="shared" si="1"/>
        <v>319790</v>
      </c>
      <c r="O14" s="24" t="str">
        <f>MID(G14,4,FIND("-",G14,4)-4)</f>
        <v>Melbourne</v>
      </c>
      <c r="Q14" s="26">
        <f>VALUE(SUBSTITUTE(F14,MID(F14,1,2),""))</f>
        <v>221.1</v>
      </c>
      <c r="R14" t="str">
        <f>UPPER(TRIM(CLEAN(E14)))</f>
        <v>INV</v>
      </c>
      <c r="S14" s="28">
        <f>VALUE(D14)</f>
        <v>45745</v>
      </c>
      <c r="T14" s="28">
        <f t="shared" si="0"/>
        <v>45771</v>
      </c>
      <c r="U14">
        <f>tbl_supplier[[#This Row],[Paid Date]]-tbl_supplier[[#This Row],[Invoice Date]]</f>
        <v>26</v>
      </c>
      <c r="V14" t="str">
        <f>VLOOKUP(tbl_supplier[[#This Row],[Payment No]],tbl_MC[Payment Ref],1,FALSE)</f>
        <v>24697_1</v>
      </c>
      <c r="W14">
        <f>_xlfn.XLOOKUP(tbl_supplier[[#This Row],[PO Number]],'MC Invoice Report'!H17,'MC Invoice Report'!C17,"NOT FOUND",0,1)</f>
        <v>545689</v>
      </c>
    </row>
    <row r="15" spans="1:30" ht="15">
      <c r="A15" s="20">
        <v>24698</v>
      </c>
      <c r="B15" s="20">
        <v>1</v>
      </c>
      <c r="C15" s="20" t="s">
        <v>81</v>
      </c>
      <c r="D15" s="20" t="s">
        <v>49</v>
      </c>
      <c r="E15" s="20" t="s">
        <v>25</v>
      </c>
      <c r="F15" s="20" t="s">
        <v>82</v>
      </c>
      <c r="G15" s="20" t="s">
        <v>83</v>
      </c>
      <c r="H15" s="20">
        <v>2554</v>
      </c>
      <c r="I15" s="20">
        <v>4551221</v>
      </c>
      <c r="J15" s="20">
        <v>33</v>
      </c>
      <c r="K15" t="str">
        <f>CONCATENATE(A15,"_",B15)</f>
        <v>24698_1</v>
      </c>
      <c r="L15" t="str">
        <f>_xlfn.TEXTJOIN("-",TRUE,H15:J15)</f>
        <v>2554-4551221-33</v>
      </c>
      <c r="M15" t="str">
        <f>LEFT(D15,3)</f>
        <v>Apr</v>
      </c>
      <c r="N15">
        <f t="shared" si="1"/>
        <v>327342</v>
      </c>
      <c r="O15" s="24" t="str">
        <f>MID(G15,4,FIND("-",G15,4)-4)</f>
        <v>Melbourne</v>
      </c>
      <c r="Q15" s="26">
        <f>VALUE(SUBSTITUTE(F15,MID(F15,1,2),""))</f>
        <v>393.36</v>
      </c>
      <c r="R15" t="str">
        <f>UPPER(TRIM(CLEAN(E15)))</f>
        <v>INV</v>
      </c>
      <c r="S15" s="28">
        <f>VALUE(D15)</f>
        <v>45756</v>
      </c>
      <c r="T15" s="28">
        <f t="shared" si="0"/>
        <v>45775</v>
      </c>
      <c r="U15">
        <f>tbl_supplier[[#This Row],[Paid Date]]-tbl_supplier[[#This Row],[Invoice Date]]</f>
        <v>19</v>
      </c>
      <c r="V15" t="str">
        <f>VLOOKUP(tbl_supplier[[#This Row],[Payment No]],tbl_MC[Payment Ref],1,FALSE)</f>
        <v>24698_1</v>
      </c>
      <c r="W15">
        <f>_xlfn.XLOOKUP(tbl_supplier[[#This Row],[PO Number]],'MC Invoice Report'!H18,'MC Invoice Report'!C18,"NOT FOUND",0,1)</f>
        <v>545690</v>
      </c>
    </row>
    <row r="16" spans="1:30" ht="15">
      <c r="A16" s="20">
        <v>24699</v>
      </c>
      <c r="B16" s="20">
        <v>1</v>
      </c>
      <c r="C16" s="20" t="s">
        <v>84</v>
      </c>
      <c r="D16" s="20" t="s">
        <v>65</v>
      </c>
      <c r="E16" s="20" t="s">
        <v>25</v>
      </c>
      <c r="F16" s="20" t="s">
        <v>85</v>
      </c>
      <c r="G16" s="20" t="s">
        <v>86</v>
      </c>
      <c r="H16" s="20">
        <v>2554</v>
      </c>
      <c r="I16" s="20">
        <v>4551221</v>
      </c>
      <c r="J16" s="20">
        <v>33</v>
      </c>
      <c r="K16" t="str">
        <f>CONCATENATE(A16,"_",B16)</f>
        <v>24699_1</v>
      </c>
      <c r="L16" t="str">
        <f>_xlfn.TEXTJOIN("-",TRUE,H16:J16)</f>
        <v>2554-4551221-33</v>
      </c>
      <c r="M16" t="str">
        <f>LEFT(D16,3)</f>
        <v>Mar</v>
      </c>
      <c r="N16">
        <f t="shared" si="1"/>
        <v>335460</v>
      </c>
      <c r="O16" s="24" t="str">
        <f>MID(G16,4,FIND("-",G16,4)-4)</f>
        <v>Melbourne</v>
      </c>
      <c r="Q16" s="26">
        <f>VALUE(SUBSTITUTE(F16,MID(F16,1,2),""))</f>
        <v>642.17999999999995</v>
      </c>
      <c r="R16" t="str">
        <f>UPPER(TRIM(CLEAN(E16)))</f>
        <v>INV</v>
      </c>
      <c r="S16" s="28">
        <f>VALUE(D16)</f>
        <v>45725</v>
      </c>
      <c r="T16" s="28">
        <f t="shared" si="0"/>
        <v>45768</v>
      </c>
      <c r="U16">
        <f>tbl_supplier[[#This Row],[Paid Date]]-tbl_supplier[[#This Row],[Invoice Date]]</f>
        <v>43</v>
      </c>
      <c r="V16" t="str">
        <f>VLOOKUP(tbl_supplier[[#This Row],[Payment No]],tbl_MC[Payment Ref],1,FALSE)</f>
        <v>24699_1</v>
      </c>
      <c r="W16">
        <f>_xlfn.XLOOKUP(tbl_supplier[[#This Row],[PO Number]],'MC Invoice Report'!H19,'MC Invoice Report'!C19,"NOT FOUND",0,1)</f>
        <v>545691</v>
      </c>
    </row>
    <row r="17" spans="1:23" ht="15">
      <c r="A17" s="20">
        <v>24704</v>
      </c>
      <c r="B17" s="20">
        <v>1</v>
      </c>
      <c r="C17" s="20" t="s">
        <v>48</v>
      </c>
      <c r="D17" s="20" t="s">
        <v>87</v>
      </c>
      <c r="E17" s="20" t="s">
        <v>31</v>
      </c>
      <c r="F17" s="20" t="s">
        <v>88</v>
      </c>
      <c r="G17" s="20" t="s">
        <v>89</v>
      </c>
      <c r="H17" s="20">
        <v>2554</v>
      </c>
      <c r="I17" s="20">
        <v>4551221</v>
      </c>
      <c r="J17" s="20">
        <v>33</v>
      </c>
      <c r="K17" t="str">
        <f>CONCATENATE(A17,"_",B17)</f>
        <v>24704_1</v>
      </c>
      <c r="L17" t="str">
        <f>_xlfn.TEXTJOIN("-",TRUE,H17:J17)</f>
        <v>2554-4551221-33</v>
      </c>
      <c r="M17" t="str">
        <f>LEFT(D17,3)</f>
        <v>Mar</v>
      </c>
      <c r="N17">
        <f t="shared" si="1"/>
        <v>323955</v>
      </c>
      <c r="O17" s="24" t="str">
        <f>MID(G17,4,FIND("-",G17,4)-4)</f>
        <v>Melbourne</v>
      </c>
      <c r="Q17" s="26">
        <f>VALUE(SUBSTITUTE(F17,MID(F17,1,2),""))</f>
        <v>499.95</v>
      </c>
      <c r="R17" t="str">
        <f>UPPER(TRIM(CLEAN(E17)))</f>
        <v>INV</v>
      </c>
      <c r="S17" s="28">
        <f>VALUE(D17)</f>
        <v>45735</v>
      </c>
      <c r="T17" s="28">
        <f t="shared" si="0"/>
        <v>45777</v>
      </c>
      <c r="U17">
        <f>tbl_supplier[[#This Row],[Paid Date]]-tbl_supplier[[#This Row],[Invoice Date]]</f>
        <v>42</v>
      </c>
      <c r="V17" t="str">
        <f>VLOOKUP(tbl_supplier[[#This Row],[Payment No]],tbl_MC[Payment Ref],1,FALSE)</f>
        <v>24704_1</v>
      </c>
      <c r="W17">
        <f>_xlfn.XLOOKUP(tbl_supplier[[#This Row],[PO Number]],'MC Invoice Report'!H20,'MC Invoice Report'!C20,"NOT FOUND",0,1)</f>
        <v>545692</v>
      </c>
    </row>
    <row r="18" spans="1:23" ht="15">
      <c r="A18" s="20">
        <v>24707</v>
      </c>
      <c r="B18" s="20">
        <v>1</v>
      </c>
      <c r="C18" s="20" t="s">
        <v>90</v>
      </c>
      <c r="D18" s="20" t="s">
        <v>91</v>
      </c>
      <c r="E18" s="20" t="s">
        <v>31</v>
      </c>
      <c r="F18" s="20" t="s">
        <v>92</v>
      </c>
      <c r="G18" s="20" t="s">
        <v>93</v>
      </c>
      <c r="H18" s="20">
        <v>2554</v>
      </c>
      <c r="I18" s="20">
        <v>4551221</v>
      </c>
      <c r="J18" s="20">
        <v>33</v>
      </c>
      <c r="K18" t="str">
        <f>CONCATENATE(A18,"_",B18)</f>
        <v>24707_1</v>
      </c>
      <c r="L18" t="str">
        <f>_xlfn.TEXTJOIN("-",TRUE,H18:J18)</f>
        <v>2554-4551221-33</v>
      </c>
      <c r="M18" t="str">
        <f>LEFT(D18,3)</f>
        <v>Feb</v>
      </c>
      <c r="N18">
        <f t="shared" si="1"/>
        <v>316515</v>
      </c>
      <c r="O18" s="24" t="str">
        <f>MID(G18,4,FIND("-",G18,4)-4)</f>
        <v>Melbourne</v>
      </c>
      <c r="Q18" s="26">
        <f>VALUE(SUBSTITUTE(F18,MID(F18,1,2),""))</f>
        <v>299.64</v>
      </c>
      <c r="R18" t="str">
        <f>UPPER(TRIM(CLEAN(E18)))</f>
        <v>INV</v>
      </c>
      <c r="S18" s="28">
        <f>VALUE(D18)</f>
        <v>47150</v>
      </c>
      <c r="T18" s="28">
        <f t="shared" si="0"/>
        <v>45754</v>
      </c>
      <c r="U18">
        <f>tbl_supplier[[#This Row],[Paid Date]]-tbl_supplier[[#This Row],[Invoice Date]]</f>
        <v>-1396</v>
      </c>
      <c r="V18" t="str">
        <f>VLOOKUP(tbl_supplier[[#This Row],[Payment No]],tbl_MC[Payment Ref],1,FALSE)</f>
        <v>24707_1</v>
      </c>
      <c r="W18">
        <f>_xlfn.XLOOKUP(tbl_supplier[[#This Row],[PO Number]],'MC Invoice Report'!H21,'MC Invoice Report'!C21,"NOT FOUND",0,1)</f>
        <v>545693</v>
      </c>
    </row>
    <row r="19" spans="1:23" ht="15">
      <c r="A19" s="20">
        <v>24712</v>
      </c>
      <c r="B19" s="20">
        <v>1</v>
      </c>
      <c r="C19" s="20" t="s">
        <v>48</v>
      </c>
      <c r="D19" s="20" t="s">
        <v>61</v>
      </c>
      <c r="E19" s="20" t="s">
        <v>31</v>
      </c>
      <c r="F19" s="20" t="s">
        <v>94</v>
      </c>
      <c r="G19" s="20" t="s">
        <v>95</v>
      </c>
      <c r="H19" s="20">
        <v>1641</v>
      </c>
      <c r="I19" s="20">
        <v>7654320</v>
      </c>
      <c r="J19" s="20">
        <v>72</v>
      </c>
      <c r="K19" t="str">
        <f>CONCATENATE(A19,"_",B19)</f>
        <v>24712_1</v>
      </c>
      <c r="L19" t="str">
        <f>_xlfn.TEXTJOIN("-",TRUE,H19:J19)</f>
        <v>1641-7654320-72</v>
      </c>
      <c r="M19" t="str">
        <f>LEFT(D19,3)</f>
        <v>Mar</v>
      </c>
      <c r="N19">
        <f t="shared" si="1"/>
        <v>231320</v>
      </c>
      <c r="O19" s="24" t="str">
        <f>MID(G19,4,FIND("-",G19,4)-4)</f>
        <v>Sydney</v>
      </c>
      <c r="Q19" s="26">
        <f>VALUE(SUBSTITUTE(F19,MID(F19,1,2),""))</f>
        <v>312.83999999999997</v>
      </c>
      <c r="R19" t="str">
        <f>UPPER(TRIM(CLEAN(E19)))</f>
        <v>INV</v>
      </c>
      <c r="S19" s="28">
        <f>VALUE(D19)</f>
        <v>45738</v>
      </c>
      <c r="T19" s="28">
        <f t="shared" si="0"/>
        <v>45777</v>
      </c>
      <c r="U19">
        <f>tbl_supplier[[#This Row],[Paid Date]]-tbl_supplier[[#This Row],[Invoice Date]]</f>
        <v>39</v>
      </c>
      <c r="V19" t="str">
        <f>VLOOKUP(tbl_supplier[[#This Row],[Payment No]],tbl_MC[Payment Ref],1,FALSE)</f>
        <v>24712_1</v>
      </c>
      <c r="W19">
        <f>_xlfn.XLOOKUP(tbl_supplier[[#This Row],[PO Number]],'MC Invoice Report'!H22,'MC Invoice Report'!C22,"NOT FOUND",0,1)</f>
        <v>545695</v>
      </c>
    </row>
    <row r="20" spans="1:23" ht="15">
      <c r="A20" s="20">
        <v>24717</v>
      </c>
      <c r="B20" s="20">
        <v>1</v>
      </c>
      <c r="C20" s="20" t="s">
        <v>35</v>
      </c>
      <c r="D20" s="20" t="s">
        <v>96</v>
      </c>
      <c r="E20" s="20" t="s">
        <v>25</v>
      </c>
      <c r="F20" s="20" t="s">
        <v>97</v>
      </c>
      <c r="G20" s="20" t="s">
        <v>98</v>
      </c>
      <c r="H20" s="20">
        <v>1641</v>
      </c>
      <c r="I20" s="20">
        <v>7654320</v>
      </c>
      <c r="J20" s="20">
        <v>72</v>
      </c>
      <c r="K20" t="str">
        <f>CONCATENATE(A20,"_",B20)</f>
        <v>24717_1</v>
      </c>
      <c r="L20" t="str">
        <f>_xlfn.TEXTJOIN("-",TRUE,H20:J20)</f>
        <v>1641-7654320-72</v>
      </c>
      <c r="M20" t="str">
        <f>LEFT(D20,3)</f>
        <v>Mar</v>
      </c>
      <c r="N20">
        <f t="shared" si="1"/>
        <v>213670</v>
      </c>
      <c r="O20" s="24" t="str">
        <f>MID(G20,4,FIND("-",G20,4)-4)</f>
        <v>Sydney</v>
      </c>
      <c r="Q20" s="26">
        <f>VALUE(SUBSTITUTE(F20,MID(F20,1,2),""))</f>
        <v>993.63</v>
      </c>
      <c r="R20" t="str">
        <f>UPPER(TRIM(CLEAN(E20)))</f>
        <v>INV</v>
      </c>
      <c r="S20" s="28">
        <f>VALUE(D20)</f>
        <v>45730</v>
      </c>
      <c r="T20" s="28">
        <f t="shared" si="0"/>
        <v>45752</v>
      </c>
      <c r="U20">
        <f>tbl_supplier[[#This Row],[Paid Date]]-tbl_supplier[[#This Row],[Invoice Date]]</f>
        <v>22</v>
      </c>
      <c r="V20" t="str">
        <f>VLOOKUP(tbl_supplier[[#This Row],[Payment No]],tbl_MC[Payment Ref],1,FALSE)</f>
        <v>24717_1</v>
      </c>
      <c r="W20">
        <f>_xlfn.XLOOKUP(tbl_supplier[[#This Row],[PO Number]],'MC Invoice Report'!H23,'MC Invoice Report'!C23,"NOT FOUND",0,1)</f>
        <v>545696</v>
      </c>
    </row>
    <row r="21" spans="1:23" ht="15">
      <c r="A21" s="20">
        <v>24722</v>
      </c>
      <c r="B21" s="20">
        <v>1</v>
      </c>
      <c r="C21" s="20" t="s">
        <v>24</v>
      </c>
      <c r="D21" s="20" t="s">
        <v>56</v>
      </c>
      <c r="E21" s="20" t="s">
        <v>25</v>
      </c>
      <c r="F21" s="20" t="s">
        <v>99</v>
      </c>
      <c r="G21" s="20" t="s">
        <v>100</v>
      </c>
      <c r="H21" s="20">
        <v>1641</v>
      </c>
      <c r="I21" s="20">
        <v>7654320</v>
      </c>
      <c r="J21" s="20">
        <v>72</v>
      </c>
      <c r="K21" t="str">
        <f>CONCATENATE(A21,"_",B21)</f>
        <v>24722_1</v>
      </c>
      <c r="L21" t="str">
        <f>_xlfn.TEXTJOIN("-",TRUE,H21:J21)</f>
        <v>1641-7654320-72</v>
      </c>
      <c r="M21" t="str">
        <f>LEFT(D21,3)</f>
        <v>Mar</v>
      </c>
      <c r="N21">
        <f t="shared" si="1"/>
        <v>226166</v>
      </c>
      <c r="O21" s="24" t="str">
        <f>MID(G21,4,FIND("-",G21,4)-4)</f>
        <v>Sydney</v>
      </c>
      <c r="Q21" s="26">
        <f>VALUE(SUBSTITUTE(F21,MID(F21,1,2),""))</f>
        <v>1053.69</v>
      </c>
      <c r="R21" t="str">
        <f>UPPER(TRIM(CLEAN(E21)))</f>
        <v>INV</v>
      </c>
      <c r="S21" s="28">
        <f>VALUE(D21)</f>
        <v>45743</v>
      </c>
      <c r="T21" s="28">
        <f t="shared" si="0"/>
        <v>45748</v>
      </c>
      <c r="U21">
        <f>tbl_supplier[[#This Row],[Paid Date]]-tbl_supplier[[#This Row],[Invoice Date]]</f>
        <v>5</v>
      </c>
      <c r="V21" t="str">
        <f>VLOOKUP(tbl_supplier[[#This Row],[Payment No]],tbl_MC[Payment Ref],1,FALSE)</f>
        <v>24722_1</v>
      </c>
      <c r="W21">
        <f>_xlfn.XLOOKUP(tbl_supplier[[#This Row],[PO Number]],'MC Invoice Report'!H24,'MC Invoice Report'!C24,"NOT FOUND",0,1)</f>
        <v>545697</v>
      </c>
    </row>
    <row r="22" spans="1:23" ht="15">
      <c r="A22" s="20">
        <v>24727</v>
      </c>
      <c r="B22" s="20">
        <v>1</v>
      </c>
      <c r="C22" s="20" t="s">
        <v>48</v>
      </c>
      <c r="D22" s="20" t="s">
        <v>101</v>
      </c>
      <c r="E22" s="20" t="s">
        <v>25</v>
      </c>
      <c r="F22" s="20" t="s">
        <v>102</v>
      </c>
      <c r="G22" s="20" t="s">
        <v>103</v>
      </c>
      <c r="H22" s="20">
        <v>2554</v>
      </c>
      <c r="I22" s="20">
        <v>4551221</v>
      </c>
      <c r="J22" s="20">
        <v>33</v>
      </c>
      <c r="K22" t="str">
        <f>CONCATENATE(A22,"_",B22)</f>
        <v>24727_1</v>
      </c>
      <c r="L22" t="str">
        <f>_xlfn.TEXTJOIN("-",TRUE,H22:J22)</f>
        <v>2554-4551221-33</v>
      </c>
      <c r="M22" t="str">
        <f>LEFT(D22,3)</f>
        <v>Apr</v>
      </c>
      <c r="N22">
        <f t="shared" si="1"/>
        <v>316479</v>
      </c>
      <c r="O22" s="24" t="str">
        <f>MID(G22,4,FIND("-",G22,4)-4)</f>
        <v>Melbourne</v>
      </c>
      <c r="Q22" s="26">
        <f>VALUE(SUBSTITUTE(F22,MID(F22,1,2),""))</f>
        <v>1047.75</v>
      </c>
      <c r="R22" t="str">
        <f>UPPER(TRIM(CLEAN(E22)))</f>
        <v>INV</v>
      </c>
      <c r="S22" s="28">
        <f>VALUE(D22)</f>
        <v>45755</v>
      </c>
      <c r="T22" s="28">
        <f t="shared" si="0"/>
        <v>45777</v>
      </c>
      <c r="U22">
        <f>tbl_supplier[[#This Row],[Paid Date]]-tbl_supplier[[#This Row],[Invoice Date]]</f>
        <v>22</v>
      </c>
      <c r="V22" t="str">
        <f>VLOOKUP(tbl_supplier[[#This Row],[Payment No]],tbl_MC[Payment Ref],1,FALSE)</f>
        <v>24727_1</v>
      </c>
      <c r="W22">
        <f>_xlfn.XLOOKUP(tbl_supplier[[#This Row],[PO Number]],'MC Invoice Report'!H25,'MC Invoice Report'!C25,"NOT FOUND",0,1)</f>
        <v>545698</v>
      </c>
    </row>
    <row r="23" spans="1:23" ht="15">
      <c r="A23" s="20">
        <v>24730</v>
      </c>
      <c r="B23" s="20">
        <v>1</v>
      </c>
      <c r="C23" s="20" t="s">
        <v>101</v>
      </c>
      <c r="D23" s="20" t="s">
        <v>104</v>
      </c>
      <c r="E23" s="20" t="s">
        <v>25</v>
      </c>
      <c r="F23" s="20" t="s">
        <v>105</v>
      </c>
      <c r="G23" s="20" t="s">
        <v>106</v>
      </c>
      <c r="H23" s="20">
        <v>1641</v>
      </c>
      <c r="I23" s="20">
        <v>7654320</v>
      </c>
      <c r="J23" s="20">
        <v>72</v>
      </c>
      <c r="K23" t="str">
        <f>CONCATENATE(A23,"_",B23)</f>
        <v>24730_1</v>
      </c>
      <c r="L23" t="str">
        <f>_xlfn.TEXTJOIN("-",TRUE,H23:J23)</f>
        <v>1641-7654320-72</v>
      </c>
      <c r="M23" t="str">
        <f>LEFT(D23,3)</f>
        <v>Feb</v>
      </c>
      <c r="N23">
        <f t="shared" si="1"/>
        <v>230046</v>
      </c>
      <c r="O23" s="24" t="str">
        <f>MID(G23,4,FIND("-",G23,4)-4)</f>
        <v>Sydney</v>
      </c>
      <c r="Q23" s="26">
        <f>VALUE(SUBSTITUTE(F23,MID(F23,1,2),""))</f>
        <v>1096.92</v>
      </c>
      <c r="R23" t="str">
        <f>UPPER(TRIM(CLEAN(E23)))</f>
        <v>INV</v>
      </c>
      <c r="S23" s="28">
        <f>VALUE(D23)</f>
        <v>45715</v>
      </c>
      <c r="T23" s="28">
        <f t="shared" si="0"/>
        <v>45755</v>
      </c>
      <c r="U23">
        <f>tbl_supplier[[#This Row],[Paid Date]]-tbl_supplier[[#This Row],[Invoice Date]]</f>
        <v>40</v>
      </c>
      <c r="V23" t="str">
        <f>VLOOKUP(tbl_supplier[[#This Row],[Payment No]],tbl_MC[Payment Ref],1,FALSE)</f>
        <v>24730_1</v>
      </c>
      <c r="W23">
        <f>_xlfn.XLOOKUP(tbl_supplier[[#This Row],[PO Number]],'MC Invoice Report'!H26,'MC Invoice Report'!C26,"NOT FOUND",0,1)</f>
        <v>545700</v>
      </c>
    </row>
    <row r="24" spans="1:23" ht="15">
      <c r="A24" s="20">
        <v>24732</v>
      </c>
      <c r="B24" s="20">
        <v>1</v>
      </c>
      <c r="C24" s="20" t="s">
        <v>90</v>
      </c>
      <c r="D24" s="20" t="s">
        <v>107</v>
      </c>
      <c r="E24" s="20" t="s">
        <v>25</v>
      </c>
      <c r="F24" s="20" t="s">
        <v>108</v>
      </c>
      <c r="G24" s="20" t="s">
        <v>109</v>
      </c>
      <c r="H24" s="20">
        <v>1641</v>
      </c>
      <c r="I24" s="20">
        <v>7654320</v>
      </c>
      <c r="J24" s="20">
        <v>72</v>
      </c>
      <c r="K24" t="str">
        <f>CONCATENATE(A24,"_",B24)</f>
        <v>24732_1</v>
      </c>
      <c r="L24" t="str">
        <f>_xlfn.TEXTJOIN("-",TRUE,H24:J24)</f>
        <v>1641-7654320-72</v>
      </c>
      <c r="M24" t="str">
        <f>LEFT(D24,3)</f>
        <v>Feb</v>
      </c>
      <c r="N24">
        <f t="shared" si="1"/>
        <v>224680</v>
      </c>
      <c r="O24" s="24" t="str">
        <f>MID(G24,4,FIND("-",G24,4)-4)</f>
        <v>Sydney</v>
      </c>
      <c r="Q24" s="26">
        <f>VALUE(SUBSTITUTE(F24,MID(F24,1,2),""))</f>
        <v>257.07</v>
      </c>
      <c r="R24" t="str">
        <f>UPPER(TRIM(CLEAN(E24)))</f>
        <v>INV</v>
      </c>
      <c r="S24" s="28">
        <f>VALUE(D24)</f>
        <v>45713</v>
      </c>
      <c r="T24" s="28">
        <f t="shared" si="0"/>
        <v>45754</v>
      </c>
      <c r="U24">
        <f>tbl_supplier[[#This Row],[Paid Date]]-tbl_supplier[[#This Row],[Invoice Date]]</f>
        <v>41</v>
      </c>
      <c r="V24" t="str">
        <f>VLOOKUP(tbl_supplier[[#This Row],[Payment No]],tbl_MC[Payment Ref],1,FALSE)</f>
        <v>24732_1</v>
      </c>
      <c r="W24">
        <f>_xlfn.XLOOKUP(tbl_supplier[[#This Row],[PO Number]],'MC Invoice Report'!H27,'MC Invoice Report'!C27,"NOT FOUND",0,1)</f>
        <v>545702</v>
      </c>
    </row>
    <row r="25" spans="1:23" ht="15">
      <c r="A25" s="20">
        <v>24735</v>
      </c>
      <c r="B25" s="20">
        <v>2</v>
      </c>
      <c r="C25" s="20" t="s">
        <v>81</v>
      </c>
      <c r="D25" s="20" t="s">
        <v>77</v>
      </c>
      <c r="E25" s="20" t="s">
        <v>25</v>
      </c>
      <c r="F25" s="20" t="s">
        <v>110</v>
      </c>
      <c r="G25" s="20" t="s">
        <v>111</v>
      </c>
      <c r="H25" s="20">
        <v>1641</v>
      </c>
      <c r="I25" s="20">
        <v>7654320</v>
      </c>
      <c r="J25" s="20">
        <v>72</v>
      </c>
      <c r="K25" t="str">
        <f>CONCATENATE(A25,"_",B25)</f>
        <v>24735_2</v>
      </c>
      <c r="L25" t="str">
        <f>_xlfn.TEXTJOIN("-",TRUE,H25:J25)</f>
        <v>1641-7654320-72</v>
      </c>
      <c r="M25" t="str">
        <f>LEFT(D25,3)</f>
        <v>Apr</v>
      </c>
      <c r="N25">
        <f t="shared" si="1"/>
        <v>238023</v>
      </c>
      <c r="O25" s="24" t="str">
        <f>MID(G25,4,FIND("-",G25,4)-4)</f>
        <v>Sydney</v>
      </c>
      <c r="Q25" s="26">
        <f>VALUE(SUBSTITUTE(F25,MID(F25,1,2),""))</f>
        <v>215.49</v>
      </c>
      <c r="R25" t="str">
        <f>UPPER(TRIM(CLEAN(E25)))</f>
        <v>INV</v>
      </c>
      <c r="S25" s="28">
        <f>VALUE(D25)</f>
        <v>45771</v>
      </c>
      <c r="T25" s="28">
        <f t="shared" si="0"/>
        <v>45775</v>
      </c>
      <c r="U25">
        <f>tbl_supplier[[#This Row],[Paid Date]]-tbl_supplier[[#This Row],[Invoice Date]]</f>
        <v>4</v>
      </c>
      <c r="V25" t="str">
        <f>VLOOKUP(tbl_supplier[[#This Row],[Payment No]],tbl_MC[Payment Ref],1,FALSE)</f>
        <v>24735_2</v>
      </c>
      <c r="W25">
        <f>_xlfn.XLOOKUP(tbl_supplier[[#This Row],[PO Number]],'MC Invoice Report'!H28,'MC Invoice Report'!C28,"NOT FOUND",0,1)</f>
        <v>545703</v>
      </c>
    </row>
    <row r="26" spans="1:23" ht="15">
      <c r="A26" s="20">
        <v>24739</v>
      </c>
      <c r="B26" s="20">
        <v>1</v>
      </c>
      <c r="C26" s="20" t="s">
        <v>77</v>
      </c>
      <c r="D26" s="20" t="s">
        <v>35</v>
      </c>
      <c r="E26" s="20" t="s">
        <v>25</v>
      </c>
      <c r="F26" s="20" t="s">
        <v>112</v>
      </c>
      <c r="G26" s="20" t="s">
        <v>113</v>
      </c>
      <c r="H26" s="20">
        <v>1641</v>
      </c>
      <c r="I26" s="20">
        <v>7654320</v>
      </c>
      <c r="J26" s="20">
        <v>72</v>
      </c>
      <c r="K26" t="str">
        <f>CONCATENATE(A26,"_",B26)</f>
        <v>24739_1</v>
      </c>
      <c r="L26" t="str">
        <f>_xlfn.TEXTJOIN("-",TRUE,H26:J26)</f>
        <v>1641-7654320-72</v>
      </c>
      <c r="M26" t="str">
        <f>LEFT(D26,3)</f>
        <v>Apr</v>
      </c>
      <c r="N26">
        <f t="shared" si="1"/>
        <v>224184</v>
      </c>
      <c r="O26" s="24" t="str">
        <f>MID(G26,4,FIND("-",G26,4)-4)</f>
        <v>Sydney</v>
      </c>
      <c r="Q26" s="26">
        <f>VALUE(SUBSTITUTE(F26,MID(F26,1,2),""))</f>
        <v>455.07</v>
      </c>
      <c r="R26" t="str">
        <f>UPPER(TRIM(CLEAN(E26)))</f>
        <v>INV</v>
      </c>
      <c r="S26" s="28">
        <f>VALUE(D26)</f>
        <v>45752</v>
      </c>
      <c r="T26" s="28">
        <f t="shared" si="0"/>
        <v>45771</v>
      </c>
      <c r="U26">
        <f>tbl_supplier[[#This Row],[Paid Date]]-tbl_supplier[[#This Row],[Invoice Date]]</f>
        <v>19</v>
      </c>
      <c r="V26" t="str">
        <f>VLOOKUP(tbl_supplier[[#This Row],[Payment No]],tbl_MC[Payment Ref],1,FALSE)</f>
        <v>24739_1</v>
      </c>
      <c r="W26">
        <f>_xlfn.XLOOKUP(tbl_supplier[[#This Row],[PO Number]],'MC Invoice Report'!H29,'MC Invoice Report'!C29,"NOT FOUND",0,1)</f>
        <v>545705</v>
      </c>
    </row>
    <row r="27" spans="1:23" ht="15">
      <c r="A27" s="20">
        <v>24740</v>
      </c>
      <c r="B27" s="20">
        <v>1</v>
      </c>
      <c r="C27" s="20" t="s">
        <v>49</v>
      </c>
      <c r="D27" s="20" t="s">
        <v>114</v>
      </c>
      <c r="E27" s="20" t="s">
        <v>25</v>
      </c>
      <c r="F27" s="20" t="s">
        <v>115</v>
      </c>
      <c r="G27" s="20" t="s">
        <v>116</v>
      </c>
      <c r="H27" s="20">
        <v>1641</v>
      </c>
      <c r="I27" s="20">
        <v>7654320</v>
      </c>
      <c r="J27" s="20">
        <v>72</v>
      </c>
      <c r="K27" t="str">
        <f>CONCATENATE(A27,"_",B27)</f>
        <v>24740_1</v>
      </c>
      <c r="L27" t="str">
        <f>_xlfn.TEXTJOIN("-",TRUE,H27:J27)</f>
        <v>1641-7654320-72</v>
      </c>
      <c r="M27" t="str">
        <f>LEFT(D27,3)</f>
        <v>Apr</v>
      </c>
      <c r="N27">
        <f t="shared" si="1"/>
        <v>216205</v>
      </c>
      <c r="O27" s="24" t="str">
        <f>MID(G27,4,FIND("-",G27,4)-4)</f>
        <v>Sydney</v>
      </c>
      <c r="Q27" s="26">
        <f>VALUE(SUBSTITUTE(F27,MID(F27,1,2),""))</f>
        <v>711.81</v>
      </c>
      <c r="R27" t="str">
        <f>UPPER(TRIM(CLEAN(E27)))</f>
        <v>INV</v>
      </c>
      <c r="S27" s="28">
        <f>VALUE(D27)</f>
        <v>45749</v>
      </c>
      <c r="T27" s="28">
        <f t="shared" si="0"/>
        <v>45756</v>
      </c>
      <c r="U27">
        <f>tbl_supplier[[#This Row],[Paid Date]]-tbl_supplier[[#This Row],[Invoice Date]]</f>
        <v>7</v>
      </c>
      <c r="V27" t="str">
        <f>VLOOKUP(tbl_supplier[[#This Row],[Payment No]],tbl_MC[Payment Ref],1,FALSE)</f>
        <v>24740_1</v>
      </c>
      <c r="W27">
        <f>_xlfn.XLOOKUP(tbl_supplier[[#This Row],[PO Number]],'MC Invoice Report'!H30,'MC Invoice Report'!C30,"NOT FOUND",0,1)</f>
        <v>545706</v>
      </c>
    </row>
    <row r="28" spans="1:23" ht="15">
      <c r="A28" s="20">
        <v>24743</v>
      </c>
      <c r="B28" s="20">
        <v>1</v>
      </c>
      <c r="C28" s="20" t="s">
        <v>69</v>
      </c>
      <c r="D28" s="20" t="s">
        <v>117</v>
      </c>
      <c r="E28" s="20" t="s">
        <v>25</v>
      </c>
      <c r="F28" s="20" t="s">
        <v>118</v>
      </c>
      <c r="G28" s="20" t="s">
        <v>119</v>
      </c>
      <c r="H28" s="20">
        <v>2554</v>
      </c>
      <c r="I28" s="20">
        <v>4551221</v>
      </c>
      <c r="J28" s="20">
        <v>33</v>
      </c>
      <c r="K28" t="str">
        <f>CONCATENATE(A28,"_",B28)</f>
        <v>24743_1</v>
      </c>
      <c r="L28" t="str">
        <f>_xlfn.TEXTJOIN("-",TRUE,H28:J28)</f>
        <v>2554-4551221-33</v>
      </c>
      <c r="M28" t="str">
        <f>LEFT(D28,3)</f>
        <v>Mar</v>
      </c>
      <c r="N28">
        <f t="shared" si="1"/>
        <v>331383</v>
      </c>
      <c r="O28" s="24" t="str">
        <f>MID(G28,4,FIND("-",G28,4)-4)</f>
        <v>Melbourne</v>
      </c>
      <c r="Q28" s="26">
        <f>VALUE(SUBSTITUTE(F28,MID(F28,1,2),""))</f>
        <v>78.540000000000006</v>
      </c>
      <c r="R28" t="str">
        <f>UPPER(TRIM(CLEAN(E28)))</f>
        <v>INV</v>
      </c>
      <c r="S28" s="28">
        <f>VALUE(D28)</f>
        <v>45737</v>
      </c>
      <c r="T28" s="28">
        <f t="shared" si="0"/>
        <v>45751</v>
      </c>
      <c r="U28">
        <f>tbl_supplier[[#This Row],[Paid Date]]-tbl_supplier[[#This Row],[Invoice Date]]</f>
        <v>14</v>
      </c>
      <c r="V28" t="str">
        <f>VLOOKUP(tbl_supplier[[#This Row],[Payment No]],tbl_MC[Payment Ref],1,FALSE)</f>
        <v>24743_1</v>
      </c>
      <c r="W28">
        <f>_xlfn.XLOOKUP(tbl_supplier[[#This Row],[PO Number]],'MC Invoice Report'!H31,'MC Invoice Report'!C31,"NOT FOUND",0,1)</f>
        <v>545707</v>
      </c>
    </row>
    <row r="29" spans="1:23" ht="15">
      <c r="A29" s="20">
        <v>24746</v>
      </c>
      <c r="B29" s="20">
        <v>1</v>
      </c>
      <c r="C29" s="20" t="s">
        <v>72</v>
      </c>
      <c r="D29" s="20" t="s">
        <v>120</v>
      </c>
      <c r="E29" s="20" t="s">
        <v>25</v>
      </c>
      <c r="F29" s="20" t="s">
        <v>121</v>
      </c>
      <c r="G29" s="20" t="s">
        <v>122</v>
      </c>
      <c r="H29" s="20">
        <v>2554</v>
      </c>
      <c r="I29" s="20">
        <v>4551221</v>
      </c>
      <c r="J29" s="20">
        <v>33</v>
      </c>
      <c r="K29" t="str">
        <f>CONCATENATE(A29,"_",B29)</f>
        <v>24746_1</v>
      </c>
      <c r="L29" t="str">
        <f>_xlfn.TEXTJOIN("-",TRUE,H29:J29)</f>
        <v>2554-4551221-33</v>
      </c>
      <c r="M29" t="str">
        <f>LEFT(D29,3)</f>
        <v>Mar</v>
      </c>
      <c r="N29">
        <f t="shared" si="1"/>
        <v>335282</v>
      </c>
      <c r="O29" s="24" t="str">
        <f>MID(G29,4,FIND("-",G29,4)-4)</f>
        <v>Melbourne</v>
      </c>
      <c r="Q29" s="26">
        <f>VALUE(SUBSTITUTE(F29,MID(F29,1,2),""))</f>
        <v>302.61</v>
      </c>
      <c r="R29" t="str">
        <f>UPPER(TRIM(CLEAN(E29)))</f>
        <v>INV</v>
      </c>
      <c r="S29" s="28">
        <f>VALUE(D29)</f>
        <v>45718</v>
      </c>
      <c r="T29" s="28">
        <f t="shared" si="0"/>
        <v>45753</v>
      </c>
      <c r="U29">
        <f>tbl_supplier[[#This Row],[Paid Date]]-tbl_supplier[[#This Row],[Invoice Date]]</f>
        <v>35</v>
      </c>
      <c r="V29" t="str">
        <f>VLOOKUP(tbl_supplier[[#This Row],[Payment No]],tbl_MC[Payment Ref],1,FALSE)</f>
        <v>24746_1</v>
      </c>
      <c r="W29">
        <f>_xlfn.XLOOKUP(tbl_supplier[[#This Row],[PO Number]],'MC Invoice Report'!H32,'MC Invoice Report'!C32,"NOT FOUND",0,1)</f>
        <v>545708</v>
      </c>
    </row>
    <row r="30" spans="1:23" ht="15">
      <c r="A30" s="20">
        <v>24750</v>
      </c>
      <c r="B30" s="20">
        <v>1</v>
      </c>
      <c r="C30" s="20" t="s">
        <v>43</v>
      </c>
      <c r="D30" s="20" t="s">
        <v>107</v>
      </c>
      <c r="E30" s="20" t="s">
        <v>31</v>
      </c>
      <c r="F30" s="20" t="s">
        <v>123</v>
      </c>
      <c r="G30" s="20" t="s">
        <v>124</v>
      </c>
      <c r="H30" s="20">
        <v>2554</v>
      </c>
      <c r="I30" s="20">
        <v>4551221</v>
      </c>
      <c r="J30" s="20">
        <v>33</v>
      </c>
      <c r="K30" t="str">
        <f>CONCATENATE(A30,"_",B30)</f>
        <v>24750_1</v>
      </c>
      <c r="L30" t="str">
        <f>_xlfn.TEXTJOIN("-",TRUE,H30:J30)</f>
        <v>2554-4551221-33</v>
      </c>
      <c r="M30" t="str">
        <f>LEFT(D30,3)</f>
        <v>Feb</v>
      </c>
      <c r="N30">
        <f t="shared" si="1"/>
        <v>330858</v>
      </c>
      <c r="O30" s="24" t="str">
        <f>MID(G30,4,FIND("-",G30,4)-4)</f>
        <v>Melbourne</v>
      </c>
      <c r="Q30" s="26">
        <f>VALUE(SUBSTITUTE(F30,MID(F30,1,2),""))</f>
        <v>426.03</v>
      </c>
      <c r="R30" t="str">
        <f>UPPER(TRIM(CLEAN(E30)))</f>
        <v>INV</v>
      </c>
      <c r="S30" s="28">
        <f>VALUE(D30)</f>
        <v>45713</v>
      </c>
      <c r="T30" s="28">
        <f t="shared" si="0"/>
        <v>45757</v>
      </c>
      <c r="U30">
        <f>tbl_supplier[[#This Row],[Paid Date]]-tbl_supplier[[#This Row],[Invoice Date]]</f>
        <v>44</v>
      </c>
      <c r="V30" t="str">
        <f>VLOOKUP(tbl_supplier[[#This Row],[Payment No]],tbl_MC[Payment Ref],1,FALSE)</f>
        <v>24750_1</v>
      </c>
      <c r="W30">
        <f>_xlfn.XLOOKUP(tbl_supplier[[#This Row],[PO Number]],'MC Invoice Report'!H33,'MC Invoice Report'!C33,"NOT FOUND",0,1)</f>
        <v>545710</v>
      </c>
    </row>
    <row r="31" spans="1:23" ht="15">
      <c r="A31" s="20">
        <v>24753</v>
      </c>
      <c r="B31" s="20">
        <v>1</v>
      </c>
      <c r="C31" s="20" t="s">
        <v>64</v>
      </c>
      <c r="D31" s="20" t="s">
        <v>65</v>
      </c>
      <c r="E31" s="20" t="s">
        <v>25</v>
      </c>
      <c r="F31" s="20" t="s">
        <v>125</v>
      </c>
      <c r="G31" s="20" t="s">
        <v>126</v>
      </c>
      <c r="H31" s="20">
        <v>1641</v>
      </c>
      <c r="I31" s="20">
        <v>7654320</v>
      </c>
      <c r="J31" s="20">
        <v>72</v>
      </c>
      <c r="K31" t="str">
        <f>CONCATENATE(A31,"_",B31)</f>
        <v>24753_1</v>
      </c>
      <c r="L31" t="str">
        <f>_xlfn.TEXTJOIN("-",TRUE,H31:J31)</f>
        <v>1641-7654320-72</v>
      </c>
      <c r="M31" t="str">
        <f>LEFT(D31,3)</f>
        <v>Mar</v>
      </c>
      <c r="N31">
        <f t="shared" si="1"/>
        <v>238202</v>
      </c>
      <c r="O31" s="24" t="str">
        <f>MID(G31,4,FIND("-",G31,4)-4)</f>
        <v>Sydney</v>
      </c>
      <c r="Q31" s="26">
        <f>VALUE(SUBSTITUTE(F31,MID(F31,1,2),""))</f>
        <v>489.72</v>
      </c>
      <c r="R31" t="str">
        <f>UPPER(TRIM(CLEAN(E31)))</f>
        <v>INV</v>
      </c>
      <c r="S31" s="28">
        <f>VALUE(D31)</f>
        <v>45725</v>
      </c>
      <c r="T31" s="28">
        <f t="shared" si="0"/>
        <v>45758</v>
      </c>
      <c r="U31">
        <f>tbl_supplier[[#This Row],[Paid Date]]-tbl_supplier[[#This Row],[Invoice Date]]</f>
        <v>33</v>
      </c>
      <c r="V31" t="str">
        <f>VLOOKUP(tbl_supplier[[#This Row],[Payment No]],tbl_MC[Payment Ref],1,FALSE)</f>
        <v>24753_1</v>
      </c>
      <c r="W31">
        <f>_xlfn.XLOOKUP(tbl_supplier[[#This Row],[PO Number]],'MC Invoice Report'!H34,'MC Invoice Report'!C34,"NOT FOUND",0,1)</f>
        <v>545711</v>
      </c>
    </row>
    <row r="32" spans="1:23" ht="15">
      <c r="A32" s="20">
        <v>24754</v>
      </c>
      <c r="B32" s="20">
        <v>1</v>
      </c>
      <c r="C32" s="20" t="s">
        <v>81</v>
      </c>
      <c r="D32" s="20" t="s">
        <v>39</v>
      </c>
      <c r="E32" s="20" t="s">
        <v>25</v>
      </c>
      <c r="F32" s="20" t="s">
        <v>127</v>
      </c>
      <c r="G32" s="20" t="s">
        <v>128</v>
      </c>
      <c r="H32" s="20">
        <v>1641</v>
      </c>
      <c r="I32" s="20">
        <v>7654320</v>
      </c>
      <c r="J32" s="20">
        <v>72</v>
      </c>
      <c r="K32" t="str">
        <f>CONCATENATE(A32,"_",B32)</f>
        <v>24754_1</v>
      </c>
      <c r="L32" t="str">
        <f>_xlfn.TEXTJOIN("-",TRUE,H32:J32)</f>
        <v>1641-7654320-72</v>
      </c>
      <c r="M32" t="str">
        <f>LEFT(D32,3)</f>
        <v>Mar</v>
      </c>
      <c r="N32">
        <f t="shared" si="1"/>
        <v>217217</v>
      </c>
      <c r="O32" s="24" t="str">
        <f>MID(G32,4,FIND("-",G32,4)-4)</f>
        <v>Sydney</v>
      </c>
      <c r="Q32" s="26">
        <f>VALUE(SUBSTITUTE(F32,MID(F32,1,2),""))</f>
        <v>352.44</v>
      </c>
      <c r="R32" t="str">
        <f>UPPER(TRIM(CLEAN(E32)))</f>
        <v>INV</v>
      </c>
      <c r="S32" s="28">
        <f>VALUE(D32)</f>
        <v>45741</v>
      </c>
      <c r="T32" s="28">
        <f t="shared" si="0"/>
        <v>45775</v>
      </c>
      <c r="U32">
        <f>tbl_supplier[[#This Row],[Paid Date]]-tbl_supplier[[#This Row],[Invoice Date]]</f>
        <v>34</v>
      </c>
      <c r="V32" t="str">
        <f>VLOOKUP(tbl_supplier[[#This Row],[Payment No]],tbl_MC[Payment Ref],1,FALSE)</f>
        <v>24754_1</v>
      </c>
      <c r="W32">
        <f>_xlfn.XLOOKUP(tbl_supplier[[#This Row],[PO Number]],'MC Invoice Report'!H35,'MC Invoice Report'!C35,"NOT FOUND",0,1)</f>
        <v>545713</v>
      </c>
    </row>
    <row r="33" spans="1:23" ht="15">
      <c r="A33" s="20">
        <v>24756</v>
      </c>
      <c r="B33" s="20">
        <v>1</v>
      </c>
      <c r="C33" s="20" t="s">
        <v>129</v>
      </c>
      <c r="D33" s="20" t="s">
        <v>61</v>
      </c>
      <c r="E33" s="20" t="s">
        <v>25</v>
      </c>
      <c r="F33" s="20" t="s">
        <v>130</v>
      </c>
      <c r="G33" s="20" t="s">
        <v>131</v>
      </c>
      <c r="H33" s="20">
        <v>1641</v>
      </c>
      <c r="I33" s="20">
        <v>7654320</v>
      </c>
      <c r="J33" s="20">
        <v>72</v>
      </c>
      <c r="K33" t="str">
        <f>CONCATENATE(A33,"_",B33)</f>
        <v>24756_1</v>
      </c>
      <c r="L33" t="str">
        <f>_xlfn.TEXTJOIN("-",TRUE,H33:J33)</f>
        <v>1641-7654320-72</v>
      </c>
      <c r="M33" t="str">
        <f>LEFT(D33,3)</f>
        <v>Mar</v>
      </c>
      <c r="N33">
        <f t="shared" si="1"/>
        <v>234637</v>
      </c>
      <c r="O33" s="24" t="str">
        <f>MID(G33,4,FIND("-",G33,4)-4)</f>
        <v>Sydney</v>
      </c>
      <c r="Q33" s="26">
        <f>VALUE(SUBSTITUTE(F33,MID(F33,1,2),""))</f>
        <v>238.59</v>
      </c>
      <c r="R33" t="str">
        <f>UPPER(TRIM(CLEAN(E33)))</f>
        <v>INV</v>
      </c>
      <c r="S33" s="28">
        <f>VALUE(D33)</f>
        <v>45738</v>
      </c>
      <c r="T33" s="28">
        <f t="shared" si="0"/>
        <v>45763</v>
      </c>
      <c r="U33">
        <f>tbl_supplier[[#This Row],[Paid Date]]-tbl_supplier[[#This Row],[Invoice Date]]</f>
        <v>25</v>
      </c>
      <c r="V33" t="str">
        <f>VLOOKUP(tbl_supplier[[#This Row],[Payment No]],tbl_MC[Payment Ref],1,FALSE)</f>
        <v>24756_1</v>
      </c>
      <c r="W33">
        <f>_xlfn.XLOOKUP(tbl_supplier[[#This Row],[PO Number]],'MC Invoice Report'!H36,'MC Invoice Report'!C36,"NOT FOUND",0,1)</f>
        <v>545715</v>
      </c>
    </row>
    <row r="34" spans="1:23" ht="15">
      <c r="A34" s="20">
        <v>24757</v>
      </c>
      <c r="B34" s="20">
        <v>1</v>
      </c>
      <c r="C34" s="20" t="s">
        <v>23</v>
      </c>
      <c r="D34" s="20" t="s">
        <v>132</v>
      </c>
      <c r="E34" s="20" t="s">
        <v>25</v>
      </c>
      <c r="F34" s="20" t="s">
        <v>133</v>
      </c>
      <c r="G34" s="20" t="s">
        <v>134</v>
      </c>
      <c r="H34" s="20">
        <v>2554</v>
      </c>
      <c r="I34" s="20">
        <v>4551221</v>
      </c>
      <c r="J34" s="20">
        <v>33</v>
      </c>
      <c r="K34" t="str">
        <f>CONCATENATE(A34,"_",B34)</f>
        <v>24757_1</v>
      </c>
      <c r="L34" t="str">
        <f>_xlfn.TEXTJOIN("-",TRUE,H34:J34)</f>
        <v>2554-4551221-33</v>
      </c>
      <c r="M34" t="str">
        <f>LEFT(D34,3)</f>
        <v>Apr</v>
      </c>
      <c r="N34">
        <f t="shared" si="1"/>
        <v>332725</v>
      </c>
      <c r="O34" s="24" t="str">
        <f>MID(G34,4,FIND("-",G34,4)-4)</f>
        <v>Melbourne</v>
      </c>
      <c r="Q34" s="26">
        <f>VALUE(SUBSTITUTE(F34,MID(F34,1,2),""))</f>
        <v>549.12</v>
      </c>
      <c r="R34" t="str">
        <f>UPPER(TRIM(CLEAN(E34)))</f>
        <v>INV</v>
      </c>
      <c r="S34" s="28">
        <f>VALUE(D34)</f>
        <v>45762</v>
      </c>
      <c r="T34" s="28">
        <f t="shared" si="0"/>
        <v>45767</v>
      </c>
      <c r="U34">
        <f>tbl_supplier[[#This Row],[Paid Date]]-tbl_supplier[[#This Row],[Invoice Date]]</f>
        <v>5</v>
      </c>
      <c r="V34" t="str">
        <f>VLOOKUP(tbl_supplier[[#This Row],[Payment No]],tbl_MC[Payment Ref],1,FALSE)</f>
        <v>24757_1</v>
      </c>
      <c r="W34">
        <f>_xlfn.XLOOKUP(tbl_supplier[[#This Row],[PO Number]],'MC Invoice Report'!H37,'MC Invoice Report'!C37,"NOT FOUND",0,1)</f>
        <v>545716</v>
      </c>
    </row>
    <row r="35" spans="1:23" ht="15">
      <c r="A35" s="20">
        <v>24758</v>
      </c>
      <c r="B35" s="20">
        <v>1</v>
      </c>
      <c r="C35" s="20" t="s">
        <v>114</v>
      </c>
      <c r="D35" s="20" t="s">
        <v>135</v>
      </c>
      <c r="E35" s="20" t="s">
        <v>25</v>
      </c>
      <c r="F35" s="20" t="s">
        <v>136</v>
      </c>
      <c r="G35" s="20" t="s">
        <v>137</v>
      </c>
      <c r="H35" s="20">
        <v>1641</v>
      </c>
      <c r="I35" s="20">
        <v>7654320</v>
      </c>
      <c r="J35" s="20">
        <v>72</v>
      </c>
      <c r="K35" t="str">
        <f>CONCATENATE(A35,"_",B35)</f>
        <v>24758_1</v>
      </c>
      <c r="L35" t="str">
        <f>_xlfn.TEXTJOIN("-",TRUE,H35:J35)</f>
        <v>1641-7654320-72</v>
      </c>
      <c r="M35" t="str">
        <f>LEFT(D35,3)</f>
        <v>Mar</v>
      </c>
      <c r="N35">
        <f t="shared" si="1"/>
        <v>227351</v>
      </c>
      <c r="O35" s="24" t="str">
        <f>MID(G35,4,FIND("-",G35,4)-4)</f>
        <v>Sydney</v>
      </c>
      <c r="Q35" s="26">
        <f>VALUE(SUBSTITUTE(F35,MID(F35,1,2),""))</f>
        <v>322.41000000000003</v>
      </c>
      <c r="R35" t="str">
        <f>UPPER(TRIM(CLEAN(E35)))</f>
        <v>INV</v>
      </c>
      <c r="S35" s="28">
        <f>VALUE(D35)</f>
        <v>45719</v>
      </c>
      <c r="T35" s="28">
        <f t="shared" si="0"/>
        <v>45749</v>
      </c>
      <c r="U35">
        <f>tbl_supplier[[#This Row],[Paid Date]]-tbl_supplier[[#This Row],[Invoice Date]]</f>
        <v>30</v>
      </c>
      <c r="V35" t="str">
        <f>VLOOKUP(tbl_supplier[[#This Row],[Payment No]],tbl_MC[Payment Ref],1,FALSE)</f>
        <v>24758_1</v>
      </c>
      <c r="W35">
        <f>_xlfn.XLOOKUP(tbl_supplier[[#This Row],[PO Number]],'MC Invoice Report'!H38,'MC Invoice Report'!C38,"NOT FOUND",0,1)</f>
        <v>545718</v>
      </c>
    </row>
    <row r="36" spans="1:23" ht="15">
      <c r="A36" s="20">
        <v>24759</v>
      </c>
      <c r="B36" s="20">
        <v>1</v>
      </c>
      <c r="C36" s="20" t="s">
        <v>138</v>
      </c>
      <c r="D36" s="20" t="s">
        <v>120</v>
      </c>
      <c r="E36" s="20" t="s">
        <v>25</v>
      </c>
      <c r="F36" s="20" t="s">
        <v>139</v>
      </c>
      <c r="G36" s="20" t="s">
        <v>140</v>
      </c>
      <c r="H36" s="20">
        <v>2554</v>
      </c>
      <c r="I36" s="20">
        <v>4551221</v>
      </c>
      <c r="J36" s="20">
        <v>33</v>
      </c>
      <c r="K36" t="str">
        <f>CONCATENATE(A36,"_",B36)</f>
        <v>24759_1</v>
      </c>
      <c r="L36" t="str">
        <f>_xlfn.TEXTJOIN("-",TRUE,H36:J36)</f>
        <v>2554-4551221-33</v>
      </c>
      <c r="M36" t="str">
        <f>LEFT(D36,3)</f>
        <v>Mar</v>
      </c>
      <c r="N36">
        <f t="shared" si="1"/>
        <v>336345</v>
      </c>
      <c r="O36" s="24" t="str">
        <f>MID(G36,4,FIND("-",G36,4)-4)</f>
        <v>Melbourne</v>
      </c>
      <c r="Q36" s="26">
        <f>VALUE(SUBSTITUTE(F36,MID(F36,1,2),""))</f>
        <v>644.82000000000005</v>
      </c>
      <c r="R36" t="str">
        <f>UPPER(TRIM(CLEAN(E36)))</f>
        <v>INV</v>
      </c>
      <c r="S36" s="28">
        <f>VALUE(D36)</f>
        <v>45718</v>
      </c>
      <c r="T36" s="28">
        <f t="shared" si="0"/>
        <v>45760</v>
      </c>
      <c r="U36">
        <f>tbl_supplier[[#This Row],[Paid Date]]-tbl_supplier[[#This Row],[Invoice Date]]</f>
        <v>42</v>
      </c>
      <c r="V36" t="str">
        <f>VLOOKUP(tbl_supplier[[#This Row],[Payment No]],tbl_MC[Payment Ref],1,FALSE)</f>
        <v>24759_1</v>
      </c>
      <c r="W36">
        <f>_xlfn.XLOOKUP(tbl_supplier[[#This Row],[PO Number]],'MC Invoice Report'!H39,'MC Invoice Report'!C39,"NOT FOUND",0,1)</f>
        <v>545719</v>
      </c>
    </row>
    <row r="37" spans="1:23" ht="15">
      <c r="A37" s="20">
        <v>24760</v>
      </c>
      <c r="B37" s="20">
        <v>1</v>
      </c>
      <c r="C37" s="20" t="s">
        <v>68</v>
      </c>
      <c r="D37" s="20" t="s">
        <v>114</v>
      </c>
      <c r="E37" s="20" t="s">
        <v>25</v>
      </c>
      <c r="F37" s="20" t="s">
        <v>141</v>
      </c>
      <c r="G37" s="20" t="s">
        <v>142</v>
      </c>
      <c r="H37" s="20">
        <v>2554</v>
      </c>
      <c r="I37" s="20">
        <v>4551221</v>
      </c>
      <c r="J37" s="20">
        <v>33</v>
      </c>
      <c r="K37" t="str">
        <f>CONCATENATE(A37,"_",B37)</f>
        <v>24760_1</v>
      </c>
      <c r="L37" t="str">
        <f>_xlfn.TEXTJOIN("-",TRUE,H37:J37)</f>
        <v>2554-4551221-33</v>
      </c>
      <c r="M37" t="str">
        <f>LEFT(D37,3)</f>
        <v>Apr</v>
      </c>
      <c r="N37">
        <f t="shared" si="1"/>
        <v>338595</v>
      </c>
      <c r="O37" s="24" t="str">
        <f>MID(G37,4,FIND("-",G37,4)-4)</f>
        <v>Melbourne</v>
      </c>
      <c r="Q37" s="26">
        <f>VALUE(SUBSTITUTE(F37,MID(F37,1,2),""))</f>
        <v>113.19</v>
      </c>
      <c r="R37" t="str">
        <f>UPPER(TRIM(CLEAN(E37)))</f>
        <v>INV</v>
      </c>
      <c r="S37" s="28">
        <f>VALUE(D37)</f>
        <v>45749</v>
      </c>
      <c r="T37" s="28">
        <f t="shared" si="0"/>
        <v>45770</v>
      </c>
      <c r="U37">
        <f>tbl_supplier[[#This Row],[Paid Date]]-tbl_supplier[[#This Row],[Invoice Date]]</f>
        <v>21</v>
      </c>
      <c r="V37" t="str">
        <f>VLOOKUP(tbl_supplier[[#This Row],[Payment No]],tbl_MC[Payment Ref],1,FALSE)</f>
        <v>24760_1</v>
      </c>
      <c r="W37">
        <f>_xlfn.XLOOKUP(tbl_supplier[[#This Row],[PO Number]],'MC Invoice Report'!H40,'MC Invoice Report'!C40,"NOT FOUND",0,1)</f>
        <v>545721</v>
      </c>
    </row>
    <row r="38" spans="1:23" ht="15">
      <c r="A38" s="20">
        <v>24761</v>
      </c>
      <c r="B38" s="20">
        <v>1</v>
      </c>
      <c r="C38" s="20" t="s">
        <v>81</v>
      </c>
      <c r="D38" s="20" t="s">
        <v>23</v>
      </c>
      <c r="E38" s="20" t="s">
        <v>25</v>
      </c>
      <c r="F38" s="20" t="s">
        <v>143</v>
      </c>
      <c r="G38" s="20" t="s">
        <v>144</v>
      </c>
      <c r="H38" s="20">
        <v>2554</v>
      </c>
      <c r="I38" s="20">
        <v>4551221</v>
      </c>
      <c r="J38" s="20">
        <v>33</v>
      </c>
      <c r="K38" t="str">
        <f>CONCATENATE(A38,"_",B38)</f>
        <v>24761_1</v>
      </c>
      <c r="L38" t="str">
        <f>_xlfn.TEXTJOIN("-",TRUE,H38:J38)</f>
        <v>2554-4551221-33</v>
      </c>
      <c r="M38" t="str">
        <f>LEFT(D38,3)</f>
        <v>Apr</v>
      </c>
      <c r="N38">
        <f t="shared" si="1"/>
        <v>325149</v>
      </c>
      <c r="O38" s="24" t="str">
        <f>MID(G38,4,FIND("-",G38,4)-4)</f>
        <v>Melbourne</v>
      </c>
      <c r="Q38" s="26">
        <f>VALUE(SUBSTITUTE(F38,MID(F38,1,2),""))</f>
        <v>449.13</v>
      </c>
      <c r="R38" t="str">
        <f>UPPER(TRIM(CLEAN(E38)))</f>
        <v>INV</v>
      </c>
      <c r="S38" s="28">
        <f>VALUE(D38)</f>
        <v>45767</v>
      </c>
      <c r="T38" s="28">
        <f t="shared" si="0"/>
        <v>45775</v>
      </c>
      <c r="U38">
        <f>tbl_supplier[[#This Row],[Paid Date]]-tbl_supplier[[#This Row],[Invoice Date]]</f>
        <v>8</v>
      </c>
      <c r="V38" t="str">
        <f>VLOOKUP(tbl_supplier[[#This Row],[Payment No]],tbl_MC[Payment Ref],1,FALSE)</f>
        <v>24761_1</v>
      </c>
      <c r="W38">
        <f>_xlfn.XLOOKUP(tbl_supplier[[#This Row],[PO Number]],'MC Invoice Report'!H41,'MC Invoice Report'!C41,"NOT FOUND",0,1)</f>
        <v>545722</v>
      </c>
    </row>
    <row r="39" spans="1:23" ht="15">
      <c r="A39" s="20">
        <v>24764</v>
      </c>
      <c r="B39" s="20">
        <v>1</v>
      </c>
      <c r="C39" s="20" t="s">
        <v>145</v>
      </c>
      <c r="D39" s="20" t="s">
        <v>117</v>
      </c>
      <c r="E39" s="20" t="s">
        <v>25</v>
      </c>
      <c r="F39" s="20" t="s">
        <v>146</v>
      </c>
      <c r="G39" s="20" t="s">
        <v>147</v>
      </c>
      <c r="H39" s="20">
        <v>1641</v>
      </c>
      <c r="I39" s="20">
        <v>7654320</v>
      </c>
      <c r="J39" s="20">
        <v>72</v>
      </c>
      <c r="K39" t="str">
        <f>CONCATENATE(A39,"_",B39)</f>
        <v>24764_1</v>
      </c>
      <c r="L39" t="str">
        <f>_xlfn.TEXTJOIN("-",TRUE,H39:J39)</f>
        <v>1641-7654320-72</v>
      </c>
      <c r="M39" t="str">
        <f>LEFT(D39,3)</f>
        <v>Mar</v>
      </c>
      <c r="N39">
        <f t="shared" si="1"/>
        <v>227994</v>
      </c>
      <c r="O39" s="24" t="str">
        <f>MID(G39,4,FIND("-",G39,4)-4)</f>
        <v>Sydney</v>
      </c>
      <c r="Q39" s="26">
        <f>VALUE(SUBSTITUTE(F39,MID(F39,1,2),""))</f>
        <v>819.06</v>
      </c>
      <c r="R39" t="str">
        <f>UPPER(TRIM(CLEAN(E39)))</f>
        <v>INV</v>
      </c>
      <c r="S39" s="28">
        <f>VALUE(D39)</f>
        <v>45737</v>
      </c>
      <c r="T39" s="28">
        <f t="shared" si="0"/>
        <v>45759</v>
      </c>
      <c r="U39">
        <f>tbl_supplier[[#This Row],[Paid Date]]-tbl_supplier[[#This Row],[Invoice Date]]</f>
        <v>22</v>
      </c>
      <c r="V39" t="str">
        <f>VLOOKUP(tbl_supplier[[#This Row],[Payment No]],tbl_MC[Payment Ref],1,FALSE)</f>
        <v>24764_1</v>
      </c>
      <c r="W39">
        <f>_xlfn.XLOOKUP(tbl_supplier[[#This Row],[PO Number]],'MC Invoice Report'!H42,'MC Invoice Report'!C42,"NOT FOUND",0,1)</f>
        <v>545723</v>
      </c>
    </row>
    <row r="40" spans="1:23" ht="15">
      <c r="A40" s="20">
        <v>24767</v>
      </c>
      <c r="B40" s="20">
        <v>1</v>
      </c>
      <c r="C40" s="20" t="s">
        <v>148</v>
      </c>
      <c r="D40" s="20" t="s">
        <v>149</v>
      </c>
      <c r="E40" s="20" t="s">
        <v>25</v>
      </c>
      <c r="F40" s="20" t="s">
        <v>150</v>
      </c>
      <c r="G40" s="20" t="s">
        <v>151</v>
      </c>
      <c r="H40" s="20">
        <v>1641</v>
      </c>
      <c r="I40" s="20">
        <v>7654320</v>
      </c>
      <c r="J40" s="20">
        <v>72</v>
      </c>
      <c r="K40" t="str">
        <f>CONCATENATE(A40,"_",B40)</f>
        <v>24767_1</v>
      </c>
      <c r="L40" t="str">
        <f>_xlfn.TEXTJOIN("-",TRUE,H40:J40)</f>
        <v>1641-7654320-72</v>
      </c>
      <c r="M40" t="str">
        <f>LEFT(D40,3)</f>
        <v>Feb</v>
      </c>
      <c r="N40">
        <f t="shared" si="1"/>
        <v>222399</v>
      </c>
      <c r="O40" s="24" t="str">
        <f>MID(G40,4,FIND("-",G40,4)-4)</f>
        <v>Sydney</v>
      </c>
      <c r="Q40" s="26">
        <f>VALUE(SUBSTITUTE(F40,MID(F40,1,2),""))</f>
        <v>1019.04</v>
      </c>
      <c r="R40" t="str">
        <f>UPPER(TRIM(CLEAN(E40)))</f>
        <v>INV</v>
      </c>
      <c r="S40" s="28">
        <f>VALUE(D40)</f>
        <v>45707</v>
      </c>
      <c r="T40" s="28">
        <f t="shared" si="0"/>
        <v>45750</v>
      </c>
      <c r="U40">
        <f>tbl_supplier[[#This Row],[Paid Date]]-tbl_supplier[[#This Row],[Invoice Date]]</f>
        <v>43</v>
      </c>
      <c r="V40" t="str">
        <f>VLOOKUP(tbl_supplier[[#This Row],[Payment No]],tbl_MC[Payment Ref],1,FALSE)</f>
        <v>24767_1</v>
      </c>
      <c r="W40">
        <f>_xlfn.XLOOKUP(tbl_supplier[[#This Row],[PO Number]],'MC Invoice Report'!H43,'MC Invoice Report'!C43,"NOT FOUND",0,1)</f>
        <v>545724</v>
      </c>
    </row>
    <row r="41" spans="1:23" ht="15">
      <c r="A41" s="20">
        <v>24771</v>
      </c>
      <c r="B41" s="20">
        <v>1</v>
      </c>
      <c r="C41" s="20" t="s">
        <v>55</v>
      </c>
      <c r="D41" s="20" t="s">
        <v>78</v>
      </c>
      <c r="E41" s="20" t="s">
        <v>25</v>
      </c>
      <c r="F41" s="20" t="s">
        <v>152</v>
      </c>
      <c r="G41" s="20" t="s">
        <v>153</v>
      </c>
      <c r="H41" s="20">
        <v>2554</v>
      </c>
      <c r="I41" s="20">
        <v>4551221</v>
      </c>
      <c r="J41" s="20">
        <v>33</v>
      </c>
      <c r="K41" t="str">
        <f>CONCATENATE(A41,"_",B41)</f>
        <v>24771_1</v>
      </c>
      <c r="L41" t="str">
        <f>_xlfn.TEXTJOIN("-",TRUE,H41:J41)</f>
        <v>2554-4551221-33</v>
      </c>
      <c r="M41" t="str">
        <f>LEFT(D41,3)</f>
        <v>Mar</v>
      </c>
      <c r="N41">
        <f t="shared" si="1"/>
        <v>316436</v>
      </c>
      <c r="O41" s="24" t="str">
        <f>MID(G41,4,FIND("-",G41,4)-4)</f>
        <v>Melbourne</v>
      </c>
      <c r="Q41" s="26">
        <f>VALUE(SUBSTITUTE(F41,MID(F41,1,2),""))</f>
        <v>736.23</v>
      </c>
      <c r="R41" t="str">
        <f>UPPER(TRIM(CLEAN(E41)))</f>
        <v>INV</v>
      </c>
      <c r="S41" s="28">
        <f>VALUE(D41)</f>
        <v>45745</v>
      </c>
      <c r="T41" s="28">
        <f t="shared" si="0"/>
        <v>45761</v>
      </c>
      <c r="U41">
        <f>tbl_supplier[[#This Row],[Paid Date]]-tbl_supplier[[#This Row],[Invoice Date]]</f>
        <v>16</v>
      </c>
      <c r="V41" t="str">
        <f>VLOOKUP(tbl_supplier[[#This Row],[Payment No]],tbl_MC[Payment Ref],1,FALSE)</f>
        <v>24771_1</v>
      </c>
      <c r="W41">
        <f>_xlfn.XLOOKUP(tbl_supplier[[#This Row],[PO Number]],'MC Invoice Report'!H44,'MC Invoice Report'!C44,"NOT FOUND",0,1)</f>
        <v>545725</v>
      </c>
    </row>
    <row r="42" spans="1:23" ht="15">
      <c r="A42" s="20">
        <v>24775</v>
      </c>
      <c r="B42" s="20">
        <v>1</v>
      </c>
      <c r="C42" s="20" t="s">
        <v>129</v>
      </c>
      <c r="D42" s="20" t="s">
        <v>154</v>
      </c>
      <c r="E42" s="20" t="s">
        <v>45</v>
      </c>
      <c r="F42" s="20" t="s">
        <v>155</v>
      </c>
      <c r="G42" s="20" t="s">
        <v>156</v>
      </c>
      <c r="H42" s="20">
        <v>2554</v>
      </c>
      <c r="I42" s="20">
        <v>4551221</v>
      </c>
      <c r="J42" s="20">
        <v>33</v>
      </c>
      <c r="K42" t="str">
        <f>CONCATENATE(A42,"_",B42)</f>
        <v>24775_1</v>
      </c>
      <c r="L42" t="str">
        <f>_xlfn.TEXTJOIN("-",TRUE,H42:J42)</f>
        <v>2554-4551221-33</v>
      </c>
      <c r="M42" t="str">
        <f>LEFT(D42,3)</f>
        <v>Mar</v>
      </c>
      <c r="N42">
        <f t="shared" si="1"/>
        <v>312603</v>
      </c>
      <c r="O42" s="24" t="str">
        <f>MID(G42,4,FIND("-",G42,4)-4)</f>
        <v>Melbourne</v>
      </c>
      <c r="Q42" s="26">
        <f>VALUE(SUBSTITUTE(F42,MID(F42,1,2),""))</f>
        <v>600.27</v>
      </c>
      <c r="R42" t="str">
        <f>UPPER(TRIM(CLEAN(E42)))</f>
        <v>CR</v>
      </c>
      <c r="S42" s="28">
        <f>VALUE(D42)</f>
        <v>45721</v>
      </c>
      <c r="T42" s="28">
        <f t="shared" si="0"/>
        <v>45763</v>
      </c>
      <c r="U42">
        <f>tbl_supplier[[#This Row],[Paid Date]]-tbl_supplier[[#This Row],[Invoice Date]]</f>
        <v>42</v>
      </c>
      <c r="V42" t="str">
        <f>VLOOKUP(tbl_supplier[[#This Row],[Payment No]],tbl_MC[Payment Ref],1,FALSE)</f>
        <v>24775_1</v>
      </c>
      <c r="W42">
        <f>_xlfn.XLOOKUP(tbl_supplier[[#This Row],[PO Number]],'MC Invoice Report'!H45,'MC Invoice Report'!C45,"NOT FOUND",0,1)</f>
        <v>545726</v>
      </c>
    </row>
    <row r="43" spans="1:23" ht="15">
      <c r="A43" s="20">
        <v>24779</v>
      </c>
      <c r="B43" s="20">
        <v>1</v>
      </c>
      <c r="C43" s="20" t="s">
        <v>101</v>
      </c>
      <c r="D43" s="20" t="s">
        <v>44</v>
      </c>
      <c r="E43" s="20" t="s">
        <v>25</v>
      </c>
      <c r="F43" s="20" t="s">
        <v>157</v>
      </c>
      <c r="G43" s="20" t="s">
        <v>158</v>
      </c>
      <c r="H43" s="20">
        <v>2554</v>
      </c>
      <c r="I43" s="20">
        <v>4551221</v>
      </c>
      <c r="J43" s="20">
        <v>33</v>
      </c>
      <c r="K43" t="str">
        <f>CONCATENATE(A43,"_",B43)</f>
        <v>24779_1</v>
      </c>
      <c r="L43" t="str">
        <f>_xlfn.TEXTJOIN("-",TRUE,H43:J43)</f>
        <v>2554-4551221-33</v>
      </c>
      <c r="M43" t="str">
        <f>LEFT(D43,3)</f>
        <v>Mar</v>
      </c>
      <c r="N43">
        <f t="shared" si="1"/>
        <v>339907</v>
      </c>
      <c r="O43" s="24" t="str">
        <f>MID(G43,4,FIND("-",G43,4)-4)</f>
        <v>Melbourne</v>
      </c>
      <c r="Q43" s="26">
        <f>VALUE(SUBSTITUTE(F43,MID(F43,1,2),""))</f>
        <v>480.81</v>
      </c>
      <c r="R43" t="str">
        <f>UPPER(TRIM(CLEAN(E43)))</f>
        <v>INV</v>
      </c>
      <c r="S43" s="28">
        <f>VALUE(D43)</f>
        <v>45733</v>
      </c>
      <c r="T43" s="28">
        <f t="shared" si="0"/>
        <v>45755</v>
      </c>
      <c r="U43">
        <f>tbl_supplier[[#This Row],[Paid Date]]-tbl_supplier[[#This Row],[Invoice Date]]</f>
        <v>22</v>
      </c>
      <c r="V43" t="str">
        <f>VLOOKUP(tbl_supplier[[#This Row],[Payment No]],tbl_MC[Payment Ref],1,FALSE)</f>
        <v>24779_1</v>
      </c>
      <c r="W43">
        <f>_xlfn.XLOOKUP(tbl_supplier[[#This Row],[PO Number]],'MC Invoice Report'!H46,'MC Invoice Report'!C46,"NOT FOUND",0,1)</f>
        <v>545727</v>
      </c>
    </row>
    <row r="44" spans="1:23" ht="15">
      <c r="A44" s="20">
        <v>24784</v>
      </c>
      <c r="B44" s="20">
        <v>1</v>
      </c>
      <c r="C44" s="20" t="s">
        <v>60</v>
      </c>
      <c r="D44" s="20" t="s">
        <v>159</v>
      </c>
      <c r="E44" s="20" t="s">
        <v>25</v>
      </c>
      <c r="F44" s="20" t="s">
        <v>160</v>
      </c>
      <c r="G44" s="20" t="s">
        <v>161</v>
      </c>
      <c r="H44" s="20">
        <v>1641</v>
      </c>
      <c r="I44" s="20">
        <v>7654320</v>
      </c>
      <c r="J44" s="20">
        <v>72</v>
      </c>
      <c r="K44" t="str">
        <f>CONCATENATE(A44,"_",B44)</f>
        <v>24784_1</v>
      </c>
      <c r="L44" t="str">
        <f>_xlfn.TEXTJOIN("-",TRUE,H44:J44)</f>
        <v>1641-7654320-72</v>
      </c>
      <c r="M44" t="str">
        <f>LEFT(D44,3)</f>
        <v>Mar</v>
      </c>
      <c r="N44">
        <f t="shared" si="1"/>
        <v>218463</v>
      </c>
      <c r="O44" s="24" t="str">
        <f>MID(G44,4,FIND("-",G44,4)-4)</f>
        <v>Sydney</v>
      </c>
      <c r="Q44" s="26">
        <f>VALUE(SUBSTITUTE(F44,MID(F44,1,2),""))</f>
        <v>253.77</v>
      </c>
      <c r="R44" t="str">
        <f>UPPER(TRIM(CLEAN(E44)))</f>
        <v>INV</v>
      </c>
      <c r="S44" s="28">
        <f>VALUE(D44)</f>
        <v>45734</v>
      </c>
      <c r="T44" s="28">
        <f t="shared" si="0"/>
        <v>45774</v>
      </c>
      <c r="U44">
        <f>tbl_supplier[[#This Row],[Paid Date]]-tbl_supplier[[#This Row],[Invoice Date]]</f>
        <v>40</v>
      </c>
      <c r="V44" t="str">
        <f>VLOOKUP(tbl_supplier[[#This Row],[Payment No]],tbl_MC[Payment Ref],1,FALSE)</f>
        <v>24784_1</v>
      </c>
      <c r="W44">
        <f>_xlfn.XLOOKUP(tbl_supplier[[#This Row],[PO Number]],'MC Invoice Report'!H47,'MC Invoice Report'!C47,"NOT FOUND",0,1)</f>
        <v>545729</v>
      </c>
    </row>
    <row r="45" spans="1:23" ht="15">
      <c r="A45" s="20">
        <v>24788</v>
      </c>
      <c r="B45" s="20">
        <v>1</v>
      </c>
      <c r="C45" s="20" t="s">
        <v>81</v>
      </c>
      <c r="D45" s="20" t="s">
        <v>36</v>
      </c>
      <c r="E45" s="20" t="s">
        <v>25</v>
      </c>
      <c r="F45" s="20" t="s">
        <v>162</v>
      </c>
      <c r="G45" s="20" t="s">
        <v>140</v>
      </c>
      <c r="H45" s="20">
        <v>2554</v>
      </c>
      <c r="I45" s="20">
        <v>4551221</v>
      </c>
      <c r="J45" s="20">
        <v>33</v>
      </c>
      <c r="K45" t="str">
        <f>CONCATENATE(A45,"_",B45)</f>
        <v>24788_1</v>
      </c>
      <c r="L45" t="str">
        <f>_xlfn.TEXTJOIN("-",TRUE,H45:J45)</f>
        <v>2554-4551221-33</v>
      </c>
      <c r="M45" t="str">
        <f>LEFT(D45,3)</f>
        <v>Mar</v>
      </c>
      <c r="N45">
        <f t="shared" si="1"/>
        <v>336345</v>
      </c>
      <c r="O45" s="24" t="str">
        <f>MID(G45,4,FIND("-",G45,4)-4)</f>
        <v>Melbourne</v>
      </c>
      <c r="Q45" s="26">
        <f>VALUE(SUBSTITUTE(F45,MID(F45,1,2),""))</f>
        <v>442.86</v>
      </c>
      <c r="R45" t="str">
        <f>UPPER(TRIM(CLEAN(E45)))</f>
        <v>INV</v>
      </c>
      <c r="S45" s="28">
        <f>VALUE(D45)</f>
        <v>45732</v>
      </c>
      <c r="T45" s="28">
        <f t="shared" si="0"/>
        <v>45775</v>
      </c>
      <c r="U45">
        <f>tbl_supplier[[#This Row],[Paid Date]]-tbl_supplier[[#This Row],[Invoice Date]]</f>
        <v>43</v>
      </c>
      <c r="V45" t="str">
        <f>VLOOKUP(tbl_supplier[[#This Row],[Payment No]],tbl_MC[Payment Ref],1,FALSE)</f>
        <v>24788_1</v>
      </c>
      <c r="W45">
        <f>_xlfn.XLOOKUP(tbl_supplier[[#This Row],[PO Number]],'MC Invoice Report'!H48,'MC Invoice Report'!C48,"NOT FOUND",0,1)</f>
        <v>545731</v>
      </c>
    </row>
    <row r="46" spans="1:23" ht="15">
      <c r="A46" s="20">
        <v>24792</v>
      </c>
      <c r="B46" s="20">
        <v>1</v>
      </c>
      <c r="C46" s="20" t="s">
        <v>148</v>
      </c>
      <c r="D46" s="20" t="s">
        <v>163</v>
      </c>
      <c r="E46" s="20" t="s">
        <v>25</v>
      </c>
      <c r="F46" s="20" t="s">
        <v>164</v>
      </c>
      <c r="G46" s="20" t="s">
        <v>165</v>
      </c>
      <c r="H46" s="20">
        <v>1641</v>
      </c>
      <c r="I46" s="20">
        <v>7654320</v>
      </c>
      <c r="J46" s="20">
        <v>72</v>
      </c>
      <c r="K46" t="str">
        <f>CONCATENATE(A46,"_",B46)</f>
        <v>24792_1</v>
      </c>
      <c r="L46" t="str">
        <f>_xlfn.TEXTJOIN("-",TRUE,H46:J46)</f>
        <v>1641-7654320-72</v>
      </c>
      <c r="M46" t="str">
        <f>LEFT(D46,3)</f>
        <v>Mar</v>
      </c>
      <c r="N46">
        <f t="shared" si="1"/>
        <v>227664</v>
      </c>
      <c r="O46" s="24" t="str">
        <f>MID(G46,4,FIND("-",G46,4)-4)</f>
        <v>Sydney</v>
      </c>
      <c r="Q46" s="26">
        <f>VALUE(SUBSTITUTE(F46,MID(F46,1,2),""))</f>
        <v>630.96</v>
      </c>
      <c r="R46" t="str">
        <f>UPPER(TRIM(CLEAN(E46)))</f>
        <v>INV</v>
      </c>
      <c r="S46" s="28">
        <f>VALUE(D46)</f>
        <v>45727</v>
      </c>
      <c r="T46" s="28">
        <f t="shared" si="0"/>
        <v>45750</v>
      </c>
      <c r="U46">
        <f>tbl_supplier[[#This Row],[Paid Date]]-tbl_supplier[[#This Row],[Invoice Date]]</f>
        <v>23</v>
      </c>
      <c r="V46" t="str">
        <f>VLOOKUP(tbl_supplier[[#This Row],[Payment No]],tbl_MC[Payment Ref],1,FALSE)</f>
        <v>24792_1</v>
      </c>
      <c r="W46">
        <f>_xlfn.XLOOKUP(tbl_supplier[[#This Row],[PO Number]],'MC Invoice Report'!H49,'MC Invoice Report'!C49,"NOT FOUND",0,1)</f>
        <v>545732</v>
      </c>
    </row>
    <row r="47" spans="1:23" ht="15">
      <c r="A47" s="20">
        <v>24793</v>
      </c>
      <c r="B47" s="20">
        <v>1</v>
      </c>
      <c r="C47" s="20" t="s">
        <v>69</v>
      </c>
      <c r="D47" s="20" t="s">
        <v>154</v>
      </c>
      <c r="E47" s="20" t="s">
        <v>25</v>
      </c>
      <c r="F47" s="20" t="s">
        <v>166</v>
      </c>
      <c r="G47" s="20" t="s">
        <v>167</v>
      </c>
      <c r="H47" s="20">
        <v>2554</v>
      </c>
      <c r="I47" s="20">
        <v>4551221</v>
      </c>
      <c r="J47" s="20">
        <v>33</v>
      </c>
      <c r="K47" t="str">
        <f>CONCATENATE(A47,"_",B47)</f>
        <v>24793_1</v>
      </c>
      <c r="L47" t="str">
        <f>_xlfn.TEXTJOIN("-",TRUE,H47:J47)</f>
        <v>2554-4551221-33</v>
      </c>
      <c r="M47" t="str">
        <f>LEFT(D47,3)</f>
        <v>Mar</v>
      </c>
      <c r="N47">
        <f t="shared" si="1"/>
        <v>331460</v>
      </c>
      <c r="O47" s="24" t="str">
        <f>MID(G47,4,FIND("-",G47,4)-4)</f>
        <v>Melbourne</v>
      </c>
      <c r="Q47" s="26">
        <f>VALUE(SUBSTITUTE(F47,MID(F47,1,2),""))</f>
        <v>821.37</v>
      </c>
      <c r="R47" t="str">
        <f>UPPER(TRIM(CLEAN(E47)))</f>
        <v>INV</v>
      </c>
      <c r="S47" s="28">
        <f>VALUE(D47)</f>
        <v>45721</v>
      </c>
      <c r="T47" s="28">
        <f t="shared" si="0"/>
        <v>45751</v>
      </c>
      <c r="U47">
        <f>tbl_supplier[[#This Row],[Paid Date]]-tbl_supplier[[#This Row],[Invoice Date]]</f>
        <v>30</v>
      </c>
      <c r="V47" t="str">
        <f>VLOOKUP(tbl_supplier[[#This Row],[Payment No]],tbl_MC[Payment Ref],1,FALSE)</f>
        <v>24793_1</v>
      </c>
      <c r="W47">
        <f>_xlfn.XLOOKUP(tbl_supplier[[#This Row],[PO Number]],'MC Invoice Report'!H50,'MC Invoice Report'!C50,"NOT FOUND",0,1)</f>
        <v>545734</v>
      </c>
    </row>
    <row r="48" spans="1:23" ht="15">
      <c r="A48" s="20">
        <v>24795</v>
      </c>
      <c r="B48" s="20">
        <v>1</v>
      </c>
      <c r="C48" s="20" t="s">
        <v>90</v>
      </c>
      <c r="D48" s="20" t="s">
        <v>104</v>
      </c>
      <c r="E48" s="20" t="s">
        <v>25</v>
      </c>
      <c r="F48" s="20" t="s">
        <v>168</v>
      </c>
      <c r="G48" s="20" t="s">
        <v>169</v>
      </c>
      <c r="H48" s="20">
        <v>2554</v>
      </c>
      <c r="I48" s="20">
        <v>4551221</v>
      </c>
      <c r="J48" s="20">
        <v>33</v>
      </c>
      <c r="K48" t="str">
        <f>CONCATENATE(A48,"_",B48)</f>
        <v>24795_1</v>
      </c>
      <c r="L48" t="str">
        <f>_xlfn.TEXTJOIN("-",TRUE,H48:J48)</f>
        <v>2554-4551221-33</v>
      </c>
      <c r="M48" t="str">
        <f>LEFT(D48,3)</f>
        <v>Feb</v>
      </c>
      <c r="N48">
        <f t="shared" si="1"/>
        <v>327740</v>
      </c>
      <c r="O48" s="24" t="str">
        <f>MID(G48,4,FIND("-",G48,4)-4)</f>
        <v>Melbourne</v>
      </c>
      <c r="Q48" s="26">
        <f>VALUE(SUBSTITUTE(F48,MID(F48,1,2),""))</f>
        <v>950.73</v>
      </c>
      <c r="R48" t="str">
        <f>UPPER(TRIM(CLEAN(E48)))</f>
        <v>INV</v>
      </c>
      <c r="S48" s="28">
        <f>VALUE(D48)</f>
        <v>45715</v>
      </c>
      <c r="T48" s="28">
        <f t="shared" si="0"/>
        <v>45754</v>
      </c>
      <c r="U48">
        <f>tbl_supplier[[#This Row],[Paid Date]]-tbl_supplier[[#This Row],[Invoice Date]]</f>
        <v>39</v>
      </c>
      <c r="V48" t="str">
        <f>VLOOKUP(tbl_supplier[[#This Row],[Payment No]],tbl_MC[Payment Ref],1,FALSE)</f>
        <v>24795_1</v>
      </c>
      <c r="W48">
        <f>_xlfn.XLOOKUP(tbl_supplier[[#This Row],[PO Number]],'MC Invoice Report'!H51,'MC Invoice Report'!C51,"NOT FOUND",0,1)</f>
        <v>545735</v>
      </c>
    </row>
    <row r="49" spans="1:23" ht="15">
      <c r="A49" s="20">
        <v>24798</v>
      </c>
      <c r="B49" s="20">
        <v>1</v>
      </c>
      <c r="C49" s="20" t="s">
        <v>43</v>
      </c>
      <c r="D49" s="20" t="s">
        <v>170</v>
      </c>
      <c r="E49" s="20" t="s">
        <v>25</v>
      </c>
      <c r="F49" s="20" t="s">
        <v>171</v>
      </c>
      <c r="G49" s="20" t="s">
        <v>172</v>
      </c>
      <c r="H49" s="20">
        <v>1641</v>
      </c>
      <c r="I49" s="20">
        <v>7654320</v>
      </c>
      <c r="J49" s="20">
        <v>72</v>
      </c>
      <c r="K49" t="str">
        <f>CONCATENATE(A49,"_",B49)</f>
        <v>24798_1</v>
      </c>
      <c r="L49" t="str">
        <f>_xlfn.TEXTJOIN("-",TRUE,H49:J49)</f>
        <v>1641-7654320-72</v>
      </c>
      <c r="M49" t="str">
        <f>LEFT(D49,3)</f>
        <v>Mar</v>
      </c>
      <c r="N49">
        <f t="shared" si="1"/>
        <v>221183</v>
      </c>
      <c r="O49" s="24" t="str">
        <f>MID(G49,4,FIND("-",G49,4)-4)</f>
        <v>Sydney</v>
      </c>
      <c r="Q49" s="26">
        <f>VALUE(SUBSTITUTE(F49,MID(F49,1,2),""))</f>
        <v>956.34</v>
      </c>
      <c r="R49" t="str">
        <f>UPPER(TRIM(CLEAN(E49)))</f>
        <v>INV</v>
      </c>
      <c r="S49" s="28">
        <f>VALUE(D49)</f>
        <v>45747</v>
      </c>
      <c r="T49" s="28">
        <f t="shared" si="0"/>
        <v>45757</v>
      </c>
      <c r="U49">
        <f>tbl_supplier[[#This Row],[Paid Date]]-tbl_supplier[[#This Row],[Invoice Date]]</f>
        <v>10</v>
      </c>
      <c r="V49" t="str">
        <f>VLOOKUP(tbl_supplier[[#This Row],[Payment No]],tbl_MC[Payment Ref],1,FALSE)</f>
        <v>24798_1</v>
      </c>
      <c r="W49">
        <f>_xlfn.XLOOKUP(tbl_supplier[[#This Row],[PO Number]],'MC Invoice Report'!H52,'MC Invoice Report'!C52,"NOT FOUND",0,1)</f>
        <v>545737</v>
      </c>
    </row>
    <row r="50" spans="1:23" ht="15">
      <c r="A50" s="20">
        <v>24801</v>
      </c>
      <c r="B50" s="20">
        <v>1</v>
      </c>
      <c r="C50" s="20" t="s">
        <v>145</v>
      </c>
      <c r="D50" s="20" t="s">
        <v>56</v>
      </c>
      <c r="E50" s="20" t="s">
        <v>25</v>
      </c>
      <c r="F50" s="20" t="s">
        <v>173</v>
      </c>
      <c r="G50" s="20" t="s">
        <v>174</v>
      </c>
      <c r="H50" s="20">
        <v>1641</v>
      </c>
      <c r="I50" s="20">
        <v>7654320</v>
      </c>
      <c r="J50" s="20">
        <v>72</v>
      </c>
      <c r="K50" t="str">
        <f>CONCATENATE(A50,"_",B50)</f>
        <v>24801_1</v>
      </c>
      <c r="L50" t="str">
        <f>_xlfn.TEXTJOIN("-",TRUE,H50:J50)</f>
        <v>1641-7654320-72</v>
      </c>
      <c r="M50" t="str">
        <f>LEFT(D50,3)</f>
        <v>Mar</v>
      </c>
      <c r="N50">
        <f t="shared" si="1"/>
        <v>214234</v>
      </c>
      <c r="O50" s="24" t="str">
        <f>MID(G50,4,FIND("-",G50,4)-4)</f>
        <v>Sydney</v>
      </c>
      <c r="Q50" s="26">
        <f>VALUE(SUBSTITUTE(F50,MID(F50,1,2),""))</f>
        <v>1094.28</v>
      </c>
      <c r="R50" t="str">
        <f>UPPER(TRIM(CLEAN(E50)))</f>
        <v>INV</v>
      </c>
      <c r="S50" s="28">
        <f>VALUE(D50)</f>
        <v>45743</v>
      </c>
      <c r="T50" s="28">
        <f t="shared" si="0"/>
        <v>45759</v>
      </c>
      <c r="U50">
        <f>tbl_supplier[[#This Row],[Paid Date]]-tbl_supplier[[#This Row],[Invoice Date]]</f>
        <v>16</v>
      </c>
      <c r="V50" t="str">
        <f>VLOOKUP(tbl_supplier[[#This Row],[Payment No]],tbl_MC[Payment Ref],1,FALSE)</f>
        <v>24801_1</v>
      </c>
      <c r="W50">
        <f>_xlfn.XLOOKUP(tbl_supplier[[#This Row],[PO Number]],'MC Invoice Report'!H53,'MC Invoice Report'!C53,"NOT FOUND",0,1)</f>
        <v>545739</v>
      </c>
    </row>
    <row r="51" spans="1:23" ht="15">
      <c r="A51" s="20">
        <v>24803</v>
      </c>
      <c r="B51" s="20">
        <v>1</v>
      </c>
      <c r="C51" s="20" t="s">
        <v>35</v>
      </c>
      <c r="D51" s="20" t="s">
        <v>159</v>
      </c>
      <c r="E51" s="20" t="s">
        <v>25</v>
      </c>
      <c r="F51" s="20" t="s">
        <v>175</v>
      </c>
      <c r="G51" s="20" t="s">
        <v>176</v>
      </c>
      <c r="H51" s="20">
        <v>2554</v>
      </c>
      <c r="I51" s="20">
        <v>4551221</v>
      </c>
      <c r="J51" s="20">
        <v>33</v>
      </c>
      <c r="K51" t="str">
        <f>CONCATENATE(A51,"_",B51)</f>
        <v>24803_1</v>
      </c>
      <c r="L51" t="str">
        <f>_xlfn.TEXTJOIN("-",TRUE,H51:J51)</f>
        <v>2554-4551221-33</v>
      </c>
      <c r="M51" t="str">
        <f>LEFT(D51,3)</f>
        <v>Mar</v>
      </c>
      <c r="N51">
        <f t="shared" si="1"/>
        <v>321456</v>
      </c>
      <c r="O51" s="24" t="str">
        <f>MID(G51,4,FIND("-",G51,4)-4)</f>
        <v>Melbourne</v>
      </c>
      <c r="Q51" s="26">
        <f>VALUE(SUBSTITUTE(F51,MID(F51,1,2),""))</f>
        <v>628.98</v>
      </c>
      <c r="R51" t="str">
        <f>UPPER(TRIM(CLEAN(E51)))</f>
        <v>INV</v>
      </c>
      <c r="S51" s="28">
        <f>VALUE(D51)</f>
        <v>45734</v>
      </c>
      <c r="T51" s="28">
        <f t="shared" si="0"/>
        <v>45752</v>
      </c>
      <c r="U51">
        <f>tbl_supplier[[#This Row],[Paid Date]]-tbl_supplier[[#This Row],[Invoice Date]]</f>
        <v>18</v>
      </c>
      <c r="V51" t="str">
        <f>VLOOKUP(tbl_supplier[[#This Row],[Payment No]],tbl_MC[Payment Ref],1,FALSE)</f>
        <v>24803_1</v>
      </c>
      <c r="W51">
        <f>_xlfn.XLOOKUP(tbl_supplier[[#This Row],[PO Number]],'MC Invoice Report'!H54,'MC Invoice Report'!C54,"NOT FOUND",0,1)</f>
        <v>545740</v>
      </c>
    </row>
    <row r="52" spans="1:23" ht="15">
      <c r="A52" s="20">
        <v>24808</v>
      </c>
      <c r="B52" s="20">
        <v>1</v>
      </c>
      <c r="C52" s="20" t="s">
        <v>23</v>
      </c>
      <c r="D52" s="20" t="s">
        <v>101</v>
      </c>
      <c r="E52" s="20" t="s">
        <v>25</v>
      </c>
      <c r="F52" s="20" t="s">
        <v>177</v>
      </c>
      <c r="G52" s="20" t="s">
        <v>178</v>
      </c>
      <c r="H52" s="20">
        <v>1641</v>
      </c>
      <c r="I52" s="20">
        <v>7654320</v>
      </c>
      <c r="J52" s="20">
        <v>72</v>
      </c>
      <c r="K52" t="str">
        <f>CONCATENATE(A52,"_",B52)</f>
        <v>24808_1</v>
      </c>
      <c r="L52" t="str">
        <f>_xlfn.TEXTJOIN("-",TRUE,H52:J52)</f>
        <v>1641-7654320-72</v>
      </c>
      <c r="M52" t="str">
        <f>LEFT(D52,3)</f>
        <v>Apr</v>
      </c>
      <c r="N52">
        <f t="shared" si="1"/>
        <v>233209</v>
      </c>
      <c r="O52" s="24" t="str">
        <f>MID(G52,4,FIND("-",G52,4)-4)</f>
        <v>Sydney</v>
      </c>
      <c r="Q52" s="26">
        <f>VALUE(SUBSTITUTE(F52,MID(F52,1,2),""))</f>
        <v>1058.31</v>
      </c>
      <c r="R52" t="str">
        <f>UPPER(TRIM(CLEAN(E52)))</f>
        <v>INV</v>
      </c>
      <c r="S52" s="28">
        <f>VALUE(D52)</f>
        <v>45755</v>
      </c>
      <c r="T52" s="28">
        <f t="shared" si="0"/>
        <v>45767</v>
      </c>
      <c r="U52">
        <f>tbl_supplier[[#This Row],[Paid Date]]-tbl_supplier[[#This Row],[Invoice Date]]</f>
        <v>12</v>
      </c>
      <c r="V52" t="str">
        <f>VLOOKUP(tbl_supplier[[#This Row],[Payment No]],tbl_MC[Payment Ref],1,FALSE)</f>
        <v>24808_1</v>
      </c>
      <c r="W52">
        <f>_xlfn.XLOOKUP(tbl_supplier[[#This Row],[PO Number]],'MC Invoice Report'!H55,'MC Invoice Report'!C55,"NOT FOUND",0,1)</f>
        <v>545742</v>
      </c>
    </row>
    <row r="53" spans="1:23" ht="15">
      <c r="A53" s="20">
        <v>24813</v>
      </c>
      <c r="B53" s="20">
        <v>1</v>
      </c>
      <c r="C53" s="20" t="s">
        <v>101</v>
      </c>
      <c r="D53" s="20" t="s">
        <v>170</v>
      </c>
      <c r="E53" s="20" t="s">
        <v>25</v>
      </c>
      <c r="F53" s="20" t="s">
        <v>179</v>
      </c>
      <c r="G53" s="20" t="s">
        <v>180</v>
      </c>
      <c r="H53" s="20">
        <v>1641</v>
      </c>
      <c r="I53" s="20">
        <v>7654320</v>
      </c>
      <c r="J53" s="20">
        <v>72</v>
      </c>
      <c r="K53" t="str">
        <f>CONCATENATE(A53,"_",B53)</f>
        <v>24813_1</v>
      </c>
      <c r="L53" t="str">
        <f>_xlfn.TEXTJOIN("-",TRUE,H53:J53)</f>
        <v>1641-7654320-72</v>
      </c>
      <c r="M53" t="str">
        <f>LEFT(D53,3)</f>
        <v>Mar</v>
      </c>
      <c r="N53">
        <f t="shared" si="1"/>
        <v>222998</v>
      </c>
      <c r="O53" s="24" t="str">
        <f>MID(G53,4,FIND("-",G53,4)-4)</f>
        <v>Sydney</v>
      </c>
      <c r="Q53" s="26">
        <f>VALUE(SUBSTITUTE(F53,MID(F53,1,2),""))</f>
        <v>705.54</v>
      </c>
      <c r="R53" t="str">
        <f>UPPER(TRIM(CLEAN(E53)))</f>
        <v>INV</v>
      </c>
      <c r="S53" s="28">
        <f>VALUE(D53)</f>
        <v>45747</v>
      </c>
      <c r="T53" s="28">
        <f t="shared" si="0"/>
        <v>45755</v>
      </c>
      <c r="U53">
        <f>tbl_supplier[[#This Row],[Paid Date]]-tbl_supplier[[#This Row],[Invoice Date]]</f>
        <v>8</v>
      </c>
      <c r="V53" t="str">
        <f>VLOOKUP(tbl_supplier[[#This Row],[Payment No]],tbl_MC[Payment Ref],1,FALSE)</f>
        <v>24813_1</v>
      </c>
      <c r="W53">
        <f>_xlfn.XLOOKUP(tbl_supplier[[#This Row],[PO Number]],'MC Invoice Report'!H56,'MC Invoice Report'!C56,"NOT FOUND",0,1)</f>
        <v>545743</v>
      </c>
    </row>
    <row r="54" spans="1:23" ht="15">
      <c r="A54" s="20">
        <v>24815</v>
      </c>
      <c r="B54" s="20">
        <v>1</v>
      </c>
      <c r="C54" s="20" t="s">
        <v>60</v>
      </c>
      <c r="D54" s="20" t="s">
        <v>55</v>
      </c>
      <c r="E54" s="20" t="s">
        <v>25</v>
      </c>
      <c r="F54" s="20" t="s">
        <v>181</v>
      </c>
      <c r="G54" s="20" t="s">
        <v>182</v>
      </c>
      <c r="H54" s="20">
        <v>1641</v>
      </c>
      <c r="I54" s="20">
        <v>7654320</v>
      </c>
      <c r="J54" s="20">
        <v>72</v>
      </c>
      <c r="K54" t="str">
        <f>CONCATENATE(A54,"_",B54)</f>
        <v>24815_1</v>
      </c>
      <c r="L54" t="str">
        <f>_xlfn.TEXTJOIN("-",TRUE,H54:J54)</f>
        <v>1641-7654320-72</v>
      </c>
      <c r="M54" t="str">
        <f>LEFT(D54,3)</f>
        <v>Apr</v>
      </c>
      <c r="N54">
        <f t="shared" si="1"/>
        <v>228246</v>
      </c>
      <c r="O54" s="24" t="str">
        <f>MID(G54,4,FIND("-",G54,4)-4)</f>
        <v>Sydney</v>
      </c>
      <c r="Q54" s="26">
        <f>VALUE(SUBSTITUTE(F54,MID(F54,1,2),""))</f>
        <v>138.6</v>
      </c>
      <c r="R54" t="str">
        <f>UPPER(TRIM(CLEAN(E54)))</f>
        <v>INV</v>
      </c>
      <c r="S54" s="28">
        <f>VALUE(D54)</f>
        <v>45761</v>
      </c>
      <c r="T54" s="28">
        <f t="shared" si="0"/>
        <v>45774</v>
      </c>
      <c r="U54">
        <f>tbl_supplier[[#This Row],[Paid Date]]-tbl_supplier[[#This Row],[Invoice Date]]</f>
        <v>13</v>
      </c>
      <c r="V54" t="str">
        <f>VLOOKUP(tbl_supplier[[#This Row],[Payment No]],tbl_MC[Payment Ref],1,FALSE)</f>
        <v>24815_1</v>
      </c>
      <c r="W54">
        <f>_xlfn.XLOOKUP(tbl_supplier[[#This Row],[PO Number]],'MC Invoice Report'!H57,'MC Invoice Report'!C57,"NOT FOUND",0,1)</f>
        <v>545745</v>
      </c>
    </row>
    <row r="55" spans="1:23" ht="15">
      <c r="A55" s="20">
        <v>24819</v>
      </c>
      <c r="B55" s="20">
        <v>1</v>
      </c>
      <c r="C55" s="20" t="s">
        <v>90</v>
      </c>
      <c r="D55" s="20" t="s">
        <v>183</v>
      </c>
      <c r="E55" s="20" t="s">
        <v>25</v>
      </c>
      <c r="F55" s="20" t="s">
        <v>184</v>
      </c>
      <c r="G55" s="20" t="s">
        <v>185</v>
      </c>
      <c r="H55" s="20">
        <v>2554</v>
      </c>
      <c r="I55" s="20">
        <v>4551221</v>
      </c>
      <c r="J55" s="20">
        <v>33</v>
      </c>
      <c r="K55" t="str">
        <f>CONCATENATE(A55,"_",B55)</f>
        <v>24819_1</v>
      </c>
      <c r="L55" t="str">
        <f>_xlfn.TEXTJOIN("-",TRUE,H55:J55)</f>
        <v>2554-4551221-33</v>
      </c>
      <c r="M55" t="str">
        <f>LEFT(D55,3)</f>
        <v>Mar</v>
      </c>
      <c r="N55">
        <f t="shared" si="1"/>
        <v>314876</v>
      </c>
      <c r="O55" s="24" t="str">
        <f>MID(G55,4,FIND("-",G55,4)-4)</f>
        <v>Melbourne</v>
      </c>
      <c r="Q55" s="26">
        <f>VALUE(SUBSTITUTE(F55,MID(F55,1,2),""))</f>
        <v>417.12</v>
      </c>
      <c r="R55" t="str">
        <f>UPPER(TRIM(CLEAN(E55)))</f>
        <v>INV</v>
      </c>
      <c r="S55" s="28">
        <f>VALUE(D55)</f>
        <v>45740</v>
      </c>
      <c r="T55" s="28">
        <f t="shared" si="0"/>
        <v>45754</v>
      </c>
      <c r="U55">
        <f>tbl_supplier[[#This Row],[Paid Date]]-tbl_supplier[[#This Row],[Invoice Date]]</f>
        <v>14</v>
      </c>
      <c r="V55" t="str">
        <f>VLOOKUP(tbl_supplier[[#This Row],[Payment No]],tbl_MC[Payment Ref],1,FALSE)</f>
        <v>24819_1</v>
      </c>
      <c r="W55">
        <f>_xlfn.XLOOKUP(tbl_supplier[[#This Row],[PO Number]],'MC Invoice Report'!H58,'MC Invoice Report'!C58,"NOT FOUND",0,1)</f>
        <v>545747</v>
      </c>
    </row>
    <row r="56" spans="1:23" ht="15">
      <c r="A56" s="20">
        <v>24822</v>
      </c>
      <c r="B56" s="20">
        <v>1</v>
      </c>
      <c r="C56" s="20" t="s">
        <v>186</v>
      </c>
      <c r="D56" s="20" t="s">
        <v>30</v>
      </c>
      <c r="E56" s="20" t="s">
        <v>25</v>
      </c>
      <c r="F56" s="20" t="s">
        <v>187</v>
      </c>
      <c r="G56" s="20" t="s">
        <v>188</v>
      </c>
      <c r="H56" s="20">
        <v>1641</v>
      </c>
      <c r="I56" s="20">
        <v>7654320</v>
      </c>
      <c r="J56" s="20">
        <v>72</v>
      </c>
      <c r="K56" t="str">
        <f>CONCATENATE(A56,"_",B56)</f>
        <v>24822_1</v>
      </c>
      <c r="L56" t="str">
        <f>_xlfn.TEXTJOIN("-",TRUE,H56:J56)</f>
        <v>1641-7654320-72</v>
      </c>
      <c r="M56" t="str">
        <f>LEFT(D56,3)</f>
        <v>Mar</v>
      </c>
      <c r="N56">
        <f t="shared" si="1"/>
        <v>223602</v>
      </c>
      <c r="O56" s="24" t="str">
        <f>MID(G56,4,FIND("-",G56,4)-4)</f>
        <v>Sydney</v>
      </c>
      <c r="Q56" s="26">
        <f>VALUE(SUBSTITUTE(F56,MID(F56,1,2),""))</f>
        <v>422.73</v>
      </c>
      <c r="R56" t="str">
        <f>UPPER(TRIM(CLEAN(E56)))</f>
        <v>INV</v>
      </c>
      <c r="S56" s="28">
        <f>VALUE(D56)</f>
        <v>45739</v>
      </c>
      <c r="T56" s="28">
        <f t="shared" si="0"/>
        <v>45765</v>
      </c>
      <c r="U56">
        <f>tbl_supplier[[#This Row],[Paid Date]]-tbl_supplier[[#This Row],[Invoice Date]]</f>
        <v>26</v>
      </c>
      <c r="V56" t="str">
        <f>VLOOKUP(tbl_supplier[[#This Row],[Payment No]],tbl_MC[Payment Ref],1,FALSE)</f>
        <v>24822_1</v>
      </c>
      <c r="W56">
        <f>_xlfn.XLOOKUP(tbl_supplier[[#This Row],[PO Number]],'MC Invoice Report'!H59,'MC Invoice Report'!C59,"NOT FOUND",0,1)</f>
        <v>545748</v>
      </c>
    </row>
    <row r="57" spans="1:23" ht="15">
      <c r="A57" s="20">
        <v>24824</v>
      </c>
      <c r="B57" s="20">
        <v>1</v>
      </c>
      <c r="C57" s="20" t="s">
        <v>55</v>
      </c>
      <c r="D57" s="20" t="s">
        <v>159</v>
      </c>
      <c r="E57" s="20" t="s">
        <v>25</v>
      </c>
      <c r="F57" s="20" t="s">
        <v>189</v>
      </c>
      <c r="G57" s="20" t="s">
        <v>190</v>
      </c>
      <c r="H57" s="20">
        <v>2554</v>
      </c>
      <c r="I57" s="20">
        <v>4551221</v>
      </c>
      <c r="J57" s="20">
        <v>33</v>
      </c>
      <c r="K57" t="str">
        <f>CONCATENATE(A57,"_",B57)</f>
        <v>24824_1</v>
      </c>
      <c r="L57" t="str">
        <f>_xlfn.TEXTJOIN("-",TRUE,H57:J57)</f>
        <v>2554-4551221-33</v>
      </c>
      <c r="M57" t="str">
        <f>LEFT(D57,3)</f>
        <v>Mar</v>
      </c>
      <c r="N57">
        <f t="shared" si="1"/>
        <v>319833</v>
      </c>
      <c r="O57" s="24" t="str">
        <f>MID(G57,4,FIND("-",G57,4)-4)</f>
        <v>Melbourne</v>
      </c>
      <c r="Q57" s="26">
        <f>VALUE(SUBSTITUTE(F57,MID(F57,1,2),""))</f>
        <v>1061.94</v>
      </c>
      <c r="R57" t="str">
        <f>UPPER(TRIM(CLEAN(E57)))</f>
        <v>INV</v>
      </c>
      <c r="S57" s="28">
        <f>VALUE(D57)</f>
        <v>45734</v>
      </c>
      <c r="T57" s="28">
        <f t="shared" si="0"/>
        <v>45761</v>
      </c>
      <c r="U57">
        <f>tbl_supplier[[#This Row],[Paid Date]]-tbl_supplier[[#This Row],[Invoice Date]]</f>
        <v>27</v>
      </c>
      <c r="V57" t="str">
        <f>VLOOKUP(tbl_supplier[[#This Row],[Payment No]],tbl_MC[Payment Ref],1,FALSE)</f>
        <v>24824_1</v>
      </c>
      <c r="W57">
        <f>_xlfn.XLOOKUP(tbl_supplier[[#This Row],[PO Number]],'MC Invoice Report'!H60,'MC Invoice Report'!C60,"NOT FOUND",0,1)</f>
        <v>545750</v>
      </c>
    </row>
    <row r="58" spans="1:23" ht="15">
      <c r="A58" s="20">
        <v>24825</v>
      </c>
      <c r="B58" s="20">
        <v>1</v>
      </c>
      <c r="C58" s="20" t="s">
        <v>72</v>
      </c>
      <c r="D58" s="20" t="s">
        <v>61</v>
      </c>
      <c r="E58" s="20" t="s">
        <v>25</v>
      </c>
      <c r="F58" s="20" t="s">
        <v>191</v>
      </c>
      <c r="G58" s="20" t="s">
        <v>192</v>
      </c>
      <c r="H58" s="20">
        <v>2554</v>
      </c>
      <c r="I58" s="20">
        <v>4551221</v>
      </c>
      <c r="J58" s="20">
        <v>33</v>
      </c>
      <c r="K58" t="str">
        <f>CONCATENATE(A58,"_",B58)</f>
        <v>24825_1</v>
      </c>
      <c r="L58" t="str">
        <f>_xlfn.TEXTJOIN("-",TRUE,H58:J58)</f>
        <v>2554-4551221-33</v>
      </c>
      <c r="M58" t="str">
        <f>LEFT(D58,3)</f>
        <v>Mar</v>
      </c>
      <c r="N58">
        <f t="shared" si="1"/>
        <v>310345</v>
      </c>
      <c r="O58" s="24" t="str">
        <f>MID(G58,4,FIND("-",G58,4)-4)</f>
        <v>Melbourne</v>
      </c>
      <c r="Q58" s="26">
        <f>VALUE(SUBSTITUTE(F58,MID(F58,1,2),""))</f>
        <v>602.58000000000004</v>
      </c>
      <c r="R58" t="str">
        <f>UPPER(TRIM(CLEAN(E58)))</f>
        <v>INV</v>
      </c>
      <c r="S58" s="28">
        <f>VALUE(D58)</f>
        <v>45738</v>
      </c>
      <c r="T58" s="28">
        <f t="shared" si="0"/>
        <v>45753</v>
      </c>
      <c r="U58">
        <f>tbl_supplier[[#This Row],[Paid Date]]-tbl_supplier[[#This Row],[Invoice Date]]</f>
        <v>15</v>
      </c>
      <c r="V58" t="str">
        <f>VLOOKUP(tbl_supplier[[#This Row],[Payment No]],tbl_MC[Payment Ref],1,FALSE)</f>
        <v>24825_1</v>
      </c>
      <c r="W58">
        <f>_xlfn.XLOOKUP(tbl_supplier[[#This Row],[PO Number]],'MC Invoice Report'!H61,'MC Invoice Report'!C61,"NOT FOUND",0,1)</f>
        <v>545751</v>
      </c>
    </row>
    <row r="59" spans="1:23" ht="15">
      <c r="A59" s="20">
        <v>24830</v>
      </c>
      <c r="B59" s="20">
        <v>1</v>
      </c>
      <c r="C59" s="20" t="s">
        <v>48</v>
      </c>
      <c r="D59" s="20" t="s">
        <v>72</v>
      </c>
      <c r="E59" s="20" t="s">
        <v>25</v>
      </c>
      <c r="F59" s="20" t="s">
        <v>193</v>
      </c>
      <c r="G59" s="20" t="s">
        <v>194</v>
      </c>
      <c r="H59" s="20">
        <v>2554</v>
      </c>
      <c r="I59" s="20">
        <v>4551221</v>
      </c>
      <c r="J59" s="20">
        <v>33</v>
      </c>
      <c r="K59" t="str">
        <f>CONCATENATE(A59,"_",B59)</f>
        <v>24830_1</v>
      </c>
      <c r="L59" t="str">
        <f>_xlfn.TEXTJOIN("-",TRUE,H59:J59)</f>
        <v>2554-4551221-33</v>
      </c>
      <c r="M59" t="str">
        <f>LEFT(D59,3)</f>
        <v>Apr</v>
      </c>
      <c r="N59">
        <f t="shared" si="1"/>
        <v>317142</v>
      </c>
      <c r="O59" s="24" t="str">
        <f>MID(G59,4,FIND("-",G59,4)-4)</f>
        <v>Melbourne</v>
      </c>
      <c r="Q59" s="26">
        <f>VALUE(SUBSTITUTE(F59,MID(F59,1,2),""))</f>
        <v>132.66</v>
      </c>
      <c r="R59" t="str">
        <f>UPPER(TRIM(CLEAN(E59)))</f>
        <v>INV</v>
      </c>
      <c r="S59" s="28">
        <f>VALUE(D59)</f>
        <v>45753</v>
      </c>
      <c r="T59" s="28">
        <f t="shared" si="0"/>
        <v>45777</v>
      </c>
      <c r="U59">
        <f>tbl_supplier[[#This Row],[Paid Date]]-tbl_supplier[[#This Row],[Invoice Date]]</f>
        <v>24</v>
      </c>
      <c r="V59" t="str">
        <f>VLOOKUP(tbl_supplier[[#This Row],[Payment No]],tbl_MC[Payment Ref],1,FALSE)</f>
        <v>24830_1</v>
      </c>
      <c r="W59">
        <f>_xlfn.XLOOKUP(tbl_supplier[[#This Row],[PO Number]],'MC Invoice Report'!H62,'MC Invoice Report'!C62,"NOT FOUND",0,1)</f>
        <v>545753</v>
      </c>
    </row>
    <row r="60" spans="1:23" ht="15">
      <c r="A60" s="20">
        <v>24831</v>
      </c>
      <c r="B60" s="20">
        <v>1</v>
      </c>
      <c r="C60" s="20" t="s">
        <v>69</v>
      </c>
      <c r="D60" s="20" t="s">
        <v>195</v>
      </c>
      <c r="E60" s="20" t="s">
        <v>25</v>
      </c>
      <c r="F60" s="20" t="s">
        <v>196</v>
      </c>
      <c r="G60" s="20" t="s">
        <v>197</v>
      </c>
      <c r="H60" s="20">
        <v>2554</v>
      </c>
      <c r="I60" s="20">
        <v>4551221</v>
      </c>
      <c r="J60" s="20">
        <v>33</v>
      </c>
      <c r="K60" t="str">
        <f>CONCATENATE(A60,"_",B60)</f>
        <v>24831_1</v>
      </c>
      <c r="L60" t="str">
        <f>_xlfn.TEXTJOIN("-",TRUE,H60:J60)</f>
        <v>2554-4551221-33</v>
      </c>
      <c r="M60" t="str">
        <f>LEFT(D60,3)</f>
        <v>Mar</v>
      </c>
      <c r="N60">
        <f t="shared" si="1"/>
        <v>313747</v>
      </c>
      <c r="O60" s="24" t="str">
        <f>MID(G60,4,FIND("-",G60,4)-4)</f>
        <v>Melbourne</v>
      </c>
      <c r="Q60" s="26">
        <f>VALUE(SUBSTITUTE(F60,MID(F60,1,2),""))</f>
        <v>56.43</v>
      </c>
      <c r="R60" t="str">
        <f>UPPER(TRIM(CLEAN(E60)))</f>
        <v>INV</v>
      </c>
      <c r="S60" s="28">
        <f>VALUE(D60)</f>
        <v>45722</v>
      </c>
      <c r="T60" s="28">
        <f t="shared" si="0"/>
        <v>45751</v>
      </c>
      <c r="U60">
        <f>tbl_supplier[[#This Row],[Paid Date]]-tbl_supplier[[#This Row],[Invoice Date]]</f>
        <v>29</v>
      </c>
      <c r="V60" t="str">
        <f>VLOOKUP(tbl_supplier[[#This Row],[Payment No]],tbl_MC[Payment Ref],1,FALSE)</f>
        <v>24831_1</v>
      </c>
      <c r="W60">
        <f>_xlfn.XLOOKUP(tbl_supplier[[#This Row],[PO Number]],'MC Invoice Report'!H63,'MC Invoice Report'!C63,"NOT FOUND",0,1)</f>
        <v>545754</v>
      </c>
    </row>
    <row r="61" spans="1:23" ht="15">
      <c r="A61" s="20">
        <v>24833</v>
      </c>
      <c r="B61" s="20">
        <v>1</v>
      </c>
      <c r="C61" s="20" t="s">
        <v>35</v>
      </c>
      <c r="D61" s="20" t="s">
        <v>198</v>
      </c>
      <c r="E61" s="20" t="s">
        <v>25</v>
      </c>
      <c r="F61" s="20" t="s">
        <v>199</v>
      </c>
      <c r="G61" s="20" t="s">
        <v>200</v>
      </c>
      <c r="H61" s="20">
        <v>1641</v>
      </c>
      <c r="I61" s="20">
        <v>7654320</v>
      </c>
      <c r="J61" s="20">
        <v>72</v>
      </c>
      <c r="K61" t="str">
        <f>CONCATENATE(A61,"_",B61)</f>
        <v>24833_1</v>
      </c>
      <c r="L61" t="str">
        <f>_xlfn.TEXTJOIN("-",TRUE,H61:J61)</f>
        <v>1641-7654320-72</v>
      </c>
      <c r="M61" t="str">
        <f>LEFT(D61,3)</f>
        <v>Feb</v>
      </c>
      <c r="N61">
        <f t="shared" si="1"/>
        <v>234966</v>
      </c>
      <c r="O61" s="24" t="str">
        <f>MID(G61,4,FIND("-",G61,4)-4)</f>
        <v>Sydney</v>
      </c>
      <c r="Q61" s="26">
        <f>VALUE(SUBSTITUTE(F61,MID(F61,1,2),""))</f>
        <v>511.83</v>
      </c>
      <c r="R61" t="str">
        <f>UPPER(TRIM(CLEAN(E61)))</f>
        <v>INV</v>
      </c>
      <c r="S61" s="28">
        <f>VALUE(D61)</f>
        <v>45708</v>
      </c>
      <c r="T61" s="28">
        <f t="shared" si="0"/>
        <v>45752</v>
      </c>
      <c r="U61">
        <f>tbl_supplier[[#This Row],[Paid Date]]-tbl_supplier[[#This Row],[Invoice Date]]</f>
        <v>44</v>
      </c>
      <c r="V61" t="str">
        <f>VLOOKUP(tbl_supplier[[#This Row],[Payment No]],tbl_MC[Payment Ref],1,FALSE)</f>
        <v>24833_1</v>
      </c>
      <c r="W61">
        <f>_xlfn.XLOOKUP(tbl_supplier[[#This Row],[PO Number]],'MC Invoice Report'!H64,'MC Invoice Report'!C64,"NOT FOUND",0,1)</f>
        <v>545756</v>
      </c>
    </row>
    <row r="62" spans="1:23" ht="15">
      <c r="A62" s="20">
        <v>24837</v>
      </c>
      <c r="B62" s="20">
        <v>1</v>
      </c>
      <c r="C62" s="20" t="s">
        <v>101</v>
      </c>
      <c r="D62" s="20" t="s">
        <v>201</v>
      </c>
      <c r="E62" s="20" t="s">
        <v>25</v>
      </c>
      <c r="F62" s="20" t="s">
        <v>202</v>
      </c>
      <c r="G62" s="20" t="s">
        <v>203</v>
      </c>
      <c r="H62" s="20">
        <v>1641</v>
      </c>
      <c r="I62" s="20">
        <v>7654320</v>
      </c>
      <c r="J62" s="20">
        <v>72</v>
      </c>
      <c r="K62" t="str">
        <f>CONCATENATE(A62,"_",B62)</f>
        <v>24837_1</v>
      </c>
      <c r="L62" t="str">
        <f>_xlfn.TEXTJOIN("-",TRUE,H62:J62)</f>
        <v>1641-7654320-72</v>
      </c>
      <c r="M62" t="str">
        <f>LEFT(D62,3)</f>
        <v>Mar</v>
      </c>
      <c r="N62">
        <f t="shared" si="1"/>
        <v>215639</v>
      </c>
      <c r="O62" s="24" t="str">
        <f>MID(G62,4,FIND("-",G62,4)-4)</f>
        <v>Sydney</v>
      </c>
      <c r="Q62" s="26">
        <f>VALUE(SUBSTITUTE(F62,MID(F62,1,2),""))</f>
        <v>361.02</v>
      </c>
      <c r="R62" t="str">
        <f>UPPER(TRIM(CLEAN(E62)))</f>
        <v>INV</v>
      </c>
      <c r="S62" s="28">
        <f>VALUE(D62)</f>
        <v>45742</v>
      </c>
      <c r="T62" s="28">
        <f t="shared" si="0"/>
        <v>45755</v>
      </c>
      <c r="U62">
        <f>tbl_supplier[[#This Row],[Paid Date]]-tbl_supplier[[#This Row],[Invoice Date]]</f>
        <v>13</v>
      </c>
      <c r="V62" t="str">
        <f>VLOOKUP(tbl_supplier[[#This Row],[Payment No]],tbl_MC[Payment Ref],1,FALSE)</f>
        <v>24837_1</v>
      </c>
      <c r="W62">
        <f>_xlfn.XLOOKUP(tbl_supplier[[#This Row],[PO Number]],'MC Invoice Report'!H65,'MC Invoice Report'!C65,"NOT FOUND",0,1)</f>
        <v>545758</v>
      </c>
    </row>
    <row r="63" spans="1:23" ht="15">
      <c r="A63" s="20">
        <v>24838</v>
      </c>
      <c r="B63" s="20">
        <v>1</v>
      </c>
      <c r="C63" s="20" t="s">
        <v>60</v>
      </c>
      <c r="D63" s="20" t="s">
        <v>64</v>
      </c>
      <c r="E63" s="20" t="s">
        <v>25</v>
      </c>
      <c r="F63" s="20" t="s">
        <v>204</v>
      </c>
      <c r="G63" s="20" t="s">
        <v>205</v>
      </c>
      <c r="H63" s="20">
        <v>2554</v>
      </c>
      <c r="I63" s="20">
        <v>4551221</v>
      </c>
      <c r="J63" s="20">
        <v>33</v>
      </c>
      <c r="K63" t="str">
        <f>CONCATENATE(A63,"_",B63)</f>
        <v>24838_1</v>
      </c>
      <c r="L63" t="str">
        <f>_xlfn.TEXTJOIN("-",TRUE,H63:J63)</f>
        <v>2554-4551221-33</v>
      </c>
      <c r="M63" t="str">
        <f>LEFT(D63,3)</f>
        <v>Apr</v>
      </c>
      <c r="N63">
        <f t="shared" si="1"/>
        <v>328536</v>
      </c>
      <c r="O63" s="24" t="str">
        <f>MID(G63,4,FIND("-",G63,4)-4)</f>
        <v>Melbourne</v>
      </c>
      <c r="Q63" s="26">
        <f>VALUE(SUBSTITUTE(F63,MID(F63,1,2),""))</f>
        <v>668.25</v>
      </c>
      <c r="R63" t="str">
        <f>UPPER(TRIM(CLEAN(E63)))</f>
        <v>INV</v>
      </c>
      <c r="S63" s="28">
        <f>VALUE(D63)</f>
        <v>45758</v>
      </c>
      <c r="T63" s="28">
        <f t="shared" si="0"/>
        <v>45774</v>
      </c>
      <c r="U63">
        <f>tbl_supplier[[#This Row],[Paid Date]]-tbl_supplier[[#This Row],[Invoice Date]]</f>
        <v>16</v>
      </c>
      <c r="V63" t="str">
        <f>VLOOKUP(tbl_supplier[[#This Row],[Payment No]],tbl_MC[Payment Ref],1,FALSE)</f>
        <v>24838_1</v>
      </c>
      <c r="W63">
        <f>_xlfn.XLOOKUP(tbl_supplier[[#This Row],[PO Number]],'MC Invoice Report'!H66,'MC Invoice Report'!C66,"NOT FOUND",0,1)</f>
        <v>545760</v>
      </c>
    </row>
    <row r="64" spans="1:23" ht="15">
      <c r="A64" s="20">
        <v>24842</v>
      </c>
      <c r="B64" s="20">
        <v>1</v>
      </c>
      <c r="C64" s="20" t="s">
        <v>145</v>
      </c>
      <c r="D64" s="20" t="s">
        <v>183</v>
      </c>
      <c r="E64" s="20" t="s">
        <v>25</v>
      </c>
      <c r="F64" s="20" t="s">
        <v>206</v>
      </c>
      <c r="G64" s="20" t="s">
        <v>207</v>
      </c>
      <c r="H64" s="20">
        <v>1641</v>
      </c>
      <c r="I64" s="20">
        <v>7654320</v>
      </c>
      <c r="J64" s="20">
        <v>72</v>
      </c>
      <c r="K64" t="str">
        <f>CONCATENATE(A64,"_",B64)</f>
        <v>24842_1</v>
      </c>
      <c r="L64" t="str">
        <f>_xlfn.TEXTJOIN("-",TRUE,H64:J64)</f>
        <v>1641-7654320-72</v>
      </c>
      <c r="M64" t="str">
        <f>LEFT(D64,3)</f>
        <v>Mar</v>
      </c>
      <c r="N64">
        <f t="shared" si="1"/>
        <v>210023</v>
      </c>
      <c r="O64" s="24" t="str">
        <f>MID(G64,4,FIND("-",G64,4)-4)</f>
        <v>Sydney</v>
      </c>
      <c r="Q64" s="26">
        <f>VALUE(SUBSTITUTE(F64,MID(F64,1,2),""))</f>
        <v>126.72</v>
      </c>
      <c r="R64" t="str">
        <f>UPPER(TRIM(CLEAN(E64)))</f>
        <v>INV</v>
      </c>
      <c r="S64" s="28">
        <f>VALUE(D64)</f>
        <v>45740</v>
      </c>
      <c r="T64" s="28">
        <f t="shared" si="0"/>
        <v>45759</v>
      </c>
      <c r="U64">
        <f>tbl_supplier[[#This Row],[Paid Date]]-tbl_supplier[[#This Row],[Invoice Date]]</f>
        <v>19</v>
      </c>
      <c r="V64" t="str">
        <f>VLOOKUP(tbl_supplier[[#This Row],[Payment No]],tbl_MC[Payment Ref],1,FALSE)</f>
        <v>24842_1</v>
      </c>
      <c r="W64">
        <f>_xlfn.XLOOKUP(tbl_supplier[[#This Row],[PO Number]],'MC Invoice Report'!H67,'MC Invoice Report'!C67,"NOT FOUND",0,1)</f>
        <v>545762</v>
      </c>
    </row>
    <row r="65" spans="1:23" ht="15">
      <c r="A65" s="20">
        <v>24847</v>
      </c>
      <c r="B65" s="20">
        <v>1</v>
      </c>
      <c r="C65" s="20" t="s">
        <v>208</v>
      </c>
      <c r="D65" s="20" t="s">
        <v>209</v>
      </c>
      <c r="E65" s="20" t="s">
        <v>25</v>
      </c>
      <c r="F65" s="20" t="s">
        <v>210</v>
      </c>
      <c r="G65" s="20" t="s">
        <v>211</v>
      </c>
      <c r="H65" s="20">
        <v>2554</v>
      </c>
      <c r="I65" s="20">
        <v>4551221</v>
      </c>
      <c r="J65" s="20">
        <v>33</v>
      </c>
      <c r="K65" t="str">
        <f>CONCATENATE(A65,"_",B65)</f>
        <v>24847_1</v>
      </c>
      <c r="L65" t="str">
        <f>_xlfn.TEXTJOIN("-",TRUE,H65:J65)</f>
        <v>2554-4551221-33</v>
      </c>
      <c r="M65" t="str">
        <f>LEFT(D65,3)</f>
        <v>Mar</v>
      </c>
      <c r="N65">
        <f t="shared" si="1"/>
        <v>338938</v>
      </c>
      <c r="O65" s="24" t="str">
        <f>MID(G65,4,FIND("-",G65,4)-4)</f>
        <v>Melbourne</v>
      </c>
      <c r="Q65" s="26">
        <f>VALUE(SUBSTITUTE(F65,MID(F65,1,2),""))</f>
        <v>1000.23</v>
      </c>
      <c r="R65" t="str">
        <f>UPPER(TRIM(CLEAN(E65)))</f>
        <v>INV</v>
      </c>
      <c r="S65" s="28">
        <f>VALUE(D65)</f>
        <v>45731</v>
      </c>
      <c r="T65" s="28">
        <f t="shared" si="0"/>
        <v>45769</v>
      </c>
      <c r="U65">
        <f>tbl_supplier[[#This Row],[Paid Date]]-tbl_supplier[[#This Row],[Invoice Date]]</f>
        <v>38</v>
      </c>
      <c r="V65" t="str">
        <f>VLOOKUP(tbl_supplier[[#This Row],[Payment No]],tbl_MC[Payment Ref],1,FALSE)</f>
        <v>24847_1</v>
      </c>
      <c r="W65">
        <f>_xlfn.XLOOKUP(tbl_supplier[[#This Row],[PO Number]],'MC Invoice Report'!H68,'MC Invoice Report'!C68,"NOT FOUND",0,1)</f>
        <v>545763</v>
      </c>
    </row>
    <row r="66" spans="1:23" ht="15">
      <c r="A66" s="20">
        <v>24851</v>
      </c>
      <c r="B66" s="20">
        <v>1</v>
      </c>
      <c r="C66" s="20" t="s">
        <v>186</v>
      </c>
      <c r="D66" s="20" t="s">
        <v>212</v>
      </c>
      <c r="E66" s="20" t="s">
        <v>25</v>
      </c>
      <c r="F66" s="20" t="s">
        <v>213</v>
      </c>
      <c r="G66" s="20" t="s">
        <v>214</v>
      </c>
      <c r="H66" s="20">
        <v>2554</v>
      </c>
      <c r="I66" s="20">
        <v>4551221</v>
      </c>
      <c r="J66" s="20">
        <v>33</v>
      </c>
      <c r="K66" t="str">
        <f>CONCATENATE(A66,"_",B66)</f>
        <v>24851_1</v>
      </c>
      <c r="L66" t="str">
        <f>_xlfn.TEXTJOIN("-",TRUE,H66:J66)</f>
        <v>2554-4551221-33</v>
      </c>
      <c r="M66" t="str">
        <f>LEFT(D66,3)</f>
        <v>Mar</v>
      </c>
      <c r="N66">
        <f t="shared" si="1"/>
        <v>320536</v>
      </c>
      <c r="O66" s="24" t="str">
        <f>MID(G66,4,FIND("-",G66,4)-4)</f>
        <v>Melbourne</v>
      </c>
      <c r="Q66" s="26">
        <f>VALUE(SUBSTITUTE(F66,MID(F66,1,2),""))</f>
        <v>948.75</v>
      </c>
      <c r="R66" t="str">
        <f>UPPER(TRIM(CLEAN(E66)))</f>
        <v>INV</v>
      </c>
      <c r="S66" s="28">
        <f>VALUE(D66)</f>
        <v>45744</v>
      </c>
      <c r="T66" s="28">
        <f t="shared" si="0"/>
        <v>45765</v>
      </c>
      <c r="U66">
        <f>tbl_supplier[[#This Row],[Paid Date]]-tbl_supplier[[#This Row],[Invoice Date]]</f>
        <v>21</v>
      </c>
      <c r="V66" t="str">
        <f>VLOOKUP(tbl_supplier[[#This Row],[Payment No]],tbl_MC[Payment Ref],1,FALSE)</f>
        <v>24851_1</v>
      </c>
      <c r="W66">
        <f>_xlfn.XLOOKUP(tbl_supplier[[#This Row],[PO Number]],'MC Invoice Report'!H69,'MC Invoice Report'!C69,"NOT FOUND",0,1)</f>
        <v>545765</v>
      </c>
    </row>
    <row r="67" spans="1:23" ht="15">
      <c r="A67" s="20">
        <v>24854</v>
      </c>
      <c r="B67" s="20">
        <v>1</v>
      </c>
      <c r="C67" s="20" t="s">
        <v>129</v>
      </c>
      <c r="D67" s="20" t="s">
        <v>96</v>
      </c>
      <c r="E67" s="20" t="s">
        <v>25</v>
      </c>
      <c r="F67" s="20" t="s">
        <v>215</v>
      </c>
      <c r="G67" s="20" t="s">
        <v>216</v>
      </c>
      <c r="H67" s="20">
        <v>2554</v>
      </c>
      <c r="I67" s="20">
        <v>4551221</v>
      </c>
      <c r="J67" s="20">
        <v>33</v>
      </c>
      <c r="K67" t="str">
        <f>CONCATENATE(A67,"_",B67)</f>
        <v>24854_1</v>
      </c>
      <c r="L67" t="str">
        <f>_xlfn.TEXTJOIN("-",TRUE,H67:J67)</f>
        <v>2554-4551221-33</v>
      </c>
      <c r="M67" t="str">
        <f>LEFT(D67,3)</f>
        <v>Mar</v>
      </c>
      <c r="N67">
        <f t="shared" ref="N67:N85" si="2">VALUE(RIGHT(G67,6))</f>
        <v>322800</v>
      </c>
      <c r="O67" s="24" t="str">
        <f>MID(G67,4,FIND("-",G67,4)-4)</f>
        <v>Melbourne</v>
      </c>
      <c r="Q67" s="26">
        <f>VALUE(SUBSTITUTE(F67,MID(F67,1,2),""))</f>
        <v>446.49</v>
      </c>
      <c r="R67" t="str">
        <f>UPPER(TRIM(CLEAN(E67)))</f>
        <v>INV</v>
      </c>
      <c r="S67" s="28">
        <f>VALUE(D67)</f>
        <v>45730</v>
      </c>
      <c r="T67" s="28">
        <f t="shared" si="0"/>
        <v>45763</v>
      </c>
      <c r="U67">
        <f>tbl_supplier[[#This Row],[Paid Date]]-tbl_supplier[[#This Row],[Invoice Date]]</f>
        <v>33</v>
      </c>
      <c r="V67" t="str">
        <f>VLOOKUP(tbl_supplier[[#This Row],[Payment No]],tbl_MC[Payment Ref],1,FALSE)</f>
        <v>24854_1</v>
      </c>
      <c r="W67">
        <f>_xlfn.XLOOKUP(tbl_supplier[[#This Row],[PO Number]],'MC Invoice Report'!H70,'MC Invoice Report'!C70,"NOT FOUND",0,1)</f>
        <v>545767</v>
      </c>
    </row>
    <row r="68" spans="1:23" ht="15">
      <c r="A68" s="20">
        <v>24857</v>
      </c>
      <c r="B68" s="20">
        <v>1</v>
      </c>
      <c r="C68" s="20" t="s">
        <v>217</v>
      </c>
      <c r="D68" s="20" t="s">
        <v>145</v>
      </c>
      <c r="E68" s="20" t="s">
        <v>25</v>
      </c>
      <c r="F68" s="20" t="s">
        <v>218</v>
      </c>
      <c r="G68" s="20" t="s">
        <v>219</v>
      </c>
      <c r="H68" s="20">
        <v>2554</v>
      </c>
      <c r="I68" s="20">
        <v>4551221</v>
      </c>
      <c r="J68" s="20">
        <v>33</v>
      </c>
      <c r="K68" t="str">
        <f>CONCATENATE(A68,"_",B68)</f>
        <v>24857_1</v>
      </c>
      <c r="L68" t="str">
        <f>_xlfn.TEXTJOIN("-",TRUE,H68:J68)</f>
        <v>2554-4551221-33</v>
      </c>
      <c r="M68" t="str">
        <f>LEFT(D68,3)</f>
        <v>Apr</v>
      </c>
      <c r="N68">
        <f t="shared" si="2"/>
        <v>321358</v>
      </c>
      <c r="O68" s="24" t="str">
        <f>MID(G68,4,FIND("-",G68,4)-4)</f>
        <v>Melbourne</v>
      </c>
      <c r="Q68" s="26">
        <f>VALUE(SUBSTITUTE(F68,MID(F68,1,2),""))</f>
        <v>242.22</v>
      </c>
      <c r="R68" t="str">
        <f>UPPER(TRIM(CLEAN(E68)))</f>
        <v>INV</v>
      </c>
      <c r="S68" s="28">
        <f>VALUE(D68)</f>
        <v>45759</v>
      </c>
      <c r="T68" s="28">
        <f t="shared" ref="T68:T85" si="3">VALUE(C68)</f>
        <v>45766</v>
      </c>
      <c r="U68">
        <f>tbl_supplier[[#This Row],[Paid Date]]-tbl_supplier[[#This Row],[Invoice Date]]</f>
        <v>7</v>
      </c>
      <c r="V68" t="str">
        <f>VLOOKUP(tbl_supplier[[#This Row],[Payment No]],tbl_MC[Payment Ref],1,FALSE)</f>
        <v>24857_1</v>
      </c>
      <c r="W68">
        <f>_xlfn.XLOOKUP(tbl_supplier[[#This Row],[PO Number]],'MC Invoice Report'!H71,'MC Invoice Report'!C71,"NOT FOUND",0,1)</f>
        <v>545768</v>
      </c>
    </row>
    <row r="69" spans="1:23" ht="15">
      <c r="A69" s="20">
        <v>24861</v>
      </c>
      <c r="B69" s="20">
        <v>1</v>
      </c>
      <c r="C69" s="20" t="s">
        <v>101</v>
      </c>
      <c r="D69" s="20" t="s">
        <v>220</v>
      </c>
      <c r="E69" s="20" t="s">
        <v>25</v>
      </c>
      <c r="F69" s="20" t="s">
        <v>221</v>
      </c>
      <c r="G69" s="20" t="s">
        <v>222</v>
      </c>
      <c r="H69" s="20">
        <v>2554</v>
      </c>
      <c r="I69" s="20">
        <v>4551221</v>
      </c>
      <c r="J69" s="20">
        <v>33</v>
      </c>
      <c r="K69" t="str">
        <f>CONCATENATE(A69,"_",B69)</f>
        <v>24861_1</v>
      </c>
      <c r="L69" t="str">
        <f>_xlfn.TEXTJOIN("-",TRUE,H69:J69)</f>
        <v>2554-4551221-33</v>
      </c>
      <c r="M69" t="str">
        <f>LEFT(D69,3)</f>
        <v>Feb</v>
      </c>
      <c r="N69">
        <f t="shared" si="2"/>
        <v>316190</v>
      </c>
      <c r="O69" s="24" t="str">
        <f>MID(G69,4,FIND("-",G69,4)-4)</f>
        <v>Melbourne</v>
      </c>
      <c r="Q69" s="26">
        <f>VALUE(SUBSTITUTE(F69,MID(F69,1,2),""))</f>
        <v>600.6</v>
      </c>
      <c r="R69" t="str">
        <f>UPPER(TRIM(CLEAN(E69)))</f>
        <v>INV</v>
      </c>
      <c r="S69" s="28">
        <f>VALUE(D69)</f>
        <v>45714</v>
      </c>
      <c r="T69" s="28">
        <f t="shared" si="3"/>
        <v>45755</v>
      </c>
      <c r="U69">
        <f>tbl_supplier[[#This Row],[Paid Date]]-tbl_supplier[[#This Row],[Invoice Date]]</f>
        <v>41</v>
      </c>
      <c r="V69" t="str">
        <f>VLOOKUP(tbl_supplier[[#This Row],[Payment No]],tbl_MC[Payment Ref],1,FALSE)</f>
        <v>24861_1</v>
      </c>
      <c r="W69">
        <f>_xlfn.XLOOKUP(tbl_supplier[[#This Row],[PO Number]],'MC Invoice Report'!H72,'MC Invoice Report'!C72,"NOT FOUND",0,1)</f>
        <v>545769</v>
      </c>
    </row>
    <row r="70" spans="1:23" ht="15">
      <c r="A70" s="20">
        <v>24863</v>
      </c>
      <c r="B70" s="20">
        <v>1</v>
      </c>
      <c r="C70" s="20" t="s">
        <v>84</v>
      </c>
      <c r="D70" s="20" t="s">
        <v>209</v>
      </c>
      <c r="E70" s="20" t="s">
        <v>25</v>
      </c>
      <c r="F70" s="20" t="s">
        <v>223</v>
      </c>
      <c r="G70" s="20" t="s">
        <v>224</v>
      </c>
      <c r="H70" s="20">
        <v>2554</v>
      </c>
      <c r="I70" s="20">
        <v>4551221</v>
      </c>
      <c r="J70" s="20">
        <v>33</v>
      </c>
      <c r="K70" t="str">
        <f>CONCATENATE(A70,"_",B70)</f>
        <v>24863_1</v>
      </c>
      <c r="L70" t="str">
        <f>_xlfn.TEXTJOIN("-",TRUE,H70:J70)</f>
        <v>2554-4551221-33</v>
      </c>
      <c r="M70" t="str">
        <f>LEFT(D70,3)</f>
        <v>Mar</v>
      </c>
      <c r="N70">
        <f t="shared" si="2"/>
        <v>327938</v>
      </c>
      <c r="O70" s="24" t="str">
        <f>MID(G70,4,FIND("-",G70,4)-4)</f>
        <v>Melbourne</v>
      </c>
      <c r="Q70" s="26">
        <f>VALUE(SUBSTITUTE(F70,MID(F70,1,2),""))</f>
        <v>546.80999999999995</v>
      </c>
      <c r="R70" t="str">
        <f>UPPER(TRIM(CLEAN(E70)))</f>
        <v>INV</v>
      </c>
      <c r="S70" s="28">
        <f>VALUE(D70)</f>
        <v>45731</v>
      </c>
      <c r="T70" s="28">
        <f t="shared" si="3"/>
        <v>45768</v>
      </c>
      <c r="U70">
        <f>tbl_supplier[[#This Row],[Paid Date]]-tbl_supplier[[#This Row],[Invoice Date]]</f>
        <v>37</v>
      </c>
      <c r="V70" t="str">
        <f>VLOOKUP(tbl_supplier[[#This Row],[Payment No]],tbl_MC[Payment Ref],1,FALSE)</f>
        <v>24863_1</v>
      </c>
      <c r="W70">
        <f>_xlfn.XLOOKUP(tbl_supplier[[#This Row],[PO Number]],'MC Invoice Report'!H73,'MC Invoice Report'!C73,"NOT FOUND",0,1)</f>
        <v>545770</v>
      </c>
    </row>
    <row r="71" spans="1:23" ht="15">
      <c r="A71" s="20">
        <v>24866</v>
      </c>
      <c r="B71" s="20">
        <v>1</v>
      </c>
      <c r="C71" s="20" t="s">
        <v>43</v>
      </c>
      <c r="D71" s="20" t="s">
        <v>225</v>
      </c>
      <c r="E71" s="20" t="s">
        <v>25</v>
      </c>
      <c r="F71" s="20" t="s">
        <v>226</v>
      </c>
      <c r="G71" s="20" t="s">
        <v>227</v>
      </c>
      <c r="H71" s="20">
        <v>1641</v>
      </c>
      <c r="I71" s="20">
        <v>7654320</v>
      </c>
      <c r="J71" s="20">
        <v>72</v>
      </c>
      <c r="K71" t="str">
        <f>CONCATENATE(A71,"_",B71)</f>
        <v>24866_1</v>
      </c>
      <c r="L71" t="str">
        <f>_xlfn.TEXTJOIN("-",TRUE,H71:J71)</f>
        <v>1641-7654320-72</v>
      </c>
      <c r="M71" t="str">
        <f>LEFT(D71,3)</f>
        <v>Mar</v>
      </c>
      <c r="N71">
        <f t="shared" si="2"/>
        <v>234487</v>
      </c>
      <c r="O71" s="24" t="str">
        <f>MID(G71,4,FIND("-",G71,4)-4)</f>
        <v>Sydney</v>
      </c>
      <c r="Q71" s="26">
        <f>VALUE(SUBSTITUTE(F71,MID(F71,1,2),""))</f>
        <v>840.51</v>
      </c>
      <c r="R71" t="str">
        <f>UPPER(TRIM(CLEAN(E71)))</f>
        <v>INV</v>
      </c>
      <c r="S71" s="28">
        <f>VALUE(D71)</f>
        <v>45726</v>
      </c>
      <c r="T71" s="28">
        <f t="shared" si="3"/>
        <v>45757</v>
      </c>
      <c r="U71">
        <f>tbl_supplier[[#This Row],[Paid Date]]-tbl_supplier[[#This Row],[Invoice Date]]</f>
        <v>31</v>
      </c>
      <c r="V71" t="str">
        <f>VLOOKUP(tbl_supplier[[#This Row],[Payment No]],tbl_MC[Payment Ref],1,FALSE)</f>
        <v>24866_1</v>
      </c>
      <c r="W71">
        <f>_xlfn.XLOOKUP(tbl_supplier[[#This Row],[PO Number]],'MC Invoice Report'!H74,'MC Invoice Report'!C74,"NOT FOUND",0,1)</f>
        <v>545772</v>
      </c>
    </row>
    <row r="72" spans="1:23" ht="15">
      <c r="A72" s="20">
        <v>24870</v>
      </c>
      <c r="B72" s="20">
        <v>1</v>
      </c>
      <c r="C72" s="20" t="s">
        <v>48</v>
      </c>
      <c r="D72" s="20" t="s">
        <v>114</v>
      </c>
      <c r="E72" s="20" t="s">
        <v>25</v>
      </c>
      <c r="F72" s="20" t="s">
        <v>228</v>
      </c>
      <c r="G72" s="20" t="s">
        <v>229</v>
      </c>
      <c r="H72" s="20">
        <v>1641</v>
      </c>
      <c r="I72" s="20">
        <v>7654320</v>
      </c>
      <c r="J72" s="20">
        <v>72</v>
      </c>
      <c r="K72" t="str">
        <f>CONCATENATE(A72,"_",B72)</f>
        <v>24870_1</v>
      </c>
      <c r="L72" t="str">
        <f>_xlfn.TEXTJOIN("-",TRUE,H72:J72)</f>
        <v>1641-7654320-72</v>
      </c>
      <c r="M72" t="str">
        <f>LEFT(D72,3)</f>
        <v>Apr</v>
      </c>
      <c r="N72">
        <f t="shared" si="2"/>
        <v>231274</v>
      </c>
      <c r="O72" s="24" t="str">
        <f>MID(G72,4,FIND("-",G72,4)-4)</f>
        <v>Sydney</v>
      </c>
      <c r="Q72" s="26">
        <f>VALUE(SUBSTITUTE(F72,MID(F72,1,2),""))</f>
        <v>603.57000000000005</v>
      </c>
      <c r="R72" t="str">
        <f>UPPER(TRIM(CLEAN(E72)))</f>
        <v>INV</v>
      </c>
      <c r="S72" s="28">
        <f>VALUE(D72)</f>
        <v>45749</v>
      </c>
      <c r="T72" s="28">
        <f t="shared" si="3"/>
        <v>45777</v>
      </c>
      <c r="U72">
        <f>tbl_supplier[[#This Row],[Paid Date]]-tbl_supplier[[#This Row],[Invoice Date]]</f>
        <v>28</v>
      </c>
      <c r="V72" t="str">
        <f>VLOOKUP(tbl_supplier[[#This Row],[Payment No]],tbl_MC[Payment Ref],1,FALSE)</f>
        <v>24870_1</v>
      </c>
      <c r="W72">
        <f>_xlfn.XLOOKUP(tbl_supplier[[#This Row],[PO Number]],'MC Invoice Report'!H75,'MC Invoice Report'!C75,"NOT FOUND",0,1)</f>
        <v>545773</v>
      </c>
    </row>
    <row r="73" spans="1:23" ht="15">
      <c r="A73" s="20">
        <v>24873</v>
      </c>
      <c r="B73" s="20">
        <v>1</v>
      </c>
      <c r="C73" s="20" t="s">
        <v>68</v>
      </c>
      <c r="D73" s="20" t="s">
        <v>183</v>
      </c>
      <c r="E73" s="20" t="s">
        <v>25</v>
      </c>
      <c r="F73" s="20" t="s">
        <v>230</v>
      </c>
      <c r="G73" s="20" t="s">
        <v>231</v>
      </c>
      <c r="H73" s="20">
        <v>1641</v>
      </c>
      <c r="I73" s="20">
        <v>7654320</v>
      </c>
      <c r="J73" s="20">
        <v>72</v>
      </c>
      <c r="K73" t="str">
        <f>CONCATENATE(A73,"_",B73)</f>
        <v>24873_1</v>
      </c>
      <c r="L73" t="str">
        <f>_xlfn.TEXTJOIN("-",TRUE,H73:J73)</f>
        <v>1641-7654320-72</v>
      </c>
      <c r="M73" t="str">
        <f>LEFT(D73,3)</f>
        <v>Mar</v>
      </c>
      <c r="N73">
        <f t="shared" si="2"/>
        <v>224955</v>
      </c>
      <c r="O73" s="24" t="str">
        <f>MID(G73,4,FIND("-",G73,4)-4)</f>
        <v>Sydney</v>
      </c>
      <c r="Q73" s="26">
        <f>VALUE(SUBSTITUTE(F73,MID(F73,1,2),""))</f>
        <v>816.75</v>
      </c>
      <c r="R73" t="str">
        <f>UPPER(TRIM(CLEAN(E73)))</f>
        <v>INV</v>
      </c>
      <c r="S73" s="28">
        <f>VALUE(D73)</f>
        <v>45740</v>
      </c>
      <c r="T73" s="28">
        <f t="shared" si="3"/>
        <v>45770</v>
      </c>
      <c r="U73">
        <f>tbl_supplier[[#This Row],[Paid Date]]-tbl_supplier[[#This Row],[Invoice Date]]</f>
        <v>30</v>
      </c>
      <c r="V73" t="str">
        <f>VLOOKUP(tbl_supplier[[#This Row],[Payment No]],tbl_MC[Payment Ref],1,FALSE)</f>
        <v>24873_1</v>
      </c>
      <c r="W73">
        <f>_xlfn.XLOOKUP(tbl_supplier[[#This Row],[PO Number]],'MC Invoice Report'!H76,'MC Invoice Report'!C76,"NOT FOUND",0,1)</f>
        <v>545774</v>
      </c>
    </row>
    <row r="74" spans="1:23" ht="15">
      <c r="A74" s="20">
        <v>24875</v>
      </c>
      <c r="B74" s="20">
        <v>1</v>
      </c>
      <c r="C74" s="20" t="s">
        <v>48</v>
      </c>
      <c r="D74" s="20" t="s">
        <v>61</v>
      </c>
      <c r="E74" s="20" t="s">
        <v>25</v>
      </c>
      <c r="F74" s="20" t="s">
        <v>232</v>
      </c>
      <c r="G74" s="20" t="s">
        <v>233</v>
      </c>
      <c r="H74" s="20">
        <v>1641</v>
      </c>
      <c r="I74" s="20">
        <v>7654320</v>
      </c>
      <c r="J74" s="20">
        <v>72</v>
      </c>
      <c r="K74" t="str">
        <f>CONCATENATE(A74,"_",B74)</f>
        <v>24875_1</v>
      </c>
      <c r="L74" t="str">
        <f>_xlfn.TEXTJOIN("-",TRUE,H74:J74)</f>
        <v>1641-7654320-72</v>
      </c>
      <c r="M74" t="str">
        <f>LEFT(D74,3)</f>
        <v>Mar</v>
      </c>
      <c r="N74">
        <f t="shared" si="2"/>
        <v>217275</v>
      </c>
      <c r="O74" s="24" t="str">
        <f>MID(G74,4,FIND("-",G74,4)-4)</f>
        <v>Sydney</v>
      </c>
      <c r="Q74" s="26">
        <f>VALUE(SUBSTITUTE(F74,MID(F74,1,2),""))</f>
        <v>1065.57</v>
      </c>
      <c r="R74" t="str">
        <f>UPPER(TRIM(CLEAN(E74)))</f>
        <v>INV</v>
      </c>
      <c r="S74" s="28">
        <f>VALUE(D74)</f>
        <v>45738</v>
      </c>
      <c r="T74" s="28">
        <f t="shared" si="3"/>
        <v>45777</v>
      </c>
      <c r="U74">
        <f>tbl_supplier[[#This Row],[Paid Date]]-tbl_supplier[[#This Row],[Invoice Date]]</f>
        <v>39</v>
      </c>
      <c r="V74" t="str">
        <f>VLOOKUP(tbl_supplier[[#This Row],[Payment No]],tbl_MC[Payment Ref],1,FALSE)</f>
        <v>24875_1</v>
      </c>
      <c r="W74">
        <f>_xlfn.XLOOKUP(tbl_supplier[[#This Row],[PO Number]],'MC Invoice Report'!H77,'MC Invoice Report'!C77,"NOT FOUND",0,1)</f>
        <v>545775</v>
      </c>
    </row>
    <row r="75" spans="1:23" ht="15">
      <c r="A75" s="20">
        <v>24876</v>
      </c>
      <c r="B75" s="20">
        <v>1</v>
      </c>
      <c r="C75" s="20" t="s">
        <v>69</v>
      </c>
      <c r="D75" s="20" t="s">
        <v>78</v>
      </c>
      <c r="E75" s="20" t="s">
        <v>25</v>
      </c>
      <c r="F75" s="20" t="s">
        <v>234</v>
      </c>
      <c r="G75" s="20" t="s">
        <v>235</v>
      </c>
      <c r="H75" s="20">
        <v>1641</v>
      </c>
      <c r="I75" s="20">
        <v>7654320</v>
      </c>
      <c r="J75" s="20">
        <v>72</v>
      </c>
      <c r="K75" t="str">
        <f>CONCATENATE(A75,"_",B75)</f>
        <v>24876_1</v>
      </c>
      <c r="L75" t="str">
        <f>_xlfn.TEXTJOIN("-",TRUE,H75:J75)</f>
        <v>1641-7654320-72</v>
      </c>
      <c r="M75" t="str">
        <f>LEFT(D75,3)</f>
        <v>Mar</v>
      </c>
      <c r="N75">
        <f t="shared" si="2"/>
        <v>226240</v>
      </c>
      <c r="O75" s="24" t="str">
        <f>MID(G75,4,FIND("-",G75,4)-4)</f>
        <v>Sydney</v>
      </c>
      <c r="Q75" s="26">
        <f>VALUE(SUBSTITUTE(F75,MID(F75,1,2),""))</f>
        <v>523.38</v>
      </c>
      <c r="R75" t="str">
        <f>UPPER(TRIM(CLEAN(E75)))</f>
        <v>INV</v>
      </c>
      <c r="S75" s="28">
        <f>VALUE(D75)</f>
        <v>45745</v>
      </c>
      <c r="T75" s="28">
        <f t="shared" si="3"/>
        <v>45751</v>
      </c>
      <c r="U75">
        <f>tbl_supplier[[#This Row],[Paid Date]]-tbl_supplier[[#This Row],[Invoice Date]]</f>
        <v>6</v>
      </c>
      <c r="V75" t="str">
        <f>VLOOKUP(tbl_supplier[[#This Row],[Payment No]],tbl_MC[Payment Ref],1,FALSE)</f>
        <v>24876_1</v>
      </c>
      <c r="W75">
        <f>_xlfn.XLOOKUP(tbl_supplier[[#This Row],[PO Number]],'MC Invoice Report'!H78,'MC Invoice Report'!C78,"NOT FOUND",0,1)</f>
        <v>545776</v>
      </c>
    </row>
    <row r="76" spans="1:23" ht="15">
      <c r="A76" s="20">
        <v>24877</v>
      </c>
      <c r="B76" s="20">
        <v>1</v>
      </c>
      <c r="C76" s="20" t="s">
        <v>64</v>
      </c>
      <c r="D76" s="20" t="s">
        <v>91</v>
      </c>
      <c r="E76" s="20" t="s">
        <v>25</v>
      </c>
      <c r="F76" s="20" t="s">
        <v>236</v>
      </c>
      <c r="G76" s="20" t="s">
        <v>237</v>
      </c>
      <c r="H76" s="20">
        <v>2554</v>
      </c>
      <c r="I76" s="20">
        <v>4551221</v>
      </c>
      <c r="J76" s="20">
        <v>33</v>
      </c>
      <c r="K76" t="str">
        <f>CONCATENATE(A76,"_",B76)</f>
        <v>24877_1</v>
      </c>
      <c r="L76" t="str">
        <f>_xlfn.TEXTJOIN("-",TRUE,H76:J76)</f>
        <v>2554-4551221-33</v>
      </c>
      <c r="M76" t="str">
        <f>LEFT(D76,3)</f>
        <v>Feb</v>
      </c>
      <c r="N76">
        <f t="shared" si="2"/>
        <v>325643</v>
      </c>
      <c r="O76" s="24" t="str">
        <f>MID(G76,4,FIND("-",G76,4)-4)</f>
        <v>Melbourne</v>
      </c>
      <c r="Q76" s="26">
        <f>VALUE(SUBSTITUTE(F76,MID(F76,1,2),""))</f>
        <v>650.42999999999995</v>
      </c>
      <c r="R76" t="str">
        <f>UPPER(TRIM(CLEAN(E76)))</f>
        <v>INV</v>
      </c>
      <c r="S76" s="28">
        <f>VALUE(D76)</f>
        <v>47150</v>
      </c>
      <c r="T76" s="28">
        <f t="shared" si="3"/>
        <v>45758</v>
      </c>
      <c r="U76">
        <f>tbl_supplier[[#This Row],[Paid Date]]-tbl_supplier[[#This Row],[Invoice Date]]</f>
        <v>-1392</v>
      </c>
      <c r="V76" t="str">
        <f>VLOOKUP(tbl_supplier[[#This Row],[Payment No]],tbl_MC[Payment Ref],1,FALSE)</f>
        <v>24877_1</v>
      </c>
      <c r="W76">
        <f>_xlfn.XLOOKUP(tbl_supplier[[#This Row],[PO Number]],'MC Invoice Report'!H79,'MC Invoice Report'!C79,"NOT FOUND",0,1)</f>
        <v>545778</v>
      </c>
    </row>
    <row r="77" spans="1:23" ht="15">
      <c r="A77" s="20">
        <v>24878</v>
      </c>
      <c r="B77" s="20">
        <v>1</v>
      </c>
      <c r="C77" s="20" t="s">
        <v>208</v>
      </c>
      <c r="D77" s="20" t="s">
        <v>138</v>
      </c>
      <c r="E77" s="20" t="s">
        <v>25</v>
      </c>
      <c r="F77" s="20" t="s">
        <v>238</v>
      </c>
      <c r="G77" s="20" t="s">
        <v>239</v>
      </c>
      <c r="H77" s="20">
        <v>2554</v>
      </c>
      <c r="I77" s="20">
        <v>4551221</v>
      </c>
      <c r="J77" s="20">
        <v>33</v>
      </c>
      <c r="K77" t="str">
        <f>CONCATENATE(A77,"_",B77)</f>
        <v>24878_1</v>
      </c>
      <c r="L77" t="str">
        <f>_xlfn.TEXTJOIN("-",TRUE,H77:J77)</f>
        <v>2554-4551221-33</v>
      </c>
      <c r="M77" t="str">
        <f>LEFT(D77,3)</f>
        <v>Apr</v>
      </c>
      <c r="N77">
        <f t="shared" si="2"/>
        <v>312800</v>
      </c>
      <c r="O77" s="24" t="str">
        <f>MID(G77,4,FIND("-",G77,4)-4)</f>
        <v>Melbourne</v>
      </c>
      <c r="Q77" s="26">
        <f>VALUE(SUBSTITUTE(F77,MID(F77,1,2),""))</f>
        <v>809.49</v>
      </c>
      <c r="R77" t="str">
        <f>UPPER(TRIM(CLEAN(E77)))</f>
        <v>INV</v>
      </c>
      <c r="S77" s="28">
        <f>VALUE(D77)</f>
        <v>45760</v>
      </c>
      <c r="T77" s="28">
        <f t="shared" si="3"/>
        <v>45769</v>
      </c>
      <c r="U77">
        <f>tbl_supplier[[#This Row],[Paid Date]]-tbl_supplier[[#This Row],[Invoice Date]]</f>
        <v>9</v>
      </c>
      <c r="V77" t="str">
        <f>VLOOKUP(tbl_supplier[[#This Row],[Payment No]],tbl_MC[Payment Ref],1,FALSE)</f>
        <v>24878_1</v>
      </c>
      <c r="W77">
        <f>_xlfn.XLOOKUP(tbl_supplier[[#This Row],[PO Number]],'MC Invoice Report'!H80,'MC Invoice Report'!C80,"NOT FOUND",0,1)</f>
        <v>545780</v>
      </c>
    </row>
    <row r="78" spans="1:23" ht="15">
      <c r="A78" s="20">
        <v>24880</v>
      </c>
      <c r="B78" s="20">
        <v>1</v>
      </c>
      <c r="C78" s="20" t="s">
        <v>208</v>
      </c>
      <c r="D78" s="20" t="s">
        <v>163</v>
      </c>
      <c r="E78" s="20" t="s">
        <v>25</v>
      </c>
      <c r="F78" s="20" t="s">
        <v>240</v>
      </c>
      <c r="G78" s="20" t="s">
        <v>241</v>
      </c>
      <c r="H78" s="20">
        <v>2554</v>
      </c>
      <c r="I78" s="20">
        <v>4551221</v>
      </c>
      <c r="J78" s="20">
        <v>33</v>
      </c>
      <c r="K78" t="str">
        <f>CONCATENATE(A78,"_",B78)</f>
        <v>24880_1</v>
      </c>
      <c r="L78" t="str">
        <f>_xlfn.TEXTJOIN("-",TRUE,H78:J78)</f>
        <v>2554-4551221-33</v>
      </c>
      <c r="M78" t="str">
        <f>LEFT(D78,3)</f>
        <v>Mar</v>
      </c>
      <c r="N78">
        <f t="shared" si="2"/>
        <v>338807</v>
      </c>
      <c r="O78" s="24" t="str">
        <f>MID(G78,4,FIND("-",G78,4)-4)</f>
        <v>Melbourne</v>
      </c>
      <c r="Q78" s="26">
        <f>VALUE(SUBSTITUTE(F78,MID(F78,1,2),""))</f>
        <v>424.38</v>
      </c>
      <c r="R78" t="str">
        <f>UPPER(TRIM(CLEAN(E78)))</f>
        <v>INV</v>
      </c>
      <c r="S78" s="28">
        <f>VALUE(D78)</f>
        <v>45727</v>
      </c>
      <c r="T78" s="28">
        <f t="shared" si="3"/>
        <v>45769</v>
      </c>
      <c r="U78">
        <f>tbl_supplier[[#This Row],[Paid Date]]-tbl_supplier[[#This Row],[Invoice Date]]</f>
        <v>42</v>
      </c>
      <c r="V78" t="str">
        <f>VLOOKUP(tbl_supplier[[#This Row],[Payment No]],tbl_MC[Payment Ref],1,FALSE)</f>
        <v>24880_1</v>
      </c>
      <c r="W78">
        <f>_xlfn.XLOOKUP(tbl_supplier[[#This Row],[PO Number]],'MC Invoice Report'!H81,'MC Invoice Report'!C81,"NOT FOUND",0,1)</f>
        <v>545781</v>
      </c>
    </row>
    <row r="79" spans="1:23" ht="15">
      <c r="A79" s="20">
        <v>24882</v>
      </c>
      <c r="B79" s="20">
        <v>1</v>
      </c>
      <c r="C79" s="20" t="s">
        <v>55</v>
      </c>
      <c r="D79" s="20" t="s">
        <v>145</v>
      </c>
      <c r="E79" s="20" t="s">
        <v>25</v>
      </c>
      <c r="F79" s="20" t="s">
        <v>242</v>
      </c>
      <c r="G79" s="20" t="s">
        <v>243</v>
      </c>
      <c r="H79" s="20">
        <v>1641</v>
      </c>
      <c r="I79" s="20">
        <v>7654320</v>
      </c>
      <c r="J79" s="20">
        <v>72</v>
      </c>
      <c r="K79" t="str">
        <f>CONCATENATE(A79,"_",B79)</f>
        <v>24882_1</v>
      </c>
      <c r="L79" t="str">
        <f>_xlfn.TEXTJOIN("-",TRUE,H79:J79)</f>
        <v>1641-7654320-72</v>
      </c>
      <c r="M79" t="str">
        <f>LEFT(D79,3)</f>
        <v>Apr</v>
      </c>
      <c r="N79">
        <f t="shared" si="2"/>
        <v>239476</v>
      </c>
      <c r="O79" s="24" t="str">
        <f>MID(G79,4,FIND("-",G79,4)-4)</f>
        <v>Sydney</v>
      </c>
      <c r="Q79" s="26">
        <f>VALUE(SUBSTITUTE(F79,MID(F79,1,2),""))</f>
        <v>955.68</v>
      </c>
      <c r="R79" t="str">
        <f>UPPER(TRIM(CLEAN(E79)))</f>
        <v>INV</v>
      </c>
      <c r="S79" s="28">
        <f>VALUE(D79)</f>
        <v>45759</v>
      </c>
      <c r="T79" s="28">
        <f t="shared" si="3"/>
        <v>45761</v>
      </c>
      <c r="U79">
        <f>tbl_supplier[[#This Row],[Paid Date]]-tbl_supplier[[#This Row],[Invoice Date]]</f>
        <v>2</v>
      </c>
      <c r="V79" t="str">
        <f>VLOOKUP(tbl_supplier[[#This Row],[Payment No]],tbl_MC[Payment Ref],1,FALSE)</f>
        <v>24882_1</v>
      </c>
      <c r="W79">
        <f>_xlfn.XLOOKUP(tbl_supplier[[#This Row],[PO Number]],'MC Invoice Report'!H82,'MC Invoice Report'!C82,"NOT FOUND",0,1)</f>
        <v>545783</v>
      </c>
    </row>
    <row r="80" spans="1:23" ht="15">
      <c r="A80" s="20">
        <v>24885</v>
      </c>
      <c r="B80" s="20">
        <v>1</v>
      </c>
      <c r="C80" s="20" t="s">
        <v>244</v>
      </c>
      <c r="D80" s="20" t="s">
        <v>84</v>
      </c>
      <c r="E80" s="20" t="s">
        <v>25</v>
      </c>
      <c r="F80" s="20" t="s">
        <v>245</v>
      </c>
      <c r="G80" s="20" t="s">
        <v>246</v>
      </c>
      <c r="H80" s="20">
        <v>1641</v>
      </c>
      <c r="I80" s="20">
        <v>7654320</v>
      </c>
      <c r="J80" s="20">
        <v>72</v>
      </c>
      <c r="K80" t="str">
        <f>CONCATENATE(A80,"_",B80)</f>
        <v>24885_1</v>
      </c>
      <c r="L80" t="str">
        <f>_xlfn.TEXTJOIN("-",TRUE,H80:J80)</f>
        <v>1641-7654320-72</v>
      </c>
      <c r="M80" t="str">
        <f>LEFT(D80,3)</f>
        <v>Apr</v>
      </c>
      <c r="N80">
        <f t="shared" si="2"/>
        <v>213693</v>
      </c>
      <c r="O80" s="24" t="str">
        <f>MID(G80,4,FIND("-",G80,4)-4)</f>
        <v>Sydney</v>
      </c>
      <c r="Q80" s="26">
        <f>VALUE(SUBSTITUTE(F80,MID(F80,1,2),""))</f>
        <v>764.28</v>
      </c>
      <c r="R80" t="str">
        <f>UPPER(TRIM(CLEAN(E80)))</f>
        <v>INV</v>
      </c>
      <c r="S80" s="28">
        <f>VALUE(D80)</f>
        <v>45768</v>
      </c>
      <c r="T80" s="28">
        <f t="shared" si="3"/>
        <v>45776</v>
      </c>
      <c r="U80">
        <f>tbl_supplier[[#This Row],[Paid Date]]-tbl_supplier[[#This Row],[Invoice Date]]</f>
        <v>8</v>
      </c>
      <c r="V80" t="str">
        <f>VLOOKUP(tbl_supplier[[#This Row],[Payment No]],tbl_MC[Payment Ref],1,FALSE)</f>
        <v>24885_1</v>
      </c>
      <c r="W80">
        <f>_xlfn.XLOOKUP(tbl_supplier[[#This Row],[PO Number]],'MC Invoice Report'!H83,'MC Invoice Report'!C83,"NOT FOUND",0,1)</f>
        <v>545784</v>
      </c>
    </row>
    <row r="81" spans="1:23" ht="15">
      <c r="A81" s="20">
        <v>24887</v>
      </c>
      <c r="B81" s="20">
        <v>1</v>
      </c>
      <c r="C81" s="20" t="s">
        <v>35</v>
      </c>
      <c r="D81" s="20" t="s">
        <v>247</v>
      </c>
      <c r="E81" s="20" t="s">
        <v>25</v>
      </c>
      <c r="F81" s="20" t="s">
        <v>248</v>
      </c>
      <c r="G81" s="20" t="s">
        <v>249</v>
      </c>
      <c r="H81" s="20">
        <v>1641</v>
      </c>
      <c r="I81" s="20">
        <v>7654320</v>
      </c>
      <c r="J81" s="20">
        <v>72</v>
      </c>
      <c r="K81" t="str">
        <f>CONCATENATE(A81,"_",B81)</f>
        <v>24887_1</v>
      </c>
      <c r="L81" t="str">
        <f>_xlfn.TEXTJOIN("-",TRUE,H81:J81)</f>
        <v>1641-7654320-72</v>
      </c>
      <c r="M81" t="str">
        <f>LEFT(D81,3)</f>
        <v>Mar</v>
      </c>
      <c r="N81">
        <f t="shared" si="2"/>
        <v>235040</v>
      </c>
      <c r="O81" s="24" t="str">
        <f>MID(G81,4,FIND("-",G81,4)-4)</f>
        <v>Sydney</v>
      </c>
      <c r="Q81" s="26">
        <f>VALUE(SUBSTITUTE(F81,MID(F81,1,2),""))</f>
        <v>335.61</v>
      </c>
      <c r="R81" t="str">
        <f>UPPER(TRIM(CLEAN(E81)))</f>
        <v>INV</v>
      </c>
      <c r="S81" s="28">
        <f>VALUE(D81)</f>
        <v>45723</v>
      </c>
      <c r="T81" s="28">
        <f t="shared" si="3"/>
        <v>45752</v>
      </c>
      <c r="U81">
        <f>tbl_supplier[[#This Row],[Paid Date]]-tbl_supplier[[#This Row],[Invoice Date]]</f>
        <v>29</v>
      </c>
      <c r="V81" t="str">
        <f>VLOOKUP(tbl_supplier[[#This Row],[Payment No]],tbl_MC[Payment Ref],1,FALSE)</f>
        <v>24887_1</v>
      </c>
      <c r="W81">
        <f>_xlfn.XLOOKUP(tbl_supplier[[#This Row],[PO Number]],'MC Invoice Report'!H84,'MC Invoice Report'!C84,"NOT FOUND",0,1)</f>
        <v>545785</v>
      </c>
    </row>
    <row r="82" spans="1:23" ht="15">
      <c r="A82" s="20">
        <v>24891</v>
      </c>
      <c r="B82" s="20">
        <v>1</v>
      </c>
      <c r="C82" s="20" t="s">
        <v>217</v>
      </c>
      <c r="D82" s="20" t="s">
        <v>250</v>
      </c>
      <c r="E82" s="20" t="s">
        <v>25</v>
      </c>
      <c r="F82" s="20" t="s">
        <v>251</v>
      </c>
      <c r="G82" s="20" t="s">
        <v>252</v>
      </c>
      <c r="H82" s="20">
        <v>1641</v>
      </c>
      <c r="I82" s="20">
        <v>7654320</v>
      </c>
      <c r="J82" s="20">
        <v>72</v>
      </c>
      <c r="K82" t="str">
        <f>CONCATENATE(A82,"_",B82)</f>
        <v>24891_1</v>
      </c>
      <c r="L82" t="str">
        <f>_xlfn.TEXTJOIN("-",TRUE,H82:J82)</f>
        <v>1641-7654320-72</v>
      </c>
      <c r="M82" t="str">
        <f>LEFT(D82,3)</f>
        <v>Mar</v>
      </c>
      <c r="N82">
        <f t="shared" si="2"/>
        <v>211771</v>
      </c>
      <c r="O82" s="24" t="str">
        <f>MID(G82,4,FIND("-",G82,4)-4)</f>
        <v>Sydney</v>
      </c>
      <c r="Q82" s="26">
        <f>VALUE(SUBSTITUTE(F82,MID(F82,1,2),""))</f>
        <v>763.29</v>
      </c>
      <c r="R82" t="str">
        <f>UPPER(TRIM(CLEAN(E82)))</f>
        <v>INV</v>
      </c>
      <c r="S82" s="28">
        <f>VALUE(D82)</f>
        <v>45724</v>
      </c>
      <c r="T82" s="28">
        <f t="shared" si="3"/>
        <v>45766</v>
      </c>
      <c r="U82">
        <f>tbl_supplier[[#This Row],[Paid Date]]-tbl_supplier[[#This Row],[Invoice Date]]</f>
        <v>42</v>
      </c>
      <c r="V82" t="str">
        <f>VLOOKUP(tbl_supplier[[#This Row],[Payment No]],tbl_MC[Payment Ref],1,FALSE)</f>
        <v>24891_1</v>
      </c>
      <c r="W82">
        <f>_xlfn.XLOOKUP(tbl_supplier[[#This Row],[PO Number]],'MC Invoice Report'!H85,'MC Invoice Report'!C85,"NOT FOUND",0,1)</f>
        <v>545786</v>
      </c>
    </row>
    <row r="83" spans="1:23" ht="15">
      <c r="A83" s="20">
        <v>24893</v>
      </c>
      <c r="B83" s="20">
        <v>1</v>
      </c>
      <c r="C83" s="20" t="s">
        <v>145</v>
      </c>
      <c r="D83" s="20" t="s">
        <v>78</v>
      </c>
      <c r="E83" s="20" t="s">
        <v>25</v>
      </c>
      <c r="F83" s="20" t="s">
        <v>253</v>
      </c>
      <c r="G83" s="20" t="s">
        <v>254</v>
      </c>
      <c r="H83" s="20">
        <v>2554</v>
      </c>
      <c r="I83" s="20">
        <v>4551221</v>
      </c>
      <c r="J83" s="20">
        <v>33</v>
      </c>
      <c r="K83" t="str">
        <f>CONCATENATE(A83,"_",B83)</f>
        <v>24893_1</v>
      </c>
      <c r="L83" t="str">
        <f>_xlfn.TEXTJOIN("-",TRUE,H83:J83)</f>
        <v>2554-4551221-33</v>
      </c>
      <c r="M83" t="str">
        <f>LEFT(D83,3)</f>
        <v>Mar</v>
      </c>
      <c r="N83">
        <f t="shared" si="2"/>
        <v>326543</v>
      </c>
      <c r="O83" s="24" t="str">
        <f>MID(G83,4,FIND("-",G83,4)-4)</f>
        <v>Melbourne</v>
      </c>
      <c r="Q83" s="26">
        <f>VALUE(SUBSTITUTE(F83,MID(F83,1,2),""))</f>
        <v>446.16</v>
      </c>
      <c r="R83" t="str">
        <f>UPPER(TRIM(CLEAN(E83)))</f>
        <v>INV</v>
      </c>
      <c r="S83" s="28">
        <f>VALUE(D83)</f>
        <v>45745</v>
      </c>
      <c r="T83" s="28">
        <f t="shared" si="3"/>
        <v>45759</v>
      </c>
      <c r="U83">
        <f>tbl_supplier[[#This Row],[Paid Date]]-tbl_supplier[[#This Row],[Invoice Date]]</f>
        <v>14</v>
      </c>
      <c r="V83" t="str">
        <f>VLOOKUP(tbl_supplier[[#This Row],[Payment No]],tbl_MC[Payment Ref],1,FALSE)</f>
        <v>24893_1</v>
      </c>
      <c r="W83">
        <f>_xlfn.XLOOKUP(tbl_supplier[[#This Row],[PO Number]],'MC Invoice Report'!H86,'MC Invoice Report'!C86,"NOT FOUND",0,1)</f>
        <v>545788</v>
      </c>
    </row>
    <row r="84" spans="1:23" ht="15">
      <c r="A84" s="20">
        <v>24898</v>
      </c>
      <c r="B84" s="20">
        <v>1</v>
      </c>
      <c r="C84" s="20" t="s">
        <v>23</v>
      </c>
      <c r="D84" s="20" t="s">
        <v>250</v>
      </c>
      <c r="E84" s="20" t="s">
        <v>25</v>
      </c>
      <c r="F84" s="20" t="s">
        <v>255</v>
      </c>
      <c r="G84" s="20" t="s">
        <v>256</v>
      </c>
      <c r="H84" s="20">
        <v>2554</v>
      </c>
      <c r="I84" s="20">
        <v>4551221</v>
      </c>
      <c r="J84" s="20">
        <v>33</v>
      </c>
      <c r="K84" t="str">
        <f>CONCATENATE(A84,"_",B84)</f>
        <v>24898_1</v>
      </c>
      <c r="L84" t="str">
        <f>_xlfn.TEXTJOIN("-",TRUE,H84:J84)</f>
        <v>2554-4551221-33</v>
      </c>
      <c r="M84" t="str">
        <f>LEFT(D84,3)</f>
        <v>Mar</v>
      </c>
      <c r="N84">
        <f t="shared" si="2"/>
        <v>338553</v>
      </c>
      <c r="O84" s="24" t="str">
        <f>MID(G84,4,FIND("-",G84,4)-4)</f>
        <v>Melbourne</v>
      </c>
      <c r="Q84" s="26">
        <f>VALUE(SUBSTITUTE(F84,MID(F84,1,2),""))</f>
        <v>1032.24</v>
      </c>
      <c r="R84" t="str">
        <f>UPPER(TRIM(CLEAN(E84)))</f>
        <v>INV</v>
      </c>
      <c r="S84" s="28">
        <f>VALUE(D84)</f>
        <v>45724</v>
      </c>
      <c r="T84" s="28">
        <f t="shared" si="3"/>
        <v>45767</v>
      </c>
      <c r="U84">
        <f>tbl_supplier[[#This Row],[Paid Date]]-tbl_supplier[[#This Row],[Invoice Date]]</f>
        <v>43</v>
      </c>
      <c r="V84" t="str">
        <f>VLOOKUP(tbl_supplier[[#This Row],[Payment No]],tbl_MC[Payment Ref],1,FALSE)</f>
        <v>24898_1</v>
      </c>
      <c r="W84">
        <f>_xlfn.XLOOKUP(tbl_supplier[[#This Row],[PO Number]],'MC Invoice Report'!H87,'MC Invoice Report'!C87,"NOT FOUND",0,1)</f>
        <v>545789</v>
      </c>
    </row>
    <row r="85" spans="1:23" ht="15">
      <c r="A85" s="20">
        <v>24902</v>
      </c>
      <c r="B85" s="20">
        <v>1</v>
      </c>
      <c r="C85" s="20" t="s">
        <v>145</v>
      </c>
      <c r="D85" s="20" t="s">
        <v>39</v>
      </c>
      <c r="E85" s="20" t="s">
        <v>25</v>
      </c>
      <c r="F85" s="20" t="s">
        <v>257</v>
      </c>
      <c r="G85" s="20" t="s">
        <v>258</v>
      </c>
      <c r="H85" s="20">
        <v>1641</v>
      </c>
      <c r="I85" s="20">
        <v>7654320</v>
      </c>
      <c r="J85" s="20">
        <v>72</v>
      </c>
      <c r="K85" t="str">
        <f>CONCATENATE(A85,"_",B85)</f>
        <v>24902_1</v>
      </c>
      <c r="L85" t="str">
        <f>_xlfn.TEXTJOIN("-",TRUE,H85:J85)</f>
        <v>1641-7654320-72</v>
      </c>
      <c r="M85" t="str">
        <f>LEFT(D85,3)</f>
        <v>Mar</v>
      </c>
      <c r="N85">
        <f t="shared" si="2"/>
        <v>213342</v>
      </c>
      <c r="O85" s="24" t="str">
        <f>MID(G85,4,FIND("-",G85,4)-4)</f>
        <v>Sydney</v>
      </c>
      <c r="Q85" s="26">
        <f>VALUE(SUBSTITUTE(F85,MID(F85,1,2),""))</f>
        <v>533.28</v>
      </c>
      <c r="R85" t="str">
        <f>UPPER(TRIM(CLEAN(E85)))</f>
        <v>INV</v>
      </c>
      <c r="S85" s="28">
        <f>VALUE(D85)</f>
        <v>45741</v>
      </c>
      <c r="T85" s="28">
        <f t="shared" si="3"/>
        <v>45759</v>
      </c>
      <c r="U85">
        <f>tbl_supplier[[#This Row],[Paid Date]]-tbl_supplier[[#This Row],[Invoice Date]]</f>
        <v>18</v>
      </c>
      <c r="V85" t="str">
        <f>VLOOKUP(tbl_supplier[[#This Row],[Payment No]],tbl_MC[Payment Ref],1,FALSE)</f>
        <v>24902_1</v>
      </c>
      <c r="W85">
        <f>_xlfn.XLOOKUP(tbl_supplier[[#This Row],[PO Number]],'MC Invoice Report'!H88,'MC Invoice Report'!C88,"NOT FOUND",0,1)</f>
        <v>545790</v>
      </c>
    </row>
    <row r="86" spans="1:23" ht="15">
      <c r="A86" s="33" t="s">
        <v>259</v>
      </c>
      <c r="B86" s="33"/>
      <c r="C86" s="33"/>
      <c r="D86" s="33"/>
      <c r="E86" s="33"/>
      <c r="F86" s="33"/>
      <c r="G86" s="33"/>
      <c r="H86" s="33"/>
      <c r="I86" s="33"/>
      <c r="J86" s="33"/>
      <c r="K86">
        <f ca="1">SUBTOTAL(102,K85:K87)</f>
        <v>0</v>
      </c>
      <c r="M86">
        <f ca="1">SUBTOTAL(102,M85:M87)</f>
        <v>0</v>
      </c>
      <c r="O86" s="24">
        <f ca="1">SUBTOTAL(103,O85:O87)</f>
        <v>0</v>
      </c>
      <c r="Q86" s="24">
        <f>SUBTOTAL(109,Q2:Q85)</f>
        <v>48282.62999999999</v>
      </c>
      <c r="T86">
        <f>SUBTOTAL(103,tbl_supplier[Paid Date])</f>
        <v>84</v>
      </c>
    </row>
    <row r="87" spans="1:23" ht="1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9"/>
  <sheetViews>
    <sheetView tabSelected="1" zoomScale="160" zoomScaleNormal="160" workbookViewId="0">
      <selection activeCell="J2" sqref="J2"/>
    </sheetView>
  </sheetViews>
  <sheetFormatPr defaultRowHeight="15" customHeight="1"/>
  <cols>
    <col min="1" max="1" width="14.5703125" customWidth="1"/>
    <col min="2" max="2" width="15.42578125" customWidth="1"/>
    <col min="3" max="3" width="14.7109375" customWidth="1"/>
    <col min="4" max="4" width="14.28515625" style="2" bestFit="1" customWidth="1"/>
    <col min="5" max="5" width="13.85546875" style="2" customWidth="1"/>
    <col min="6" max="6" width="15.7109375" style="2" customWidth="1"/>
    <col min="7" max="7" width="16.28515625" customWidth="1"/>
    <col min="8" max="8" width="13.5703125" customWidth="1"/>
    <col min="9" max="10" width="13.140625" customWidth="1"/>
    <col min="11" max="11" width="13.42578125" customWidth="1"/>
    <col min="12" max="12" width="16.140625" customWidth="1"/>
    <col min="13" max="13" width="14.140625" customWidth="1"/>
    <col min="14" max="14" width="13.5703125" customWidth="1"/>
    <col min="15" max="15" width="11.5703125" bestFit="1" customWidth="1"/>
    <col min="16" max="16" width="33.7109375" bestFit="1" customWidth="1"/>
  </cols>
  <sheetData>
    <row r="1" spans="1:16" ht="23.25">
      <c r="A1" s="16" t="s">
        <v>260</v>
      </c>
    </row>
    <row r="2" spans="1:16">
      <c r="A2" s="12" t="s">
        <v>261</v>
      </c>
      <c r="B2" s="30">
        <f ca="1">TODAY()</f>
        <v>45802</v>
      </c>
      <c r="D2"/>
      <c r="E2"/>
      <c r="F2" s="12" t="s">
        <v>262</v>
      </c>
      <c r="G2" s="17"/>
      <c r="I2" s="12" t="s">
        <v>263</v>
      </c>
      <c r="J2" s="36" t="s">
        <v>264</v>
      </c>
      <c r="K2" s="31"/>
      <c r="L2" s="2"/>
      <c r="M2" s="12" t="s">
        <v>265</v>
      </c>
      <c r="N2" s="13">
        <v>3.5999999999999999E-3</v>
      </c>
    </row>
    <row r="3" spans="1:16">
      <c r="L3" s="2"/>
      <c r="M3" s="2"/>
    </row>
    <row r="4" spans="1:16">
      <c r="A4" s="18" t="s">
        <v>266</v>
      </c>
      <c r="B4" s="18" t="s">
        <v>267</v>
      </c>
      <c r="C4" s="18" t="s">
        <v>1</v>
      </c>
      <c r="D4" s="18" t="s">
        <v>18</v>
      </c>
      <c r="E4" s="18" t="s">
        <v>268</v>
      </c>
      <c r="F4" s="18" t="s">
        <v>269</v>
      </c>
      <c r="G4" s="18" t="s">
        <v>11</v>
      </c>
      <c r="H4" s="18" t="s">
        <v>13</v>
      </c>
      <c r="I4" s="18" t="s">
        <v>14</v>
      </c>
      <c r="J4" s="18" t="s">
        <v>270</v>
      </c>
      <c r="K4" s="18" t="s">
        <v>271</v>
      </c>
      <c r="L4" s="18" t="s">
        <v>272</v>
      </c>
      <c r="M4" s="18" t="s">
        <v>273</v>
      </c>
      <c r="N4" s="18" t="s">
        <v>274</v>
      </c>
      <c r="O4" s="18" t="s">
        <v>275</v>
      </c>
      <c r="P4" s="18" t="s">
        <v>21</v>
      </c>
    </row>
    <row r="5" spans="1:16">
      <c r="A5" s="21" t="s">
        <v>276</v>
      </c>
      <c r="B5" s="21" t="s">
        <v>277</v>
      </c>
      <c r="C5" s="21">
        <f>545671</f>
        <v>545671</v>
      </c>
      <c r="D5" s="22">
        <v>40264</v>
      </c>
      <c r="E5" s="22">
        <f>WORKDAY(EDATE(D5,1)-1,1)</f>
        <v>40295</v>
      </c>
      <c r="F5" s="22">
        <v>40269</v>
      </c>
      <c r="G5" s="21" t="s">
        <v>278</v>
      </c>
      <c r="H5" s="21">
        <v>223809</v>
      </c>
      <c r="I5" s="21" t="s">
        <v>279</v>
      </c>
      <c r="J5" s="23">
        <v>742.5</v>
      </c>
      <c r="K5" s="23" t="str">
        <f>TEXT(D5,"DDD")</f>
        <v>Sat</v>
      </c>
      <c r="L5" s="29" t="str">
        <f>MID(TEXT(D5,"YYYY-MMM-DD"),6,3)</f>
        <v>Mar</v>
      </c>
      <c r="M5" s="21">
        <f>IF(NETWORKDAYS(E5,F5,7) &gt; 0,NETWORKDAYS(E5,F5,7),0)</f>
        <v>0</v>
      </c>
      <c r="N5" s="35" cm="1">
        <f t="array" ref="N5">IF(AND(tbl_MC[[#This Row],[Over Due]]="YES",tbl_MC[[#This Row],[Amount]]&gt;=500),tbl_MC[[#This Row],[Amount]]*tbl_MC[[#This Row],[Over Due By]]*Penalty_Rate,0)</f>
        <v>0</v>
      </c>
      <c r="O5" s="35" t="str">
        <f>IF(tbl_MC[[#This Row],[Payment Date]]&gt;tbl_MC[[#This Row],[Due Date]],"YES","")</f>
        <v/>
      </c>
      <c r="P5" s="23" t="str">
        <f>_xlfn.IFNA(VLOOKUP(tbl_MC[[#This Row],[Payment Ref]],'Supplier Invoice Statement'!K2,1,FALSE),"Invoice not found")</f>
        <v>24673_1</v>
      </c>
    </row>
    <row r="6" spans="1:16">
      <c r="A6" s="21" t="s">
        <v>276</v>
      </c>
      <c r="B6" s="21" t="s">
        <v>277</v>
      </c>
      <c r="C6" s="21">
        <v>545672</v>
      </c>
      <c r="D6" s="22">
        <v>40240</v>
      </c>
      <c r="E6" s="22">
        <f t="shared" ref="E6:E69" si="0">WORKDAY(EDATE(D6,1)-1,1)</f>
        <v>40273</v>
      </c>
      <c r="F6" s="22">
        <v>40270</v>
      </c>
      <c r="G6" s="21" t="s">
        <v>280</v>
      </c>
      <c r="H6" s="21">
        <v>327600</v>
      </c>
      <c r="I6" s="21" t="s">
        <v>264</v>
      </c>
      <c r="J6" s="23">
        <v>1021.02</v>
      </c>
      <c r="K6" s="23" t="str">
        <f t="shared" ref="K6:K69" si="1">TEXT(D6,"DDD")</f>
        <v>Wed</v>
      </c>
      <c r="L6" s="29" t="str">
        <f t="shared" ref="L6:L69" si="2">MID(TEXT(D6,"YYYY-MMM-DD"),6,3)</f>
        <v>Mar</v>
      </c>
      <c r="M6" s="21">
        <f t="shared" ref="M6:M69" si="3">IF(NETWORKDAYS(E6,F6,7) &gt; 0,NETWORKDAYS(E6,F6,7),0)</f>
        <v>0</v>
      </c>
      <c r="N6" s="35" cm="1">
        <f t="array" ref="N6">IF(AND(tbl_MC[[#This Row],[Over Due]]="YES",tbl_MC[[#This Row],[Amount]]&gt;=500),tbl_MC[[#This Row],[Amount]]*tbl_MC[[#This Row],[Over Due By]]*Penalty_Rate,0)</f>
        <v>0</v>
      </c>
      <c r="O6" s="23" t="str">
        <f>IF(tbl_MC[[#This Row],[Payment Date]]&gt;tbl_MC[[#This Row],[Due Date]],"YES","")</f>
        <v/>
      </c>
      <c r="P6" s="23" t="str">
        <f>VLOOKUP(tbl_MC[[#This Row],[Payment Ref]],'Supplier Invoice Statement'!K3,1,FALSE)</f>
        <v>24673_1</v>
      </c>
    </row>
    <row r="7" spans="1:16">
      <c r="A7" s="21" t="s">
        <v>281</v>
      </c>
      <c r="B7" s="21" t="s">
        <v>277</v>
      </c>
      <c r="C7" s="21">
        <v>545674</v>
      </c>
      <c r="D7" s="22">
        <v>40228</v>
      </c>
      <c r="E7" s="22">
        <f t="shared" si="0"/>
        <v>40256</v>
      </c>
      <c r="F7" s="22">
        <v>40271</v>
      </c>
      <c r="G7" s="21" t="s">
        <v>280</v>
      </c>
      <c r="H7" s="21">
        <v>332589</v>
      </c>
      <c r="I7" s="21" t="s">
        <v>264</v>
      </c>
      <c r="J7" s="23">
        <v>409.53</v>
      </c>
      <c r="K7" s="23" t="str">
        <f t="shared" si="1"/>
        <v>Fri</v>
      </c>
      <c r="L7" s="29" t="str">
        <f t="shared" si="2"/>
        <v>Feb</v>
      </c>
      <c r="M7" s="21">
        <f t="shared" si="3"/>
        <v>11</v>
      </c>
      <c r="N7" s="35" cm="1">
        <f t="array" ref="N7">IF(AND(tbl_MC[[#This Row],[Over Due]]="YES",tbl_MC[[#This Row],[Amount]]&gt;=500),tbl_MC[[#This Row],[Amount]]*tbl_MC[[#This Row],[Over Due By]]*Penalty_Rate,0)</f>
        <v>0</v>
      </c>
      <c r="O7" s="23" t="str">
        <f>IF(tbl_MC[[#This Row],[Payment Date]]&gt;tbl_MC[[#This Row],[Due Date]],"YES","")</f>
        <v>YES</v>
      </c>
      <c r="P7" s="23" t="str">
        <f>VLOOKUP(tbl_MC[[#This Row],[Payment Ref]],'Supplier Invoice Statement'!K4,1,FALSE)</f>
        <v>24675_1</v>
      </c>
    </row>
    <row r="8" spans="1:16">
      <c r="A8" s="21" t="s">
        <v>282</v>
      </c>
      <c r="B8" s="21" t="s">
        <v>277</v>
      </c>
      <c r="C8" s="21">
        <v>545676</v>
      </c>
      <c r="D8" s="22">
        <v>40248</v>
      </c>
      <c r="E8" s="22">
        <f t="shared" si="0"/>
        <v>40280</v>
      </c>
      <c r="F8" s="22">
        <v>40271</v>
      </c>
      <c r="G8" s="21" t="s">
        <v>280</v>
      </c>
      <c r="H8" s="21">
        <v>337131</v>
      </c>
      <c r="I8" s="21" t="s">
        <v>264</v>
      </c>
      <c r="J8" s="23">
        <v>-234.96</v>
      </c>
      <c r="K8" s="23" t="str">
        <f t="shared" si="1"/>
        <v>Thu</v>
      </c>
      <c r="L8" s="29" t="str">
        <f t="shared" si="2"/>
        <v>Mar</v>
      </c>
      <c r="M8" s="21">
        <f t="shared" si="3"/>
        <v>0</v>
      </c>
      <c r="N8" s="35" cm="1">
        <f t="array" ref="N8">IF(AND(tbl_MC[[#This Row],[Over Due]]="YES",tbl_MC[[#This Row],[Amount]]&gt;=500),tbl_MC[[#This Row],[Amount]]*tbl_MC[[#This Row],[Over Due By]]*Penalty_Rate,0)</f>
        <v>0</v>
      </c>
      <c r="O8" s="23" t="str">
        <f>IF(tbl_MC[[#This Row],[Payment Date]]&gt;tbl_MC[[#This Row],[Due Date]],"YES","")</f>
        <v/>
      </c>
      <c r="P8" s="23" t="str">
        <f>VLOOKUP(tbl_MC[[#This Row],[Payment Ref]],'Supplier Invoice Statement'!K5,1,FALSE)</f>
        <v>24676_1</v>
      </c>
    </row>
    <row r="9" spans="1:16">
      <c r="A9" s="21" t="s">
        <v>283</v>
      </c>
      <c r="B9" s="21" t="s">
        <v>277</v>
      </c>
      <c r="C9" s="21">
        <v>545677</v>
      </c>
      <c r="D9" s="22">
        <v>40258</v>
      </c>
      <c r="E9" s="22">
        <f t="shared" si="0"/>
        <v>40289</v>
      </c>
      <c r="F9" s="22">
        <v>40272</v>
      </c>
      <c r="G9" s="21" t="s">
        <v>280</v>
      </c>
      <c r="H9" s="21">
        <v>319376</v>
      </c>
      <c r="I9" s="21" t="s">
        <v>264</v>
      </c>
      <c r="J9" s="23">
        <v>-450.12</v>
      </c>
      <c r="K9" s="23" t="str">
        <f t="shared" si="1"/>
        <v>Sun</v>
      </c>
      <c r="L9" s="29" t="str">
        <f t="shared" si="2"/>
        <v>Mar</v>
      </c>
      <c r="M9" s="21">
        <f t="shared" si="3"/>
        <v>0</v>
      </c>
      <c r="N9" s="35" cm="1">
        <f t="array" ref="N9">IF(AND(tbl_MC[[#This Row],[Over Due]]="YES",tbl_MC[[#This Row],[Amount]]&gt;=500),tbl_MC[[#This Row],[Amount]]*tbl_MC[[#This Row],[Over Due By]]*Penalty_Rate,0)</f>
        <v>0</v>
      </c>
      <c r="O9" s="23" t="str">
        <f>IF(tbl_MC[[#This Row],[Payment Date]]&gt;tbl_MC[[#This Row],[Due Date]],"YES","")</f>
        <v/>
      </c>
      <c r="P9" s="23" t="str">
        <f>VLOOKUP(tbl_MC[[#This Row],[Payment Ref]],'Supplier Invoice Statement'!K6,1,FALSE)</f>
        <v>24677_1</v>
      </c>
    </row>
    <row r="10" spans="1:16">
      <c r="A10" s="21" t="s">
        <v>284</v>
      </c>
      <c r="B10" s="21" t="s">
        <v>277</v>
      </c>
      <c r="C10" s="21">
        <v>545678</v>
      </c>
      <c r="D10" s="22">
        <v>40242</v>
      </c>
      <c r="E10" s="22">
        <f t="shared" si="0"/>
        <v>40273</v>
      </c>
      <c r="F10" s="22">
        <v>40272</v>
      </c>
      <c r="G10" s="21" t="s">
        <v>280</v>
      </c>
      <c r="H10" s="21">
        <v>334724</v>
      </c>
      <c r="I10" s="21" t="s">
        <v>264</v>
      </c>
      <c r="J10" s="23">
        <v>114.18</v>
      </c>
      <c r="K10" s="23" t="str">
        <f t="shared" si="1"/>
        <v>Fri</v>
      </c>
      <c r="L10" s="29" t="str">
        <f t="shared" si="2"/>
        <v>Mar</v>
      </c>
      <c r="M10" s="21">
        <f t="shared" si="3"/>
        <v>0</v>
      </c>
      <c r="N10" s="35" cm="1">
        <f t="array" ref="N10">IF(AND(tbl_MC[[#This Row],[Over Due]]="YES",tbl_MC[[#This Row],[Amount]]&gt;=500),tbl_MC[[#This Row],[Amount]]*tbl_MC[[#This Row],[Over Due By]]*Penalty_Rate,0)</f>
        <v>0</v>
      </c>
      <c r="O10" s="23" t="str">
        <f>IF(tbl_MC[[#This Row],[Payment Date]]&gt;tbl_MC[[#This Row],[Due Date]],"YES","")</f>
        <v/>
      </c>
      <c r="P10" s="23" t="str">
        <f>VLOOKUP(tbl_MC[[#This Row],[Payment Ref]],'Supplier Invoice Statement'!K7,1,FALSE)</f>
        <v>24679_1</v>
      </c>
    </row>
    <row r="11" spans="1:16">
      <c r="A11" s="21" t="s">
        <v>285</v>
      </c>
      <c r="B11" s="21" t="s">
        <v>277</v>
      </c>
      <c r="C11" s="21">
        <v>545679</v>
      </c>
      <c r="D11" s="22">
        <v>40243</v>
      </c>
      <c r="E11" s="22">
        <f t="shared" si="0"/>
        <v>40274</v>
      </c>
      <c r="F11" s="22">
        <v>40272</v>
      </c>
      <c r="G11" s="21" t="s">
        <v>280</v>
      </c>
      <c r="H11" s="21">
        <v>310607</v>
      </c>
      <c r="I11" s="21" t="s">
        <v>264</v>
      </c>
      <c r="J11" s="23">
        <v>930.93</v>
      </c>
      <c r="K11" s="23" t="str">
        <f t="shared" si="1"/>
        <v>Sat</v>
      </c>
      <c r="L11" s="29" t="str">
        <f t="shared" si="2"/>
        <v>Mar</v>
      </c>
      <c r="M11" s="21">
        <f t="shared" si="3"/>
        <v>0</v>
      </c>
      <c r="N11" s="35" cm="1">
        <f t="array" ref="N11">IF(AND(tbl_MC[[#This Row],[Over Due]]="YES",tbl_MC[[#This Row],[Amount]]&gt;=500),tbl_MC[[#This Row],[Amount]]*tbl_MC[[#This Row],[Over Due By]]*Penalty_Rate,0)</f>
        <v>0</v>
      </c>
      <c r="O11" s="23" t="str">
        <f>IF(tbl_MC[[#This Row],[Payment Date]]&gt;tbl_MC[[#This Row],[Due Date]],"YES","")</f>
        <v/>
      </c>
      <c r="P11" s="23" t="str">
        <f>VLOOKUP(tbl_MC[[#This Row],[Payment Ref]],'Supplier Invoice Statement'!K8,1,FALSE)</f>
        <v>24679_2</v>
      </c>
    </row>
    <row r="12" spans="1:16">
      <c r="A12" s="21" t="s">
        <v>286</v>
      </c>
      <c r="B12" s="21" t="s">
        <v>277</v>
      </c>
      <c r="C12" s="21">
        <v>545681</v>
      </c>
      <c r="D12" s="22">
        <v>40266</v>
      </c>
      <c r="E12" s="22">
        <f t="shared" si="0"/>
        <v>40297</v>
      </c>
      <c r="F12" s="22">
        <v>40272</v>
      </c>
      <c r="G12" s="21" t="s">
        <v>278</v>
      </c>
      <c r="H12" s="21">
        <v>226225</v>
      </c>
      <c r="I12" s="21" t="s">
        <v>279</v>
      </c>
      <c r="J12" s="23">
        <v>466.29</v>
      </c>
      <c r="K12" s="23" t="str">
        <f t="shared" si="1"/>
        <v>Mon</v>
      </c>
      <c r="L12" s="29" t="str">
        <f t="shared" si="2"/>
        <v>Mar</v>
      </c>
      <c r="M12" s="21">
        <f t="shared" si="3"/>
        <v>0</v>
      </c>
      <c r="N12" s="35" cm="1">
        <f t="array" ref="N12">IF(AND(tbl_MC[[#This Row],[Over Due]]="YES",tbl_MC[[#This Row],[Amount]]&gt;=500),tbl_MC[[#This Row],[Amount]]*tbl_MC[[#This Row],[Over Due By]]*Penalty_Rate,0)</f>
        <v>0</v>
      </c>
      <c r="O12" s="23" t="str">
        <f>IF(tbl_MC[[#This Row],[Payment Date]]&gt;tbl_MC[[#This Row],[Due Date]],"YES","")</f>
        <v/>
      </c>
      <c r="P12" s="23" t="str">
        <f>VLOOKUP(tbl_MC[[#This Row],[Payment Ref]],'Supplier Invoice Statement'!K9,1,FALSE)</f>
        <v>24680_1</v>
      </c>
    </row>
    <row r="13" spans="1:16">
      <c r="A13" s="21" t="s">
        <v>287</v>
      </c>
      <c r="B13" s="21" t="s">
        <v>277</v>
      </c>
      <c r="C13" s="21">
        <v>545682</v>
      </c>
      <c r="D13" s="22">
        <v>40253</v>
      </c>
      <c r="E13" s="22">
        <f t="shared" si="0"/>
        <v>40284</v>
      </c>
      <c r="F13" s="22">
        <v>40273</v>
      </c>
      <c r="G13" s="21" t="s">
        <v>278</v>
      </c>
      <c r="H13" s="21">
        <v>223858</v>
      </c>
      <c r="I13" s="21" t="s">
        <v>279</v>
      </c>
      <c r="J13" s="23">
        <v>222.42</v>
      </c>
      <c r="K13" s="23" t="str">
        <f t="shared" si="1"/>
        <v>Tue</v>
      </c>
      <c r="L13" s="29" t="str">
        <f t="shared" si="2"/>
        <v>Mar</v>
      </c>
      <c r="M13" s="21">
        <f t="shared" si="3"/>
        <v>0</v>
      </c>
      <c r="N13" s="35" cm="1">
        <f t="array" ref="N13">IF(AND(tbl_MC[[#This Row],[Over Due]]="YES",tbl_MC[[#This Row],[Amount]]&gt;=500),tbl_MC[[#This Row],[Amount]]*tbl_MC[[#This Row],[Over Due By]]*Penalty_Rate,0)</f>
        <v>0</v>
      </c>
      <c r="O13" s="23" t="str">
        <f>IF(tbl_MC[[#This Row],[Payment Date]]&gt;tbl_MC[[#This Row],[Due Date]],"YES","")</f>
        <v/>
      </c>
      <c r="P13" s="23" t="str">
        <f>VLOOKUP(tbl_MC[[#This Row],[Payment Ref]],'Supplier Invoice Statement'!K10,1,FALSE)</f>
        <v>24683_1</v>
      </c>
    </row>
    <row r="14" spans="1:16">
      <c r="A14" s="21" t="s">
        <v>288</v>
      </c>
      <c r="B14" s="21" t="s">
        <v>277</v>
      </c>
      <c r="C14" s="21">
        <v>545683</v>
      </c>
      <c r="D14" s="22">
        <v>40251</v>
      </c>
      <c r="E14" s="22">
        <f t="shared" si="0"/>
        <v>40282</v>
      </c>
      <c r="F14" s="22">
        <v>40273</v>
      </c>
      <c r="G14" s="21" t="s">
        <v>278</v>
      </c>
      <c r="H14" s="21">
        <v>211781</v>
      </c>
      <c r="I14" s="21" t="s">
        <v>279</v>
      </c>
      <c r="J14" s="23">
        <v>679.8</v>
      </c>
      <c r="K14" s="23" t="str">
        <f t="shared" si="1"/>
        <v>Sun</v>
      </c>
      <c r="L14" s="29" t="str">
        <f t="shared" si="2"/>
        <v>Mar</v>
      </c>
      <c r="M14" s="21">
        <f t="shared" si="3"/>
        <v>0</v>
      </c>
      <c r="N14" s="35" cm="1">
        <f t="array" ref="N14">IF(AND(tbl_MC[[#This Row],[Over Due]]="YES",tbl_MC[[#This Row],[Amount]]&gt;=500),tbl_MC[[#This Row],[Amount]]*tbl_MC[[#This Row],[Over Due By]]*Penalty_Rate,0)</f>
        <v>0</v>
      </c>
      <c r="O14" s="23" t="str">
        <f>IF(tbl_MC[[#This Row],[Payment Date]]&gt;tbl_MC[[#This Row],[Due Date]],"YES","")</f>
        <v/>
      </c>
      <c r="P14" s="23" t="str">
        <f>VLOOKUP(tbl_MC[[#This Row],[Payment Ref]],'Supplier Invoice Statement'!K11,1,FALSE)</f>
        <v>24685_1</v>
      </c>
    </row>
    <row r="15" spans="1:16">
      <c r="A15" s="21" t="s">
        <v>289</v>
      </c>
      <c r="B15" s="21" t="s">
        <v>277</v>
      </c>
      <c r="C15" s="21">
        <v>545685</v>
      </c>
      <c r="D15" s="22">
        <v>40255</v>
      </c>
      <c r="E15" s="22">
        <f t="shared" si="0"/>
        <v>40287</v>
      </c>
      <c r="F15" s="22">
        <v>40273</v>
      </c>
      <c r="G15" s="21" t="s">
        <v>278</v>
      </c>
      <c r="H15" s="21">
        <v>232805</v>
      </c>
      <c r="I15" s="21" t="s">
        <v>279</v>
      </c>
      <c r="J15" s="23">
        <v>171.93</v>
      </c>
      <c r="K15" s="23" t="str">
        <f t="shared" si="1"/>
        <v>Thu</v>
      </c>
      <c r="L15" s="29" t="str">
        <f t="shared" si="2"/>
        <v>Mar</v>
      </c>
      <c r="M15" s="21">
        <f t="shared" si="3"/>
        <v>0</v>
      </c>
      <c r="N15" s="35" cm="1">
        <f t="array" ref="N15">IF(AND(tbl_MC[[#This Row],[Over Due]]="YES",tbl_MC[[#This Row],[Amount]]&gt;=500),tbl_MC[[#This Row],[Amount]]*tbl_MC[[#This Row],[Over Due By]]*Penalty_Rate,0)</f>
        <v>0</v>
      </c>
      <c r="O15" s="23" t="str">
        <f>IF(tbl_MC[[#This Row],[Payment Date]]&gt;tbl_MC[[#This Row],[Due Date]],"YES","")</f>
        <v/>
      </c>
      <c r="P15" s="23" t="str">
        <f>VLOOKUP(tbl_MC[[#This Row],[Payment Ref]],'Supplier Invoice Statement'!K12,1,FALSE)</f>
        <v>24690_1</v>
      </c>
    </row>
    <row r="16" spans="1:16">
      <c r="A16" s="21" t="s">
        <v>290</v>
      </c>
      <c r="B16" s="21" t="s">
        <v>277</v>
      </c>
      <c r="C16" s="21">
        <v>545687</v>
      </c>
      <c r="D16" s="22">
        <v>40229</v>
      </c>
      <c r="E16" s="22">
        <f t="shared" si="0"/>
        <v>40259</v>
      </c>
      <c r="F16" s="22">
        <v>40273</v>
      </c>
      <c r="G16" s="21" t="s">
        <v>280</v>
      </c>
      <c r="H16" s="21">
        <v>312187</v>
      </c>
      <c r="I16" s="21" t="s">
        <v>264</v>
      </c>
      <c r="J16" s="23">
        <v>623.70000000000005</v>
      </c>
      <c r="K16" s="23" t="str">
        <f t="shared" si="1"/>
        <v>Sat</v>
      </c>
      <c r="L16" s="29" t="str">
        <f t="shared" si="2"/>
        <v>Feb</v>
      </c>
      <c r="M16" s="21">
        <f t="shared" si="3"/>
        <v>11</v>
      </c>
      <c r="N16" s="35" cm="1">
        <f t="array" ref="N16">IF(AND(tbl_MC[[#This Row],[Over Due]]="YES",tbl_MC[[#This Row],[Amount]]&gt;=500),tbl_MC[[#This Row],[Amount]]*tbl_MC[[#This Row],[Over Due By]]*Penalty_Rate,0)</f>
        <v>24.698520000000002</v>
      </c>
      <c r="O16" s="23" t="str">
        <f>IF(tbl_MC[[#This Row],[Payment Date]]&gt;tbl_MC[[#This Row],[Due Date]],"YES","")</f>
        <v>YES</v>
      </c>
      <c r="P16" s="23" t="str">
        <f>VLOOKUP(tbl_MC[[#This Row],[Payment Ref]],'Supplier Invoice Statement'!K13,1,FALSE)</f>
        <v>24693_1</v>
      </c>
    </row>
    <row r="17" spans="1:16">
      <c r="A17" s="21" t="s">
        <v>291</v>
      </c>
      <c r="B17" s="21" t="s">
        <v>277</v>
      </c>
      <c r="C17" s="21">
        <v>545689</v>
      </c>
      <c r="D17" s="22">
        <v>40244</v>
      </c>
      <c r="E17" s="22">
        <f t="shared" si="0"/>
        <v>40275</v>
      </c>
      <c r="F17" s="22">
        <v>40273</v>
      </c>
      <c r="G17" s="21" t="s">
        <v>280</v>
      </c>
      <c r="H17" s="21">
        <v>319790</v>
      </c>
      <c r="I17" s="21" t="s">
        <v>264</v>
      </c>
      <c r="J17" s="23">
        <v>221.1</v>
      </c>
      <c r="K17" s="23" t="str">
        <f t="shared" si="1"/>
        <v>Sun</v>
      </c>
      <c r="L17" s="29" t="str">
        <f t="shared" si="2"/>
        <v>Mar</v>
      </c>
      <c r="M17" s="21">
        <f t="shared" si="3"/>
        <v>0</v>
      </c>
      <c r="N17" s="35" cm="1">
        <f t="array" ref="N17">IF(AND(tbl_MC[[#This Row],[Over Due]]="YES",tbl_MC[[#This Row],[Amount]]&gt;=500),tbl_MC[[#This Row],[Amount]]*tbl_MC[[#This Row],[Over Due By]]*Penalty_Rate,0)</f>
        <v>0</v>
      </c>
      <c r="O17" s="23" t="str">
        <f>IF(tbl_MC[[#This Row],[Payment Date]]&gt;tbl_MC[[#This Row],[Due Date]],"YES","")</f>
        <v/>
      </c>
      <c r="P17" s="23" t="str">
        <f>VLOOKUP(tbl_MC[[#This Row],[Payment Ref]],'Supplier Invoice Statement'!K14,1,FALSE)</f>
        <v>24697_1</v>
      </c>
    </row>
    <row r="18" spans="1:16">
      <c r="A18" s="21" t="s">
        <v>292</v>
      </c>
      <c r="B18" s="21" t="s">
        <v>277</v>
      </c>
      <c r="C18" s="21">
        <v>545690</v>
      </c>
      <c r="D18" s="22">
        <v>40233</v>
      </c>
      <c r="E18" s="22">
        <f t="shared" si="0"/>
        <v>40261</v>
      </c>
      <c r="F18" s="22">
        <v>40274</v>
      </c>
      <c r="G18" s="21" t="s">
        <v>280</v>
      </c>
      <c r="H18" s="21">
        <v>327342</v>
      </c>
      <c r="I18" s="21" t="s">
        <v>264</v>
      </c>
      <c r="J18" s="23">
        <v>393.36</v>
      </c>
      <c r="K18" s="23" t="str">
        <f t="shared" si="1"/>
        <v>Wed</v>
      </c>
      <c r="L18" s="29" t="str">
        <f t="shared" si="2"/>
        <v>Feb</v>
      </c>
      <c r="M18" s="21">
        <f t="shared" si="3"/>
        <v>10</v>
      </c>
      <c r="N18" s="35" cm="1">
        <f t="array" ref="N18">IF(AND(tbl_MC[[#This Row],[Over Due]]="YES",tbl_MC[[#This Row],[Amount]]&gt;=500),tbl_MC[[#This Row],[Amount]]*tbl_MC[[#This Row],[Over Due By]]*Penalty_Rate,0)</f>
        <v>0</v>
      </c>
      <c r="O18" s="23" t="str">
        <f>IF(tbl_MC[[#This Row],[Payment Date]]&gt;tbl_MC[[#This Row],[Due Date]],"YES","")</f>
        <v>YES</v>
      </c>
      <c r="P18" s="23" t="str">
        <f>VLOOKUP(tbl_MC[[#This Row],[Payment Ref]],'Supplier Invoice Statement'!K15,1,FALSE)</f>
        <v>24698_1</v>
      </c>
    </row>
    <row r="19" spans="1:16">
      <c r="A19" s="21" t="s">
        <v>293</v>
      </c>
      <c r="B19" s="21" t="s">
        <v>277</v>
      </c>
      <c r="C19" s="21">
        <v>545691</v>
      </c>
      <c r="D19" s="22">
        <v>40239</v>
      </c>
      <c r="E19" s="22">
        <f t="shared" si="0"/>
        <v>40270</v>
      </c>
      <c r="F19" s="22">
        <v>40274</v>
      </c>
      <c r="G19" s="21" t="s">
        <v>280</v>
      </c>
      <c r="H19" s="21">
        <v>335460</v>
      </c>
      <c r="I19" s="21" t="s">
        <v>264</v>
      </c>
      <c r="J19" s="23">
        <v>642.17999999999995</v>
      </c>
      <c r="K19" s="23" t="str">
        <f t="shared" si="1"/>
        <v>Tue</v>
      </c>
      <c r="L19" s="29" t="str">
        <f t="shared" si="2"/>
        <v>Mar</v>
      </c>
      <c r="M19" s="21">
        <f t="shared" si="3"/>
        <v>3</v>
      </c>
      <c r="N19" s="35" cm="1">
        <f t="array" ref="N19">IF(AND(tbl_MC[[#This Row],[Over Due]]="YES",tbl_MC[[#This Row],[Amount]]&gt;=500),tbl_MC[[#This Row],[Amount]]*tbl_MC[[#This Row],[Over Due By]]*Penalty_Rate,0)</f>
        <v>6.9355439999999993</v>
      </c>
      <c r="O19" s="23" t="str">
        <f>IF(tbl_MC[[#This Row],[Payment Date]]&gt;tbl_MC[[#This Row],[Due Date]],"YES","")</f>
        <v>YES</v>
      </c>
      <c r="P19" s="23" t="str">
        <f>VLOOKUP(tbl_MC[[#This Row],[Payment Ref]],'Supplier Invoice Statement'!K16,1,FALSE)</f>
        <v>24699_1</v>
      </c>
    </row>
    <row r="20" spans="1:16">
      <c r="A20" s="21" t="s">
        <v>294</v>
      </c>
      <c r="B20" s="21" t="s">
        <v>277</v>
      </c>
      <c r="C20" s="21">
        <v>545692</v>
      </c>
      <c r="D20" s="22">
        <v>40259</v>
      </c>
      <c r="E20" s="22">
        <f t="shared" si="0"/>
        <v>40290</v>
      </c>
      <c r="F20" s="22">
        <v>40274</v>
      </c>
      <c r="G20" s="21" t="s">
        <v>280</v>
      </c>
      <c r="H20" s="21">
        <v>323955</v>
      </c>
      <c r="I20" s="21" t="s">
        <v>264</v>
      </c>
      <c r="J20" s="23">
        <v>499.95</v>
      </c>
      <c r="K20" s="23" t="str">
        <f t="shared" si="1"/>
        <v>Mon</v>
      </c>
      <c r="L20" s="29" t="str">
        <f t="shared" si="2"/>
        <v>Mar</v>
      </c>
      <c r="M20" s="21">
        <f t="shared" si="3"/>
        <v>0</v>
      </c>
      <c r="N20" s="35" cm="1">
        <f t="array" ref="N20">IF(AND(tbl_MC[[#This Row],[Over Due]]="YES",tbl_MC[[#This Row],[Amount]]&gt;=500),tbl_MC[[#This Row],[Amount]]*tbl_MC[[#This Row],[Over Due By]]*Penalty_Rate,0)</f>
        <v>0</v>
      </c>
      <c r="O20" s="23" t="str">
        <f>IF(tbl_MC[[#This Row],[Payment Date]]&gt;tbl_MC[[#This Row],[Due Date]],"YES","")</f>
        <v/>
      </c>
      <c r="P20" s="23" t="str">
        <f>VLOOKUP(tbl_MC[[#This Row],[Payment Ref]],'Supplier Invoice Statement'!K17,1,FALSE)</f>
        <v>24704_1</v>
      </c>
    </row>
    <row r="21" spans="1:16">
      <c r="A21" s="21" t="s">
        <v>295</v>
      </c>
      <c r="B21" s="21" t="s">
        <v>277</v>
      </c>
      <c r="C21" s="21">
        <v>545693</v>
      </c>
      <c r="D21" s="22">
        <v>40238</v>
      </c>
      <c r="E21" s="22">
        <f t="shared" si="0"/>
        <v>40269</v>
      </c>
      <c r="F21" s="22">
        <v>40275</v>
      </c>
      <c r="G21" s="21" t="s">
        <v>280</v>
      </c>
      <c r="H21" s="21">
        <v>316515</v>
      </c>
      <c r="I21" s="21" t="s">
        <v>264</v>
      </c>
      <c r="J21" s="23">
        <v>299.64</v>
      </c>
      <c r="K21" s="23" t="str">
        <f t="shared" si="1"/>
        <v>Mon</v>
      </c>
      <c r="L21" s="29" t="str">
        <f t="shared" si="2"/>
        <v>Mar</v>
      </c>
      <c r="M21" s="21">
        <f t="shared" si="3"/>
        <v>5</v>
      </c>
      <c r="N21" s="35" cm="1">
        <f t="array" ref="N21">IF(AND(tbl_MC[[#This Row],[Over Due]]="YES",tbl_MC[[#This Row],[Amount]]&gt;=500),tbl_MC[[#This Row],[Amount]]*tbl_MC[[#This Row],[Over Due By]]*Penalty_Rate,0)</f>
        <v>0</v>
      </c>
      <c r="O21" s="23" t="str">
        <f>IF(tbl_MC[[#This Row],[Payment Date]]&gt;tbl_MC[[#This Row],[Due Date]],"YES","")</f>
        <v>YES</v>
      </c>
      <c r="P21" s="23" t="str">
        <f>VLOOKUP(tbl_MC[[#This Row],[Payment Ref]],'Supplier Invoice Statement'!K18,1,FALSE)</f>
        <v>24707_1</v>
      </c>
    </row>
    <row r="22" spans="1:16">
      <c r="A22" s="21" t="s">
        <v>296</v>
      </c>
      <c r="B22" s="21" t="s">
        <v>277</v>
      </c>
      <c r="C22" s="21">
        <v>545695</v>
      </c>
      <c r="D22" s="22">
        <v>40234</v>
      </c>
      <c r="E22" s="22">
        <f t="shared" si="0"/>
        <v>40262</v>
      </c>
      <c r="F22" s="22">
        <v>40275</v>
      </c>
      <c r="G22" s="21" t="s">
        <v>278</v>
      </c>
      <c r="H22" s="21">
        <v>231320</v>
      </c>
      <c r="I22" s="21" t="s">
        <v>279</v>
      </c>
      <c r="J22" s="23">
        <v>312.83999999999997</v>
      </c>
      <c r="K22" s="23" t="str">
        <f t="shared" si="1"/>
        <v>Thu</v>
      </c>
      <c r="L22" s="29" t="str">
        <f t="shared" si="2"/>
        <v>Feb</v>
      </c>
      <c r="M22" s="21">
        <f t="shared" si="3"/>
        <v>10</v>
      </c>
      <c r="N22" s="35" cm="1">
        <f t="array" ref="N22">IF(AND(tbl_MC[[#This Row],[Over Due]]="YES",tbl_MC[[#This Row],[Amount]]&gt;=500),tbl_MC[[#This Row],[Amount]]*tbl_MC[[#This Row],[Over Due By]]*Penalty_Rate,0)</f>
        <v>0</v>
      </c>
      <c r="O22" s="23" t="str">
        <f>IF(tbl_MC[[#This Row],[Payment Date]]&gt;tbl_MC[[#This Row],[Due Date]],"YES","")</f>
        <v>YES</v>
      </c>
      <c r="P22" s="23" t="str">
        <f>VLOOKUP(tbl_MC[[#This Row],[Payment Ref]],'Supplier Invoice Statement'!K19,1,FALSE)</f>
        <v>24712_1</v>
      </c>
    </row>
    <row r="23" spans="1:16">
      <c r="A23" s="21" t="s">
        <v>297</v>
      </c>
      <c r="B23" s="21" t="s">
        <v>277</v>
      </c>
      <c r="C23" s="21">
        <v>545696</v>
      </c>
      <c r="D23" s="22">
        <v>40236</v>
      </c>
      <c r="E23" s="22">
        <f t="shared" si="0"/>
        <v>40266</v>
      </c>
      <c r="F23" s="22">
        <v>40275</v>
      </c>
      <c r="G23" s="21" t="s">
        <v>278</v>
      </c>
      <c r="H23" s="21">
        <v>213670</v>
      </c>
      <c r="I23" s="21" t="s">
        <v>279</v>
      </c>
      <c r="J23" s="23">
        <v>993.63</v>
      </c>
      <c r="K23" s="23" t="str">
        <f t="shared" si="1"/>
        <v>Sat</v>
      </c>
      <c r="L23" s="29" t="str">
        <f t="shared" si="2"/>
        <v>Feb</v>
      </c>
      <c r="M23" s="21">
        <f t="shared" si="3"/>
        <v>8</v>
      </c>
      <c r="N23" s="35" cm="1">
        <f t="array" ref="N23">IF(AND(tbl_MC[[#This Row],[Over Due]]="YES",tbl_MC[[#This Row],[Amount]]&gt;=500),tbl_MC[[#This Row],[Amount]]*tbl_MC[[#This Row],[Over Due By]]*Penalty_Rate,0)</f>
        <v>28.616543999999998</v>
      </c>
      <c r="O23" s="23" t="str">
        <f>IF(tbl_MC[[#This Row],[Payment Date]]&gt;tbl_MC[[#This Row],[Due Date]],"YES","")</f>
        <v>YES</v>
      </c>
      <c r="P23" s="23" t="str">
        <f>VLOOKUP(tbl_MC[[#This Row],[Payment Ref]],'Supplier Invoice Statement'!K20,1,FALSE)</f>
        <v>24717_1</v>
      </c>
    </row>
    <row r="24" spans="1:16">
      <c r="A24" s="21" t="s">
        <v>298</v>
      </c>
      <c r="B24" s="21" t="s">
        <v>277</v>
      </c>
      <c r="C24" s="21">
        <v>545697</v>
      </c>
      <c r="D24" s="22">
        <v>40261</v>
      </c>
      <c r="E24" s="22">
        <f t="shared" si="0"/>
        <v>40294</v>
      </c>
      <c r="F24" s="22">
        <v>40275</v>
      </c>
      <c r="G24" s="21" t="s">
        <v>278</v>
      </c>
      <c r="H24" s="21">
        <v>226166</v>
      </c>
      <c r="I24" s="21" t="s">
        <v>279</v>
      </c>
      <c r="J24" s="23">
        <v>1053.69</v>
      </c>
      <c r="K24" s="23" t="str">
        <f t="shared" si="1"/>
        <v>Wed</v>
      </c>
      <c r="L24" s="29" t="str">
        <f t="shared" si="2"/>
        <v>Mar</v>
      </c>
      <c r="M24" s="21">
        <f t="shared" si="3"/>
        <v>0</v>
      </c>
      <c r="N24" s="35" cm="1">
        <f t="array" ref="N24">IF(AND(tbl_MC[[#This Row],[Over Due]]="YES",tbl_MC[[#This Row],[Amount]]&gt;=500),tbl_MC[[#This Row],[Amount]]*tbl_MC[[#This Row],[Over Due By]]*Penalty_Rate,0)</f>
        <v>0</v>
      </c>
      <c r="O24" s="23" t="str">
        <f>IF(tbl_MC[[#This Row],[Payment Date]]&gt;tbl_MC[[#This Row],[Due Date]],"YES","")</f>
        <v/>
      </c>
      <c r="P24" s="23" t="str">
        <f>VLOOKUP(tbl_MC[[#This Row],[Payment Ref]],'Supplier Invoice Statement'!K21,1,FALSE)</f>
        <v>24722_1</v>
      </c>
    </row>
    <row r="25" spans="1:16">
      <c r="A25" s="21" t="s">
        <v>299</v>
      </c>
      <c r="B25" s="21" t="s">
        <v>277</v>
      </c>
      <c r="C25" s="21">
        <v>545698</v>
      </c>
      <c r="D25" s="22">
        <v>40236</v>
      </c>
      <c r="E25" s="22">
        <f t="shared" si="0"/>
        <v>40266</v>
      </c>
      <c r="F25" s="22">
        <v>40276</v>
      </c>
      <c r="G25" s="21" t="s">
        <v>280</v>
      </c>
      <c r="H25" s="21">
        <v>316479</v>
      </c>
      <c r="I25" s="21" t="s">
        <v>264</v>
      </c>
      <c r="J25" s="23">
        <v>1047.75</v>
      </c>
      <c r="K25" s="23" t="str">
        <f t="shared" si="1"/>
        <v>Sat</v>
      </c>
      <c r="L25" s="29" t="str">
        <f t="shared" si="2"/>
        <v>Feb</v>
      </c>
      <c r="M25" s="21">
        <f t="shared" si="3"/>
        <v>9</v>
      </c>
      <c r="N25" s="35" cm="1">
        <f t="array" ref="N25">IF(AND(tbl_MC[[#This Row],[Over Due]]="YES",tbl_MC[[#This Row],[Amount]]&gt;=500),tbl_MC[[#This Row],[Amount]]*tbl_MC[[#This Row],[Over Due By]]*Penalty_Rate,0)</f>
        <v>33.947099999999999</v>
      </c>
      <c r="O25" s="23" t="str">
        <f>IF(tbl_MC[[#This Row],[Payment Date]]&gt;tbl_MC[[#This Row],[Due Date]],"YES","")</f>
        <v>YES</v>
      </c>
      <c r="P25" s="23" t="str">
        <f>VLOOKUP(tbl_MC[[#This Row],[Payment Ref]],'Supplier Invoice Statement'!K22,1,FALSE)</f>
        <v>24727_1</v>
      </c>
    </row>
    <row r="26" spans="1:16">
      <c r="A26" s="21" t="s">
        <v>300</v>
      </c>
      <c r="B26" s="21" t="s">
        <v>277</v>
      </c>
      <c r="C26" s="21">
        <v>545700</v>
      </c>
      <c r="D26" s="22">
        <v>40254</v>
      </c>
      <c r="E26" s="22">
        <f t="shared" si="0"/>
        <v>40287</v>
      </c>
      <c r="F26" s="22">
        <v>40276</v>
      </c>
      <c r="G26" s="21" t="s">
        <v>278</v>
      </c>
      <c r="H26" s="21">
        <v>230046</v>
      </c>
      <c r="I26" s="21" t="s">
        <v>279</v>
      </c>
      <c r="J26" s="23">
        <v>1096.92</v>
      </c>
      <c r="K26" s="23" t="str">
        <f t="shared" si="1"/>
        <v>Wed</v>
      </c>
      <c r="L26" s="29" t="str">
        <f t="shared" si="2"/>
        <v>Mar</v>
      </c>
      <c r="M26" s="21">
        <f t="shared" si="3"/>
        <v>0</v>
      </c>
      <c r="N26" s="35" cm="1">
        <f t="array" ref="N26">IF(AND(tbl_MC[[#This Row],[Over Due]]="YES",tbl_MC[[#This Row],[Amount]]&gt;=500),tbl_MC[[#This Row],[Amount]]*tbl_MC[[#This Row],[Over Due By]]*Penalty_Rate,0)</f>
        <v>0</v>
      </c>
      <c r="O26" s="23" t="str">
        <f>IF(tbl_MC[[#This Row],[Payment Date]]&gt;tbl_MC[[#This Row],[Due Date]],"YES","")</f>
        <v/>
      </c>
      <c r="P26" s="23" t="str">
        <f>VLOOKUP(tbl_MC[[#This Row],[Payment Ref]],'Supplier Invoice Statement'!K23,1,FALSE)</f>
        <v>24730_1</v>
      </c>
    </row>
    <row r="27" spans="1:16">
      <c r="A27" s="21" t="s">
        <v>301</v>
      </c>
      <c r="B27" s="21" t="s">
        <v>277</v>
      </c>
      <c r="C27" s="21">
        <v>545702</v>
      </c>
      <c r="D27" s="22">
        <v>40268</v>
      </c>
      <c r="E27" s="22">
        <f t="shared" si="0"/>
        <v>40298</v>
      </c>
      <c r="F27" s="22">
        <v>40276</v>
      </c>
      <c r="G27" s="21" t="s">
        <v>278</v>
      </c>
      <c r="H27" s="21">
        <v>224680</v>
      </c>
      <c r="I27" s="21" t="s">
        <v>279</v>
      </c>
      <c r="J27" s="23">
        <v>257.07</v>
      </c>
      <c r="K27" s="23" t="str">
        <f t="shared" si="1"/>
        <v>Wed</v>
      </c>
      <c r="L27" s="29" t="str">
        <f t="shared" si="2"/>
        <v>Mar</v>
      </c>
      <c r="M27" s="21">
        <f t="shared" si="3"/>
        <v>0</v>
      </c>
      <c r="N27" s="35" cm="1">
        <f t="array" ref="N27">IF(AND(tbl_MC[[#This Row],[Over Due]]="YES",tbl_MC[[#This Row],[Amount]]&gt;=500),tbl_MC[[#This Row],[Amount]]*tbl_MC[[#This Row],[Over Due By]]*Penalty_Rate,0)</f>
        <v>0</v>
      </c>
      <c r="O27" s="23" t="str">
        <f>IF(tbl_MC[[#This Row],[Payment Date]]&gt;tbl_MC[[#This Row],[Due Date]],"YES","")</f>
        <v/>
      </c>
      <c r="P27" s="23" t="str">
        <f>VLOOKUP(tbl_MC[[#This Row],[Payment Ref]],'Supplier Invoice Statement'!K24,1,FALSE)</f>
        <v>24732_1</v>
      </c>
    </row>
    <row r="28" spans="1:16">
      <c r="A28" s="21" t="s">
        <v>302</v>
      </c>
      <c r="B28" s="21" t="s">
        <v>277</v>
      </c>
      <c r="C28" s="21">
        <v>545703</v>
      </c>
      <c r="D28" s="22">
        <v>40263</v>
      </c>
      <c r="E28" s="22">
        <f t="shared" si="0"/>
        <v>40294</v>
      </c>
      <c r="F28" s="22">
        <v>40276</v>
      </c>
      <c r="G28" s="21" t="s">
        <v>278</v>
      </c>
      <c r="H28" s="21">
        <v>238023</v>
      </c>
      <c r="I28" s="21" t="s">
        <v>279</v>
      </c>
      <c r="J28" s="23">
        <v>215.49</v>
      </c>
      <c r="K28" s="23" t="str">
        <f t="shared" si="1"/>
        <v>Fri</v>
      </c>
      <c r="L28" s="29" t="str">
        <f t="shared" si="2"/>
        <v>Mar</v>
      </c>
      <c r="M28" s="21">
        <f t="shared" si="3"/>
        <v>0</v>
      </c>
      <c r="N28" s="35" cm="1">
        <f t="array" ref="N28">IF(AND(tbl_MC[[#This Row],[Over Due]]="YES",tbl_MC[[#This Row],[Amount]]&gt;=500),tbl_MC[[#This Row],[Amount]]*tbl_MC[[#This Row],[Over Due By]]*Penalty_Rate,0)</f>
        <v>0</v>
      </c>
      <c r="O28" s="23" t="str">
        <f>IF(tbl_MC[[#This Row],[Payment Date]]&gt;tbl_MC[[#This Row],[Due Date]],"YES","")</f>
        <v/>
      </c>
      <c r="P28" s="23" t="str">
        <f>VLOOKUP(tbl_MC[[#This Row],[Payment Ref]],'Supplier Invoice Statement'!K25,1,FALSE)</f>
        <v>24735_2</v>
      </c>
    </row>
    <row r="29" spans="1:16">
      <c r="A29" s="21" t="s">
        <v>303</v>
      </c>
      <c r="B29" s="21" t="s">
        <v>277</v>
      </c>
      <c r="C29" s="21">
        <v>545705</v>
      </c>
      <c r="D29" s="22">
        <v>40235</v>
      </c>
      <c r="E29" s="22">
        <f t="shared" si="0"/>
        <v>40263</v>
      </c>
      <c r="F29" s="22">
        <v>40276</v>
      </c>
      <c r="G29" s="21" t="s">
        <v>278</v>
      </c>
      <c r="H29" s="21">
        <v>224184</v>
      </c>
      <c r="I29" s="21" t="s">
        <v>279</v>
      </c>
      <c r="J29" s="23">
        <v>455.07</v>
      </c>
      <c r="K29" s="23" t="str">
        <f t="shared" si="1"/>
        <v>Fri</v>
      </c>
      <c r="L29" s="29" t="str">
        <f t="shared" si="2"/>
        <v>Feb</v>
      </c>
      <c r="M29" s="21">
        <f t="shared" si="3"/>
        <v>10</v>
      </c>
      <c r="N29" s="35" cm="1">
        <f t="array" ref="N29">IF(AND(tbl_MC[[#This Row],[Over Due]]="YES",tbl_MC[[#This Row],[Amount]]&gt;=500),tbl_MC[[#This Row],[Amount]]*tbl_MC[[#This Row],[Over Due By]]*Penalty_Rate,0)</f>
        <v>0</v>
      </c>
      <c r="O29" s="23" t="str">
        <f>IF(tbl_MC[[#This Row],[Payment Date]]&gt;tbl_MC[[#This Row],[Due Date]],"YES","")</f>
        <v>YES</v>
      </c>
      <c r="P29" s="23" t="str">
        <f>VLOOKUP(tbl_MC[[#This Row],[Payment Ref]],'Supplier Invoice Statement'!K26,1,FALSE)</f>
        <v>24739_1</v>
      </c>
    </row>
    <row r="30" spans="1:16">
      <c r="A30" s="21" t="s">
        <v>304</v>
      </c>
      <c r="B30" s="21" t="s">
        <v>277</v>
      </c>
      <c r="C30" s="21">
        <v>545706</v>
      </c>
      <c r="D30" s="22">
        <v>40270</v>
      </c>
      <c r="E30" s="22">
        <f t="shared" si="0"/>
        <v>40301</v>
      </c>
      <c r="F30" s="22">
        <v>40277</v>
      </c>
      <c r="G30" s="21" t="s">
        <v>278</v>
      </c>
      <c r="H30" s="21">
        <v>216205</v>
      </c>
      <c r="I30" s="21" t="s">
        <v>279</v>
      </c>
      <c r="J30" s="23">
        <v>711.81</v>
      </c>
      <c r="K30" s="23" t="str">
        <f t="shared" si="1"/>
        <v>Fri</v>
      </c>
      <c r="L30" s="29" t="str">
        <f t="shared" si="2"/>
        <v>Apr</v>
      </c>
      <c r="M30" s="21">
        <f t="shared" si="3"/>
        <v>0</v>
      </c>
      <c r="N30" s="35" cm="1">
        <f t="array" ref="N30">IF(AND(tbl_MC[[#This Row],[Over Due]]="YES",tbl_MC[[#This Row],[Amount]]&gt;=500),tbl_MC[[#This Row],[Amount]]*tbl_MC[[#This Row],[Over Due By]]*Penalty_Rate,0)</f>
        <v>0</v>
      </c>
      <c r="O30" s="23" t="str">
        <f>IF(tbl_MC[[#This Row],[Payment Date]]&gt;tbl_MC[[#This Row],[Due Date]],"YES","")</f>
        <v/>
      </c>
      <c r="P30" s="23" t="str">
        <f>VLOOKUP(tbl_MC[[#This Row],[Payment Ref]],'Supplier Invoice Statement'!K27,1,FALSE)</f>
        <v>24740_1</v>
      </c>
    </row>
    <row r="31" spans="1:16">
      <c r="A31" s="21" t="s">
        <v>305</v>
      </c>
      <c r="B31" s="21" t="s">
        <v>277</v>
      </c>
      <c r="C31" s="21">
        <v>545707</v>
      </c>
      <c r="D31" s="22">
        <v>40254</v>
      </c>
      <c r="E31" s="22">
        <f t="shared" si="0"/>
        <v>40287</v>
      </c>
      <c r="F31" s="22">
        <v>40278</v>
      </c>
      <c r="G31" s="21" t="s">
        <v>280</v>
      </c>
      <c r="H31" s="21">
        <v>331383</v>
      </c>
      <c r="I31" s="21" t="s">
        <v>264</v>
      </c>
      <c r="J31" s="23">
        <v>78.540000000000006</v>
      </c>
      <c r="K31" s="23" t="str">
        <f t="shared" si="1"/>
        <v>Wed</v>
      </c>
      <c r="L31" s="29" t="str">
        <f t="shared" si="2"/>
        <v>Mar</v>
      </c>
      <c r="M31" s="21">
        <f t="shared" si="3"/>
        <v>0</v>
      </c>
      <c r="N31" s="35" cm="1">
        <f t="array" ref="N31">IF(AND(tbl_MC[[#This Row],[Over Due]]="YES",tbl_MC[[#This Row],[Amount]]&gt;=500),tbl_MC[[#This Row],[Amount]]*tbl_MC[[#This Row],[Over Due By]]*Penalty_Rate,0)</f>
        <v>0</v>
      </c>
      <c r="O31" s="23" t="str">
        <f>IF(tbl_MC[[#This Row],[Payment Date]]&gt;tbl_MC[[#This Row],[Due Date]],"YES","")</f>
        <v/>
      </c>
      <c r="P31" s="23" t="str">
        <f>VLOOKUP(tbl_MC[[#This Row],[Payment Ref]],'Supplier Invoice Statement'!K28,1,FALSE)</f>
        <v>24743_1</v>
      </c>
    </row>
    <row r="32" spans="1:16">
      <c r="A32" s="21" t="s">
        <v>306</v>
      </c>
      <c r="B32" s="21" t="s">
        <v>277</v>
      </c>
      <c r="C32" s="21">
        <v>545708</v>
      </c>
      <c r="D32" s="22">
        <v>40234</v>
      </c>
      <c r="E32" s="22">
        <f t="shared" si="0"/>
        <v>40262</v>
      </c>
      <c r="F32" s="22">
        <v>40278</v>
      </c>
      <c r="G32" s="21" t="s">
        <v>280</v>
      </c>
      <c r="H32" s="21">
        <v>335282</v>
      </c>
      <c r="I32" s="21" t="s">
        <v>264</v>
      </c>
      <c r="J32" s="23">
        <v>302.61</v>
      </c>
      <c r="K32" s="23" t="str">
        <f t="shared" si="1"/>
        <v>Thu</v>
      </c>
      <c r="L32" s="29" t="str">
        <f t="shared" si="2"/>
        <v>Feb</v>
      </c>
      <c r="M32" s="21">
        <f t="shared" si="3"/>
        <v>12</v>
      </c>
      <c r="N32" s="35" cm="1">
        <f t="array" ref="N32">IF(AND(tbl_MC[[#This Row],[Over Due]]="YES",tbl_MC[[#This Row],[Amount]]&gt;=500),tbl_MC[[#This Row],[Amount]]*tbl_MC[[#This Row],[Over Due By]]*Penalty_Rate,0)</f>
        <v>0</v>
      </c>
      <c r="O32" s="23" t="str">
        <f>IF(tbl_MC[[#This Row],[Payment Date]]&gt;tbl_MC[[#This Row],[Due Date]],"YES","")</f>
        <v>YES</v>
      </c>
      <c r="P32" s="23" t="str">
        <f>VLOOKUP(tbl_MC[[#This Row],[Payment Ref]],'Supplier Invoice Statement'!K29,1,FALSE)</f>
        <v>24746_1</v>
      </c>
    </row>
    <row r="33" spans="1:16">
      <c r="A33" s="21" t="s">
        <v>307</v>
      </c>
      <c r="B33" s="21" t="s">
        <v>277</v>
      </c>
      <c r="C33" s="21">
        <v>545710</v>
      </c>
      <c r="D33" s="22">
        <v>40268</v>
      </c>
      <c r="E33" s="22">
        <f t="shared" si="0"/>
        <v>40298</v>
      </c>
      <c r="F33" s="22">
        <v>40278</v>
      </c>
      <c r="G33" s="21" t="s">
        <v>280</v>
      </c>
      <c r="H33" s="21">
        <v>330858</v>
      </c>
      <c r="I33" s="21" t="s">
        <v>264</v>
      </c>
      <c r="J33" s="23">
        <v>426.03</v>
      </c>
      <c r="K33" s="23" t="str">
        <f t="shared" si="1"/>
        <v>Wed</v>
      </c>
      <c r="L33" s="29" t="str">
        <f t="shared" si="2"/>
        <v>Mar</v>
      </c>
      <c r="M33" s="21">
        <f t="shared" si="3"/>
        <v>0</v>
      </c>
      <c r="N33" s="35" cm="1">
        <f t="array" ref="N33">IF(AND(tbl_MC[[#This Row],[Over Due]]="YES",tbl_MC[[#This Row],[Amount]]&gt;=500),tbl_MC[[#This Row],[Amount]]*tbl_MC[[#This Row],[Over Due By]]*Penalty_Rate,0)</f>
        <v>0</v>
      </c>
      <c r="O33" s="23" t="str">
        <f>IF(tbl_MC[[#This Row],[Payment Date]]&gt;tbl_MC[[#This Row],[Due Date]],"YES","")</f>
        <v/>
      </c>
      <c r="P33" s="23" t="str">
        <f>VLOOKUP(tbl_MC[[#This Row],[Payment Ref]],'Supplier Invoice Statement'!K30,1,FALSE)</f>
        <v>24750_1</v>
      </c>
    </row>
    <row r="34" spans="1:16">
      <c r="A34" s="21" t="s">
        <v>308</v>
      </c>
      <c r="B34" s="21" t="s">
        <v>277</v>
      </c>
      <c r="C34" s="21">
        <v>545711</v>
      </c>
      <c r="D34" s="22">
        <v>40247</v>
      </c>
      <c r="E34" s="22">
        <f t="shared" si="0"/>
        <v>40280</v>
      </c>
      <c r="F34" s="22">
        <v>40278</v>
      </c>
      <c r="G34" s="21" t="s">
        <v>278</v>
      </c>
      <c r="H34" s="21">
        <v>238202</v>
      </c>
      <c r="I34" s="21" t="s">
        <v>279</v>
      </c>
      <c r="J34" s="23">
        <v>489.72</v>
      </c>
      <c r="K34" s="23" t="str">
        <f t="shared" si="1"/>
        <v>Wed</v>
      </c>
      <c r="L34" s="29" t="str">
        <f t="shared" si="2"/>
        <v>Mar</v>
      </c>
      <c r="M34" s="21">
        <f t="shared" si="3"/>
        <v>0</v>
      </c>
      <c r="N34" s="35" cm="1">
        <f t="array" ref="N34">IF(AND(tbl_MC[[#This Row],[Over Due]]="YES",tbl_MC[[#This Row],[Amount]]&gt;=500),tbl_MC[[#This Row],[Amount]]*tbl_MC[[#This Row],[Over Due By]]*Penalty_Rate,0)</f>
        <v>0</v>
      </c>
      <c r="O34" s="23" t="str">
        <f>IF(tbl_MC[[#This Row],[Payment Date]]&gt;tbl_MC[[#This Row],[Due Date]],"YES","")</f>
        <v/>
      </c>
      <c r="P34" s="23" t="str">
        <f>VLOOKUP(tbl_MC[[#This Row],[Payment Ref]],'Supplier Invoice Statement'!K31,1,FALSE)</f>
        <v>24753_1</v>
      </c>
    </row>
    <row r="35" spans="1:16">
      <c r="A35" s="21" t="s">
        <v>309</v>
      </c>
      <c r="B35" s="21" t="s">
        <v>277</v>
      </c>
      <c r="C35" s="21">
        <v>545713</v>
      </c>
      <c r="D35" s="22">
        <v>40246</v>
      </c>
      <c r="E35" s="22">
        <f t="shared" si="0"/>
        <v>40277</v>
      </c>
      <c r="F35" s="22">
        <v>40279</v>
      </c>
      <c r="G35" s="21" t="s">
        <v>278</v>
      </c>
      <c r="H35" s="21">
        <v>217217</v>
      </c>
      <c r="I35" s="21" t="s">
        <v>279</v>
      </c>
      <c r="J35" s="23">
        <v>352.44</v>
      </c>
      <c r="K35" s="23" t="str">
        <f t="shared" si="1"/>
        <v>Tue</v>
      </c>
      <c r="L35" s="29" t="str">
        <f t="shared" si="2"/>
        <v>Mar</v>
      </c>
      <c r="M35" s="21">
        <f t="shared" si="3"/>
        <v>1</v>
      </c>
      <c r="N35" s="35" cm="1">
        <f t="array" ref="N35">IF(AND(tbl_MC[[#This Row],[Over Due]]="YES",tbl_MC[[#This Row],[Amount]]&gt;=500),tbl_MC[[#This Row],[Amount]]*tbl_MC[[#This Row],[Over Due By]]*Penalty_Rate,0)</f>
        <v>0</v>
      </c>
      <c r="O35" s="23" t="str">
        <f>IF(tbl_MC[[#This Row],[Payment Date]]&gt;tbl_MC[[#This Row],[Due Date]],"YES","")</f>
        <v>YES</v>
      </c>
      <c r="P35" s="23" t="str">
        <f>VLOOKUP(tbl_MC[[#This Row],[Payment Ref]],'Supplier Invoice Statement'!K32,1,FALSE)</f>
        <v>24754_1</v>
      </c>
    </row>
    <row r="36" spans="1:16">
      <c r="A36" s="21" t="s">
        <v>310</v>
      </c>
      <c r="B36" s="21" t="s">
        <v>277</v>
      </c>
      <c r="C36" s="21">
        <v>545715</v>
      </c>
      <c r="D36" s="22">
        <v>40246</v>
      </c>
      <c r="E36" s="22">
        <f t="shared" si="0"/>
        <v>40277</v>
      </c>
      <c r="F36" s="22">
        <v>40279</v>
      </c>
      <c r="G36" s="21" t="s">
        <v>278</v>
      </c>
      <c r="H36" s="21">
        <v>234637</v>
      </c>
      <c r="I36" s="21" t="s">
        <v>279</v>
      </c>
      <c r="J36" s="23">
        <v>238.59</v>
      </c>
      <c r="K36" s="23" t="str">
        <f t="shared" si="1"/>
        <v>Tue</v>
      </c>
      <c r="L36" s="29" t="str">
        <f t="shared" si="2"/>
        <v>Mar</v>
      </c>
      <c r="M36" s="21">
        <f t="shared" si="3"/>
        <v>1</v>
      </c>
      <c r="N36" s="35" cm="1">
        <f t="array" ref="N36">IF(AND(tbl_MC[[#This Row],[Over Due]]="YES",tbl_MC[[#This Row],[Amount]]&gt;=500),tbl_MC[[#This Row],[Amount]]*tbl_MC[[#This Row],[Over Due By]]*Penalty_Rate,0)</f>
        <v>0</v>
      </c>
      <c r="O36" s="23" t="str">
        <f>IF(tbl_MC[[#This Row],[Payment Date]]&gt;tbl_MC[[#This Row],[Due Date]],"YES","")</f>
        <v>YES</v>
      </c>
      <c r="P36" s="23" t="str">
        <f>VLOOKUP(tbl_MC[[#This Row],[Payment Ref]],'Supplier Invoice Statement'!K33,1,FALSE)</f>
        <v>24756_1</v>
      </c>
    </row>
    <row r="37" spans="1:16">
      <c r="A37" s="21" t="s">
        <v>311</v>
      </c>
      <c r="B37" s="21" t="s">
        <v>277</v>
      </c>
      <c r="C37" s="21">
        <v>545716</v>
      </c>
      <c r="D37" s="22">
        <v>40238</v>
      </c>
      <c r="E37" s="22">
        <f t="shared" si="0"/>
        <v>40269</v>
      </c>
      <c r="F37" s="22">
        <v>40279</v>
      </c>
      <c r="G37" s="21" t="s">
        <v>280</v>
      </c>
      <c r="H37" s="21">
        <v>332725</v>
      </c>
      <c r="I37" s="21" t="s">
        <v>264</v>
      </c>
      <c r="J37" s="23">
        <v>549.12</v>
      </c>
      <c r="K37" s="23" t="str">
        <f t="shared" si="1"/>
        <v>Mon</v>
      </c>
      <c r="L37" s="29" t="str">
        <f t="shared" si="2"/>
        <v>Mar</v>
      </c>
      <c r="M37" s="21">
        <f t="shared" si="3"/>
        <v>7</v>
      </c>
      <c r="N37" s="35" cm="1">
        <f t="array" ref="N37">IF(AND(tbl_MC[[#This Row],[Over Due]]="YES",tbl_MC[[#This Row],[Amount]]&gt;=500),tbl_MC[[#This Row],[Amount]]*tbl_MC[[#This Row],[Over Due By]]*Penalty_Rate,0)</f>
        <v>13.837823999999999</v>
      </c>
      <c r="O37" s="23" t="str">
        <f>IF(tbl_MC[[#This Row],[Payment Date]]&gt;tbl_MC[[#This Row],[Due Date]],"YES","")</f>
        <v>YES</v>
      </c>
      <c r="P37" s="23" t="str">
        <f>VLOOKUP(tbl_MC[[#This Row],[Payment Ref]],'Supplier Invoice Statement'!K34,1,FALSE)</f>
        <v>24757_1</v>
      </c>
    </row>
    <row r="38" spans="1:16">
      <c r="A38" s="21" t="s">
        <v>312</v>
      </c>
      <c r="B38" s="21" t="s">
        <v>277</v>
      </c>
      <c r="C38" s="21">
        <v>545718</v>
      </c>
      <c r="D38" s="22">
        <v>40258</v>
      </c>
      <c r="E38" s="22">
        <f t="shared" si="0"/>
        <v>40289</v>
      </c>
      <c r="F38" s="22">
        <v>40280</v>
      </c>
      <c r="G38" s="21" t="s">
        <v>278</v>
      </c>
      <c r="H38" s="21">
        <v>227351</v>
      </c>
      <c r="I38" s="21" t="s">
        <v>279</v>
      </c>
      <c r="J38" s="23">
        <v>322.41000000000003</v>
      </c>
      <c r="K38" s="23" t="str">
        <f t="shared" si="1"/>
        <v>Sun</v>
      </c>
      <c r="L38" s="29" t="str">
        <f t="shared" si="2"/>
        <v>Mar</v>
      </c>
      <c r="M38" s="21">
        <f t="shared" si="3"/>
        <v>0</v>
      </c>
      <c r="N38" s="35" cm="1">
        <f t="array" ref="N38">IF(AND(tbl_MC[[#This Row],[Over Due]]="YES",tbl_MC[[#This Row],[Amount]]&gt;=500),tbl_MC[[#This Row],[Amount]]*tbl_MC[[#This Row],[Over Due By]]*Penalty_Rate,0)</f>
        <v>0</v>
      </c>
      <c r="O38" s="23" t="str">
        <f>IF(tbl_MC[[#This Row],[Payment Date]]&gt;tbl_MC[[#This Row],[Due Date]],"YES","")</f>
        <v/>
      </c>
      <c r="P38" s="23" t="str">
        <f>VLOOKUP(tbl_MC[[#This Row],[Payment Ref]],'Supplier Invoice Statement'!K35,1,FALSE)</f>
        <v>24758_1</v>
      </c>
    </row>
    <row r="39" spans="1:16">
      <c r="A39" s="21" t="s">
        <v>313</v>
      </c>
      <c r="B39" s="21" t="s">
        <v>277</v>
      </c>
      <c r="C39" s="21">
        <v>545719</v>
      </c>
      <c r="D39" s="22">
        <v>40264</v>
      </c>
      <c r="E39" s="22">
        <f t="shared" si="0"/>
        <v>40295</v>
      </c>
      <c r="F39" s="22">
        <v>40280</v>
      </c>
      <c r="G39" s="21" t="s">
        <v>280</v>
      </c>
      <c r="H39" s="21">
        <v>336345</v>
      </c>
      <c r="I39" s="21" t="s">
        <v>264</v>
      </c>
      <c r="J39" s="23">
        <v>644.82000000000005</v>
      </c>
      <c r="K39" s="23" t="str">
        <f t="shared" si="1"/>
        <v>Sat</v>
      </c>
      <c r="L39" s="29" t="str">
        <f t="shared" si="2"/>
        <v>Mar</v>
      </c>
      <c r="M39" s="21">
        <f t="shared" si="3"/>
        <v>0</v>
      </c>
      <c r="N39" s="35" cm="1">
        <f t="array" ref="N39">IF(AND(tbl_MC[[#This Row],[Over Due]]="YES",tbl_MC[[#This Row],[Amount]]&gt;=500),tbl_MC[[#This Row],[Amount]]*tbl_MC[[#This Row],[Over Due By]]*Penalty_Rate,0)</f>
        <v>0</v>
      </c>
      <c r="O39" s="23" t="str">
        <f>IF(tbl_MC[[#This Row],[Payment Date]]&gt;tbl_MC[[#This Row],[Due Date]],"YES","")</f>
        <v/>
      </c>
      <c r="P39" s="23" t="str">
        <f>VLOOKUP(tbl_MC[[#This Row],[Payment Ref]],'Supplier Invoice Statement'!K36,1,FALSE)</f>
        <v>24759_1</v>
      </c>
    </row>
    <row r="40" spans="1:16">
      <c r="A40" s="21" t="s">
        <v>314</v>
      </c>
      <c r="B40" s="21" t="s">
        <v>277</v>
      </c>
      <c r="C40" s="21">
        <v>545721</v>
      </c>
      <c r="D40" s="22">
        <v>40261</v>
      </c>
      <c r="E40" s="22">
        <f t="shared" si="0"/>
        <v>40294</v>
      </c>
      <c r="F40" s="22">
        <v>40280</v>
      </c>
      <c r="G40" s="21" t="s">
        <v>280</v>
      </c>
      <c r="H40" s="21">
        <v>338595</v>
      </c>
      <c r="I40" s="21" t="s">
        <v>264</v>
      </c>
      <c r="J40" s="23">
        <v>113.19</v>
      </c>
      <c r="K40" s="23" t="str">
        <f t="shared" si="1"/>
        <v>Wed</v>
      </c>
      <c r="L40" s="29" t="str">
        <f t="shared" si="2"/>
        <v>Mar</v>
      </c>
      <c r="M40" s="21">
        <f t="shared" si="3"/>
        <v>0</v>
      </c>
      <c r="N40" s="35" cm="1">
        <f t="array" ref="N40">IF(AND(tbl_MC[[#This Row],[Over Due]]="YES",tbl_MC[[#This Row],[Amount]]&gt;=500),tbl_MC[[#This Row],[Amount]]*tbl_MC[[#This Row],[Over Due By]]*Penalty_Rate,0)</f>
        <v>0</v>
      </c>
      <c r="O40" s="23" t="str">
        <f>IF(tbl_MC[[#This Row],[Payment Date]]&gt;tbl_MC[[#This Row],[Due Date]],"YES","")</f>
        <v/>
      </c>
      <c r="P40" s="23" t="str">
        <f>VLOOKUP(tbl_MC[[#This Row],[Payment Ref]],'Supplier Invoice Statement'!K37,1,FALSE)</f>
        <v>24760_1</v>
      </c>
    </row>
    <row r="41" spans="1:16">
      <c r="A41" s="21" t="s">
        <v>315</v>
      </c>
      <c r="B41" s="21" t="s">
        <v>277</v>
      </c>
      <c r="C41" s="21">
        <v>545722</v>
      </c>
      <c r="D41" s="22">
        <v>40266</v>
      </c>
      <c r="E41" s="22">
        <f t="shared" si="0"/>
        <v>40297</v>
      </c>
      <c r="F41" s="22">
        <v>40280</v>
      </c>
      <c r="G41" s="21" t="s">
        <v>280</v>
      </c>
      <c r="H41" s="21">
        <v>325149</v>
      </c>
      <c r="I41" s="21" t="s">
        <v>264</v>
      </c>
      <c r="J41" s="23">
        <v>449.13</v>
      </c>
      <c r="K41" s="23" t="str">
        <f t="shared" si="1"/>
        <v>Mon</v>
      </c>
      <c r="L41" s="29" t="str">
        <f t="shared" si="2"/>
        <v>Mar</v>
      </c>
      <c r="M41" s="21">
        <f t="shared" si="3"/>
        <v>0</v>
      </c>
      <c r="N41" s="35" cm="1">
        <f t="array" ref="N41">IF(AND(tbl_MC[[#This Row],[Over Due]]="YES",tbl_MC[[#This Row],[Amount]]&gt;=500),tbl_MC[[#This Row],[Amount]]*tbl_MC[[#This Row],[Over Due By]]*Penalty_Rate,0)</f>
        <v>0</v>
      </c>
      <c r="O41" s="23" t="str">
        <f>IF(tbl_MC[[#This Row],[Payment Date]]&gt;tbl_MC[[#This Row],[Due Date]],"YES","")</f>
        <v/>
      </c>
      <c r="P41" s="23" t="str">
        <f>VLOOKUP(tbl_MC[[#This Row],[Payment Ref]],'Supplier Invoice Statement'!K38,1,FALSE)</f>
        <v>24761_1</v>
      </c>
    </row>
    <row r="42" spans="1:16">
      <c r="A42" s="21" t="s">
        <v>316</v>
      </c>
      <c r="B42" s="21" t="s">
        <v>277</v>
      </c>
      <c r="C42" s="21">
        <v>545723</v>
      </c>
      <c r="D42" s="22">
        <v>40262</v>
      </c>
      <c r="E42" s="22">
        <f t="shared" si="0"/>
        <v>40294</v>
      </c>
      <c r="F42" s="22">
        <v>40280</v>
      </c>
      <c r="G42" s="21" t="s">
        <v>278</v>
      </c>
      <c r="H42" s="21">
        <v>227994</v>
      </c>
      <c r="I42" s="21" t="s">
        <v>279</v>
      </c>
      <c r="J42" s="23">
        <v>819.06</v>
      </c>
      <c r="K42" s="23" t="str">
        <f t="shared" si="1"/>
        <v>Thu</v>
      </c>
      <c r="L42" s="29" t="str">
        <f t="shared" si="2"/>
        <v>Mar</v>
      </c>
      <c r="M42" s="21">
        <f t="shared" si="3"/>
        <v>0</v>
      </c>
      <c r="N42" s="35" cm="1">
        <f t="array" ref="N42">IF(AND(tbl_MC[[#This Row],[Over Due]]="YES",tbl_MC[[#This Row],[Amount]]&gt;=500),tbl_MC[[#This Row],[Amount]]*tbl_MC[[#This Row],[Over Due By]]*Penalty_Rate,0)</f>
        <v>0</v>
      </c>
      <c r="O42" s="23" t="str">
        <f>IF(tbl_MC[[#This Row],[Payment Date]]&gt;tbl_MC[[#This Row],[Due Date]],"YES","")</f>
        <v/>
      </c>
      <c r="P42" s="23" t="str">
        <f>VLOOKUP(tbl_MC[[#This Row],[Payment Ref]],'Supplier Invoice Statement'!K39,1,FALSE)</f>
        <v>24764_1</v>
      </c>
    </row>
    <row r="43" spans="1:16">
      <c r="A43" s="21" t="s">
        <v>317</v>
      </c>
      <c r="B43" s="21" t="s">
        <v>277</v>
      </c>
      <c r="C43" s="21">
        <v>545724</v>
      </c>
      <c r="D43" s="22">
        <v>40239</v>
      </c>
      <c r="E43" s="22">
        <f t="shared" si="0"/>
        <v>40270</v>
      </c>
      <c r="F43" s="22">
        <v>40281</v>
      </c>
      <c r="G43" s="21" t="s">
        <v>278</v>
      </c>
      <c r="H43" s="21">
        <v>222399</v>
      </c>
      <c r="I43" s="21" t="s">
        <v>279</v>
      </c>
      <c r="J43" s="23">
        <v>1019.04</v>
      </c>
      <c r="K43" s="23" t="str">
        <f t="shared" si="1"/>
        <v>Tue</v>
      </c>
      <c r="L43" s="29" t="str">
        <f t="shared" si="2"/>
        <v>Mar</v>
      </c>
      <c r="M43" s="21">
        <f t="shared" si="3"/>
        <v>8</v>
      </c>
      <c r="N43" s="35" cm="1">
        <f t="array" ref="N43">IF(AND(tbl_MC[[#This Row],[Over Due]]="YES",tbl_MC[[#This Row],[Amount]]&gt;=500),tbl_MC[[#This Row],[Amount]]*tbl_MC[[#This Row],[Over Due By]]*Penalty_Rate,0)</f>
        <v>29.348351999999998</v>
      </c>
      <c r="O43" s="23" t="str">
        <f>IF(tbl_MC[[#This Row],[Payment Date]]&gt;tbl_MC[[#This Row],[Due Date]],"YES","")</f>
        <v>YES</v>
      </c>
      <c r="P43" s="23" t="str">
        <f>VLOOKUP(tbl_MC[[#This Row],[Payment Ref]],'Supplier Invoice Statement'!K40,1,FALSE)</f>
        <v>24767_1</v>
      </c>
    </row>
    <row r="44" spans="1:16">
      <c r="A44" s="21" t="s">
        <v>318</v>
      </c>
      <c r="B44" s="21" t="s">
        <v>277</v>
      </c>
      <c r="C44" s="21">
        <v>545725</v>
      </c>
      <c r="D44" s="22">
        <v>40264</v>
      </c>
      <c r="E44" s="22">
        <f t="shared" si="0"/>
        <v>40295</v>
      </c>
      <c r="F44" s="22">
        <v>40282</v>
      </c>
      <c r="G44" s="21" t="s">
        <v>280</v>
      </c>
      <c r="H44" s="21">
        <v>316436</v>
      </c>
      <c r="I44" s="21" t="s">
        <v>264</v>
      </c>
      <c r="J44" s="23">
        <v>736.23</v>
      </c>
      <c r="K44" s="23" t="str">
        <f t="shared" si="1"/>
        <v>Sat</v>
      </c>
      <c r="L44" s="29" t="str">
        <f t="shared" si="2"/>
        <v>Mar</v>
      </c>
      <c r="M44" s="21">
        <f t="shared" si="3"/>
        <v>0</v>
      </c>
      <c r="N44" s="35" cm="1">
        <f t="array" ref="N44">IF(AND(tbl_MC[[#This Row],[Over Due]]="YES",tbl_MC[[#This Row],[Amount]]&gt;=500),tbl_MC[[#This Row],[Amount]]*tbl_MC[[#This Row],[Over Due By]]*Penalty_Rate,0)</f>
        <v>0</v>
      </c>
      <c r="O44" s="23" t="str">
        <f>IF(tbl_MC[[#This Row],[Payment Date]]&gt;tbl_MC[[#This Row],[Due Date]],"YES","")</f>
        <v/>
      </c>
      <c r="P44" s="23" t="str">
        <f>VLOOKUP(tbl_MC[[#This Row],[Payment Ref]],'Supplier Invoice Statement'!K41,1,FALSE)</f>
        <v>24771_1</v>
      </c>
    </row>
    <row r="45" spans="1:16">
      <c r="A45" s="21" t="s">
        <v>319</v>
      </c>
      <c r="B45" s="21" t="s">
        <v>277</v>
      </c>
      <c r="C45" s="21">
        <v>545726</v>
      </c>
      <c r="D45" s="22">
        <v>40266</v>
      </c>
      <c r="E45" s="22">
        <f t="shared" si="0"/>
        <v>40297</v>
      </c>
      <c r="F45" s="22">
        <v>40282</v>
      </c>
      <c r="G45" s="21" t="s">
        <v>280</v>
      </c>
      <c r="H45" s="21">
        <v>312603</v>
      </c>
      <c r="I45" s="21" t="s">
        <v>264</v>
      </c>
      <c r="J45" s="23">
        <v>-600.27</v>
      </c>
      <c r="K45" s="23" t="str">
        <f t="shared" si="1"/>
        <v>Mon</v>
      </c>
      <c r="L45" s="29" t="str">
        <f t="shared" si="2"/>
        <v>Mar</v>
      </c>
      <c r="M45" s="21">
        <f t="shared" si="3"/>
        <v>0</v>
      </c>
      <c r="N45" s="35" cm="1">
        <f t="array" ref="N45">IF(AND(tbl_MC[[#This Row],[Over Due]]="YES",tbl_MC[[#This Row],[Amount]]&gt;=500),tbl_MC[[#This Row],[Amount]]*tbl_MC[[#This Row],[Over Due By]]*Penalty_Rate,0)</f>
        <v>0</v>
      </c>
      <c r="O45" s="23" t="str">
        <f>IF(tbl_MC[[#This Row],[Payment Date]]&gt;tbl_MC[[#This Row],[Due Date]],"YES","")</f>
        <v/>
      </c>
      <c r="P45" s="23" t="str">
        <f>VLOOKUP(tbl_MC[[#This Row],[Payment Ref]],'Supplier Invoice Statement'!K42,1,FALSE)</f>
        <v>24775_1</v>
      </c>
    </row>
    <row r="46" spans="1:16">
      <c r="A46" s="21" t="s">
        <v>320</v>
      </c>
      <c r="B46" s="21" t="s">
        <v>277</v>
      </c>
      <c r="C46" s="21">
        <v>545727</v>
      </c>
      <c r="D46" s="22">
        <v>40255</v>
      </c>
      <c r="E46" s="22">
        <f t="shared" si="0"/>
        <v>40287</v>
      </c>
      <c r="F46" s="22">
        <v>40282</v>
      </c>
      <c r="G46" s="21" t="s">
        <v>280</v>
      </c>
      <c r="H46" s="21">
        <v>339907</v>
      </c>
      <c r="I46" s="21" t="s">
        <v>264</v>
      </c>
      <c r="J46" s="23">
        <v>480.81</v>
      </c>
      <c r="K46" s="23" t="str">
        <f t="shared" si="1"/>
        <v>Thu</v>
      </c>
      <c r="L46" s="29" t="str">
        <f t="shared" si="2"/>
        <v>Mar</v>
      </c>
      <c r="M46" s="21">
        <f t="shared" si="3"/>
        <v>0</v>
      </c>
      <c r="N46" s="35" cm="1">
        <f t="array" ref="N46">IF(AND(tbl_MC[[#This Row],[Over Due]]="YES",tbl_MC[[#This Row],[Amount]]&gt;=500),tbl_MC[[#This Row],[Amount]]*tbl_MC[[#This Row],[Over Due By]]*Penalty_Rate,0)</f>
        <v>0</v>
      </c>
      <c r="O46" s="23" t="str">
        <f>IF(tbl_MC[[#This Row],[Payment Date]]&gt;tbl_MC[[#This Row],[Due Date]],"YES","")</f>
        <v/>
      </c>
      <c r="P46" s="23" t="str">
        <f>VLOOKUP(tbl_MC[[#This Row],[Payment Ref]],'Supplier Invoice Statement'!K43,1,FALSE)</f>
        <v>24779_1</v>
      </c>
    </row>
    <row r="47" spans="1:16">
      <c r="A47" s="21" t="s">
        <v>321</v>
      </c>
      <c r="B47" s="21" t="s">
        <v>277</v>
      </c>
      <c r="C47" s="21">
        <v>545729</v>
      </c>
      <c r="D47" s="22">
        <v>40280</v>
      </c>
      <c r="E47" s="22">
        <f t="shared" si="0"/>
        <v>40310</v>
      </c>
      <c r="F47" s="22">
        <v>40282</v>
      </c>
      <c r="G47" s="21" t="s">
        <v>278</v>
      </c>
      <c r="H47" s="21">
        <v>218463</v>
      </c>
      <c r="I47" s="21" t="s">
        <v>279</v>
      </c>
      <c r="J47" s="23">
        <v>253.77</v>
      </c>
      <c r="K47" s="23" t="str">
        <f t="shared" si="1"/>
        <v>Mon</v>
      </c>
      <c r="L47" s="29" t="str">
        <f t="shared" si="2"/>
        <v>Apr</v>
      </c>
      <c r="M47" s="21">
        <f t="shared" si="3"/>
        <v>0</v>
      </c>
      <c r="N47" s="35" cm="1">
        <f t="array" ref="N47">IF(AND(tbl_MC[[#This Row],[Over Due]]="YES",tbl_MC[[#This Row],[Amount]]&gt;=500),tbl_MC[[#This Row],[Amount]]*tbl_MC[[#This Row],[Over Due By]]*Penalty_Rate,0)</f>
        <v>0</v>
      </c>
      <c r="O47" s="23" t="str">
        <f>IF(tbl_MC[[#This Row],[Payment Date]]&gt;tbl_MC[[#This Row],[Due Date]],"YES","")</f>
        <v/>
      </c>
      <c r="P47" s="23" t="str">
        <f>VLOOKUP(tbl_MC[[#This Row],[Payment Ref]],'Supplier Invoice Statement'!K44,1,FALSE)</f>
        <v>24784_1</v>
      </c>
    </row>
    <row r="48" spans="1:16">
      <c r="A48" s="21" t="s">
        <v>322</v>
      </c>
      <c r="B48" s="21" t="s">
        <v>277</v>
      </c>
      <c r="C48" s="21">
        <v>545731</v>
      </c>
      <c r="D48" s="22">
        <v>40259</v>
      </c>
      <c r="E48" s="22">
        <f t="shared" si="0"/>
        <v>40290</v>
      </c>
      <c r="F48" s="22">
        <v>40284</v>
      </c>
      <c r="G48" s="21" t="s">
        <v>280</v>
      </c>
      <c r="H48" s="21">
        <v>336345</v>
      </c>
      <c r="I48" s="21" t="s">
        <v>264</v>
      </c>
      <c r="J48" s="23">
        <v>442.86</v>
      </c>
      <c r="K48" s="23" t="str">
        <f t="shared" si="1"/>
        <v>Mon</v>
      </c>
      <c r="L48" s="29" t="str">
        <f t="shared" si="2"/>
        <v>Mar</v>
      </c>
      <c r="M48" s="21">
        <f t="shared" si="3"/>
        <v>0</v>
      </c>
      <c r="N48" s="35" cm="1">
        <f t="array" ref="N48">IF(AND(tbl_MC[[#This Row],[Over Due]]="YES",tbl_MC[[#This Row],[Amount]]&gt;=500),tbl_MC[[#This Row],[Amount]]*tbl_MC[[#This Row],[Over Due By]]*Penalty_Rate,0)</f>
        <v>0</v>
      </c>
      <c r="O48" s="23" t="str">
        <f>IF(tbl_MC[[#This Row],[Payment Date]]&gt;tbl_MC[[#This Row],[Due Date]],"YES","")</f>
        <v/>
      </c>
      <c r="P48" s="23" t="str">
        <f>VLOOKUP(tbl_MC[[#This Row],[Payment Ref]],'Supplier Invoice Statement'!K45,1,FALSE)</f>
        <v>24788_1</v>
      </c>
    </row>
    <row r="49" spans="1:16">
      <c r="A49" s="21" t="s">
        <v>323</v>
      </c>
      <c r="B49" s="21" t="s">
        <v>277</v>
      </c>
      <c r="C49" s="21">
        <v>545732</v>
      </c>
      <c r="D49" s="22">
        <v>40242</v>
      </c>
      <c r="E49" s="22">
        <f t="shared" si="0"/>
        <v>40273</v>
      </c>
      <c r="F49" s="22">
        <v>40284</v>
      </c>
      <c r="G49" s="21" t="s">
        <v>278</v>
      </c>
      <c r="H49" s="21">
        <v>227664</v>
      </c>
      <c r="I49" s="21" t="s">
        <v>279</v>
      </c>
      <c r="J49" s="23">
        <v>630.96</v>
      </c>
      <c r="K49" s="23" t="str">
        <f t="shared" si="1"/>
        <v>Fri</v>
      </c>
      <c r="L49" s="29" t="str">
        <f t="shared" si="2"/>
        <v>Mar</v>
      </c>
      <c r="M49" s="21">
        <f t="shared" si="3"/>
        <v>10</v>
      </c>
      <c r="N49" s="35" cm="1">
        <f t="array" ref="N49">IF(AND(tbl_MC[[#This Row],[Over Due]]="YES",tbl_MC[[#This Row],[Amount]]&gt;=500),tbl_MC[[#This Row],[Amount]]*tbl_MC[[#This Row],[Over Due By]]*Penalty_Rate,0)</f>
        <v>22.714560000000002</v>
      </c>
      <c r="O49" s="23" t="str">
        <f>IF(tbl_MC[[#This Row],[Payment Date]]&gt;tbl_MC[[#This Row],[Due Date]],"YES","")</f>
        <v>YES</v>
      </c>
      <c r="P49" s="23" t="str">
        <f>VLOOKUP(tbl_MC[[#This Row],[Payment Ref]],'Supplier Invoice Statement'!K46,1,FALSE)</f>
        <v>24792_1</v>
      </c>
    </row>
    <row r="50" spans="1:16">
      <c r="A50" s="21" t="s">
        <v>324</v>
      </c>
      <c r="B50" s="21" t="s">
        <v>277</v>
      </c>
      <c r="C50" s="21">
        <v>545734</v>
      </c>
      <c r="D50" s="22">
        <v>40251</v>
      </c>
      <c r="E50" s="22">
        <f t="shared" si="0"/>
        <v>40282</v>
      </c>
      <c r="F50" s="22">
        <v>40284</v>
      </c>
      <c r="G50" s="21" t="s">
        <v>280</v>
      </c>
      <c r="H50" s="21">
        <v>331460</v>
      </c>
      <c r="I50" s="21" t="s">
        <v>264</v>
      </c>
      <c r="J50" s="23">
        <v>821.37</v>
      </c>
      <c r="K50" s="23" t="str">
        <f t="shared" si="1"/>
        <v>Sun</v>
      </c>
      <c r="L50" s="29" t="str">
        <f t="shared" si="2"/>
        <v>Mar</v>
      </c>
      <c r="M50" s="21">
        <f t="shared" si="3"/>
        <v>3</v>
      </c>
      <c r="N50" s="35" cm="1">
        <f t="array" ref="N50">IF(AND(tbl_MC[[#This Row],[Over Due]]="YES",tbl_MC[[#This Row],[Amount]]&gt;=500),tbl_MC[[#This Row],[Amount]]*tbl_MC[[#This Row],[Over Due By]]*Penalty_Rate,0)</f>
        <v>8.8707960000000003</v>
      </c>
      <c r="O50" s="23" t="str">
        <f>IF(tbl_MC[[#This Row],[Payment Date]]&gt;tbl_MC[[#This Row],[Due Date]],"YES","")</f>
        <v>YES</v>
      </c>
      <c r="P50" s="23" t="str">
        <f>VLOOKUP(tbl_MC[[#This Row],[Payment Ref]],'Supplier Invoice Statement'!K47,1,FALSE)</f>
        <v>24793_1</v>
      </c>
    </row>
    <row r="51" spans="1:16">
      <c r="A51" s="21" t="s">
        <v>325</v>
      </c>
      <c r="B51" s="21" t="s">
        <v>277</v>
      </c>
      <c r="C51" s="21">
        <v>545735</v>
      </c>
      <c r="D51" s="22">
        <v>40260</v>
      </c>
      <c r="E51" s="22">
        <f t="shared" si="0"/>
        <v>40291</v>
      </c>
      <c r="F51" s="22">
        <v>40285</v>
      </c>
      <c r="G51" s="21" t="s">
        <v>280</v>
      </c>
      <c r="H51" s="21">
        <v>327740</v>
      </c>
      <c r="I51" s="21" t="s">
        <v>264</v>
      </c>
      <c r="J51" s="23">
        <v>950.73</v>
      </c>
      <c r="K51" s="23" t="str">
        <f t="shared" si="1"/>
        <v>Tue</v>
      </c>
      <c r="L51" s="29" t="str">
        <f t="shared" si="2"/>
        <v>Mar</v>
      </c>
      <c r="M51" s="21">
        <f t="shared" si="3"/>
        <v>0</v>
      </c>
      <c r="N51" s="35" cm="1">
        <f t="array" ref="N51">IF(AND(tbl_MC[[#This Row],[Over Due]]="YES",tbl_MC[[#This Row],[Amount]]&gt;=500),tbl_MC[[#This Row],[Amount]]*tbl_MC[[#This Row],[Over Due By]]*Penalty_Rate,0)</f>
        <v>0</v>
      </c>
      <c r="O51" s="23" t="str">
        <f>IF(tbl_MC[[#This Row],[Payment Date]]&gt;tbl_MC[[#This Row],[Due Date]],"YES","")</f>
        <v/>
      </c>
      <c r="P51" s="23" t="str">
        <f>VLOOKUP(tbl_MC[[#This Row],[Payment Ref]],'Supplier Invoice Statement'!K48,1,FALSE)</f>
        <v>24795_1</v>
      </c>
    </row>
    <row r="52" spans="1:16">
      <c r="A52" s="21" t="s">
        <v>326</v>
      </c>
      <c r="B52" s="21" t="s">
        <v>277</v>
      </c>
      <c r="C52" s="21">
        <v>545737</v>
      </c>
      <c r="D52" s="22">
        <v>40260</v>
      </c>
      <c r="E52" s="22">
        <f t="shared" si="0"/>
        <v>40291</v>
      </c>
      <c r="F52" s="22">
        <v>40286</v>
      </c>
      <c r="G52" s="21" t="s">
        <v>278</v>
      </c>
      <c r="H52" s="21">
        <v>221183</v>
      </c>
      <c r="I52" s="21" t="s">
        <v>279</v>
      </c>
      <c r="J52" s="23">
        <v>956.34</v>
      </c>
      <c r="K52" s="23" t="str">
        <f t="shared" si="1"/>
        <v>Tue</v>
      </c>
      <c r="L52" s="29" t="str">
        <f t="shared" si="2"/>
        <v>Mar</v>
      </c>
      <c r="M52" s="21">
        <f t="shared" si="3"/>
        <v>0</v>
      </c>
      <c r="N52" s="35" cm="1">
        <f t="array" ref="N52">IF(AND(tbl_MC[[#This Row],[Over Due]]="YES",tbl_MC[[#This Row],[Amount]]&gt;=500),tbl_MC[[#This Row],[Amount]]*tbl_MC[[#This Row],[Over Due By]]*Penalty_Rate,0)</f>
        <v>0</v>
      </c>
      <c r="O52" s="23" t="str">
        <f>IF(tbl_MC[[#This Row],[Payment Date]]&gt;tbl_MC[[#This Row],[Due Date]],"YES","")</f>
        <v/>
      </c>
      <c r="P52" s="23" t="str">
        <f>VLOOKUP(tbl_MC[[#This Row],[Payment Ref]],'Supplier Invoice Statement'!K49,1,FALSE)</f>
        <v>24798_1</v>
      </c>
    </row>
    <row r="53" spans="1:16">
      <c r="A53" s="21" t="s">
        <v>327</v>
      </c>
      <c r="B53" s="21" t="s">
        <v>277</v>
      </c>
      <c r="C53" s="21">
        <v>545739</v>
      </c>
      <c r="D53" s="22">
        <v>40265</v>
      </c>
      <c r="E53" s="22">
        <f t="shared" si="0"/>
        <v>40296</v>
      </c>
      <c r="F53" s="22">
        <v>40286</v>
      </c>
      <c r="G53" s="21" t="s">
        <v>278</v>
      </c>
      <c r="H53" s="21">
        <v>214234</v>
      </c>
      <c r="I53" s="21" t="s">
        <v>279</v>
      </c>
      <c r="J53" s="23">
        <v>1094.28</v>
      </c>
      <c r="K53" s="23" t="str">
        <f t="shared" si="1"/>
        <v>Sun</v>
      </c>
      <c r="L53" s="29" t="str">
        <f t="shared" si="2"/>
        <v>Mar</v>
      </c>
      <c r="M53" s="21">
        <f t="shared" si="3"/>
        <v>0</v>
      </c>
      <c r="N53" s="35" cm="1">
        <f t="array" ref="N53">IF(AND(tbl_MC[[#This Row],[Over Due]]="YES",tbl_MC[[#This Row],[Amount]]&gt;=500),tbl_MC[[#This Row],[Amount]]*tbl_MC[[#This Row],[Over Due By]]*Penalty_Rate,0)</f>
        <v>0</v>
      </c>
      <c r="O53" s="23" t="str">
        <f>IF(tbl_MC[[#This Row],[Payment Date]]&gt;tbl_MC[[#This Row],[Due Date]],"YES","")</f>
        <v/>
      </c>
      <c r="P53" s="23" t="str">
        <f>VLOOKUP(tbl_MC[[#This Row],[Payment Ref]],'Supplier Invoice Statement'!K50,1,FALSE)</f>
        <v>24801_1</v>
      </c>
    </row>
    <row r="54" spans="1:16">
      <c r="A54" s="21" t="s">
        <v>328</v>
      </c>
      <c r="B54" s="21" t="s">
        <v>277</v>
      </c>
      <c r="C54" s="21">
        <v>545740</v>
      </c>
      <c r="D54" s="22">
        <v>40280</v>
      </c>
      <c r="E54" s="22">
        <f t="shared" si="0"/>
        <v>40310</v>
      </c>
      <c r="F54" s="22">
        <v>40287</v>
      </c>
      <c r="G54" s="21" t="s">
        <v>280</v>
      </c>
      <c r="H54" s="21">
        <v>321456</v>
      </c>
      <c r="I54" s="21" t="s">
        <v>264</v>
      </c>
      <c r="J54" s="23">
        <v>628.98</v>
      </c>
      <c r="K54" s="23" t="str">
        <f t="shared" si="1"/>
        <v>Mon</v>
      </c>
      <c r="L54" s="29" t="str">
        <f t="shared" si="2"/>
        <v>Apr</v>
      </c>
      <c r="M54" s="21">
        <f t="shared" si="3"/>
        <v>0</v>
      </c>
      <c r="N54" s="35" cm="1">
        <f t="array" ref="N54">IF(AND(tbl_MC[[#This Row],[Over Due]]="YES",tbl_MC[[#This Row],[Amount]]&gt;=500),tbl_MC[[#This Row],[Amount]]*tbl_MC[[#This Row],[Over Due By]]*Penalty_Rate,0)</f>
        <v>0</v>
      </c>
      <c r="O54" s="23" t="str">
        <f>IF(tbl_MC[[#This Row],[Payment Date]]&gt;tbl_MC[[#This Row],[Due Date]],"YES","")</f>
        <v/>
      </c>
      <c r="P54" s="23" t="str">
        <f>VLOOKUP(tbl_MC[[#This Row],[Payment Ref]],'Supplier Invoice Statement'!K51,1,FALSE)</f>
        <v>24803_1</v>
      </c>
    </row>
    <row r="55" spans="1:16">
      <c r="A55" s="21" t="s">
        <v>329</v>
      </c>
      <c r="B55" s="21" t="s">
        <v>277</v>
      </c>
      <c r="C55" s="21">
        <v>545742</v>
      </c>
      <c r="D55" s="22">
        <v>40245</v>
      </c>
      <c r="E55" s="22">
        <f t="shared" si="0"/>
        <v>40276</v>
      </c>
      <c r="F55" s="22">
        <v>40287</v>
      </c>
      <c r="G55" s="21" t="s">
        <v>278</v>
      </c>
      <c r="H55" s="21">
        <v>233209</v>
      </c>
      <c r="I55" s="21" t="s">
        <v>279</v>
      </c>
      <c r="J55" s="23">
        <v>1058.31</v>
      </c>
      <c r="K55" s="23" t="str">
        <f t="shared" si="1"/>
        <v>Mon</v>
      </c>
      <c r="L55" s="29" t="str">
        <f t="shared" si="2"/>
        <v>Mar</v>
      </c>
      <c r="M55" s="21">
        <f t="shared" si="3"/>
        <v>8</v>
      </c>
      <c r="N55" s="35" cm="1">
        <f t="array" ref="N55">IF(AND(tbl_MC[[#This Row],[Over Due]]="YES",tbl_MC[[#This Row],[Amount]]&gt;=500),tbl_MC[[#This Row],[Amount]]*tbl_MC[[#This Row],[Over Due By]]*Penalty_Rate,0)</f>
        <v>30.479327999999999</v>
      </c>
      <c r="O55" s="23" t="str">
        <f>IF(tbl_MC[[#This Row],[Payment Date]]&gt;tbl_MC[[#This Row],[Due Date]],"YES","")</f>
        <v>YES</v>
      </c>
      <c r="P55" s="23" t="str">
        <f>VLOOKUP(tbl_MC[[#This Row],[Payment Ref]],'Supplier Invoice Statement'!K52,1,FALSE)</f>
        <v>24808_1</v>
      </c>
    </row>
    <row r="56" spans="1:16">
      <c r="A56" s="21" t="s">
        <v>330</v>
      </c>
      <c r="B56" s="21" t="s">
        <v>277</v>
      </c>
      <c r="C56" s="21">
        <v>545743</v>
      </c>
      <c r="D56" s="22">
        <v>40269</v>
      </c>
      <c r="E56" s="22">
        <f t="shared" si="0"/>
        <v>40301</v>
      </c>
      <c r="F56" s="22">
        <v>40288</v>
      </c>
      <c r="G56" s="21" t="s">
        <v>278</v>
      </c>
      <c r="H56" s="21">
        <v>222998</v>
      </c>
      <c r="I56" s="21" t="s">
        <v>279</v>
      </c>
      <c r="J56" s="23">
        <v>705.54</v>
      </c>
      <c r="K56" s="23" t="str">
        <f t="shared" si="1"/>
        <v>Thu</v>
      </c>
      <c r="L56" s="29" t="str">
        <f t="shared" si="2"/>
        <v>Apr</v>
      </c>
      <c r="M56" s="21">
        <f t="shared" si="3"/>
        <v>0</v>
      </c>
      <c r="N56" s="35" cm="1">
        <f t="array" ref="N56">IF(AND(tbl_MC[[#This Row],[Over Due]]="YES",tbl_MC[[#This Row],[Amount]]&gt;=500),tbl_MC[[#This Row],[Amount]]*tbl_MC[[#This Row],[Over Due By]]*Penalty_Rate,0)</f>
        <v>0</v>
      </c>
      <c r="O56" s="23" t="str">
        <f>IF(tbl_MC[[#This Row],[Payment Date]]&gt;tbl_MC[[#This Row],[Due Date]],"YES","")</f>
        <v/>
      </c>
      <c r="P56" s="23" t="str">
        <f>VLOOKUP(tbl_MC[[#This Row],[Payment Ref]],'Supplier Invoice Statement'!K53,1,FALSE)</f>
        <v>24813_1</v>
      </c>
    </row>
    <row r="57" spans="1:16">
      <c r="A57" s="21" t="s">
        <v>331</v>
      </c>
      <c r="B57" s="21" t="s">
        <v>277</v>
      </c>
      <c r="C57" s="21">
        <v>545745</v>
      </c>
      <c r="D57" s="22">
        <v>40262</v>
      </c>
      <c r="E57" s="22">
        <f t="shared" si="0"/>
        <v>40294</v>
      </c>
      <c r="F57" s="22">
        <v>40288</v>
      </c>
      <c r="G57" s="21" t="s">
        <v>278</v>
      </c>
      <c r="H57" s="21">
        <v>228246</v>
      </c>
      <c r="I57" s="21" t="s">
        <v>279</v>
      </c>
      <c r="J57" s="23">
        <v>138.6</v>
      </c>
      <c r="K57" s="23" t="str">
        <f t="shared" si="1"/>
        <v>Thu</v>
      </c>
      <c r="L57" s="29" t="str">
        <f t="shared" si="2"/>
        <v>Mar</v>
      </c>
      <c r="M57" s="21">
        <f t="shared" si="3"/>
        <v>0</v>
      </c>
      <c r="N57" s="35" cm="1">
        <f t="array" ref="N57">IF(AND(tbl_MC[[#This Row],[Over Due]]="YES",tbl_MC[[#This Row],[Amount]]&gt;=500),tbl_MC[[#This Row],[Amount]]*tbl_MC[[#This Row],[Over Due By]]*Penalty_Rate,0)</f>
        <v>0</v>
      </c>
      <c r="O57" s="23" t="str">
        <f>IF(tbl_MC[[#This Row],[Payment Date]]&gt;tbl_MC[[#This Row],[Due Date]],"YES","")</f>
        <v/>
      </c>
      <c r="P57" s="23" t="str">
        <f>VLOOKUP(tbl_MC[[#This Row],[Payment Ref]],'Supplier Invoice Statement'!K54,1,FALSE)</f>
        <v>24815_1</v>
      </c>
    </row>
    <row r="58" spans="1:16">
      <c r="A58" s="21" t="s">
        <v>332</v>
      </c>
      <c r="B58" s="21" t="s">
        <v>277</v>
      </c>
      <c r="C58" s="21">
        <v>545747</v>
      </c>
      <c r="D58" s="22">
        <v>40283</v>
      </c>
      <c r="E58" s="22">
        <f t="shared" si="0"/>
        <v>40315</v>
      </c>
      <c r="F58" s="22">
        <v>40288</v>
      </c>
      <c r="G58" s="21" t="s">
        <v>280</v>
      </c>
      <c r="H58" s="21">
        <v>314876</v>
      </c>
      <c r="I58" s="21" t="s">
        <v>264</v>
      </c>
      <c r="J58" s="23">
        <v>417.12</v>
      </c>
      <c r="K58" s="23" t="str">
        <f t="shared" si="1"/>
        <v>Thu</v>
      </c>
      <c r="L58" s="29" t="str">
        <f t="shared" si="2"/>
        <v>Apr</v>
      </c>
      <c r="M58" s="21">
        <f t="shared" si="3"/>
        <v>0</v>
      </c>
      <c r="N58" s="35" cm="1">
        <f t="array" ref="N58">IF(AND(tbl_MC[[#This Row],[Over Due]]="YES",tbl_MC[[#This Row],[Amount]]&gt;=500),tbl_MC[[#This Row],[Amount]]*tbl_MC[[#This Row],[Over Due By]]*Penalty_Rate,0)</f>
        <v>0</v>
      </c>
      <c r="O58" s="23" t="str">
        <f>IF(tbl_MC[[#This Row],[Payment Date]]&gt;tbl_MC[[#This Row],[Due Date]],"YES","")</f>
        <v/>
      </c>
      <c r="P58" s="23" t="str">
        <f>VLOOKUP(tbl_MC[[#This Row],[Payment Ref]],'Supplier Invoice Statement'!K55,1,FALSE)</f>
        <v>24819_1</v>
      </c>
    </row>
    <row r="59" spans="1:16">
      <c r="A59" s="21" t="s">
        <v>333</v>
      </c>
      <c r="B59" s="21" t="s">
        <v>277</v>
      </c>
      <c r="C59" s="21">
        <v>545748</v>
      </c>
      <c r="D59" s="22">
        <v>40276</v>
      </c>
      <c r="E59" s="22">
        <f t="shared" si="0"/>
        <v>40308</v>
      </c>
      <c r="F59" s="22">
        <v>40288</v>
      </c>
      <c r="G59" s="21" t="s">
        <v>278</v>
      </c>
      <c r="H59" s="21">
        <v>223602</v>
      </c>
      <c r="I59" s="21" t="s">
        <v>279</v>
      </c>
      <c r="J59" s="23">
        <v>422.73</v>
      </c>
      <c r="K59" s="23" t="str">
        <f t="shared" si="1"/>
        <v>Thu</v>
      </c>
      <c r="L59" s="29" t="str">
        <f t="shared" si="2"/>
        <v>Apr</v>
      </c>
      <c r="M59" s="21">
        <f t="shared" si="3"/>
        <v>0</v>
      </c>
      <c r="N59" s="35" cm="1">
        <f t="array" ref="N59">IF(AND(tbl_MC[[#This Row],[Over Due]]="YES",tbl_MC[[#This Row],[Amount]]&gt;=500),tbl_MC[[#This Row],[Amount]]*tbl_MC[[#This Row],[Over Due By]]*Penalty_Rate,0)</f>
        <v>0</v>
      </c>
      <c r="O59" s="23" t="str">
        <f>IF(tbl_MC[[#This Row],[Payment Date]]&gt;tbl_MC[[#This Row],[Due Date]],"YES","")</f>
        <v/>
      </c>
      <c r="P59" s="23" t="str">
        <f>VLOOKUP(tbl_MC[[#This Row],[Payment Ref]],'Supplier Invoice Statement'!K56,1,FALSE)</f>
        <v>24822_1</v>
      </c>
    </row>
    <row r="60" spans="1:16">
      <c r="A60" s="21" t="s">
        <v>334</v>
      </c>
      <c r="B60" s="21" t="s">
        <v>277</v>
      </c>
      <c r="C60" s="21">
        <v>545750</v>
      </c>
      <c r="D60" s="22">
        <v>40245</v>
      </c>
      <c r="E60" s="22">
        <f t="shared" si="0"/>
        <v>40276</v>
      </c>
      <c r="F60" s="22">
        <v>40288</v>
      </c>
      <c r="G60" s="21" t="s">
        <v>280</v>
      </c>
      <c r="H60" s="21">
        <v>319833</v>
      </c>
      <c r="I60" s="21" t="s">
        <v>264</v>
      </c>
      <c r="J60" s="23">
        <v>1061.94</v>
      </c>
      <c r="K60" s="23" t="str">
        <f t="shared" si="1"/>
        <v>Mon</v>
      </c>
      <c r="L60" s="29" t="str">
        <f t="shared" si="2"/>
        <v>Mar</v>
      </c>
      <c r="M60" s="21">
        <f t="shared" si="3"/>
        <v>9</v>
      </c>
      <c r="N60" s="35" cm="1">
        <f t="array" ref="N60">IF(AND(tbl_MC[[#This Row],[Over Due]]="YES",tbl_MC[[#This Row],[Amount]]&gt;=500),tbl_MC[[#This Row],[Amount]]*tbl_MC[[#This Row],[Over Due By]]*Penalty_Rate,0)</f>
        <v>34.406856000000005</v>
      </c>
      <c r="O60" s="23" t="str">
        <f>IF(tbl_MC[[#This Row],[Payment Date]]&gt;tbl_MC[[#This Row],[Due Date]],"YES","")</f>
        <v>YES</v>
      </c>
      <c r="P60" s="23" t="str">
        <f>VLOOKUP(tbl_MC[[#This Row],[Payment Ref]],'Supplier Invoice Statement'!K57,1,FALSE)</f>
        <v>24824_1</v>
      </c>
    </row>
    <row r="61" spans="1:16">
      <c r="A61" s="21" t="s">
        <v>335</v>
      </c>
      <c r="B61" s="21" t="s">
        <v>277</v>
      </c>
      <c r="C61" s="21">
        <v>545751</v>
      </c>
      <c r="D61" s="22">
        <v>40246</v>
      </c>
      <c r="E61" s="22">
        <f t="shared" si="0"/>
        <v>40277</v>
      </c>
      <c r="F61" s="22">
        <v>40289</v>
      </c>
      <c r="G61" s="21" t="s">
        <v>280</v>
      </c>
      <c r="H61" s="21">
        <v>310345</v>
      </c>
      <c r="I61" s="21" t="s">
        <v>264</v>
      </c>
      <c r="J61" s="23">
        <v>602.58000000000004</v>
      </c>
      <c r="K61" s="23" t="str">
        <f t="shared" si="1"/>
        <v>Tue</v>
      </c>
      <c r="L61" s="29" t="str">
        <f t="shared" si="2"/>
        <v>Mar</v>
      </c>
      <c r="M61" s="21">
        <f t="shared" si="3"/>
        <v>9</v>
      </c>
      <c r="N61" s="35" cm="1">
        <f t="array" ref="N61">IF(AND(tbl_MC[[#This Row],[Over Due]]="YES",tbl_MC[[#This Row],[Amount]]&gt;=500),tbl_MC[[#This Row],[Amount]]*tbl_MC[[#This Row],[Over Due By]]*Penalty_Rate,0)</f>
        <v>19.523592000000001</v>
      </c>
      <c r="O61" s="23" t="str">
        <f>IF(tbl_MC[[#This Row],[Payment Date]]&gt;tbl_MC[[#This Row],[Due Date]],"YES","")</f>
        <v>YES</v>
      </c>
      <c r="P61" s="23" t="str">
        <f>VLOOKUP(tbl_MC[[#This Row],[Payment Ref]],'Supplier Invoice Statement'!K58,1,FALSE)</f>
        <v>24825_1</v>
      </c>
    </row>
    <row r="62" spans="1:16">
      <c r="A62" s="21" t="s">
        <v>336</v>
      </c>
      <c r="B62" s="21" t="s">
        <v>277</v>
      </c>
      <c r="C62" s="21">
        <v>545753</v>
      </c>
      <c r="D62" s="22">
        <v>40252</v>
      </c>
      <c r="E62" s="22">
        <f t="shared" si="0"/>
        <v>40283</v>
      </c>
      <c r="F62" s="22">
        <v>40289</v>
      </c>
      <c r="G62" s="21" t="s">
        <v>280</v>
      </c>
      <c r="H62" s="21">
        <v>317142</v>
      </c>
      <c r="I62" s="21" t="s">
        <v>264</v>
      </c>
      <c r="J62" s="23">
        <v>132.66</v>
      </c>
      <c r="K62" s="23" t="str">
        <f t="shared" si="1"/>
        <v>Mon</v>
      </c>
      <c r="L62" s="29" t="str">
        <f t="shared" si="2"/>
        <v>Mar</v>
      </c>
      <c r="M62" s="21">
        <f t="shared" si="3"/>
        <v>5</v>
      </c>
      <c r="N62" s="35" cm="1">
        <f t="array" ref="N62">IF(AND(tbl_MC[[#This Row],[Over Due]]="YES",tbl_MC[[#This Row],[Amount]]&gt;=500),tbl_MC[[#This Row],[Amount]]*tbl_MC[[#This Row],[Over Due By]]*Penalty_Rate,0)</f>
        <v>0</v>
      </c>
      <c r="O62" s="23" t="str">
        <f>IF(tbl_MC[[#This Row],[Payment Date]]&gt;tbl_MC[[#This Row],[Due Date]],"YES","")</f>
        <v>YES</v>
      </c>
      <c r="P62" s="23" t="str">
        <f>VLOOKUP(tbl_MC[[#This Row],[Payment Ref]],'Supplier Invoice Statement'!K59,1,FALSE)</f>
        <v>24830_1</v>
      </c>
    </row>
    <row r="63" spans="1:16">
      <c r="A63" s="21" t="s">
        <v>337</v>
      </c>
      <c r="B63" s="21" t="s">
        <v>277</v>
      </c>
      <c r="C63" s="21">
        <v>545754</v>
      </c>
      <c r="D63" s="22">
        <v>40252</v>
      </c>
      <c r="E63" s="22">
        <f t="shared" si="0"/>
        <v>40283</v>
      </c>
      <c r="F63" s="22">
        <v>40290</v>
      </c>
      <c r="G63" s="21" t="s">
        <v>280</v>
      </c>
      <c r="H63" s="21">
        <v>313747</v>
      </c>
      <c r="I63" s="21" t="s">
        <v>264</v>
      </c>
      <c r="J63" s="23">
        <v>56.43</v>
      </c>
      <c r="K63" s="23" t="str">
        <f t="shared" si="1"/>
        <v>Mon</v>
      </c>
      <c r="L63" s="29" t="str">
        <f t="shared" si="2"/>
        <v>Mar</v>
      </c>
      <c r="M63" s="21">
        <f t="shared" si="3"/>
        <v>6</v>
      </c>
      <c r="N63" s="35" cm="1">
        <f t="array" ref="N63">IF(AND(tbl_MC[[#This Row],[Over Due]]="YES",tbl_MC[[#This Row],[Amount]]&gt;=500),tbl_MC[[#This Row],[Amount]]*tbl_MC[[#This Row],[Over Due By]]*Penalty_Rate,0)</f>
        <v>0</v>
      </c>
      <c r="O63" s="23" t="str">
        <f>IF(tbl_MC[[#This Row],[Payment Date]]&gt;tbl_MC[[#This Row],[Due Date]],"YES","")</f>
        <v>YES</v>
      </c>
      <c r="P63" s="23" t="str">
        <f>VLOOKUP(tbl_MC[[#This Row],[Payment Ref]],'Supplier Invoice Statement'!K60,1,FALSE)</f>
        <v>24831_1</v>
      </c>
    </row>
    <row r="64" spans="1:16">
      <c r="A64" s="21" t="s">
        <v>338</v>
      </c>
      <c r="B64" s="21" t="s">
        <v>277</v>
      </c>
      <c r="C64" s="21">
        <v>545756</v>
      </c>
      <c r="D64" s="22">
        <v>40281</v>
      </c>
      <c r="E64" s="22">
        <f t="shared" si="0"/>
        <v>40311</v>
      </c>
      <c r="F64" s="22">
        <v>40290</v>
      </c>
      <c r="G64" s="21" t="s">
        <v>278</v>
      </c>
      <c r="H64" s="21">
        <v>234966</v>
      </c>
      <c r="I64" s="21" t="s">
        <v>279</v>
      </c>
      <c r="J64" s="23">
        <v>511.83</v>
      </c>
      <c r="K64" s="23" t="str">
        <f t="shared" si="1"/>
        <v>Tue</v>
      </c>
      <c r="L64" s="29" t="str">
        <f t="shared" si="2"/>
        <v>Apr</v>
      </c>
      <c r="M64" s="21">
        <f t="shared" si="3"/>
        <v>0</v>
      </c>
      <c r="N64" s="35" cm="1">
        <f t="array" ref="N64">IF(AND(tbl_MC[[#This Row],[Over Due]]="YES",tbl_MC[[#This Row],[Amount]]&gt;=500),tbl_MC[[#This Row],[Amount]]*tbl_MC[[#This Row],[Over Due By]]*Penalty_Rate,0)</f>
        <v>0</v>
      </c>
      <c r="O64" s="23" t="str">
        <f>IF(tbl_MC[[#This Row],[Payment Date]]&gt;tbl_MC[[#This Row],[Due Date]],"YES","")</f>
        <v/>
      </c>
      <c r="P64" s="23" t="str">
        <f>VLOOKUP(tbl_MC[[#This Row],[Payment Ref]],'Supplier Invoice Statement'!K61,1,FALSE)</f>
        <v>24833_1</v>
      </c>
    </row>
    <row r="65" spans="1:16">
      <c r="A65" s="21" t="s">
        <v>339</v>
      </c>
      <c r="B65" s="21" t="s">
        <v>277</v>
      </c>
      <c r="C65" s="21">
        <v>545758</v>
      </c>
      <c r="D65" s="22">
        <v>40248</v>
      </c>
      <c r="E65" s="22">
        <f t="shared" si="0"/>
        <v>40280</v>
      </c>
      <c r="F65" s="22">
        <v>40290</v>
      </c>
      <c r="G65" s="21" t="s">
        <v>278</v>
      </c>
      <c r="H65" s="21">
        <v>215639</v>
      </c>
      <c r="I65" s="21" t="s">
        <v>279</v>
      </c>
      <c r="J65" s="23">
        <v>361.02</v>
      </c>
      <c r="K65" s="23" t="str">
        <f t="shared" si="1"/>
        <v>Thu</v>
      </c>
      <c r="L65" s="29" t="str">
        <f t="shared" si="2"/>
        <v>Mar</v>
      </c>
      <c r="M65" s="21">
        <f t="shared" si="3"/>
        <v>9</v>
      </c>
      <c r="N65" s="35" cm="1">
        <f t="array" ref="N65">IF(AND(tbl_MC[[#This Row],[Over Due]]="YES",tbl_MC[[#This Row],[Amount]]&gt;=500),tbl_MC[[#This Row],[Amount]]*tbl_MC[[#This Row],[Over Due By]]*Penalty_Rate,0)</f>
        <v>0</v>
      </c>
      <c r="O65" s="23" t="str">
        <f>IF(tbl_MC[[#This Row],[Payment Date]]&gt;tbl_MC[[#This Row],[Due Date]],"YES","")</f>
        <v>YES</v>
      </c>
      <c r="P65" s="23" t="str">
        <f>VLOOKUP(tbl_MC[[#This Row],[Payment Ref]],'Supplier Invoice Statement'!K62,1,FALSE)</f>
        <v>24837_1</v>
      </c>
    </row>
    <row r="66" spans="1:16">
      <c r="A66" s="21" t="s">
        <v>340</v>
      </c>
      <c r="B66" s="21" t="s">
        <v>277</v>
      </c>
      <c r="C66" s="21">
        <v>545760</v>
      </c>
      <c r="D66" s="22">
        <v>40272</v>
      </c>
      <c r="E66" s="22">
        <f t="shared" si="0"/>
        <v>40302</v>
      </c>
      <c r="F66" s="22">
        <v>40291</v>
      </c>
      <c r="G66" s="21" t="s">
        <v>280</v>
      </c>
      <c r="H66" s="21">
        <v>328536</v>
      </c>
      <c r="I66" s="21" t="s">
        <v>264</v>
      </c>
      <c r="J66" s="23">
        <v>668.25</v>
      </c>
      <c r="K66" s="23" t="str">
        <f t="shared" si="1"/>
        <v>Sun</v>
      </c>
      <c r="L66" s="29" t="str">
        <f t="shared" si="2"/>
        <v>Apr</v>
      </c>
      <c r="M66" s="21">
        <f t="shared" si="3"/>
        <v>0</v>
      </c>
      <c r="N66" s="35" cm="1">
        <f t="array" ref="N66">IF(AND(tbl_MC[[#This Row],[Over Due]]="YES",tbl_MC[[#This Row],[Amount]]&gt;=500),tbl_MC[[#This Row],[Amount]]*tbl_MC[[#This Row],[Over Due By]]*Penalty_Rate,0)</f>
        <v>0</v>
      </c>
      <c r="O66" s="23" t="str">
        <f>IF(tbl_MC[[#This Row],[Payment Date]]&gt;tbl_MC[[#This Row],[Due Date]],"YES","")</f>
        <v/>
      </c>
      <c r="P66" s="23" t="str">
        <f>VLOOKUP(tbl_MC[[#This Row],[Payment Ref]],'Supplier Invoice Statement'!K63,1,FALSE)</f>
        <v>24838_1</v>
      </c>
    </row>
    <row r="67" spans="1:16">
      <c r="A67" s="21" t="s">
        <v>341</v>
      </c>
      <c r="B67" s="21" t="s">
        <v>277</v>
      </c>
      <c r="C67" s="21">
        <v>545762</v>
      </c>
      <c r="D67" s="22">
        <v>40270</v>
      </c>
      <c r="E67" s="22">
        <f t="shared" si="0"/>
        <v>40301</v>
      </c>
      <c r="F67" s="22">
        <v>40291</v>
      </c>
      <c r="G67" s="21" t="s">
        <v>278</v>
      </c>
      <c r="H67" s="21">
        <v>210023</v>
      </c>
      <c r="I67" s="21" t="s">
        <v>279</v>
      </c>
      <c r="J67" s="23">
        <v>126.72</v>
      </c>
      <c r="K67" s="23" t="str">
        <f t="shared" si="1"/>
        <v>Fri</v>
      </c>
      <c r="L67" s="29" t="str">
        <f t="shared" si="2"/>
        <v>Apr</v>
      </c>
      <c r="M67" s="21">
        <f t="shared" si="3"/>
        <v>0</v>
      </c>
      <c r="N67" s="35" cm="1">
        <f t="array" ref="N67">IF(AND(tbl_MC[[#This Row],[Over Due]]="YES",tbl_MC[[#This Row],[Amount]]&gt;=500),tbl_MC[[#This Row],[Amount]]*tbl_MC[[#This Row],[Over Due By]]*Penalty_Rate,0)</f>
        <v>0</v>
      </c>
      <c r="O67" s="23" t="str">
        <f>IF(tbl_MC[[#This Row],[Payment Date]]&gt;tbl_MC[[#This Row],[Due Date]],"YES","")</f>
        <v/>
      </c>
      <c r="P67" s="23" t="str">
        <f>VLOOKUP(tbl_MC[[#This Row],[Payment Ref]],'Supplier Invoice Statement'!K64,1,FALSE)</f>
        <v>24842_1</v>
      </c>
    </row>
    <row r="68" spans="1:16">
      <c r="A68" s="21" t="s">
        <v>342</v>
      </c>
      <c r="B68" s="21" t="s">
        <v>277</v>
      </c>
      <c r="C68" s="21">
        <v>545763</v>
      </c>
      <c r="D68" s="22">
        <v>40261</v>
      </c>
      <c r="E68" s="22">
        <f t="shared" si="0"/>
        <v>40294</v>
      </c>
      <c r="F68" s="22">
        <v>40291</v>
      </c>
      <c r="G68" s="21" t="s">
        <v>280</v>
      </c>
      <c r="H68" s="21">
        <v>338938</v>
      </c>
      <c r="I68" s="21" t="s">
        <v>264</v>
      </c>
      <c r="J68" s="23">
        <v>1000.23</v>
      </c>
      <c r="K68" s="23" t="str">
        <f t="shared" si="1"/>
        <v>Wed</v>
      </c>
      <c r="L68" s="29" t="str">
        <f t="shared" si="2"/>
        <v>Mar</v>
      </c>
      <c r="M68" s="21">
        <f t="shared" si="3"/>
        <v>0</v>
      </c>
      <c r="N68" s="35" cm="1">
        <f t="array" ref="N68">IF(AND(tbl_MC[[#This Row],[Over Due]]="YES",tbl_MC[[#This Row],[Amount]]&gt;=500),tbl_MC[[#This Row],[Amount]]*tbl_MC[[#This Row],[Over Due By]]*Penalty_Rate,0)</f>
        <v>0</v>
      </c>
      <c r="O68" s="23" t="str">
        <f>IF(tbl_MC[[#This Row],[Payment Date]]&gt;tbl_MC[[#This Row],[Due Date]],"YES","")</f>
        <v/>
      </c>
      <c r="P68" s="23" t="str">
        <f>VLOOKUP(tbl_MC[[#This Row],[Payment Ref]],'Supplier Invoice Statement'!K65,1,FALSE)</f>
        <v>24847_1</v>
      </c>
    </row>
    <row r="69" spans="1:16">
      <c r="A69" s="21" t="s">
        <v>343</v>
      </c>
      <c r="B69" s="21" t="s">
        <v>277</v>
      </c>
      <c r="C69" s="21">
        <v>545765</v>
      </c>
      <c r="D69" s="22">
        <v>40266</v>
      </c>
      <c r="E69" s="22">
        <f t="shared" si="0"/>
        <v>40297</v>
      </c>
      <c r="F69" s="22">
        <v>40292</v>
      </c>
      <c r="G69" s="21" t="s">
        <v>280</v>
      </c>
      <c r="H69" s="21">
        <v>320536</v>
      </c>
      <c r="I69" s="21" t="s">
        <v>264</v>
      </c>
      <c r="J69" s="23">
        <v>948.75</v>
      </c>
      <c r="K69" s="23" t="str">
        <f t="shared" si="1"/>
        <v>Mon</v>
      </c>
      <c r="L69" s="29" t="str">
        <f t="shared" si="2"/>
        <v>Mar</v>
      </c>
      <c r="M69" s="21">
        <f t="shared" si="3"/>
        <v>0</v>
      </c>
      <c r="N69" s="35" cm="1">
        <f t="array" ref="N69">IF(AND(tbl_MC[[#This Row],[Over Due]]="YES",tbl_MC[[#This Row],[Amount]]&gt;=500),tbl_MC[[#This Row],[Amount]]*tbl_MC[[#This Row],[Over Due By]]*Penalty_Rate,0)</f>
        <v>0</v>
      </c>
      <c r="O69" s="23" t="str">
        <f>IF(tbl_MC[[#This Row],[Payment Date]]&gt;tbl_MC[[#This Row],[Due Date]],"YES","")</f>
        <v/>
      </c>
      <c r="P69" s="23" t="str">
        <f>VLOOKUP(tbl_MC[[#This Row],[Payment Ref]],'Supplier Invoice Statement'!K66,1,FALSE)</f>
        <v>24851_1</v>
      </c>
    </row>
    <row r="70" spans="1:16">
      <c r="A70" s="21" t="s">
        <v>344</v>
      </c>
      <c r="B70" s="21" t="s">
        <v>277</v>
      </c>
      <c r="C70" s="21">
        <v>545767</v>
      </c>
      <c r="D70" s="22">
        <v>40273</v>
      </c>
      <c r="E70" s="22">
        <f t="shared" ref="E70:E88" si="4">WORKDAY(EDATE(D70,1)-1,1)</f>
        <v>40303</v>
      </c>
      <c r="F70" s="22">
        <v>40292</v>
      </c>
      <c r="G70" s="21" t="s">
        <v>280</v>
      </c>
      <c r="H70" s="21">
        <v>322800</v>
      </c>
      <c r="I70" s="21" t="s">
        <v>264</v>
      </c>
      <c r="J70" s="23">
        <v>446.49</v>
      </c>
      <c r="K70" s="23" t="str">
        <f t="shared" ref="K70:K88" si="5">TEXT(D70,"DDD")</f>
        <v>Mon</v>
      </c>
      <c r="L70" s="29" t="str">
        <f t="shared" ref="L70:L88" si="6">MID(TEXT(D70,"YYYY-MMM-DD"),6,3)</f>
        <v>Apr</v>
      </c>
      <c r="M70" s="21">
        <f t="shared" ref="M70:M88" si="7">IF(NETWORKDAYS(E70,F70,7) &gt; 0,NETWORKDAYS(E70,F70,7),0)</f>
        <v>0</v>
      </c>
      <c r="N70" s="35" cm="1">
        <f t="array" ref="N70">IF(AND(tbl_MC[[#This Row],[Over Due]]="YES",tbl_MC[[#This Row],[Amount]]&gt;=500),tbl_MC[[#This Row],[Amount]]*tbl_MC[[#This Row],[Over Due By]]*Penalty_Rate,0)</f>
        <v>0</v>
      </c>
      <c r="O70" s="23" t="str">
        <f>IF(tbl_MC[[#This Row],[Payment Date]]&gt;tbl_MC[[#This Row],[Due Date]],"YES","")</f>
        <v/>
      </c>
      <c r="P70" s="23" t="str">
        <f>VLOOKUP(tbl_MC[[#This Row],[Payment Ref]],'Supplier Invoice Statement'!K67,1,FALSE)</f>
        <v>24854_1</v>
      </c>
    </row>
    <row r="71" spans="1:16">
      <c r="A71" s="21" t="s">
        <v>345</v>
      </c>
      <c r="B71" s="21" t="s">
        <v>277</v>
      </c>
      <c r="C71" s="21">
        <v>545768</v>
      </c>
      <c r="D71" s="22">
        <v>40259</v>
      </c>
      <c r="E71" s="22">
        <f t="shared" si="4"/>
        <v>40290</v>
      </c>
      <c r="F71" s="22">
        <v>40295</v>
      </c>
      <c r="G71" s="21" t="s">
        <v>280</v>
      </c>
      <c r="H71" s="21">
        <v>321358</v>
      </c>
      <c r="I71" s="21" t="s">
        <v>264</v>
      </c>
      <c r="J71" s="23">
        <v>242.22</v>
      </c>
      <c r="K71" s="23" t="str">
        <f t="shared" si="5"/>
        <v>Mon</v>
      </c>
      <c r="L71" s="29" t="str">
        <f t="shared" si="6"/>
        <v>Mar</v>
      </c>
      <c r="M71" s="21">
        <f t="shared" si="7"/>
        <v>4</v>
      </c>
      <c r="N71" s="35" cm="1">
        <f t="array" ref="N71">IF(AND(tbl_MC[[#This Row],[Over Due]]="YES",tbl_MC[[#This Row],[Amount]]&gt;=500),tbl_MC[[#This Row],[Amount]]*tbl_MC[[#This Row],[Over Due By]]*Penalty_Rate,0)</f>
        <v>0</v>
      </c>
      <c r="O71" s="23" t="str">
        <f>IF(tbl_MC[[#This Row],[Payment Date]]&gt;tbl_MC[[#This Row],[Due Date]],"YES","")</f>
        <v>YES</v>
      </c>
      <c r="P71" s="23" t="str">
        <f>VLOOKUP(tbl_MC[[#This Row],[Payment Ref]],'Supplier Invoice Statement'!K68,1,FALSE)</f>
        <v>24857_1</v>
      </c>
    </row>
    <row r="72" spans="1:16">
      <c r="A72" s="21" t="s">
        <v>346</v>
      </c>
      <c r="B72" s="21" t="s">
        <v>277</v>
      </c>
      <c r="C72" s="21">
        <v>545769</v>
      </c>
      <c r="D72" s="22">
        <v>40255</v>
      </c>
      <c r="E72" s="22">
        <f t="shared" si="4"/>
        <v>40287</v>
      </c>
      <c r="F72" s="22">
        <v>40295</v>
      </c>
      <c r="G72" s="21" t="s">
        <v>280</v>
      </c>
      <c r="H72" s="21">
        <v>316190</v>
      </c>
      <c r="I72" s="21" t="s">
        <v>264</v>
      </c>
      <c r="J72" s="23">
        <v>600.6</v>
      </c>
      <c r="K72" s="23" t="str">
        <f t="shared" si="5"/>
        <v>Thu</v>
      </c>
      <c r="L72" s="29" t="str">
        <f t="shared" si="6"/>
        <v>Mar</v>
      </c>
      <c r="M72" s="21">
        <f t="shared" si="7"/>
        <v>7</v>
      </c>
      <c r="N72" s="35" cm="1">
        <f t="array" ref="N72">IF(AND(tbl_MC[[#This Row],[Over Due]]="YES",tbl_MC[[#This Row],[Amount]]&gt;=500),tbl_MC[[#This Row],[Amount]]*tbl_MC[[#This Row],[Over Due By]]*Penalty_Rate,0)</f>
        <v>15.135119999999999</v>
      </c>
      <c r="O72" s="23" t="str">
        <f>IF(tbl_MC[[#This Row],[Payment Date]]&gt;tbl_MC[[#This Row],[Due Date]],"YES","")</f>
        <v>YES</v>
      </c>
      <c r="P72" s="23" t="str">
        <f>VLOOKUP(tbl_MC[[#This Row],[Payment Ref]],'Supplier Invoice Statement'!K69,1,FALSE)</f>
        <v>24861_1</v>
      </c>
    </row>
    <row r="73" spans="1:16">
      <c r="A73" s="21" t="s">
        <v>347</v>
      </c>
      <c r="B73" s="21" t="s">
        <v>277</v>
      </c>
      <c r="C73" s="21">
        <v>545770</v>
      </c>
      <c r="D73" s="22">
        <v>40282</v>
      </c>
      <c r="E73" s="22">
        <f t="shared" si="4"/>
        <v>40312</v>
      </c>
      <c r="F73" s="22">
        <v>40295</v>
      </c>
      <c r="G73" s="21" t="s">
        <v>280</v>
      </c>
      <c r="H73" s="21">
        <v>327938</v>
      </c>
      <c r="I73" s="21" t="s">
        <v>264</v>
      </c>
      <c r="J73" s="23">
        <v>546.80999999999995</v>
      </c>
      <c r="K73" s="23" t="str">
        <f t="shared" si="5"/>
        <v>Wed</v>
      </c>
      <c r="L73" s="29" t="str">
        <f t="shared" si="6"/>
        <v>Apr</v>
      </c>
      <c r="M73" s="21">
        <f t="shared" si="7"/>
        <v>0</v>
      </c>
      <c r="N73" s="35" cm="1">
        <f t="array" ref="N73">IF(AND(tbl_MC[[#This Row],[Over Due]]="YES",tbl_MC[[#This Row],[Amount]]&gt;=500),tbl_MC[[#This Row],[Amount]]*tbl_MC[[#This Row],[Over Due By]]*Penalty_Rate,0)</f>
        <v>0</v>
      </c>
      <c r="O73" s="23" t="str">
        <f>IF(tbl_MC[[#This Row],[Payment Date]]&gt;tbl_MC[[#This Row],[Due Date]],"YES","")</f>
        <v/>
      </c>
      <c r="P73" s="23" t="str">
        <f>VLOOKUP(tbl_MC[[#This Row],[Payment Ref]],'Supplier Invoice Statement'!K70,1,FALSE)</f>
        <v>24863_1</v>
      </c>
    </row>
    <row r="74" spans="1:16">
      <c r="A74" s="21" t="s">
        <v>348</v>
      </c>
      <c r="B74" s="21" t="s">
        <v>277</v>
      </c>
      <c r="C74" s="21">
        <v>545772</v>
      </c>
      <c r="D74" s="22">
        <v>40279</v>
      </c>
      <c r="E74" s="22">
        <f t="shared" si="4"/>
        <v>40309</v>
      </c>
      <c r="F74" s="22">
        <v>40295</v>
      </c>
      <c r="G74" s="21" t="s">
        <v>278</v>
      </c>
      <c r="H74" s="21">
        <v>234487</v>
      </c>
      <c r="I74" s="21" t="s">
        <v>279</v>
      </c>
      <c r="J74" s="23">
        <v>840.51</v>
      </c>
      <c r="K74" s="23" t="str">
        <f t="shared" si="5"/>
        <v>Sun</v>
      </c>
      <c r="L74" s="29" t="str">
        <f t="shared" si="6"/>
        <v>Apr</v>
      </c>
      <c r="M74" s="21">
        <f t="shared" si="7"/>
        <v>0</v>
      </c>
      <c r="N74" s="35" cm="1">
        <f t="array" ref="N74">IF(AND(tbl_MC[[#This Row],[Over Due]]="YES",tbl_MC[[#This Row],[Amount]]&gt;=500),tbl_MC[[#This Row],[Amount]]*tbl_MC[[#This Row],[Over Due By]]*Penalty_Rate,0)</f>
        <v>0</v>
      </c>
      <c r="O74" s="23" t="str">
        <f>IF(tbl_MC[[#This Row],[Payment Date]]&gt;tbl_MC[[#This Row],[Due Date]],"YES","")</f>
        <v/>
      </c>
      <c r="P74" s="23" t="str">
        <f>VLOOKUP(tbl_MC[[#This Row],[Payment Ref]],'Supplier Invoice Statement'!K71,1,FALSE)</f>
        <v>24866_1</v>
      </c>
    </row>
    <row r="75" spans="1:16">
      <c r="A75" s="21" t="s">
        <v>349</v>
      </c>
      <c r="B75" s="21" t="s">
        <v>277</v>
      </c>
      <c r="C75" s="21">
        <v>545773</v>
      </c>
      <c r="D75" s="22">
        <v>40277</v>
      </c>
      <c r="E75" s="22">
        <f t="shared" si="4"/>
        <v>40308</v>
      </c>
      <c r="F75" s="22">
        <v>40296</v>
      </c>
      <c r="G75" s="21" t="s">
        <v>278</v>
      </c>
      <c r="H75" s="21">
        <v>231274</v>
      </c>
      <c r="I75" s="21" t="s">
        <v>279</v>
      </c>
      <c r="J75" s="23">
        <v>603.57000000000005</v>
      </c>
      <c r="K75" s="23" t="str">
        <f t="shared" si="5"/>
        <v>Fri</v>
      </c>
      <c r="L75" s="29" t="str">
        <f t="shared" si="6"/>
        <v>Apr</v>
      </c>
      <c r="M75" s="21">
        <f t="shared" si="7"/>
        <v>0</v>
      </c>
      <c r="N75" s="35" cm="1">
        <f t="array" ref="N75">IF(AND(tbl_MC[[#This Row],[Over Due]]="YES",tbl_MC[[#This Row],[Amount]]&gt;=500),tbl_MC[[#This Row],[Amount]]*tbl_MC[[#This Row],[Over Due By]]*Penalty_Rate,0)</f>
        <v>0</v>
      </c>
      <c r="O75" s="23" t="str">
        <f>IF(tbl_MC[[#This Row],[Payment Date]]&gt;tbl_MC[[#This Row],[Due Date]],"YES","")</f>
        <v/>
      </c>
      <c r="P75" s="23" t="str">
        <f>VLOOKUP(tbl_MC[[#This Row],[Payment Ref]],'Supplier Invoice Statement'!K72,1,FALSE)</f>
        <v>24870_1</v>
      </c>
    </row>
    <row r="76" spans="1:16">
      <c r="A76" s="21" t="s">
        <v>350</v>
      </c>
      <c r="B76" s="21" t="s">
        <v>277</v>
      </c>
      <c r="C76" s="21">
        <v>545774</v>
      </c>
      <c r="D76" s="22">
        <v>40292</v>
      </c>
      <c r="E76" s="22">
        <f t="shared" si="4"/>
        <v>40322</v>
      </c>
      <c r="F76" s="22">
        <v>40296</v>
      </c>
      <c r="G76" s="21" t="s">
        <v>278</v>
      </c>
      <c r="H76" s="21">
        <v>224955</v>
      </c>
      <c r="I76" s="21" t="s">
        <v>279</v>
      </c>
      <c r="J76" s="23">
        <v>816.75</v>
      </c>
      <c r="K76" s="23" t="str">
        <f t="shared" si="5"/>
        <v>Sat</v>
      </c>
      <c r="L76" s="29" t="str">
        <f t="shared" si="6"/>
        <v>Apr</v>
      </c>
      <c r="M76" s="21">
        <f t="shared" si="7"/>
        <v>0</v>
      </c>
      <c r="N76" s="35" cm="1">
        <f t="array" ref="N76">IF(AND(tbl_MC[[#This Row],[Over Due]]="YES",tbl_MC[[#This Row],[Amount]]&gt;=500),tbl_MC[[#This Row],[Amount]]*tbl_MC[[#This Row],[Over Due By]]*Penalty_Rate,0)</f>
        <v>0</v>
      </c>
      <c r="O76" s="23" t="str">
        <f>IF(tbl_MC[[#This Row],[Payment Date]]&gt;tbl_MC[[#This Row],[Due Date]],"YES","")</f>
        <v/>
      </c>
      <c r="P76" s="23" t="str">
        <f>VLOOKUP(tbl_MC[[#This Row],[Payment Ref]],'Supplier Invoice Statement'!K73,1,FALSE)</f>
        <v>24873_1</v>
      </c>
    </row>
    <row r="77" spans="1:16">
      <c r="A77" s="21" t="s">
        <v>351</v>
      </c>
      <c r="B77" s="21" t="s">
        <v>277</v>
      </c>
      <c r="C77" s="21">
        <v>545775</v>
      </c>
      <c r="D77" s="22">
        <v>40262</v>
      </c>
      <c r="E77" s="22">
        <f t="shared" si="4"/>
        <v>40294</v>
      </c>
      <c r="F77" s="22">
        <v>40296</v>
      </c>
      <c r="G77" s="21" t="s">
        <v>278</v>
      </c>
      <c r="H77" s="21">
        <v>217275</v>
      </c>
      <c r="I77" s="21" t="s">
        <v>279</v>
      </c>
      <c r="J77" s="23">
        <v>1065.57</v>
      </c>
      <c r="K77" s="23" t="str">
        <f t="shared" si="5"/>
        <v>Thu</v>
      </c>
      <c r="L77" s="29" t="str">
        <f t="shared" si="6"/>
        <v>Mar</v>
      </c>
      <c r="M77" s="21">
        <f t="shared" si="7"/>
        <v>3</v>
      </c>
      <c r="N77" s="35" cm="1">
        <f t="array" ref="N77">IF(AND(tbl_MC[[#This Row],[Over Due]]="YES",tbl_MC[[#This Row],[Amount]]&gt;=500),tbl_MC[[#This Row],[Amount]]*tbl_MC[[#This Row],[Over Due By]]*Penalty_Rate,0)</f>
        <v>11.508156</v>
      </c>
      <c r="O77" s="23" t="str">
        <f>IF(tbl_MC[[#This Row],[Payment Date]]&gt;tbl_MC[[#This Row],[Due Date]],"YES","")</f>
        <v>YES</v>
      </c>
      <c r="P77" s="23" t="str">
        <f>VLOOKUP(tbl_MC[[#This Row],[Payment Ref]],'Supplier Invoice Statement'!K74,1,FALSE)</f>
        <v>24875_1</v>
      </c>
    </row>
    <row r="78" spans="1:16">
      <c r="A78" s="21" t="s">
        <v>352</v>
      </c>
      <c r="B78" s="21" t="s">
        <v>277</v>
      </c>
      <c r="C78" s="21">
        <v>545776</v>
      </c>
      <c r="D78" s="22">
        <v>40288</v>
      </c>
      <c r="E78" s="22">
        <f t="shared" si="4"/>
        <v>40318</v>
      </c>
      <c r="F78" s="22">
        <v>40296</v>
      </c>
      <c r="G78" s="21" t="s">
        <v>278</v>
      </c>
      <c r="H78" s="21">
        <v>226240</v>
      </c>
      <c r="I78" s="21" t="s">
        <v>279</v>
      </c>
      <c r="J78" s="23">
        <v>523.38</v>
      </c>
      <c r="K78" s="23" t="str">
        <f t="shared" si="5"/>
        <v>Tue</v>
      </c>
      <c r="L78" s="29" t="str">
        <f t="shared" si="6"/>
        <v>Apr</v>
      </c>
      <c r="M78" s="21">
        <f t="shared" si="7"/>
        <v>0</v>
      </c>
      <c r="N78" s="35" cm="1">
        <f t="array" ref="N78">IF(AND(tbl_MC[[#This Row],[Over Due]]="YES",tbl_MC[[#This Row],[Amount]]&gt;=500),tbl_MC[[#This Row],[Amount]]*tbl_MC[[#This Row],[Over Due By]]*Penalty_Rate,0)</f>
        <v>0</v>
      </c>
      <c r="O78" s="23" t="str">
        <f>IF(tbl_MC[[#This Row],[Payment Date]]&gt;tbl_MC[[#This Row],[Due Date]],"YES","")</f>
        <v/>
      </c>
      <c r="P78" s="23" t="str">
        <f>VLOOKUP(tbl_MC[[#This Row],[Payment Ref]],'Supplier Invoice Statement'!K75,1,FALSE)</f>
        <v>24876_1</v>
      </c>
    </row>
    <row r="79" spans="1:16">
      <c r="A79" s="21" t="s">
        <v>353</v>
      </c>
      <c r="B79" s="21" t="s">
        <v>277</v>
      </c>
      <c r="C79" s="21">
        <v>545778</v>
      </c>
      <c r="D79" s="22">
        <v>40253</v>
      </c>
      <c r="E79" s="22">
        <f t="shared" si="4"/>
        <v>40284</v>
      </c>
      <c r="F79" s="22">
        <v>40296</v>
      </c>
      <c r="G79" s="21" t="s">
        <v>280</v>
      </c>
      <c r="H79" s="21">
        <v>325643</v>
      </c>
      <c r="I79" s="21" t="s">
        <v>264</v>
      </c>
      <c r="J79" s="23">
        <v>650.42999999999995</v>
      </c>
      <c r="K79" s="23" t="str">
        <f t="shared" si="5"/>
        <v>Tue</v>
      </c>
      <c r="L79" s="29" t="str">
        <f t="shared" si="6"/>
        <v>Mar</v>
      </c>
      <c r="M79" s="21">
        <f t="shared" si="7"/>
        <v>9</v>
      </c>
      <c r="N79" s="35" cm="1">
        <f t="array" ref="N79">IF(AND(tbl_MC[[#This Row],[Over Due]]="YES",tbl_MC[[#This Row],[Amount]]&gt;=500),tbl_MC[[#This Row],[Amount]]*tbl_MC[[#This Row],[Over Due By]]*Penalty_Rate,0)</f>
        <v>21.073931999999999</v>
      </c>
      <c r="O79" s="23" t="str">
        <f>IF(tbl_MC[[#This Row],[Payment Date]]&gt;tbl_MC[[#This Row],[Due Date]],"YES","")</f>
        <v>YES</v>
      </c>
      <c r="P79" s="23" t="str">
        <f>VLOOKUP(tbl_MC[[#This Row],[Payment Ref]],'Supplier Invoice Statement'!K76,1,FALSE)</f>
        <v>24877_1</v>
      </c>
    </row>
    <row r="80" spans="1:16">
      <c r="A80" s="21" t="s">
        <v>354</v>
      </c>
      <c r="B80" s="21" t="s">
        <v>277</v>
      </c>
      <c r="C80" s="21">
        <v>545780</v>
      </c>
      <c r="D80" s="22">
        <v>40289</v>
      </c>
      <c r="E80" s="22">
        <f t="shared" si="4"/>
        <v>40319</v>
      </c>
      <c r="F80" s="22">
        <v>40297</v>
      </c>
      <c r="G80" s="21" t="s">
        <v>280</v>
      </c>
      <c r="H80" s="21">
        <v>312800</v>
      </c>
      <c r="I80" s="21" t="s">
        <v>264</v>
      </c>
      <c r="J80" s="23">
        <v>809.49</v>
      </c>
      <c r="K80" s="23" t="str">
        <f t="shared" si="5"/>
        <v>Wed</v>
      </c>
      <c r="L80" s="29" t="str">
        <f t="shared" si="6"/>
        <v>Apr</v>
      </c>
      <c r="M80" s="21">
        <f t="shared" si="7"/>
        <v>0</v>
      </c>
      <c r="N80" s="35" cm="1">
        <f t="array" ref="N80">IF(AND(tbl_MC[[#This Row],[Over Due]]="YES",tbl_MC[[#This Row],[Amount]]&gt;=500),tbl_MC[[#This Row],[Amount]]*tbl_MC[[#This Row],[Over Due By]]*Penalty_Rate,0)</f>
        <v>0</v>
      </c>
      <c r="O80" s="23" t="str">
        <f>IF(tbl_MC[[#This Row],[Payment Date]]&gt;tbl_MC[[#This Row],[Due Date]],"YES","")</f>
        <v/>
      </c>
      <c r="P80" s="23" t="str">
        <f>VLOOKUP(tbl_MC[[#This Row],[Payment Ref]],'Supplier Invoice Statement'!K77,1,FALSE)</f>
        <v>24878_1</v>
      </c>
    </row>
    <row r="81" spans="1:16">
      <c r="A81" s="21" t="s">
        <v>355</v>
      </c>
      <c r="B81" s="21" t="s">
        <v>277</v>
      </c>
      <c r="C81" s="21">
        <v>545781</v>
      </c>
      <c r="D81" s="22">
        <v>40277</v>
      </c>
      <c r="E81" s="22">
        <f t="shared" si="4"/>
        <v>40308</v>
      </c>
      <c r="F81" s="22">
        <v>40298</v>
      </c>
      <c r="G81" s="21" t="s">
        <v>280</v>
      </c>
      <c r="H81" s="21">
        <v>338807</v>
      </c>
      <c r="I81" s="21" t="s">
        <v>264</v>
      </c>
      <c r="J81" s="23">
        <v>424.38</v>
      </c>
      <c r="K81" s="23" t="str">
        <f t="shared" si="5"/>
        <v>Fri</v>
      </c>
      <c r="L81" s="29" t="str">
        <f t="shared" si="6"/>
        <v>Apr</v>
      </c>
      <c r="M81" s="21">
        <f t="shared" si="7"/>
        <v>0</v>
      </c>
      <c r="N81" s="35" cm="1">
        <f t="array" ref="N81">IF(AND(tbl_MC[[#This Row],[Over Due]]="YES",tbl_MC[[#This Row],[Amount]]&gt;=500),tbl_MC[[#This Row],[Amount]]*tbl_MC[[#This Row],[Over Due By]]*Penalty_Rate,0)</f>
        <v>0</v>
      </c>
      <c r="O81" s="23" t="str">
        <f>IF(tbl_MC[[#This Row],[Payment Date]]&gt;tbl_MC[[#This Row],[Due Date]],"YES","")</f>
        <v/>
      </c>
      <c r="P81" s="23" t="str">
        <f>VLOOKUP(tbl_MC[[#This Row],[Payment Ref]],'Supplier Invoice Statement'!K78,1,FALSE)</f>
        <v>24880_1</v>
      </c>
    </row>
    <row r="82" spans="1:16">
      <c r="A82" s="21" t="s">
        <v>356</v>
      </c>
      <c r="B82" s="21" t="s">
        <v>277</v>
      </c>
      <c r="C82" s="21">
        <v>545783</v>
      </c>
      <c r="D82" s="22">
        <v>40260</v>
      </c>
      <c r="E82" s="22">
        <f t="shared" si="4"/>
        <v>40291</v>
      </c>
      <c r="F82" s="22">
        <v>40298</v>
      </c>
      <c r="G82" s="21" t="s">
        <v>278</v>
      </c>
      <c r="H82" s="21">
        <v>239476</v>
      </c>
      <c r="I82" s="21" t="s">
        <v>279</v>
      </c>
      <c r="J82" s="23">
        <v>955.68</v>
      </c>
      <c r="K82" s="23" t="str">
        <f t="shared" si="5"/>
        <v>Tue</v>
      </c>
      <c r="L82" s="29" t="str">
        <f t="shared" si="6"/>
        <v>Mar</v>
      </c>
      <c r="M82" s="21">
        <f t="shared" si="7"/>
        <v>6</v>
      </c>
      <c r="N82" s="35" cm="1">
        <f t="array" ref="N82">IF(AND(tbl_MC[[#This Row],[Over Due]]="YES",tbl_MC[[#This Row],[Amount]]&gt;=500),tbl_MC[[#This Row],[Amount]]*tbl_MC[[#This Row],[Over Due By]]*Penalty_Rate,0)</f>
        <v>20.642688</v>
      </c>
      <c r="O82" s="23" t="str">
        <f>IF(tbl_MC[[#This Row],[Payment Date]]&gt;tbl_MC[[#This Row],[Due Date]],"YES","")</f>
        <v>YES</v>
      </c>
      <c r="P82" s="23" t="str">
        <f>VLOOKUP(tbl_MC[[#This Row],[Payment Ref]],'Supplier Invoice Statement'!K79,1,FALSE)</f>
        <v>24882_1</v>
      </c>
    </row>
    <row r="83" spans="1:16">
      <c r="A83" s="21" t="s">
        <v>357</v>
      </c>
      <c r="B83" s="21" t="s">
        <v>277</v>
      </c>
      <c r="C83" s="21">
        <v>545784</v>
      </c>
      <c r="D83" s="22">
        <v>40256</v>
      </c>
      <c r="E83" s="22">
        <f t="shared" si="4"/>
        <v>40287</v>
      </c>
      <c r="F83" s="22">
        <v>40298</v>
      </c>
      <c r="G83" s="21" t="s">
        <v>278</v>
      </c>
      <c r="H83" s="21">
        <v>213693</v>
      </c>
      <c r="I83" s="21" t="s">
        <v>279</v>
      </c>
      <c r="J83" s="23">
        <v>764.28</v>
      </c>
      <c r="K83" s="23" t="str">
        <f t="shared" si="5"/>
        <v>Fri</v>
      </c>
      <c r="L83" s="29" t="str">
        <f t="shared" si="6"/>
        <v>Mar</v>
      </c>
      <c r="M83" s="21">
        <f t="shared" si="7"/>
        <v>10</v>
      </c>
      <c r="N83" s="35" cm="1">
        <f t="array" ref="N83">IF(AND(tbl_MC[[#This Row],[Over Due]]="YES",tbl_MC[[#This Row],[Amount]]&gt;=500),tbl_MC[[#This Row],[Amount]]*tbl_MC[[#This Row],[Over Due By]]*Penalty_Rate,0)</f>
        <v>27.514079999999996</v>
      </c>
      <c r="O83" s="23" t="str">
        <f>IF(tbl_MC[[#This Row],[Payment Date]]&gt;tbl_MC[[#This Row],[Due Date]],"YES","")</f>
        <v>YES</v>
      </c>
      <c r="P83" s="23" t="str">
        <f>VLOOKUP(tbl_MC[[#This Row],[Payment Ref]],'Supplier Invoice Statement'!K80,1,FALSE)</f>
        <v>24885_1</v>
      </c>
    </row>
    <row r="84" spans="1:16">
      <c r="A84" s="21" t="s">
        <v>358</v>
      </c>
      <c r="B84" s="21" t="s">
        <v>277</v>
      </c>
      <c r="C84" s="21">
        <v>545785</v>
      </c>
      <c r="D84" s="22">
        <v>40259</v>
      </c>
      <c r="E84" s="22">
        <f t="shared" si="4"/>
        <v>40290</v>
      </c>
      <c r="F84" s="22">
        <v>40298</v>
      </c>
      <c r="G84" s="21" t="s">
        <v>278</v>
      </c>
      <c r="H84" s="21">
        <v>235040</v>
      </c>
      <c r="I84" s="21" t="s">
        <v>279</v>
      </c>
      <c r="J84" s="23">
        <v>335.61</v>
      </c>
      <c r="K84" s="23" t="str">
        <f t="shared" si="5"/>
        <v>Mon</v>
      </c>
      <c r="L84" s="29" t="str">
        <f t="shared" si="6"/>
        <v>Mar</v>
      </c>
      <c r="M84" s="21">
        <f t="shared" si="7"/>
        <v>7</v>
      </c>
      <c r="N84" s="35" cm="1">
        <f t="array" ref="N84">IF(AND(tbl_MC[[#This Row],[Over Due]]="YES",tbl_MC[[#This Row],[Amount]]&gt;=500),tbl_MC[[#This Row],[Amount]]*tbl_MC[[#This Row],[Over Due By]]*Penalty_Rate,0)</f>
        <v>0</v>
      </c>
      <c r="O84" s="23" t="str">
        <f>IF(tbl_MC[[#This Row],[Payment Date]]&gt;tbl_MC[[#This Row],[Due Date]],"YES","")</f>
        <v>YES</v>
      </c>
      <c r="P84" s="23" t="str">
        <f>VLOOKUP(tbl_MC[[#This Row],[Payment Ref]],'Supplier Invoice Statement'!K81,1,FALSE)</f>
        <v>24887_1</v>
      </c>
    </row>
    <row r="85" spans="1:16">
      <c r="A85" s="21" t="s">
        <v>359</v>
      </c>
      <c r="B85" s="21" t="s">
        <v>277</v>
      </c>
      <c r="C85" s="21">
        <v>545786</v>
      </c>
      <c r="D85" s="22">
        <v>40276</v>
      </c>
      <c r="E85" s="22">
        <f t="shared" si="4"/>
        <v>40308</v>
      </c>
      <c r="F85" s="22">
        <v>40298</v>
      </c>
      <c r="G85" s="21" t="s">
        <v>278</v>
      </c>
      <c r="H85" s="21">
        <v>211771</v>
      </c>
      <c r="I85" s="21" t="s">
        <v>279</v>
      </c>
      <c r="J85" s="23">
        <v>763.29</v>
      </c>
      <c r="K85" s="23" t="str">
        <f t="shared" si="5"/>
        <v>Thu</v>
      </c>
      <c r="L85" s="29" t="str">
        <f t="shared" si="6"/>
        <v>Apr</v>
      </c>
      <c r="M85" s="21">
        <f t="shared" si="7"/>
        <v>0</v>
      </c>
      <c r="N85" s="35" cm="1">
        <f t="array" ref="N85">IF(AND(tbl_MC[[#This Row],[Over Due]]="YES",tbl_MC[[#This Row],[Amount]]&gt;=500),tbl_MC[[#This Row],[Amount]]*tbl_MC[[#This Row],[Over Due By]]*Penalty_Rate,0)</f>
        <v>0</v>
      </c>
      <c r="O85" s="23" t="str">
        <f>IF(tbl_MC[[#This Row],[Payment Date]]&gt;tbl_MC[[#This Row],[Due Date]],"YES","")</f>
        <v/>
      </c>
      <c r="P85" s="23" t="str">
        <f>VLOOKUP(tbl_MC[[#This Row],[Payment Ref]],'Supplier Invoice Statement'!K82,1,FALSE)</f>
        <v>24891_1</v>
      </c>
    </row>
    <row r="86" spans="1:16">
      <c r="A86" s="21" t="s">
        <v>360</v>
      </c>
      <c r="B86" s="21" t="s">
        <v>277</v>
      </c>
      <c r="C86" s="21">
        <v>545788</v>
      </c>
      <c r="D86" s="22">
        <v>40274</v>
      </c>
      <c r="E86" s="22">
        <f t="shared" si="4"/>
        <v>40304</v>
      </c>
      <c r="F86" s="22">
        <v>40298</v>
      </c>
      <c r="G86" s="21" t="s">
        <v>280</v>
      </c>
      <c r="H86" s="21">
        <v>326543</v>
      </c>
      <c r="I86" s="21" t="s">
        <v>264</v>
      </c>
      <c r="J86" s="23">
        <v>446.16</v>
      </c>
      <c r="K86" s="23" t="str">
        <f t="shared" si="5"/>
        <v>Tue</v>
      </c>
      <c r="L86" s="29" t="str">
        <f t="shared" si="6"/>
        <v>Apr</v>
      </c>
      <c r="M86" s="21">
        <f t="shared" si="7"/>
        <v>0</v>
      </c>
      <c r="N86" s="35" cm="1">
        <f t="array" ref="N86">IF(AND(tbl_MC[[#This Row],[Over Due]]="YES",tbl_MC[[#This Row],[Amount]]&gt;=500),tbl_MC[[#This Row],[Amount]]*tbl_MC[[#This Row],[Over Due By]]*Penalty_Rate,0)</f>
        <v>0</v>
      </c>
      <c r="O86" s="23" t="str">
        <f>IF(tbl_MC[[#This Row],[Payment Date]]&gt;tbl_MC[[#This Row],[Due Date]],"YES","")</f>
        <v/>
      </c>
      <c r="P86" s="23" t="str">
        <f>VLOOKUP(tbl_MC[[#This Row],[Payment Ref]],'Supplier Invoice Statement'!K83,1,FALSE)</f>
        <v>24893_1</v>
      </c>
    </row>
    <row r="87" spans="1:16">
      <c r="A87" s="21" t="s">
        <v>361</v>
      </c>
      <c r="B87" s="21" t="s">
        <v>277</v>
      </c>
      <c r="C87" s="21">
        <v>545789</v>
      </c>
      <c r="D87" s="22">
        <v>40270</v>
      </c>
      <c r="E87" s="22">
        <f t="shared" si="4"/>
        <v>40301</v>
      </c>
      <c r="F87" s="22">
        <v>40298</v>
      </c>
      <c r="G87" s="21" t="s">
        <v>280</v>
      </c>
      <c r="H87" s="21">
        <v>338553</v>
      </c>
      <c r="I87" s="21" t="s">
        <v>264</v>
      </c>
      <c r="J87" s="23">
        <v>1032.24</v>
      </c>
      <c r="K87" s="23" t="str">
        <f t="shared" si="5"/>
        <v>Fri</v>
      </c>
      <c r="L87" s="29" t="str">
        <f t="shared" si="6"/>
        <v>Apr</v>
      </c>
      <c r="M87" s="21">
        <f t="shared" si="7"/>
        <v>0</v>
      </c>
      <c r="N87" s="35" cm="1">
        <f t="array" ref="N87">IF(AND(tbl_MC[[#This Row],[Over Due]]="YES",tbl_MC[[#This Row],[Amount]]&gt;=500),tbl_MC[[#This Row],[Amount]]*tbl_MC[[#This Row],[Over Due By]]*Penalty_Rate,0)</f>
        <v>0</v>
      </c>
      <c r="O87" s="23" t="str">
        <f>IF(tbl_MC[[#This Row],[Payment Date]]&gt;tbl_MC[[#This Row],[Due Date]],"YES","")</f>
        <v/>
      </c>
      <c r="P87" s="23" t="str">
        <f>VLOOKUP(tbl_MC[[#This Row],[Payment Ref]],'Supplier Invoice Statement'!K84,1,FALSE)</f>
        <v>24898_1</v>
      </c>
    </row>
    <row r="88" spans="1:16">
      <c r="A88" s="21" t="s">
        <v>362</v>
      </c>
      <c r="B88" s="21" t="s">
        <v>277</v>
      </c>
      <c r="C88" s="21">
        <v>545790</v>
      </c>
      <c r="D88" s="22">
        <v>40259</v>
      </c>
      <c r="E88" s="22">
        <f t="shared" si="4"/>
        <v>40290</v>
      </c>
      <c r="F88" s="22">
        <v>40298</v>
      </c>
      <c r="G88" s="21" t="s">
        <v>278</v>
      </c>
      <c r="H88" s="21">
        <v>213342</v>
      </c>
      <c r="I88" s="21" t="s">
        <v>279</v>
      </c>
      <c r="J88" s="23">
        <v>533.28</v>
      </c>
      <c r="K88" s="23" t="str">
        <f t="shared" si="5"/>
        <v>Mon</v>
      </c>
      <c r="L88" s="29" t="str">
        <f t="shared" si="6"/>
        <v>Mar</v>
      </c>
      <c r="M88" s="21">
        <f t="shared" si="7"/>
        <v>7</v>
      </c>
      <c r="N88" s="35" cm="1">
        <f t="array" ref="N88">IF(AND(tbl_MC[[#This Row],[Over Due]]="YES",tbl_MC[[#This Row],[Amount]]&gt;=500),tbl_MC[[#This Row],[Amount]]*tbl_MC[[#This Row],[Over Due By]]*Penalty_Rate,0)</f>
        <v>13.438656</v>
      </c>
      <c r="O88" s="23" t="str">
        <f>IF(tbl_MC[[#This Row],[Payment Date]]&gt;tbl_MC[[#This Row],[Due Date]],"YES","")</f>
        <v>YES</v>
      </c>
      <c r="P88" s="23" t="str">
        <f>VLOOKUP(tbl_MC[[#This Row],[Payment Ref]],'Supplier Invoice Statement'!K85,1,FALSE)</f>
        <v>24902_1</v>
      </c>
    </row>
    <row r="89" spans="1:16" ht="15" customHeight="1">
      <c r="A89" s="21" t="s">
        <v>259</v>
      </c>
      <c r="B89" s="21">
        <f>SUBTOTAL(103,B5:B88)</f>
        <v>84</v>
      </c>
      <c r="C89" s="21"/>
      <c r="D89" s="21"/>
      <c r="E89" s="21"/>
      <c r="F89" s="21"/>
      <c r="G89" s="21"/>
      <c r="H89" s="21"/>
      <c r="I89" s="21"/>
      <c r="J89" s="21">
        <f>SUBTOTAL(109,J5:J88)</f>
        <v>45711.929999999993</v>
      </c>
      <c r="K89" s="21"/>
      <c r="L89" s="29"/>
      <c r="M89" s="21"/>
      <c r="N89" s="23">
        <f>SUBTOTAL(109,tbl_MC[Late Charge])</f>
        <v>362.69164799999999</v>
      </c>
      <c r="O89" s="21"/>
      <c r="P89" s="21"/>
    </row>
  </sheetData>
  <sortState xmlns:xlrd2="http://schemas.microsoft.com/office/spreadsheetml/2017/richdata2" ref="D5:F88">
    <sortCondition ref="F5:F88"/>
  </sortState>
  <phoneticPr fontId="4" type="noConversion"/>
  <conditionalFormatting sqref="O6 B5:N88">
    <cfRule type="expression" dxfId="37" priority="8">
      <formula>$I5=$J$2</formula>
    </cfRule>
  </conditionalFormatting>
  <conditionalFormatting sqref="A5:A88">
    <cfRule type="expression" dxfId="36" priority="1">
      <formula>$I5=$J$2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75A347-AC2C-45C6-9F0B-1A54227F0562}">
          <x14:formula1>
            <xm:f>OFFSET('Recon Analysis'!$A$8,0,0,COUNTA('Recon Analysis'!$A$8:$A$18),1)</xm:f>
          </x14:formula1>
          <xm:sqref>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J7" sqref="J7"/>
    </sheetView>
  </sheetViews>
  <sheetFormatPr defaultRowHeight="15" customHeight="1"/>
  <cols>
    <col min="1" max="1" width="22.42578125" customWidth="1"/>
    <col min="2" max="2" width="20.42578125" customWidth="1"/>
    <col min="3" max="3" width="19.42578125" customWidth="1"/>
    <col min="4" max="4" width="36.5703125" bestFit="1" customWidth="1"/>
    <col min="5" max="5" width="13.5703125" bestFit="1" customWidth="1"/>
    <col min="10" max="10" width="36.5703125" bestFit="1" customWidth="1"/>
  </cols>
  <sheetData>
    <row r="1" spans="1:10" ht="19.5">
      <c r="A1" s="15" t="s">
        <v>363</v>
      </c>
      <c r="B1" s="15"/>
      <c r="C1" s="15"/>
    </row>
    <row r="2" spans="1:10">
      <c r="J2" s="24"/>
    </row>
    <row r="3" spans="1:10">
      <c r="A3" t="s">
        <v>364</v>
      </c>
      <c r="B3">
        <f>SUM(Amount_Paid)</f>
        <v>48282.62999999999</v>
      </c>
    </row>
    <row r="4" spans="1:10">
      <c r="A4" t="s">
        <v>365</v>
      </c>
      <c r="B4" s="1">
        <f>SUM(Amount)</f>
        <v>45711.929999999993</v>
      </c>
    </row>
    <row r="5" spans="1:10">
      <c r="A5" t="s">
        <v>366</v>
      </c>
      <c r="B5" s="1">
        <f>B3-B4</f>
        <v>2570.6999999999971</v>
      </c>
    </row>
    <row r="7" spans="1:10">
      <c r="A7" s="3" t="s">
        <v>367</v>
      </c>
      <c r="B7" s="14" t="s">
        <v>368</v>
      </c>
      <c r="C7" s="14" t="s">
        <v>369</v>
      </c>
      <c r="D7" s="34" t="s">
        <v>370</v>
      </c>
      <c r="E7" s="34" t="s">
        <v>274</v>
      </c>
    </row>
    <row r="8" spans="1:10">
      <c r="A8" t="s">
        <v>279</v>
      </c>
      <c r="B8">
        <f>COUNTIF(Location,A8)</f>
        <v>40</v>
      </c>
      <c r="C8" s="32">
        <f>SUMIF(Location,"Sydney",Amount)</f>
        <v>24082.739999999998</v>
      </c>
      <c r="D8" s="24">
        <f>SUMIF(Location,$A8,tbl_MC[Over Due By])</f>
        <v>98</v>
      </c>
      <c r="E8" s="24">
        <f>SUMIF(Location,$A8,tbl_MC[Late Charge])</f>
        <v>184.26236400000002</v>
      </c>
    </row>
    <row r="9" spans="1:10">
      <c r="A9" t="s">
        <v>264</v>
      </c>
      <c r="B9">
        <f>COUNTIF(Location,A9)</f>
        <v>44</v>
      </c>
      <c r="C9" s="32">
        <f>SUMIF(Location,"Melbourne",Amount)</f>
        <v>21629.190000000006</v>
      </c>
      <c r="D9" s="24">
        <f>SUMIF(Location,$A9,tbl_MC[Over Due By])</f>
        <v>120</v>
      </c>
      <c r="E9" s="24">
        <f>SUMIF(Location,$A9,tbl_MC[Late Charge])</f>
        <v>178.429284</v>
      </c>
    </row>
    <row r="10" spans="1:10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topLeftCell="N1" zoomScaleNormal="100" workbookViewId="0">
      <selection activeCell="A35" sqref="A35"/>
    </sheetView>
  </sheetViews>
  <sheetFormatPr defaultRowHeight="14.4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>
      <c r="A1" s="37" t="s">
        <v>371</v>
      </c>
      <c r="B1" s="37"/>
      <c r="C1" s="37"/>
      <c r="D1" s="37"/>
      <c r="F1" s="37" t="s">
        <v>372</v>
      </c>
      <c r="G1" s="37"/>
      <c r="H1" s="37"/>
      <c r="I1" s="37"/>
      <c r="K1" s="37" t="s">
        <v>372</v>
      </c>
      <c r="L1" s="37"/>
      <c r="M1" s="37"/>
      <c r="N1" s="37"/>
      <c r="P1" s="37" t="s">
        <v>373</v>
      </c>
      <c r="Q1" s="37"/>
      <c r="R1" s="37"/>
      <c r="S1" s="37"/>
    </row>
    <row r="2" spans="1:19" ht="14.25" customHeight="1">
      <c r="A2" s="4" t="s">
        <v>374</v>
      </c>
      <c r="B2" s="4" t="s">
        <v>375</v>
      </c>
      <c r="C2" s="4" t="s">
        <v>376</v>
      </c>
      <c r="D2" s="4" t="s">
        <v>377</v>
      </c>
      <c r="F2" s="4" t="s">
        <v>374</v>
      </c>
      <c r="G2" s="4" t="s">
        <v>375</v>
      </c>
      <c r="H2" s="4" t="s">
        <v>376</v>
      </c>
      <c r="I2" s="4" t="s">
        <v>377</v>
      </c>
      <c r="K2" s="4" t="s">
        <v>374</v>
      </c>
      <c r="L2" s="4" t="s">
        <v>375</v>
      </c>
      <c r="M2" s="4" t="s">
        <v>376</v>
      </c>
      <c r="N2" s="4" t="s">
        <v>377</v>
      </c>
      <c r="P2" s="4" t="s">
        <v>374</v>
      </c>
      <c r="Q2" s="4" t="s">
        <v>375</v>
      </c>
      <c r="R2" s="4" t="s">
        <v>376</v>
      </c>
      <c r="S2" s="4" t="s">
        <v>377</v>
      </c>
    </row>
    <row r="3" spans="1:19" ht="14.25" customHeight="1">
      <c r="A3" s="5">
        <v>0</v>
      </c>
      <c r="B3" s="5">
        <v>0</v>
      </c>
      <c r="C3" s="5" t="s">
        <v>378</v>
      </c>
      <c r="D3" s="6" t="s">
        <v>379</v>
      </c>
      <c r="F3" s="5">
        <v>33</v>
      </c>
      <c r="G3" s="5">
        <v>100001</v>
      </c>
      <c r="H3" s="7" t="s">
        <v>380</v>
      </c>
      <c r="I3" s="6" t="s">
        <v>381</v>
      </c>
      <c r="K3" s="5">
        <v>65</v>
      </c>
      <c r="L3" s="5">
        <v>1000001</v>
      </c>
      <c r="M3" s="7" t="s">
        <v>382</v>
      </c>
      <c r="N3" s="6"/>
      <c r="P3" s="5">
        <v>128</v>
      </c>
      <c r="Q3" s="5">
        <v>10000000</v>
      </c>
      <c r="R3" s="5" t="s">
        <v>383</v>
      </c>
      <c r="S3" s="6"/>
    </row>
    <row r="4" spans="1:19" ht="14.25" customHeight="1">
      <c r="A4" s="5">
        <v>1</v>
      </c>
      <c r="B4" s="5">
        <v>1</v>
      </c>
      <c r="C4" s="5" t="s">
        <v>384</v>
      </c>
      <c r="D4" s="6" t="s">
        <v>385</v>
      </c>
      <c r="F4" s="5">
        <v>34</v>
      </c>
      <c r="G4" s="5">
        <v>100010</v>
      </c>
      <c r="H4" s="7" t="s">
        <v>386</v>
      </c>
      <c r="I4" s="6" t="s">
        <v>387</v>
      </c>
      <c r="K4" s="5">
        <v>66</v>
      </c>
      <c r="L4" s="5">
        <v>1000010</v>
      </c>
      <c r="M4" s="7" t="s">
        <v>388</v>
      </c>
      <c r="N4" s="6"/>
      <c r="P4" s="5">
        <v>129</v>
      </c>
      <c r="Q4" s="5">
        <v>10000001</v>
      </c>
      <c r="R4" s="5" t="s">
        <v>389</v>
      </c>
      <c r="S4" s="6"/>
    </row>
    <row r="5" spans="1:19">
      <c r="A5" s="5">
        <v>2</v>
      </c>
      <c r="B5" s="5">
        <v>10</v>
      </c>
      <c r="C5" s="5" t="s">
        <v>390</v>
      </c>
      <c r="D5" s="6" t="s">
        <v>391</v>
      </c>
      <c r="F5" s="5">
        <v>35</v>
      </c>
      <c r="G5" s="5">
        <v>100011</v>
      </c>
      <c r="H5" s="7" t="s">
        <v>392</v>
      </c>
      <c r="I5" s="6" t="s">
        <v>393</v>
      </c>
      <c r="K5" s="5">
        <v>67</v>
      </c>
      <c r="L5" s="5">
        <v>1000011</v>
      </c>
      <c r="M5" s="7" t="s">
        <v>394</v>
      </c>
      <c r="N5" s="6"/>
      <c r="P5" s="5">
        <v>130</v>
      </c>
      <c r="Q5" s="5">
        <v>10000010</v>
      </c>
      <c r="R5" s="5" t="s">
        <v>395</v>
      </c>
      <c r="S5" s="6"/>
    </row>
    <row r="6" spans="1:19">
      <c r="A6" s="5">
        <v>3</v>
      </c>
      <c r="B6" s="5">
        <v>11</v>
      </c>
      <c r="C6" s="5" t="s">
        <v>396</v>
      </c>
      <c r="D6" s="6" t="s">
        <v>397</v>
      </c>
      <c r="F6" s="5">
        <v>36</v>
      </c>
      <c r="G6" s="5">
        <v>100100</v>
      </c>
      <c r="H6" s="7" t="s">
        <v>398</v>
      </c>
      <c r="I6" s="6" t="s">
        <v>399</v>
      </c>
      <c r="K6" s="5">
        <v>68</v>
      </c>
      <c r="L6" s="5">
        <v>1000100</v>
      </c>
      <c r="M6" s="7" t="s">
        <v>400</v>
      </c>
      <c r="N6" s="6"/>
      <c r="P6" s="5">
        <v>131</v>
      </c>
      <c r="Q6" s="5">
        <v>10000011</v>
      </c>
      <c r="R6" s="5" t="s">
        <v>401</v>
      </c>
      <c r="S6" s="6"/>
    </row>
    <row r="7" spans="1:19">
      <c r="A7" s="5">
        <v>4</v>
      </c>
      <c r="B7" s="5">
        <v>100</v>
      </c>
      <c r="C7" s="5" t="s">
        <v>402</v>
      </c>
      <c r="D7" s="6" t="s">
        <v>403</v>
      </c>
      <c r="F7" s="5">
        <v>37</v>
      </c>
      <c r="G7" s="5">
        <v>100101</v>
      </c>
      <c r="H7" s="7" t="s">
        <v>404</v>
      </c>
      <c r="I7" s="6" t="s">
        <v>405</v>
      </c>
      <c r="K7" s="5">
        <v>69</v>
      </c>
      <c r="L7" s="5">
        <v>1000101</v>
      </c>
      <c r="M7" s="7" t="s">
        <v>406</v>
      </c>
      <c r="N7" s="6"/>
      <c r="P7" s="5">
        <v>132</v>
      </c>
      <c r="Q7" s="5">
        <v>10000100</v>
      </c>
      <c r="R7" s="5" t="s">
        <v>407</v>
      </c>
      <c r="S7" s="6"/>
    </row>
    <row r="8" spans="1:19">
      <c r="A8" s="5">
        <v>5</v>
      </c>
      <c r="B8" s="5">
        <v>101</v>
      </c>
      <c r="C8" s="5" t="s">
        <v>408</v>
      </c>
      <c r="D8" s="6" t="s">
        <v>409</v>
      </c>
      <c r="F8" s="5">
        <v>38</v>
      </c>
      <c r="G8" s="5">
        <v>100110</v>
      </c>
      <c r="H8" s="7" t="s">
        <v>410</v>
      </c>
      <c r="I8" s="6" t="s">
        <v>411</v>
      </c>
      <c r="K8" s="5">
        <v>70</v>
      </c>
      <c r="L8" s="5">
        <v>1000110</v>
      </c>
      <c r="M8" s="7" t="s">
        <v>412</v>
      </c>
      <c r="N8" s="6"/>
      <c r="P8" s="5">
        <v>133</v>
      </c>
      <c r="Q8" s="5">
        <v>10000101</v>
      </c>
      <c r="R8" s="5" t="s">
        <v>413</v>
      </c>
      <c r="S8" s="6"/>
    </row>
    <row r="9" spans="1:19">
      <c r="A9" s="5">
        <v>6</v>
      </c>
      <c r="B9" s="5">
        <v>110</v>
      </c>
      <c r="C9" s="5" t="s">
        <v>414</v>
      </c>
      <c r="D9" s="6" t="s">
        <v>415</v>
      </c>
      <c r="F9" s="5">
        <v>39</v>
      </c>
      <c r="G9" s="5">
        <v>100111</v>
      </c>
      <c r="H9" s="7" t="s">
        <v>416</v>
      </c>
      <c r="I9" s="6" t="s">
        <v>417</v>
      </c>
      <c r="K9" s="5">
        <v>71</v>
      </c>
      <c r="L9" s="5">
        <v>1000111</v>
      </c>
      <c r="M9" s="7" t="s">
        <v>418</v>
      </c>
      <c r="N9" s="6"/>
      <c r="P9" s="5">
        <v>134</v>
      </c>
      <c r="Q9" s="5">
        <v>10000110</v>
      </c>
      <c r="R9" s="5" t="s">
        <v>419</v>
      </c>
      <c r="S9" s="6"/>
    </row>
    <row r="10" spans="1:19">
      <c r="A10" s="5">
        <v>7</v>
      </c>
      <c r="B10" s="5">
        <v>111</v>
      </c>
      <c r="C10" s="5" t="s">
        <v>420</v>
      </c>
      <c r="D10" s="6" t="s">
        <v>421</v>
      </c>
      <c r="F10" s="5">
        <v>40</v>
      </c>
      <c r="G10" s="5">
        <v>101000</v>
      </c>
      <c r="H10" s="7" t="s">
        <v>422</v>
      </c>
      <c r="I10" s="6" t="s">
        <v>423</v>
      </c>
      <c r="K10" s="5">
        <v>72</v>
      </c>
      <c r="L10" s="5">
        <v>1001000</v>
      </c>
      <c r="M10" s="7" t="s">
        <v>424</v>
      </c>
      <c r="N10" s="6"/>
      <c r="P10" s="5">
        <v>135</v>
      </c>
      <c r="Q10" s="5">
        <v>10000111</v>
      </c>
      <c r="R10" s="5" t="s">
        <v>425</v>
      </c>
      <c r="S10" s="6"/>
    </row>
    <row r="11" spans="1:19">
      <c r="A11" s="5">
        <v>8</v>
      </c>
      <c r="B11" s="5">
        <v>1000</v>
      </c>
      <c r="C11" s="5" t="s">
        <v>426</v>
      </c>
      <c r="D11" s="6" t="s">
        <v>427</v>
      </c>
      <c r="F11" s="5">
        <v>41</v>
      </c>
      <c r="G11" s="5">
        <v>101001</v>
      </c>
      <c r="H11" s="7" t="s">
        <v>428</v>
      </c>
      <c r="I11" s="6" t="s">
        <v>429</v>
      </c>
      <c r="K11" s="5">
        <v>73</v>
      </c>
      <c r="L11" s="5">
        <v>1001001</v>
      </c>
      <c r="M11" s="7" t="s">
        <v>430</v>
      </c>
      <c r="N11" s="6"/>
      <c r="P11" s="5">
        <v>136</v>
      </c>
      <c r="Q11" s="5">
        <v>10001000</v>
      </c>
      <c r="R11" s="5" t="s">
        <v>431</v>
      </c>
      <c r="S11" s="6"/>
    </row>
    <row r="12" spans="1:19">
      <c r="A12" s="5">
        <v>9</v>
      </c>
      <c r="B12" s="5">
        <v>1001</v>
      </c>
      <c r="C12" s="7" t="s">
        <v>432</v>
      </c>
      <c r="D12" s="6" t="s">
        <v>433</v>
      </c>
      <c r="F12" s="5">
        <v>42</v>
      </c>
      <c r="G12" s="5">
        <v>101010</v>
      </c>
      <c r="H12" s="7" t="s">
        <v>434</v>
      </c>
      <c r="I12" s="6" t="s">
        <v>435</v>
      </c>
      <c r="K12" s="5">
        <v>74</v>
      </c>
      <c r="L12" s="5">
        <v>1001010</v>
      </c>
      <c r="M12" s="7" t="s">
        <v>436</v>
      </c>
      <c r="N12" s="6"/>
      <c r="P12" s="5">
        <v>137</v>
      </c>
      <c r="Q12" s="5">
        <v>10001001</v>
      </c>
      <c r="R12" s="5" t="s">
        <v>437</v>
      </c>
      <c r="S12" s="6"/>
    </row>
    <row r="13" spans="1:19">
      <c r="A13" s="5">
        <v>10</v>
      </c>
      <c r="B13" s="5">
        <v>1010</v>
      </c>
      <c r="C13" s="5" t="s">
        <v>438</v>
      </c>
      <c r="D13" s="6" t="s">
        <v>439</v>
      </c>
      <c r="F13" s="5">
        <v>43</v>
      </c>
      <c r="G13" s="5">
        <v>101011</v>
      </c>
      <c r="H13" s="7" t="s">
        <v>440</v>
      </c>
      <c r="I13" s="6" t="s">
        <v>441</v>
      </c>
      <c r="K13" s="5">
        <v>75</v>
      </c>
      <c r="L13" s="5">
        <v>1001011</v>
      </c>
      <c r="M13" s="7" t="s">
        <v>442</v>
      </c>
      <c r="N13" s="6"/>
      <c r="P13" s="5">
        <v>138</v>
      </c>
      <c r="Q13" s="5">
        <v>10001010</v>
      </c>
      <c r="R13" s="5" t="s">
        <v>443</v>
      </c>
      <c r="S13" s="6"/>
    </row>
    <row r="14" spans="1:19">
      <c r="A14" s="5">
        <v>11</v>
      </c>
      <c r="B14" s="5">
        <v>1011</v>
      </c>
      <c r="C14" s="5" t="s">
        <v>444</v>
      </c>
      <c r="D14" s="6" t="s">
        <v>445</v>
      </c>
      <c r="F14" s="5">
        <v>44</v>
      </c>
      <c r="G14" s="5">
        <v>101100</v>
      </c>
      <c r="H14" s="7" t="s">
        <v>446</v>
      </c>
      <c r="I14" s="6" t="s">
        <v>447</v>
      </c>
      <c r="K14" s="5">
        <v>76</v>
      </c>
      <c r="L14" s="5">
        <v>1001100</v>
      </c>
      <c r="M14" s="7" t="s">
        <v>448</v>
      </c>
      <c r="N14" s="6"/>
      <c r="P14" s="5">
        <v>139</v>
      </c>
      <c r="Q14" s="5">
        <v>10001011</v>
      </c>
      <c r="R14" s="5" t="s">
        <v>449</v>
      </c>
      <c r="S14" s="6"/>
    </row>
    <row r="15" spans="1:19">
      <c r="A15" s="5">
        <v>12</v>
      </c>
      <c r="B15" s="5">
        <v>1100</v>
      </c>
      <c r="C15" s="5" t="s">
        <v>450</v>
      </c>
      <c r="D15" s="6" t="s">
        <v>451</v>
      </c>
      <c r="F15" s="5">
        <v>45</v>
      </c>
      <c r="G15" s="5">
        <v>101101</v>
      </c>
      <c r="H15" s="7" t="s">
        <v>452</v>
      </c>
      <c r="I15" s="6" t="s">
        <v>453</v>
      </c>
      <c r="K15" s="5">
        <v>77</v>
      </c>
      <c r="L15" s="5">
        <v>1001101</v>
      </c>
      <c r="M15" s="7" t="s">
        <v>454</v>
      </c>
      <c r="N15" s="6"/>
      <c r="P15" s="5">
        <v>140</v>
      </c>
      <c r="Q15" s="5">
        <v>10001100</v>
      </c>
      <c r="R15" s="5" t="s">
        <v>455</v>
      </c>
      <c r="S15" s="6"/>
    </row>
    <row r="16" spans="1:19">
      <c r="A16" s="5">
        <v>13</v>
      </c>
      <c r="B16" s="5">
        <v>1101</v>
      </c>
      <c r="C16" s="7" t="s">
        <v>456</v>
      </c>
      <c r="D16" s="8" t="s">
        <v>457</v>
      </c>
      <c r="F16" s="5">
        <v>46</v>
      </c>
      <c r="G16" s="5">
        <v>101110</v>
      </c>
      <c r="H16" s="7" t="s">
        <v>458</v>
      </c>
      <c r="I16" s="6" t="s">
        <v>459</v>
      </c>
      <c r="K16" s="5">
        <v>78</v>
      </c>
      <c r="L16" s="5">
        <v>1001110</v>
      </c>
      <c r="M16" s="7" t="s">
        <v>460</v>
      </c>
      <c r="N16" s="6"/>
      <c r="P16" s="5">
        <v>141</v>
      </c>
      <c r="Q16" s="5">
        <v>10001101</v>
      </c>
      <c r="R16" s="5" t="s">
        <v>461</v>
      </c>
      <c r="S16" s="6"/>
    </row>
    <row r="17" spans="1:19">
      <c r="A17" s="5">
        <v>14</v>
      </c>
      <c r="B17" s="5">
        <v>1110</v>
      </c>
      <c r="C17" s="5" t="s">
        <v>462</v>
      </c>
      <c r="D17" s="6" t="s">
        <v>463</v>
      </c>
      <c r="F17" s="5">
        <v>47</v>
      </c>
      <c r="G17" s="5">
        <v>101111</v>
      </c>
      <c r="H17" s="7" t="s">
        <v>464</v>
      </c>
      <c r="I17" s="6" t="s">
        <v>465</v>
      </c>
      <c r="K17" s="5">
        <v>79</v>
      </c>
      <c r="L17" s="5">
        <v>1001111</v>
      </c>
      <c r="M17" s="7" t="s">
        <v>466</v>
      </c>
      <c r="N17" s="6"/>
      <c r="P17" s="5">
        <v>142</v>
      </c>
      <c r="Q17" s="5">
        <v>10001110</v>
      </c>
      <c r="R17" s="5" t="s">
        <v>467</v>
      </c>
      <c r="S17" s="6"/>
    </row>
    <row r="18" spans="1:19">
      <c r="A18" s="5">
        <v>15</v>
      </c>
      <c r="B18" s="5">
        <v>1111</v>
      </c>
      <c r="C18" s="5" t="s">
        <v>468</v>
      </c>
      <c r="D18" s="6" t="s">
        <v>469</v>
      </c>
      <c r="F18" s="5">
        <v>48</v>
      </c>
      <c r="G18" s="5">
        <v>110000</v>
      </c>
      <c r="H18" s="7">
        <v>0</v>
      </c>
      <c r="I18" s="6" t="s">
        <v>470</v>
      </c>
      <c r="K18" s="5">
        <v>80</v>
      </c>
      <c r="L18" s="5">
        <v>1010000</v>
      </c>
      <c r="M18" s="7" t="s">
        <v>471</v>
      </c>
      <c r="N18" s="6"/>
      <c r="P18" s="5">
        <v>143</v>
      </c>
      <c r="Q18" s="5">
        <v>10001111</v>
      </c>
      <c r="R18" s="5" t="s">
        <v>472</v>
      </c>
      <c r="S18" s="6"/>
    </row>
    <row r="19" spans="1:19">
      <c r="A19" s="5">
        <v>16</v>
      </c>
      <c r="B19" s="5">
        <v>10000</v>
      </c>
      <c r="C19" s="5" t="s">
        <v>473</v>
      </c>
      <c r="D19" s="6" t="s">
        <v>474</v>
      </c>
      <c r="F19" s="5">
        <v>49</v>
      </c>
      <c r="G19" s="5">
        <v>110001</v>
      </c>
      <c r="H19" s="7">
        <v>1</v>
      </c>
      <c r="I19" s="6" t="s">
        <v>475</v>
      </c>
      <c r="K19" s="5">
        <v>81</v>
      </c>
      <c r="L19" s="5">
        <v>1010001</v>
      </c>
      <c r="M19" s="7" t="s">
        <v>476</v>
      </c>
      <c r="N19" s="6"/>
      <c r="P19" s="5">
        <v>144</v>
      </c>
      <c r="Q19" s="5">
        <v>10010000</v>
      </c>
      <c r="R19" s="5" t="s">
        <v>477</v>
      </c>
      <c r="S19" s="6"/>
    </row>
    <row r="20" spans="1:19">
      <c r="A20" s="5">
        <v>17</v>
      </c>
      <c r="B20" s="5">
        <v>10001</v>
      </c>
      <c r="C20" s="5" t="s">
        <v>478</v>
      </c>
      <c r="D20" s="6" t="s">
        <v>479</v>
      </c>
      <c r="F20" s="5">
        <v>50</v>
      </c>
      <c r="G20" s="5">
        <v>110010</v>
      </c>
      <c r="H20" s="7">
        <v>2</v>
      </c>
      <c r="I20" s="6" t="s">
        <v>480</v>
      </c>
      <c r="K20" s="5">
        <v>82</v>
      </c>
      <c r="L20" s="5">
        <v>1010010</v>
      </c>
      <c r="M20" s="7" t="s">
        <v>481</v>
      </c>
      <c r="N20" s="6"/>
      <c r="P20" s="5">
        <v>145</v>
      </c>
      <c r="Q20" s="5">
        <v>10010001</v>
      </c>
      <c r="R20" s="5" t="s">
        <v>482</v>
      </c>
      <c r="S20" s="6"/>
    </row>
    <row r="21" spans="1:19">
      <c r="A21" s="5">
        <v>18</v>
      </c>
      <c r="B21" s="5">
        <v>10010</v>
      </c>
      <c r="C21" s="5" t="s">
        <v>483</v>
      </c>
      <c r="D21" s="6" t="s">
        <v>484</v>
      </c>
      <c r="F21" s="5">
        <v>51</v>
      </c>
      <c r="G21" s="5">
        <v>110011</v>
      </c>
      <c r="H21" s="7">
        <v>3</v>
      </c>
      <c r="I21" s="6" t="s">
        <v>485</v>
      </c>
      <c r="K21" s="5">
        <v>83</v>
      </c>
      <c r="L21" s="5">
        <v>1010011</v>
      </c>
      <c r="M21" s="7" t="s">
        <v>486</v>
      </c>
      <c r="N21" s="6"/>
      <c r="P21" s="5">
        <v>146</v>
      </c>
      <c r="Q21" s="5">
        <v>10010010</v>
      </c>
      <c r="R21" s="5" t="s">
        <v>487</v>
      </c>
      <c r="S21" s="6"/>
    </row>
    <row r="22" spans="1:19">
      <c r="A22" s="5">
        <v>19</v>
      </c>
      <c r="B22" s="5">
        <v>10011</v>
      </c>
      <c r="C22" s="5" t="s">
        <v>488</v>
      </c>
      <c r="D22" s="6" t="s">
        <v>489</v>
      </c>
      <c r="F22" s="5">
        <v>52</v>
      </c>
      <c r="G22" s="5">
        <v>110100</v>
      </c>
      <c r="H22" s="7">
        <v>4</v>
      </c>
      <c r="I22" s="6" t="s">
        <v>490</v>
      </c>
      <c r="K22" s="5">
        <v>84</v>
      </c>
      <c r="L22" s="5">
        <v>1010100</v>
      </c>
      <c r="M22" s="7" t="s">
        <v>491</v>
      </c>
      <c r="N22" s="6"/>
      <c r="P22" s="5">
        <v>147</v>
      </c>
      <c r="Q22" s="5">
        <v>10010011</v>
      </c>
      <c r="R22" s="5" t="s">
        <v>492</v>
      </c>
      <c r="S22" s="6"/>
    </row>
    <row r="23" spans="1:19">
      <c r="A23" s="5">
        <v>20</v>
      </c>
      <c r="B23" s="5">
        <v>10100</v>
      </c>
      <c r="C23" s="5" t="s">
        <v>493</v>
      </c>
      <c r="D23" s="6" t="s">
        <v>494</v>
      </c>
      <c r="F23" s="5">
        <v>53</v>
      </c>
      <c r="G23" s="5">
        <v>110101</v>
      </c>
      <c r="H23" s="7">
        <v>5</v>
      </c>
      <c r="I23" s="6" t="s">
        <v>495</v>
      </c>
      <c r="K23" s="5">
        <v>85</v>
      </c>
      <c r="L23" s="5">
        <v>1010101</v>
      </c>
      <c r="M23" s="7" t="s">
        <v>496</v>
      </c>
      <c r="N23" s="6"/>
      <c r="P23" s="5">
        <v>148</v>
      </c>
      <c r="Q23" s="5">
        <v>10010100</v>
      </c>
      <c r="R23" s="5" t="s">
        <v>497</v>
      </c>
      <c r="S23" s="6"/>
    </row>
    <row r="24" spans="1:19">
      <c r="A24" s="5">
        <v>21</v>
      </c>
      <c r="B24" s="5">
        <v>10101</v>
      </c>
      <c r="C24" s="5" t="s">
        <v>498</v>
      </c>
      <c r="D24" s="6" t="s">
        <v>499</v>
      </c>
      <c r="F24" s="5">
        <v>54</v>
      </c>
      <c r="G24" s="5">
        <v>110110</v>
      </c>
      <c r="H24" s="7">
        <v>6</v>
      </c>
      <c r="I24" s="6" t="s">
        <v>500</v>
      </c>
      <c r="K24" s="5">
        <v>86</v>
      </c>
      <c r="L24" s="5">
        <v>1010110</v>
      </c>
      <c r="M24" s="7" t="s">
        <v>501</v>
      </c>
      <c r="N24" s="6"/>
      <c r="P24" s="5">
        <v>149</v>
      </c>
      <c r="Q24" s="5">
        <v>10010101</v>
      </c>
      <c r="R24" s="5" t="s">
        <v>502</v>
      </c>
      <c r="S24" s="6"/>
    </row>
    <row r="25" spans="1:19">
      <c r="A25" s="5">
        <v>22</v>
      </c>
      <c r="B25" s="5">
        <v>10110</v>
      </c>
      <c r="C25" s="5" t="s">
        <v>503</v>
      </c>
      <c r="D25" s="6" t="s">
        <v>504</v>
      </c>
      <c r="F25" s="5">
        <v>55</v>
      </c>
      <c r="G25" s="5">
        <v>110111</v>
      </c>
      <c r="H25" s="7">
        <v>7</v>
      </c>
      <c r="I25" s="6" t="s">
        <v>505</v>
      </c>
      <c r="K25" s="5">
        <v>87</v>
      </c>
      <c r="L25" s="5">
        <v>1010111</v>
      </c>
      <c r="M25" s="7" t="s">
        <v>506</v>
      </c>
      <c r="N25" s="6"/>
      <c r="P25" s="5">
        <v>150</v>
      </c>
      <c r="Q25" s="5">
        <v>10010110</v>
      </c>
      <c r="R25" s="5" t="s">
        <v>507</v>
      </c>
      <c r="S25" s="6"/>
    </row>
    <row r="26" spans="1:19">
      <c r="A26" s="5">
        <v>23</v>
      </c>
      <c r="B26" s="5">
        <v>10111</v>
      </c>
      <c r="C26" s="5" t="s">
        <v>508</v>
      </c>
      <c r="D26" s="6" t="s">
        <v>509</v>
      </c>
      <c r="F26" s="5">
        <v>56</v>
      </c>
      <c r="G26" s="5">
        <v>111000</v>
      </c>
      <c r="H26" s="7">
        <v>8</v>
      </c>
      <c r="I26" s="6" t="s">
        <v>510</v>
      </c>
      <c r="K26" s="5">
        <v>88</v>
      </c>
      <c r="L26" s="5">
        <v>1011000</v>
      </c>
      <c r="M26" s="7" t="s">
        <v>511</v>
      </c>
      <c r="N26" s="6"/>
      <c r="P26" s="5">
        <v>151</v>
      </c>
      <c r="Q26" s="5">
        <v>10010111</v>
      </c>
      <c r="R26" s="5" t="s">
        <v>512</v>
      </c>
      <c r="S26" s="6"/>
    </row>
    <row r="27" spans="1:19">
      <c r="A27" s="5">
        <v>24</v>
      </c>
      <c r="B27" s="5">
        <v>11000</v>
      </c>
      <c r="C27" s="5" t="s">
        <v>513</v>
      </c>
      <c r="D27" s="6" t="s">
        <v>514</v>
      </c>
      <c r="F27" s="5">
        <v>57</v>
      </c>
      <c r="G27" s="5">
        <v>111001</v>
      </c>
      <c r="H27" s="7">
        <v>9</v>
      </c>
      <c r="I27" s="6" t="s">
        <v>515</v>
      </c>
      <c r="K27" s="5">
        <v>89</v>
      </c>
      <c r="L27" s="5">
        <v>1011001</v>
      </c>
      <c r="M27" s="7" t="s">
        <v>516</v>
      </c>
      <c r="N27" s="6"/>
      <c r="P27" s="5">
        <v>152</v>
      </c>
      <c r="Q27" s="5">
        <v>10011000</v>
      </c>
      <c r="R27" s="5" t="s">
        <v>517</v>
      </c>
      <c r="S27" s="6"/>
    </row>
    <row r="28" spans="1:19">
      <c r="A28" s="5">
        <v>25</v>
      </c>
      <c r="B28" s="5">
        <v>11001</v>
      </c>
      <c r="C28" s="5" t="s">
        <v>518</v>
      </c>
      <c r="D28" s="6" t="s">
        <v>519</v>
      </c>
      <c r="F28" s="5">
        <v>58</v>
      </c>
      <c r="G28" s="5">
        <v>111010</v>
      </c>
      <c r="H28" s="7" t="s">
        <v>520</v>
      </c>
      <c r="I28" s="6" t="s">
        <v>521</v>
      </c>
      <c r="K28" s="5">
        <v>90</v>
      </c>
      <c r="L28" s="5">
        <v>1011010</v>
      </c>
      <c r="M28" s="7" t="s">
        <v>522</v>
      </c>
      <c r="N28" s="6"/>
      <c r="P28" s="5">
        <v>153</v>
      </c>
      <c r="Q28" s="5">
        <v>10011001</v>
      </c>
      <c r="R28" s="5" t="s">
        <v>523</v>
      </c>
      <c r="S28" s="6"/>
    </row>
    <row r="29" spans="1:19">
      <c r="A29" s="5">
        <v>26</v>
      </c>
      <c r="B29" s="5">
        <v>11010</v>
      </c>
      <c r="C29" s="5" t="s">
        <v>524</v>
      </c>
      <c r="D29" s="6" t="s">
        <v>525</v>
      </c>
      <c r="F29" s="5">
        <v>59</v>
      </c>
      <c r="G29" s="5">
        <v>111011</v>
      </c>
      <c r="H29" s="7" t="s">
        <v>526</v>
      </c>
      <c r="I29" s="6" t="s">
        <v>527</v>
      </c>
      <c r="K29" s="5">
        <v>91</v>
      </c>
      <c r="L29" s="5">
        <v>1011011</v>
      </c>
      <c r="M29" s="7" t="s">
        <v>528</v>
      </c>
      <c r="N29" s="6" t="s">
        <v>529</v>
      </c>
      <c r="P29" s="5">
        <v>154</v>
      </c>
      <c r="Q29" s="5">
        <v>10011010</v>
      </c>
      <c r="R29" s="5" t="s">
        <v>530</v>
      </c>
      <c r="S29" s="6"/>
    </row>
    <row r="30" spans="1:19">
      <c r="A30" s="5">
        <v>27</v>
      </c>
      <c r="B30" s="5">
        <v>11011</v>
      </c>
      <c r="C30" s="5" t="s">
        <v>531</v>
      </c>
      <c r="D30" s="6" t="s">
        <v>532</v>
      </c>
      <c r="F30" s="5">
        <v>60</v>
      </c>
      <c r="G30" s="5">
        <v>111100</v>
      </c>
      <c r="H30" s="7" t="s">
        <v>533</v>
      </c>
      <c r="I30" s="6" t="s">
        <v>534</v>
      </c>
      <c r="K30" s="5">
        <v>92</v>
      </c>
      <c r="L30" s="5">
        <v>1011100</v>
      </c>
      <c r="M30" s="7" t="s">
        <v>535</v>
      </c>
      <c r="N30" s="6" t="s">
        <v>536</v>
      </c>
      <c r="P30" s="5">
        <v>155</v>
      </c>
      <c r="Q30" s="5">
        <v>10011011</v>
      </c>
      <c r="R30" s="5" t="s">
        <v>537</v>
      </c>
      <c r="S30" s="6"/>
    </row>
    <row r="31" spans="1:19">
      <c r="A31" s="5">
        <v>28</v>
      </c>
      <c r="B31" s="5">
        <v>11100</v>
      </c>
      <c r="C31" s="5" t="s">
        <v>538</v>
      </c>
      <c r="D31" s="6" t="s">
        <v>539</v>
      </c>
      <c r="F31" s="5">
        <v>61</v>
      </c>
      <c r="G31" s="5">
        <v>111101</v>
      </c>
      <c r="H31" s="7" t="s">
        <v>540</v>
      </c>
      <c r="I31" s="6" t="s">
        <v>541</v>
      </c>
      <c r="K31" s="5">
        <v>93</v>
      </c>
      <c r="L31" s="5">
        <v>1011101</v>
      </c>
      <c r="M31" s="7" t="s">
        <v>542</v>
      </c>
      <c r="N31" s="6" t="s">
        <v>543</v>
      </c>
      <c r="P31" s="5">
        <v>156</v>
      </c>
      <c r="Q31" s="5">
        <v>10011100</v>
      </c>
      <c r="R31" s="5" t="s">
        <v>544</v>
      </c>
      <c r="S31" s="6"/>
    </row>
    <row r="32" spans="1:19">
      <c r="A32" s="5">
        <v>29</v>
      </c>
      <c r="B32" s="5">
        <v>11101</v>
      </c>
      <c r="C32" s="5" t="s">
        <v>545</v>
      </c>
      <c r="D32" s="6" t="s">
        <v>546</v>
      </c>
      <c r="F32" s="5">
        <v>62</v>
      </c>
      <c r="G32" s="5">
        <v>111110</v>
      </c>
      <c r="H32" s="7" t="s">
        <v>547</v>
      </c>
      <c r="I32" s="6" t="s">
        <v>548</v>
      </c>
      <c r="K32" s="5">
        <v>94</v>
      </c>
      <c r="L32" s="5">
        <v>1011110</v>
      </c>
      <c r="M32" s="7" t="s">
        <v>549</v>
      </c>
      <c r="N32" s="6" t="s">
        <v>550</v>
      </c>
      <c r="P32" s="5">
        <v>157</v>
      </c>
      <c r="Q32" s="5">
        <v>10011101</v>
      </c>
      <c r="R32" s="5" t="s">
        <v>551</v>
      </c>
      <c r="S32" s="6"/>
    </row>
    <row r="33" spans="1:19">
      <c r="A33" s="5">
        <v>30</v>
      </c>
      <c r="B33" s="5">
        <v>11110</v>
      </c>
      <c r="C33" s="5" t="s">
        <v>552</v>
      </c>
      <c r="D33" s="6" t="s">
        <v>553</v>
      </c>
      <c r="F33" s="5">
        <v>63</v>
      </c>
      <c r="G33" s="5">
        <v>111111</v>
      </c>
      <c r="H33" s="7" t="s">
        <v>554</v>
      </c>
      <c r="I33" s="6" t="s">
        <v>555</v>
      </c>
      <c r="K33" s="5">
        <v>95</v>
      </c>
      <c r="L33" s="5">
        <v>1011111</v>
      </c>
      <c r="M33" s="7" t="s">
        <v>556</v>
      </c>
      <c r="N33" s="6" t="s">
        <v>557</v>
      </c>
      <c r="P33" s="5">
        <v>158</v>
      </c>
      <c r="Q33" s="5">
        <v>10011110</v>
      </c>
      <c r="R33" s="5" t="s">
        <v>558</v>
      </c>
      <c r="S33" s="6"/>
    </row>
    <row r="34" spans="1:19">
      <c r="A34" s="5">
        <v>31</v>
      </c>
      <c r="B34" s="5">
        <v>11111</v>
      </c>
      <c r="C34" s="5" t="s">
        <v>559</v>
      </c>
      <c r="D34" s="6" t="s">
        <v>560</v>
      </c>
      <c r="F34" s="5">
        <v>64</v>
      </c>
      <c r="G34" s="5">
        <v>1000000</v>
      </c>
      <c r="H34" s="7" t="s">
        <v>561</v>
      </c>
      <c r="I34" s="6" t="s">
        <v>562</v>
      </c>
      <c r="K34" s="5">
        <v>96</v>
      </c>
      <c r="L34" s="5">
        <v>1100000</v>
      </c>
      <c r="M34" s="7" t="s">
        <v>563</v>
      </c>
      <c r="N34" s="6" t="s">
        <v>564</v>
      </c>
      <c r="P34" s="5">
        <v>159</v>
      </c>
      <c r="Q34" s="5">
        <v>10011111</v>
      </c>
      <c r="R34" s="5" t="s">
        <v>565</v>
      </c>
      <c r="S34" s="6"/>
    </row>
    <row r="35" spans="1:19">
      <c r="A35" s="7">
        <v>32</v>
      </c>
      <c r="B35" s="7">
        <v>100000</v>
      </c>
      <c r="C35" s="7" t="s">
        <v>566</v>
      </c>
      <c r="D35" s="8" t="s">
        <v>567</v>
      </c>
      <c r="K35" s="5">
        <v>97</v>
      </c>
      <c r="L35" s="5">
        <v>1100001</v>
      </c>
      <c r="M35" s="7" t="s">
        <v>568</v>
      </c>
      <c r="N35" s="6"/>
      <c r="P35" s="7">
        <v>160</v>
      </c>
      <c r="Q35" s="7">
        <v>10100000</v>
      </c>
      <c r="R35" s="7"/>
      <c r="S35" s="8" t="s">
        <v>569</v>
      </c>
    </row>
    <row r="36" spans="1:19">
      <c r="A36"/>
      <c r="B36"/>
      <c r="C36"/>
      <c r="K36" s="5">
        <v>98</v>
      </c>
      <c r="L36" s="5">
        <v>1100010</v>
      </c>
      <c r="M36" s="7" t="s">
        <v>570</v>
      </c>
      <c r="N36" s="6"/>
      <c r="P36" s="5">
        <v>161</v>
      </c>
      <c r="Q36" s="5">
        <v>10100001</v>
      </c>
      <c r="R36" s="5" t="s">
        <v>571</v>
      </c>
      <c r="S36" s="6"/>
    </row>
    <row r="37" spans="1:19">
      <c r="A37"/>
      <c r="B37"/>
      <c r="C37"/>
      <c r="K37" s="5">
        <v>99</v>
      </c>
      <c r="L37" s="5">
        <v>1100011</v>
      </c>
      <c r="M37" s="7" t="s">
        <v>572</v>
      </c>
      <c r="N37" s="6"/>
      <c r="P37" s="5">
        <v>162</v>
      </c>
      <c r="Q37" s="5">
        <v>10100010</v>
      </c>
      <c r="R37" s="5" t="s">
        <v>573</v>
      </c>
      <c r="S37" s="6" t="s">
        <v>574</v>
      </c>
    </row>
    <row r="38" spans="1:19">
      <c r="A38"/>
      <c r="B38"/>
      <c r="C38"/>
      <c r="K38" s="5">
        <v>100</v>
      </c>
      <c r="L38" s="5">
        <v>1100100</v>
      </c>
      <c r="M38" s="7" t="s">
        <v>575</v>
      </c>
      <c r="N38" s="6"/>
      <c r="P38" s="5">
        <v>163</v>
      </c>
      <c r="Q38" s="5">
        <v>10100011</v>
      </c>
      <c r="R38" s="5" t="s">
        <v>576</v>
      </c>
      <c r="S38" s="6" t="s">
        <v>577</v>
      </c>
    </row>
    <row r="39" spans="1:19">
      <c r="A39"/>
      <c r="B39"/>
      <c r="C39"/>
      <c r="K39" s="5">
        <v>101</v>
      </c>
      <c r="L39" s="5">
        <v>1100101</v>
      </c>
      <c r="M39" s="7" t="s">
        <v>578</v>
      </c>
      <c r="N39" s="6"/>
      <c r="P39" s="5">
        <v>164</v>
      </c>
      <c r="Q39" s="5">
        <v>10100100</v>
      </c>
      <c r="R39" s="5" t="s">
        <v>579</v>
      </c>
      <c r="S39" s="6" t="s">
        <v>580</v>
      </c>
    </row>
    <row r="40" spans="1:19">
      <c r="A40"/>
      <c r="B40"/>
      <c r="C40"/>
      <c r="K40" s="5">
        <v>102</v>
      </c>
      <c r="L40" s="5">
        <v>1100110</v>
      </c>
      <c r="M40" s="7" t="s">
        <v>581</v>
      </c>
      <c r="N40" s="6"/>
      <c r="P40" s="5">
        <v>165</v>
      </c>
      <c r="Q40" s="5">
        <v>10100101</v>
      </c>
      <c r="R40" s="5" t="s">
        <v>582</v>
      </c>
      <c r="S40" s="6" t="s">
        <v>583</v>
      </c>
    </row>
    <row r="41" spans="1:19">
      <c r="A41"/>
      <c r="B41"/>
      <c r="C41"/>
      <c r="K41" s="5">
        <v>103</v>
      </c>
      <c r="L41" s="5">
        <v>1100111</v>
      </c>
      <c r="M41" s="7" t="s">
        <v>584</v>
      </c>
      <c r="N41" s="6"/>
      <c r="P41" s="5">
        <v>166</v>
      </c>
      <c r="Q41" s="5">
        <v>10100110</v>
      </c>
      <c r="R41" s="5" t="s">
        <v>585</v>
      </c>
      <c r="S41" s="6" t="s">
        <v>586</v>
      </c>
    </row>
    <row r="42" spans="1:19">
      <c r="A42"/>
      <c r="B42"/>
      <c r="C42"/>
      <c r="K42" s="5">
        <v>104</v>
      </c>
      <c r="L42" s="5">
        <v>1101000</v>
      </c>
      <c r="M42" s="7" t="s">
        <v>587</v>
      </c>
      <c r="N42" s="6"/>
      <c r="P42" s="5">
        <v>167</v>
      </c>
      <c r="Q42" s="5">
        <v>10100111</v>
      </c>
      <c r="R42" s="5" t="s">
        <v>588</v>
      </c>
      <c r="S42" s="6" t="s">
        <v>589</v>
      </c>
    </row>
    <row r="43" spans="1:19">
      <c r="A43"/>
      <c r="B43"/>
      <c r="C43"/>
      <c r="K43" s="5">
        <v>105</v>
      </c>
      <c r="L43" s="5">
        <v>1101001</v>
      </c>
      <c r="M43" s="7" t="s">
        <v>590</v>
      </c>
      <c r="N43" s="6"/>
      <c r="P43" s="5">
        <v>168</v>
      </c>
      <c r="Q43" s="5">
        <v>10101000</v>
      </c>
      <c r="R43" s="5" t="s">
        <v>591</v>
      </c>
      <c r="S43" s="6"/>
    </row>
    <row r="44" spans="1:19">
      <c r="A44"/>
      <c r="B44"/>
      <c r="C44"/>
      <c r="K44" s="5">
        <v>106</v>
      </c>
      <c r="L44" s="5">
        <v>1101010</v>
      </c>
      <c r="M44" s="7" t="s">
        <v>592</v>
      </c>
      <c r="N44" s="6"/>
      <c r="P44" s="5">
        <v>169</v>
      </c>
      <c r="Q44" s="5">
        <v>10101001</v>
      </c>
      <c r="R44" s="5" t="s">
        <v>593</v>
      </c>
      <c r="S44" s="6" t="s">
        <v>594</v>
      </c>
    </row>
    <row r="45" spans="1:19">
      <c r="A45"/>
      <c r="B45"/>
      <c r="C45"/>
      <c r="K45" s="5">
        <v>107</v>
      </c>
      <c r="L45" s="5">
        <v>1101011</v>
      </c>
      <c r="M45" s="7" t="s">
        <v>595</v>
      </c>
      <c r="N45" s="6"/>
      <c r="P45" s="5">
        <v>170</v>
      </c>
      <c r="Q45" s="5">
        <v>10101010</v>
      </c>
      <c r="R45" s="5" t="s">
        <v>596</v>
      </c>
      <c r="S45" s="6" t="s">
        <v>597</v>
      </c>
    </row>
    <row r="46" spans="1:19">
      <c r="A46"/>
      <c r="B46"/>
      <c r="C46"/>
      <c r="K46" s="5">
        <v>108</v>
      </c>
      <c r="L46" s="5">
        <v>1101100</v>
      </c>
      <c r="M46" s="7" t="s">
        <v>598</v>
      </c>
      <c r="N46" s="6"/>
      <c r="P46" s="5">
        <v>171</v>
      </c>
      <c r="Q46" s="5">
        <v>10101011</v>
      </c>
      <c r="R46" s="5" t="s">
        <v>599</v>
      </c>
      <c r="S46" s="6"/>
    </row>
    <row r="47" spans="1:19">
      <c r="A47"/>
      <c r="B47"/>
      <c r="C47"/>
      <c r="K47" s="5">
        <v>109</v>
      </c>
      <c r="L47" s="5">
        <v>1101101</v>
      </c>
      <c r="M47" s="7" t="s">
        <v>600</v>
      </c>
      <c r="N47" s="6"/>
      <c r="P47" s="5">
        <v>172</v>
      </c>
      <c r="Q47" s="5">
        <v>10101100</v>
      </c>
      <c r="R47" s="5" t="s">
        <v>601</v>
      </c>
      <c r="S47" s="6"/>
    </row>
    <row r="48" spans="1:19">
      <c r="A48"/>
      <c r="B48"/>
      <c r="C48"/>
      <c r="K48" s="5">
        <v>110</v>
      </c>
      <c r="L48" s="5">
        <v>1101110</v>
      </c>
      <c r="M48" s="7" t="s">
        <v>602</v>
      </c>
      <c r="N48" s="6"/>
      <c r="P48" s="5">
        <v>173</v>
      </c>
      <c r="Q48" s="5">
        <v>10101101</v>
      </c>
      <c r="R48" s="5"/>
      <c r="S48" s="6"/>
    </row>
    <row r="49" spans="1:19">
      <c r="A49"/>
      <c r="B49"/>
      <c r="C49"/>
      <c r="K49" s="5">
        <v>111</v>
      </c>
      <c r="L49" s="5">
        <v>1101111</v>
      </c>
      <c r="M49" s="7" t="s">
        <v>603</v>
      </c>
      <c r="N49" s="6"/>
      <c r="P49" s="5">
        <v>174</v>
      </c>
      <c r="Q49" s="5">
        <v>10101110</v>
      </c>
      <c r="R49" s="5" t="s">
        <v>604</v>
      </c>
      <c r="S49" s="6" t="s">
        <v>605</v>
      </c>
    </row>
    <row r="50" spans="1:19">
      <c r="A50"/>
      <c r="B50"/>
      <c r="C50"/>
      <c r="K50" s="5">
        <v>112</v>
      </c>
      <c r="L50" s="5">
        <v>1110000</v>
      </c>
      <c r="M50" s="7" t="s">
        <v>606</v>
      </c>
      <c r="N50" s="6"/>
      <c r="P50" s="5">
        <v>175</v>
      </c>
      <c r="Q50" s="5">
        <v>10101111</v>
      </c>
      <c r="R50" s="5" t="s">
        <v>607</v>
      </c>
      <c r="S50" s="6"/>
    </row>
    <row r="51" spans="1:19">
      <c r="A51"/>
      <c r="B51"/>
      <c r="C51"/>
      <c r="K51" s="5">
        <v>113</v>
      </c>
      <c r="L51" s="5">
        <v>1110001</v>
      </c>
      <c r="M51" s="7" t="s">
        <v>608</v>
      </c>
      <c r="N51" s="6"/>
      <c r="P51" s="5">
        <v>176</v>
      </c>
      <c r="Q51" s="5">
        <v>10110000</v>
      </c>
      <c r="R51" s="5" t="s">
        <v>609</v>
      </c>
      <c r="S51" s="6" t="s">
        <v>610</v>
      </c>
    </row>
    <row r="52" spans="1:19">
      <c r="A52"/>
      <c r="B52"/>
      <c r="C52"/>
      <c r="K52" s="5">
        <v>114</v>
      </c>
      <c r="L52" s="5">
        <v>1110010</v>
      </c>
      <c r="M52" s="7" t="s">
        <v>611</v>
      </c>
      <c r="N52" s="6"/>
      <c r="P52" s="5">
        <v>177</v>
      </c>
      <c r="Q52" s="5">
        <v>10110001</v>
      </c>
      <c r="R52" s="5" t="s">
        <v>612</v>
      </c>
      <c r="S52" s="6" t="s">
        <v>613</v>
      </c>
    </row>
    <row r="53" spans="1:19">
      <c r="A53"/>
      <c r="B53"/>
      <c r="C53"/>
      <c r="K53" s="5">
        <v>115</v>
      </c>
      <c r="L53" s="5">
        <v>1110011</v>
      </c>
      <c r="M53" s="7" t="s">
        <v>614</v>
      </c>
      <c r="N53" s="6"/>
      <c r="P53" s="5">
        <v>178</v>
      </c>
      <c r="Q53" s="5">
        <v>10110010</v>
      </c>
      <c r="R53" s="5" t="s">
        <v>615</v>
      </c>
      <c r="S53" s="6"/>
    </row>
    <row r="54" spans="1:19">
      <c r="A54"/>
      <c r="B54"/>
      <c r="C54"/>
      <c r="K54" s="5">
        <v>116</v>
      </c>
      <c r="L54" s="5">
        <v>1110100</v>
      </c>
      <c r="M54" s="7" t="s">
        <v>616</v>
      </c>
      <c r="N54" s="6"/>
      <c r="P54" s="5">
        <v>179</v>
      </c>
      <c r="Q54" s="5">
        <v>10110011</v>
      </c>
      <c r="R54" s="5" t="s">
        <v>617</v>
      </c>
      <c r="S54" s="6"/>
    </row>
    <row r="55" spans="1:19">
      <c r="A55"/>
      <c r="B55"/>
      <c r="C55"/>
      <c r="K55" s="5">
        <v>117</v>
      </c>
      <c r="L55" s="5">
        <v>1110101</v>
      </c>
      <c r="M55" s="7" t="s">
        <v>618</v>
      </c>
      <c r="N55" s="6"/>
      <c r="P55" s="5">
        <v>180</v>
      </c>
      <c r="Q55" s="5">
        <v>10110100</v>
      </c>
      <c r="R55" s="5" t="s">
        <v>619</v>
      </c>
      <c r="S55" s="6"/>
    </row>
    <row r="56" spans="1:19">
      <c r="A56"/>
      <c r="B56"/>
      <c r="C56"/>
      <c r="K56" s="5">
        <v>118</v>
      </c>
      <c r="L56" s="5">
        <v>1110110</v>
      </c>
      <c r="M56" s="7" t="s">
        <v>620</v>
      </c>
      <c r="N56" s="6"/>
      <c r="P56" s="5">
        <v>181</v>
      </c>
      <c r="Q56" s="5">
        <v>10110101</v>
      </c>
      <c r="R56" s="5" t="s">
        <v>621</v>
      </c>
      <c r="S56" s="6" t="s">
        <v>622</v>
      </c>
    </row>
    <row r="57" spans="1:19">
      <c r="A57"/>
      <c r="B57"/>
      <c r="C57"/>
      <c r="K57" s="5">
        <v>119</v>
      </c>
      <c r="L57" s="5">
        <v>1110111</v>
      </c>
      <c r="M57" s="7" t="s">
        <v>623</v>
      </c>
      <c r="N57" s="6"/>
      <c r="P57" s="5">
        <v>182</v>
      </c>
      <c r="Q57" s="5">
        <v>10110110</v>
      </c>
      <c r="R57" s="5" t="s">
        <v>624</v>
      </c>
      <c r="S57" s="6" t="s">
        <v>625</v>
      </c>
    </row>
    <row r="58" spans="1:19">
      <c r="A58"/>
      <c r="B58"/>
      <c r="C58"/>
      <c r="K58" s="5">
        <v>120</v>
      </c>
      <c r="L58" s="5">
        <v>1111000</v>
      </c>
      <c r="M58" s="7" t="s">
        <v>626</v>
      </c>
      <c r="N58" s="6"/>
      <c r="P58" s="5">
        <v>183</v>
      </c>
      <c r="Q58" s="5">
        <v>10110111</v>
      </c>
      <c r="R58" s="5" t="s">
        <v>627</v>
      </c>
      <c r="S58" s="6"/>
    </row>
    <row r="59" spans="1:19">
      <c r="A59"/>
      <c r="B59"/>
      <c r="C59"/>
      <c r="K59" s="5">
        <v>121</v>
      </c>
      <c r="L59" s="5">
        <v>1111001</v>
      </c>
      <c r="M59" s="7" t="s">
        <v>628</v>
      </c>
      <c r="N59" s="6"/>
      <c r="P59" s="5">
        <v>184</v>
      </c>
      <c r="Q59" s="5">
        <v>10111000</v>
      </c>
      <c r="R59" s="5" t="s">
        <v>629</v>
      </c>
      <c r="S59" s="6"/>
    </row>
    <row r="60" spans="1:19">
      <c r="A60"/>
      <c r="B60"/>
      <c r="C60"/>
      <c r="K60" s="5">
        <v>122</v>
      </c>
      <c r="L60" s="5">
        <v>1111010</v>
      </c>
      <c r="M60" s="7" t="s">
        <v>630</v>
      </c>
      <c r="N60" s="6"/>
      <c r="P60" s="5">
        <v>185</v>
      </c>
      <c r="Q60" s="5">
        <v>10111001</v>
      </c>
      <c r="R60" s="5" t="s">
        <v>631</v>
      </c>
      <c r="S60" s="6"/>
    </row>
    <row r="61" spans="1:19">
      <c r="A61"/>
      <c r="B61"/>
      <c r="C61"/>
      <c r="K61" s="5">
        <v>123</v>
      </c>
      <c r="L61" s="5">
        <v>1111011</v>
      </c>
      <c r="M61" s="7" t="s">
        <v>632</v>
      </c>
      <c r="N61" s="6" t="s">
        <v>633</v>
      </c>
      <c r="P61" s="5">
        <v>186</v>
      </c>
      <c r="Q61" s="5">
        <v>10111010</v>
      </c>
      <c r="R61" s="5" t="s">
        <v>634</v>
      </c>
      <c r="S61" s="6" t="s">
        <v>597</v>
      </c>
    </row>
    <row r="62" spans="1:19">
      <c r="A62"/>
      <c r="B62"/>
      <c r="C62"/>
      <c r="K62" s="5">
        <v>124</v>
      </c>
      <c r="L62" s="5">
        <v>1111100</v>
      </c>
      <c r="M62" s="7" t="s">
        <v>635</v>
      </c>
      <c r="N62" s="6" t="s">
        <v>636</v>
      </c>
      <c r="P62" s="5">
        <v>187</v>
      </c>
      <c r="Q62" s="5">
        <v>10111011</v>
      </c>
      <c r="R62" s="5" t="s">
        <v>637</v>
      </c>
      <c r="S62" s="6"/>
    </row>
    <row r="63" spans="1:19">
      <c r="A63"/>
      <c r="B63"/>
      <c r="C63"/>
      <c r="K63" s="5">
        <v>125</v>
      </c>
      <c r="L63" s="5">
        <v>1111101</v>
      </c>
      <c r="M63" s="7" t="s">
        <v>638</v>
      </c>
      <c r="N63" s="6" t="s">
        <v>639</v>
      </c>
      <c r="P63" s="5">
        <v>188</v>
      </c>
      <c r="Q63" s="5">
        <v>10111100</v>
      </c>
      <c r="R63" s="5" t="s">
        <v>640</v>
      </c>
      <c r="S63" s="6"/>
    </row>
    <row r="64" spans="1:19">
      <c r="A64"/>
      <c r="B64"/>
      <c r="C64"/>
      <c r="K64" s="5">
        <v>126</v>
      </c>
      <c r="L64" s="5">
        <v>1111110</v>
      </c>
      <c r="M64" s="7" t="s">
        <v>641</v>
      </c>
      <c r="N64" s="6" t="s">
        <v>642</v>
      </c>
      <c r="P64" s="5">
        <v>189</v>
      </c>
      <c r="Q64" s="5">
        <v>10111101</v>
      </c>
      <c r="R64" s="5" t="s">
        <v>643</v>
      </c>
      <c r="S64" s="6"/>
    </row>
    <row r="65" spans="1:19">
      <c r="A65"/>
      <c r="B65"/>
      <c r="C65"/>
      <c r="K65" s="5">
        <v>127</v>
      </c>
      <c r="L65" s="5">
        <v>1111111</v>
      </c>
      <c r="M65" s="5" t="s">
        <v>644</v>
      </c>
      <c r="N65" s="6" t="s">
        <v>645</v>
      </c>
      <c r="P65" s="5">
        <v>190</v>
      </c>
      <c r="Q65" s="5">
        <v>10111110</v>
      </c>
      <c r="R65" s="5" t="s">
        <v>646</v>
      </c>
      <c r="S65" s="6"/>
    </row>
    <row r="66" spans="1:19">
      <c r="A66"/>
      <c r="B66"/>
      <c r="C66"/>
      <c r="P66" s="5">
        <v>191</v>
      </c>
      <c r="Q66" s="5">
        <v>10111111</v>
      </c>
      <c r="R66" s="5" t="s">
        <v>647</v>
      </c>
      <c r="S66" s="6" t="s">
        <v>648</v>
      </c>
    </row>
    <row r="67" spans="1:19">
      <c r="A67"/>
      <c r="B67"/>
      <c r="C67"/>
      <c r="P67" s="5">
        <v>192</v>
      </c>
      <c r="Q67" s="5">
        <v>11000000</v>
      </c>
      <c r="R67" s="5" t="s">
        <v>649</v>
      </c>
      <c r="S67" s="6"/>
    </row>
    <row r="68" spans="1:19">
      <c r="A68"/>
      <c r="B68"/>
      <c r="C68"/>
      <c r="P68" s="5">
        <v>193</v>
      </c>
      <c r="Q68" s="5">
        <v>11000001</v>
      </c>
      <c r="R68" s="5" t="s">
        <v>650</v>
      </c>
      <c r="S68" s="6"/>
    </row>
    <row r="69" spans="1:19">
      <c r="A69"/>
      <c r="B69"/>
      <c r="C69"/>
      <c r="P69" s="5">
        <v>194</v>
      </c>
      <c r="Q69" s="5">
        <v>11000010</v>
      </c>
      <c r="R69" s="5" t="s">
        <v>651</v>
      </c>
      <c r="S69" s="6"/>
    </row>
    <row r="70" spans="1:19">
      <c r="A70"/>
      <c r="B70"/>
      <c r="C70"/>
      <c r="P70" s="5">
        <v>195</v>
      </c>
      <c r="Q70" s="5">
        <v>11000011</v>
      </c>
      <c r="R70" s="5" t="s">
        <v>652</v>
      </c>
      <c r="S70" s="6"/>
    </row>
    <row r="71" spans="1:19">
      <c r="A71"/>
      <c r="B71"/>
      <c r="C71"/>
      <c r="P71" s="5">
        <v>196</v>
      </c>
      <c r="Q71" s="5">
        <v>11000100</v>
      </c>
      <c r="R71" s="5" t="s">
        <v>653</v>
      </c>
      <c r="S71" s="6"/>
    </row>
    <row r="72" spans="1:19">
      <c r="A72"/>
      <c r="B72"/>
      <c r="C72"/>
      <c r="P72" s="5">
        <v>197</v>
      </c>
      <c r="Q72" s="5">
        <v>11000101</v>
      </c>
      <c r="R72" s="5" t="s">
        <v>654</v>
      </c>
      <c r="S72" s="6"/>
    </row>
    <row r="73" spans="1:19">
      <c r="A73"/>
      <c r="B73"/>
      <c r="C73"/>
      <c r="P73" s="5">
        <v>198</v>
      </c>
      <c r="Q73" s="5">
        <v>11000110</v>
      </c>
      <c r="R73" s="5" t="s">
        <v>655</v>
      </c>
      <c r="S73" s="6"/>
    </row>
    <row r="74" spans="1:19">
      <c r="A74"/>
      <c r="B74"/>
      <c r="C74"/>
      <c r="P74" s="5">
        <v>199</v>
      </c>
      <c r="Q74" s="5">
        <v>11000111</v>
      </c>
      <c r="R74" s="5" t="s">
        <v>656</v>
      </c>
      <c r="S74" s="6"/>
    </row>
    <row r="75" spans="1:19">
      <c r="A75"/>
      <c r="B75"/>
      <c r="C75"/>
      <c r="P75" s="5">
        <v>200</v>
      </c>
      <c r="Q75" s="5">
        <v>11001000</v>
      </c>
      <c r="R75" s="5" t="s">
        <v>657</v>
      </c>
      <c r="S75" s="6"/>
    </row>
    <row r="76" spans="1:19">
      <c r="A76"/>
      <c r="B76"/>
      <c r="C76"/>
      <c r="P76" s="5">
        <v>201</v>
      </c>
      <c r="Q76" s="5">
        <v>11001001</v>
      </c>
      <c r="R76" s="5" t="s">
        <v>658</v>
      </c>
      <c r="S76" s="6"/>
    </row>
    <row r="77" spans="1:19">
      <c r="A77"/>
      <c r="B77"/>
      <c r="C77"/>
      <c r="P77" s="5">
        <v>202</v>
      </c>
      <c r="Q77" s="5">
        <v>11001010</v>
      </c>
      <c r="R77" s="5" t="s">
        <v>659</v>
      </c>
      <c r="S77" s="6"/>
    </row>
    <row r="78" spans="1:19">
      <c r="A78"/>
      <c r="B78"/>
      <c r="C78"/>
      <c r="P78" s="5">
        <v>203</v>
      </c>
      <c r="Q78" s="5">
        <v>11001011</v>
      </c>
      <c r="R78" s="5" t="s">
        <v>660</v>
      </c>
      <c r="S78" s="6"/>
    </row>
    <row r="79" spans="1:19">
      <c r="A79"/>
      <c r="B79"/>
      <c r="C79"/>
      <c r="P79" s="5">
        <v>204</v>
      </c>
      <c r="Q79" s="5">
        <v>11001100</v>
      </c>
      <c r="R79" s="5" t="s">
        <v>661</v>
      </c>
      <c r="S79" s="6"/>
    </row>
    <row r="80" spans="1:19">
      <c r="A80"/>
      <c r="B80"/>
      <c r="C80"/>
      <c r="P80" s="5">
        <v>205</v>
      </c>
      <c r="Q80" s="5">
        <v>11001101</v>
      </c>
      <c r="R80" s="5" t="s">
        <v>662</v>
      </c>
      <c r="S80" s="6"/>
    </row>
    <row r="81" spans="1:19">
      <c r="A81"/>
      <c r="B81"/>
      <c r="C81"/>
      <c r="P81" s="5">
        <v>206</v>
      </c>
      <c r="Q81" s="5">
        <v>11001110</v>
      </c>
      <c r="R81" s="5" t="s">
        <v>663</v>
      </c>
      <c r="S81" s="6"/>
    </row>
    <row r="82" spans="1:19">
      <c r="A82"/>
      <c r="B82"/>
      <c r="C82"/>
      <c r="P82" s="5">
        <v>207</v>
      </c>
      <c r="Q82" s="5">
        <v>11001111</v>
      </c>
      <c r="R82" s="5" t="s">
        <v>664</v>
      </c>
      <c r="S82" s="6"/>
    </row>
    <row r="83" spans="1:19">
      <c r="A83"/>
      <c r="B83"/>
      <c r="C83"/>
      <c r="P83" s="5">
        <v>208</v>
      </c>
      <c r="Q83" s="5">
        <v>11010000</v>
      </c>
      <c r="R83" s="5" t="s">
        <v>665</v>
      </c>
      <c r="S83" s="6"/>
    </row>
    <row r="84" spans="1:19">
      <c r="A84"/>
      <c r="B84"/>
      <c r="C84"/>
      <c r="P84" s="5">
        <v>209</v>
      </c>
      <c r="Q84" s="5">
        <v>11010001</v>
      </c>
      <c r="R84" s="5" t="s">
        <v>666</v>
      </c>
      <c r="S84" s="6"/>
    </row>
    <row r="85" spans="1:19">
      <c r="A85"/>
      <c r="B85"/>
      <c r="C85"/>
      <c r="P85" s="5">
        <v>210</v>
      </c>
      <c r="Q85" s="5">
        <v>11010010</v>
      </c>
      <c r="R85" s="5" t="s">
        <v>667</v>
      </c>
      <c r="S85" s="6"/>
    </row>
    <row r="86" spans="1:19">
      <c r="A86"/>
      <c r="B86"/>
      <c r="C86"/>
      <c r="P86" s="5">
        <v>211</v>
      </c>
      <c r="Q86" s="5">
        <v>11010011</v>
      </c>
      <c r="R86" s="5" t="s">
        <v>668</v>
      </c>
      <c r="S86" s="6"/>
    </row>
    <row r="87" spans="1:19">
      <c r="A87"/>
      <c r="B87"/>
      <c r="C87"/>
      <c r="P87" s="5">
        <v>212</v>
      </c>
      <c r="Q87" s="5">
        <v>11010100</v>
      </c>
      <c r="R87" s="5" t="s">
        <v>669</v>
      </c>
      <c r="S87" s="6"/>
    </row>
    <row r="88" spans="1:19">
      <c r="A88"/>
      <c r="B88"/>
      <c r="C88"/>
      <c r="P88" s="5">
        <v>213</v>
      </c>
      <c r="Q88" s="5">
        <v>11010101</v>
      </c>
      <c r="R88" s="5" t="s">
        <v>670</v>
      </c>
      <c r="S88" s="6"/>
    </row>
    <row r="89" spans="1:19">
      <c r="A89"/>
      <c r="B89"/>
      <c r="C89"/>
      <c r="P89" s="5">
        <v>214</v>
      </c>
      <c r="Q89" s="5">
        <v>11010110</v>
      </c>
      <c r="R89" s="5" t="s">
        <v>671</v>
      </c>
      <c r="S89" s="6"/>
    </row>
    <row r="90" spans="1:19">
      <c r="A90"/>
      <c r="B90"/>
      <c r="C90"/>
      <c r="P90" s="5">
        <v>215</v>
      </c>
      <c r="Q90" s="5">
        <v>11010111</v>
      </c>
      <c r="R90" s="5" t="s">
        <v>672</v>
      </c>
      <c r="S90" s="6" t="s">
        <v>673</v>
      </c>
    </row>
    <row r="91" spans="1:19">
      <c r="A91"/>
      <c r="B91"/>
      <c r="C91"/>
      <c r="P91" s="5">
        <v>216</v>
      </c>
      <c r="Q91" s="5">
        <v>11011000</v>
      </c>
      <c r="R91" s="5" t="s">
        <v>674</v>
      </c>
      <c r="S91" s="6"/>
    </row>
    <row r="92" spans="1:19">
      <c r="A92"/>
      <c r="B92"/>
      <c r="C92"/>
      <c r="P92" s="5">
        <v>217</v>
      </c>
      <c r="Q92" s="5">
        <v>11011001</v>
      </c>
      <c r="R92" s="5" t="s">
        <v>675</v>
      </c>
      <c r="S92" s="6"/>
    </row>
    <row r="93" spans="1:19">
      <c r="A93"/>
      <c r="B93"/>
      <c r="C93"/>
      <c r="P93" s="5">
        <v>218</v>
      </c>
      <c r="Q93" s="5">
        <v>11011010</v>
      </c>
      <c r="R93" s="5" t="s">
        <v>676</v>
      </c>
      <c r="S93" s="6"/>
    </row>
    <row r="94" spans="1:19">
      <c r="A94"/>
      <c r="B94"/>
      <c r="C94"/>
      <c r="P94" s="5">
        <v>219</v>
      </c>
      <c r="Q94" s="5">
        <v>11011011</v>
      </c>
      <c r="R94" s="5" t="s">
        <v>677</v>
      </c>
      <c r="S94" s="6"/>
    </row>
    <row r="95" spans="1:19">
      <c r="A95"/>
      <c r="B95"/>
      <c r="C95"/>
      <c r="P95" s="5">
        <v>220</v>
      </c>
      <c r="Q95" s="5">
        <v>11011100</v>
      </c>
      <c r="R95" s="5" t="s">
        <v>678</v>
      </c>
      <c r="S95" s="6"/>
    </row>
    <row r="96" spans="1:19">
      <c r="A96"/>
      <c r="B96"/>
      <c r="C96"/>
      <c r="P96" s="5">
        <v>221</v>
      </c>
      <c r="Q96" s="5">
        <v>11011101</v>
      </c>
      <c r="R96" s="5" t="s">
        <v>679</v>
      </c>
      <c r="S96" s="6"/>
    </row>
    <row r="97" spans="1:19">
      <c r="A97"/>
      <c r="B97"/>
      <c r="C97"/>
      <c r="P97" s="5">
        <v>222</v>
      </c>
      <c r="Q97" s="5">
        <v>11011110</v>
      </c>
      <c r="R97" s="5" t="s">
        <v>680</v>
      </c>
      <c r="S97" s="6"/>
    </row>
    <row r="98" spans="1:19">
      <c r="A98"/>
      <c r="B98"/>
      <c r="C98"/>
      <c r="P98" s="5">
        <v>223</v>
      </c>
      <c r="Q98" s="5">
        <v>11011111</v>
      </c>
      <c r="R98" s="5" t="s">
        <v>681</v>
      </c>
      <c r="S98" s="6"/>
    </row>
    <row r="99" spans="1:19">
      <c r="A99"/>
      <c r="B99"/>
      <c r="C99"/>
      <c r="P99" s="5">
        <v>224</v>
      </c>
      <c r="Q99" s="5">
        <v>11100000</v>
      </c>
      <c r="R99" s="5" t="s">
        <v>682</v>
      </c>
      <c r="S99" s="6"/>
    </row>
    <row r="100" spans="1:19">
      <c r="A100"/>
      <c r="B100"/>
      <c r="C100"/>
      <c r="P100" s="5">
        <v>225</v>
      </c>
      <c r="Q100" s="5">
        <v>11100001</v>
      </c>
      <c r="R100" s="5" t="s">
        <v>683</v>
      </c>
      <c r="S100" s="6"/>
    </row>
    <row r="101" spans="1:19">
      <c r="A101"/>
      <c r="B101"/>
      <c r="C101"/>
      <c r="P101" s="5">
        <v>226</v>
      </c>
      <c r="Q101" s="5">
        <v>11100010</v>
      </c>
      <c r="R101" s="5" t="s">
        <v>684</v>
      </c>
      <c r="S101" s="6"/>
    </row>
    <row r="102" spans="1:19">
      <c r="A102"/>
      <c r="B102"/>
      <c r="C102"/>
      <c r="P102" s="5">
        <v>227</v>
      </c>
      <c r="Q102" s="5">
        <v>11100011</v>
      </c>
      <c r="R102" s="5" t="s">
        <v>685</v>
      </c>
      <c r="S102" s="6"/>
    </row>
    <row r="103" spans="1:19">
      <c r="A103"/>
      <c r="B103"/>
      <c r="C103"/>
      <c r="P103" s="5">
        <v>228</v>
      </c>
      <c r="Q103" s="5">
        <v>11100100</v>
      </c>
      <c r="R103" s="5" t="s">
        <v>686</v>
      </c>
      <c r="S103" s="6"/>
    </row>
    <row r="104" spans="1:19">
      <c r="A104"/>
      <c r="B104"/>
      <c r="C104"/>
      <c r="P104" s="5">
        <v>229</v>
      </c>
      <c r="Q104" s="5">
        <v>11100101</v>
      </c>
      <c r="R104" s="5" t="s">
        <v>687</v>
      </c>
      <c r="S104" s="6"/>
    </row>
    <row r="105" spans="1:19">
      <c r="A105"/>
      <c r="B105"/>
      <c r="C105"/>
      <c r="P105" s="5">
        <v>230</v>
      </c>
      <c r="Q105" s="5">
        <v>11100110</v>
      </c>
      <c r="R105" s="5" t="s">
        <v>688</v>
      </c>
      <c r="S105" s="6"/>
    </row>
    <row r="106" spans="1:19">
      <c r="A106"/>
      <c r="B106"/>
      <c r="C106"/>
      <c r="P106" s="5">
        <v>231</v>
      </c>
      <c r="Q106" s="5">
        <v>11100111</v>
      </c>
      <c r="R106" s="5" t="s">
        <v>689</v>
      </c>
      <c r="S106" s="6"/>
    </row>
    <row r="107" spans="1:19">
      <c r="A107"/>
      <c r="B107"/>
      <c r="C107"/>
      <c r="P107" s="5">
        <v>232</v>
      </c>
      <c r="Q107" s="5">
        <v>11101000</v>
      </c>
      <c r="R107" s="5" t="s">
        <v>690</v>
      </c>
      <c r="S107" s="6"/>
    </row>
    <row r="108" spans="1:19">
      <c r="A108"/>
      <c r="B108"/>
      <c r="C108"/>
      <c r="P108" s="5">
        <v>233</v>
      </c>
      <c r="Q108" s="5">
        <v>11101001</v>
      </c>
      <c r="R108" s="5" t="s">
        <v>691</v>
      </c>
      <c r="S108" s="6"/>
    </row>
    <row r="109" spans="1:19">
      <c r="A109"/>
      <c r="B109"/>
      <c r="C109"/>
      <c r="P109" s="5">
        <v>234</v>
      </c>
      <c r="Q109" s="5">
        <v>11101010</v>
      </c>
      <c r="R109" s="5" t="s">
        <v>692</v>
      </c>
      <c r="S109" s="6"/>
    </row>
    <row r="110" spans="1:19">
      <c r="A110"/>
      <c r="B110"/>
      <c r="C110"/>
      <c r="P110" s="5">
        <v>235</v>
      </c>
      <c r="Q110" s="5">
        <v>11101011</v>
      </c>
      <c r="R110" s="5" t="s">
        <v>693</v>
      </c>
      <c r="S110" s="6"/>
    </row>
    <row r="111" spans="1:19">
      <c r="A111"/>
      <c r="B111"/>
      <c r="C111"/>
      <c r="P111" s="5">
        <v>236</v>
      </c>
      <c r="Q111" s="5">
        <v>11101100</v>
      </c>
      <c r="R111" s="5" t="s">
        <v>694</v>
      </c>
      <c r="S111" s="6"/>
    </row>
    <row r="112" spans="1:19">
      <c r="A112"/>
      <c r="B112"/>
      <c r="C112"/>
      <c r="P112" s="5">
        <v>237</v>
      </c>
      <c r="Q112" s="5">
        <v>11101101</v>
      </c>
      <c r="R112" s="5" t="s">
        <v>695</v>
      </c>
      <c r="S112" s="6"/>
    </row>
    <row r="113" spans="1:19">
      <c r="A113"/>
      <c r="B113"/>
      <c r="C113"/>
      <c r="P113" s="5">
        <v>238</v>
      </c>
      <c r="Q113" s="5">
        <v>11101110</v>
      </c>
      <c r="R113" s="5" t="s">
        <v>696</v>
      </c>
      <c r="S113" s="6"/>
    </row>
    <row r="114" spans="1:19">
      <c r="A114"/>
      <c r="B114"/>
      <c r="C114"/>
      <c r="P114" s="5">
        <v>239</v>
      </c>
      <c r="Q114" s="5">
        <v>11101111</v>
      </c>
      <c r="R114" s="5" t="s">
        <v>697</v>
      </c>
      <c r="S114" s="6"/>
    </row>
    <row r="115" spans="1:19">
      <c r="A115"/>
      <c r="B115"/>
      <c r="C115"/>
      <c r="P115" s="5">
        <v>240</v>
      </c>
      <c r="Q115" s="5">
        <v>11110000</v>
      </c>
      <c r="R115" s="5" t="s">
        <v>698</v>
      </c>
      <c r="S115" s="6"/>
    </row>
    <row r="116" spans="1:19">
      <c r="A116"/>
      <c r="B116"/>
      <c r="C116"/>
      <c r="P116" s="5">
        <v>241</v>
      </c>
      <c r="Q116" s="5">
        <v>11110001</v>
      </c>
      <c r="R116" s="5" t="s">
        <v>699</v>
      </c>
      <c r="S116" s="6"/>
    </row>
    <row r="117" spans="1:19">
      <c r="A117"/>
      <c r="B117"/>
      <c r="C117"/>
      <c r="P117" s="5">
        <v>242</v>
      </c>
      <c r="Q117" s="5">
        <v>11110010</v>
      </c>
      <c r="R117" s="5" t="s">
        <v>700</v>
      </c>
      <c r="S117" s="6"/>
    </row>
    <row r="118" spans="1:19">
      <c r="A118"/>
      <c r="B118"/>
      <c r="C118"/>
      <c r="P118" s="5">
        <v>243</v>
      </c>
      <c r="Q118" s="5">
        <v>11110011</v>
      </c>
      <c r="R118" s="5" t="s">
        <v>701</v>
      </c>
      <c r="S118" s="6"/>
    </row>
    <row r="119" spans="1:19">
      <c r="A119"/>
      <c r="B119"/>
      <c r="C119"/>
      <c r="P119" s="5">
        <v>244</v>
      </c>
      <c r="Q119" s="5">
        <v>11110100</v>
      </c>
      <c r="R119" s="5" t="s">
        <v>702</v>
      </c>
      <c r="S119" s="6"/>
    </row>
    <row r="120" spans="1:19">
      <c r="A120"/>
      <c r="B120"/>
      <c r="C120"/>
      <c r="P120" s="5">
        <v>245</v>
      </c>
      <c r="Q120" s="5">
        <v>11110101</v>
      </c>
      <c r="R120" s="5" t="s">
        <v>703</v>
      </c>
      <c r="S120" s="6"/>
    </row>
    <row r="121" spans="1:19">
      <c r="A121"/>
      <c r="B121"/>
      <c r="C121"/>
      <c r="P121" s="5">
        <v>246</v>
      </c>
      <c r="Q121" s="5">
        <v>11110110</v>
      </c>
      <c r="R121" s="5" t="s">
        <v>704</v>
      </c>
      <c r="S121" s="6"/>
    </row>
    <row r="122" spans="1:19">
      <c r="A122"/>
      <c r="B122"/>
      <c r="C122"/>
      <c r="P122" s="5">
        <v>247</v>
      </c>
      <c r="Q122" s="5">
        <v>11110111</v>
      </c>
      <c r="R122" s="5" t="s">
        <v>705</v>
      </c>
      <c r="S122" s="6" t="s">
        <v>706</v>
      </c>
    </row>
    <row r="123" spans="1:19">
      <c r="A123"/>
      <c r="B123"/>
      <c r="C123"/>
      <c r="P123" s="5">
        <v>248</v>
      </c>
      <c r="Q123" s="5">
        <v>11111000</v>
      </c>
      <c r="R123" s="5" t="s">
        <v>707</v>
      </c>
      <c r="S123" s="6"/>
    </row>
    <row r="124" spans="1:19">
      <c r="A124"/>
      <c r="B124"/>
      <c r="C124"/>
      <c r="P124" s="5">
        <v>249</v>
      </c>
      <c r="Q124" s="5">
        <v>11111001</v>
      </c>
      <c r="R124" s="5" t="s">
        <v>708</v>
      </c>
      <c r="S124" s="6"/>
    </row>
    <row r="125" spans="1:19">
      <c r="A125"/>
      <c r="B125"/>
      <c r="C125"/>
      <c r="P125" s="5">
        <v>250</v>
      </c>
      <c r="Q125" s="5">
        <v>11111010</v>
      </c>
      <c r="R125" s="5" t="s">
        <v>709</v>
      </c>
      <c r="S125" s="6"/>
    </row>
    <row r="126" spans="1:19">
      <c r="A126"/>
      <c r="B126"/>
      <c r="C126"/>
      <c r="P126" s="5">
        <v>251</v>
      </c>
      <c r="Q126" s="5">
        <v>11111011</v>
      </c>
      <c r="R126" s="5" t="s">
        <v>710</v>
      </c>
      <c r="S126" s="6"/>
    </row>
    <row r="127" spans="1:19">
      <c r="A127"/>
      <c r="B127"/>
      <c r="C127"/>
      <c r="P127" s="5">
        <v>252</v>
      </c>
      <c r="Q127" s="5">
        <v>11111100</v>
      </c>
      <c r="R127" s="5" t="s">
        <v>711</v>
      </c>
      <c r="S127" s="6"/>
    </row>
    <row r="128" spans="1:19">
      <c r="A128"/>
      <c r="B128"/>
      <c r="C128"/>
      <c r="P128" s="5">
        <v>253</v>
      </c>
      <c r="Q128" s="5">
        <v>11111101</v>
      </c>
      <c r="R128" s="5" t="s">
        <v>712</v>
      </c>
      <c r="S128" s="6"/>
    </row>
    <row r="129" spans="1:19">
      <c r="A129"/>
      <c r="B129"/>
      <c r="C129"/>
      <c r="P129" s="5">
        <v>254</v>
      </c>
      <c r="Q129" s="5">
        <v>11111110</v>
      </c>
      <c r="R129" s="5" t="s">
        <v>713</v>
      </c>
      <c r="S129" s="6"/>
    </row>
    <row r="130" spans="1:19">
      <c r="A130"/>
      <c r="B130"/>
      <c r="C130"/>
      <c r="P130" s="9">
        <v>255</v>
      </c>
      <c r="Q130" s="9">
        <v>11111111</v>
      </c>
      <c r="R130" s="9" t="s">
        <v>714</v>
      </c>
      <c r="S130" s="10"/>
    </row>
    <row r="131" spans="1:19">
      <c r="A131"/>
      <c r="B131"/>
      <c r="C131"/>
    </row>
    <row r="132" spans="1:19">
      <c r="A132"/>
      <c r="B132"/>
      <c r="C132"/>
    </row>
    <row r="133" spans="1:19">
      <c r="A133"/>
      <c r="B133"/>
      <c r="C133"/>
    </row>
    <row r="134" spans="1:19" ht="38.1" customHeight="1">
      <c r="A134"/>
      <c r="B134"/>
      <c r="C134"/>
    </row>
    <row r="135" spans="1:19">
      <c r="A135"/>
      <c r="B135"/>
      <c r="C135"/>
    </row>
    <row r="136" spans="1:19">
      <c r="A136"/>
      <c r="B136"/>
      <c r="C136"/>
    </row>
    <row r="137" spans="1:19">
      <c r="A137"/>
      <c r="B137"/>
      <c r="C137"/>
    </row>
    <row r="138" spans="1:19">
      <c r="A138"/>
      <c r="B138"/>
      <c r="C138"/>
    </row>
    <row r="139" spans="1:19">
      <c r="A139"/>
      <c r="B139"/>
      <c r="C139"/>
    </row>
    <row r="140" spans="1:19">
      <c r="A140"/>
      <c r="B140"/>
      <c r="C140"/>
    </row>
    <row r="141" spans="1:19">
      <c r="A141"/>
      <c r="B141"/>
      <c r="C141"/>
    </row>
    <row r="142" spans="1:19">
      <c r="A142"/>
      <c r="B142"/>
      <c r="C142"/>
    </row>
    <row r="143" spans="1:19">
      <c r="A143"/>
      <c r="B143"/>
      <c r="C143"/>
    </row>
    <row r="144" spans="1:19">
      <c r="A144"/>
      <c r="B144"/>
      <c r="C144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Bull</dc:creator>
  <cp:keywords/>
  <dc:description/>
  <cp:lastModifiedBy/>
  <cp:revision/>
  <dcterms:created xsi:type="dcterms:W3CDTF">2019-12-02T06:01:41Z</dcterms:created>
  <dcterms:modified xsi:type="dcterms:W3CDTF">2025-05-25T13:10:28Z</dcterms:modified>
  <cp:category/>
  <cp:contentStatus/>
</cp:coreProperties>
</file>