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io/Project /Soil_Planning/大專生科技部計畫/"/>
    </mc:Choice>
  </mc:AlternateContent>
  <xr:revisionPtr revIDLastSave="0" documentId="13_ncr:1_{7B0D83AD-3C68-FA48-99FF-630D166550AC}" xr6:coauthVersionLast="47" xr6:coauthVersionMax="47" xr10:uidLastSave="{00000000-0000-0000-0000-000000000000}"/>
  <bookViews>
    <workbookView xWindow="0" yWindow="0" windowWidth="35840" windowHeight="22400" activeTab="4" xr2:uid="{00000000-000D-0000-FFFF-FFFF00000000}"/>
  </bookViews>
  <sheets>
    <sheet name="空白表格" sheetId="1" r:id="rId1"/>
    <sheet name="第一次EA數據" sheetId="2" r:id="rId2"/>
    <sheet name="面積總碳量" sheetId="12" r:id="rId3"/>
    <sheet name="第二次EA數據" sheetId="3" r:id="rId4"/>
    <sheet name="WZW-A" sheetId="4" r:id="rId5"/>
    <sheet name="WZW-A圖" sheetId="7" r:id="rId6"/>
    <sheet name="WZW-B" sheetId="5" r:id="rId7"/>
    <sheet name="WZW-B圖" sheetId="8" r:id="rId8"/>
    <sheet name="WZW-C" sheetId="6" r:id="rId9"/>
    <sheet name="WZW-C圖" sheetId="9" r:id="rId10"/>
    <sheet name="ABC比較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2" l="1"/>
  <c r="J5" i="12"/>
  <c r="J6" i="12"/>
  <c r="J7" i="12"/>
  <c r="J8" i="12"/>
  <c r="J9" i="12"/>
  <c r="J10" i="12"/>
  <c r="J11" i="12"/>
  <c r="J12" i="12"/>
  <c r="J3" i="12"/>
  <c r="E3" i="12"/>
  <c r="M3" i="12" l="1"/>
  <c r="G12" i="12"/>
  <c r="G11" i="12"/>
  <c r="G10" i="12"/>
  <c r="G9" i="12"/>
  <c r="G8" i="12"/>
  <c r="G7" i="12"/>
  <c r="G6" i="12"/>
  <c r="G5" i="12"/>
  <c r="G3" i="12"/>
  <c r="I3" i="12" s="1"/>
  <c r="G4" i="12"/>
  <c r="E12" i="12"/>
  <c r="E11" i="12"/>
  <c r="E10" i="12"/>
  <c r="E9" i="12"/>
  <c r="E8" i="12"/>
  <c r="E7" i="12"/>
  <c r="E6" i="12"/>
  <c r="E5" i="12"/>
  <c r="E4" i="12"/>
  <c r="I7" i="12" l="1"/>
  <c r="I4" i="12"/>
  <c r="I11" i="12"/>
  <c r="I8" i="12"/>
  <c r="I12" i="12"/>
  <c r="I5" i="12"/>
  <c r="I9" i="12"/>
  <c r="I6" i="12"/>
  <c r="I10" i="12"/>
  <c r="L3" i="12" l="1"/>
  <c r="P3" i="12" s="1"/>
  <c r="A4" i="12"/>
  <c r="A5" i="12" s="1"/>
  <c r="A6" i="12" s="1"/>
  <c r="A7" i="12" s="1"/>
  <c r="A8" i="12" s="1"/>
  <c r="A9" i="12" s="1"/>
  <c r="A10" i="12" s="1"/>
  <c r="A11" i="12" s="1"/>
  <c r="A12" i="12" s="1"/>
  <c r="Q10" i="2" l="1"/>
  <c r="R91" i="3" l="1"/>
  <c r="R11" i="2" l="1"/>
  <c r="A5" i="10" l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H1048576" i="4" l="1"/>
  <c r="R10" i="3" l="1"/>
  <c r="R11" i="3"/>
  <c r="Q35" i="3"/>
  <c r="L33" i="6" l="1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2" i="5"/>
  <c r="J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3" i="4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C2" i="6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2" i="5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S12" i="3"/>
  <c r="S13" i="3"/>
  <c r="S14" i="3"/>
  <c r="S15" i="3"/>
  <c r="S16" i="3"/>
  <c r="S18" i="3"/>
  <c r="S19" i="3"/>
  <c r="S20" i="3"/>
  <c r="S21" i="3"/>
  <c r="S22" i="3"/>
  <c r="S23" i="3"/>
  <c r="S24" i="3"/>
  <c r="S26" i="3"/>
  <c r="S27" i="3"/>
  <c r="S28" i="3"/>
  <c r="S29" i="3"/>
  <c r="S30" i="3"/>
  <c r="S31" i="3"/>
  <c r="S32" i="3"/>
  <c r="S34" i="3"/>
  <c r="S35" i="3"/>
  <c r="S36" i="3"/>
  <c r="S37" i="3"/>
  <c r="S38" i="3"/>
  <c r="S39" i="3"/>
  <c r="S40" i="3"/>
  <c r="S42" i="3"/>
  <c r="S43" i="3"/>
  <c r="S44" i="3"/>
  <c r="S45" i="3"/>
  <c r="S46" i="3"/>
  <c r="S47" i="3"/>
  <c r="S48" i="3"/>
  <c r="S50" i="3"/>
  <c r="S51" i="3"/>
  <c r="S52" i="3"/>
  <c r="S53" i="3"/>
  <c r="S54" i="3"/>
  <c r="S55" i="3"/>
  <c r="S56" i="3"/>
  <c r="S58" i="3"/>
  <c r="S59" i="3"/>
  <c r="S60" i="3"/>
  <c r="S61" i="3"/>
  <c r="S62" i="3"/>
  <c r="S63" i="3"/>
  <c r="S64" i="3"/>
  <c r="S66" i="3"/>
  <c r="S67" i="3"/>
  <c r="S68" i="3"/>
  <c r="S69" i="3"/>
  <c r="S70" i="3"/>
  <c r="S71" i="3"/>
  <c r="S72" i="3"/>
  <c r="S74" i="3"/>
  <c r="S75" i="3"/>
  <c r="S76" i="3"/>
  <c r="S77" i="3"/>
  <c r="S78" i="3"/>
  <c r="S79" i="3"/>
  <c r="S80" i="3"/>
  <c r="S82" i="3"/>
  <c r="S83" i="3"/>
  <c r="S84" i="3"/>
  <c r="S85" i="3"/>
  <c r="S86" i="3"/>
  <c r="S87" i="3"/>
  <c r="S88" i="3"/>
  <c r="S90" i="3"/>
  <c r="S91" i="3"/>
  <c r="S92" i="3"/>
  <c r="S93" i="3"/>
  <c r="S11" i="3"/>
  <c r="S10" i="3"/>
  <c r="R12" i="3"/>
  <c r="R13" i="3"/>
  <c r="R14" i="3"/>
  <c r="R15" i="3"/>
  <c r="R16" i="3"/>
  <c r="R18" i="3"/>
  <c r="R19" i="3"/>
  <c r="R20" i="3"/>
  <c r="R21" i="3"/>
  <c r="R22" i="3"/>
  <c r="R23" i="3"/>
  <c r="R24" i="3"/>
  <c r="R26" i="3"/>
  <c r="R27" i="3"/>
  <c r="R28" i="3"/>
  <c r="R29" i="3"/>
  <c r="R30" i="3"/>
  <c r="R31" i="3"/>
  <c r="R32" i="3"/>
  <c r="R34" i="3"/>
  <c r="R35" i="3"/>
  <c r="R36" i="3"/>
  <c r="R37" i="3"/>
  <c r="R38" i="3"/>
  <c r="R39" i="3"/>
  <c r="R40" i="3"/>
  <c r="R42" i="3"/>
  <c r="R43" i="3"/>
  <c r="R44" i="3"/>
  <c r="R45" i="3"/>
  <c r="R46" i="3"/>
  <c r="R47" i="3"/>
  <c r="R48" i="3"/>
  <c r="R50" i="3"/>
  <c r="R51" i="3"/>
  <c r="R52" i="3"/>
  <c r="R53" i="3"/>
  <c r="R54" i="3"/>
  <c r="R55" i="3"/>
  <c r="R56" i="3"/>
  <c r="R58" i="3"/>
  <c r="R59" i="3"/>
  <c r="R60" i="3"/>
  <c r="R61" i="3"/>
  <c r="R62" i="3"/>
  <c r="R63" i="3"/>
  <c r="R64" i="3"/>
  <c r="R66" i="3"/>
  <c r="R67" i="3"/>
  <c r="R68" i="3"/>
  <c r="R69" i="3"/>
  <c r="R70" i="3"/>
  <c r="R71" i="3"/>
  <c r="R72" i="3"/>
  <c r="R74" i="3"/>
  <c r="R75" i="3"/>
  <c r="R76" i="3"/>
  <c r="R77" i="3"/>
  <c r="R78" i="3"/>
  <c r="R79" i="3"/>
  <c r="R80" i="3"/>
  <c r="R82" i="3"/>
  <c r="R83" i="3"/>
  <c r="R84" i="3"/>
  <c r="R85" i="3"/>
  <c r="R86" i="3"/>
  <c r="R87" i="3"/>
  <c r="R88" i="3"/>
  <c r="R90" i="3"/>
  <c r="R92" i="3"/>
  <c r="R93" i="3"/>
  <c r="Q26" i="3"/>
  <c r="Q27" i="3"/>
  <c r="Q28" i="3"/>
  <c r="Q29" i="3"/>
  <c r="T29" i="3" s="1"/>
  <c r="U29" i="3" s="1"/>
  <c r="V29" i="3" s="1"/>
  <c r="Q30" i="3"/>
  <c r="Q31" i="3"/>
  <c r="Q32" i="3"/>
  <c r="Q34" i="3"/>
  <c r="T34" i="3" s="1"/>
  <c r="U34" i="3" s="1"/>
  <c r="V34" i="3" s="1"/>
  <c r="Q36" i="3"/>
  <c r="Q37" i="3"/>
  <c r="Q38" i="3"/>
  <c r="Q39" i="3"/>
  <c r="Q40" i="3"/>
  <c r="Q42" i="3"/>
  <c r="Q43" i="3"/>
  <c r="Q44" i="3"/>
  <c r="Q45" i="3"/>
  <c r="Q46" i="3"/>
  <c r="Q47" i="3"/>
  <c r="Q48" i="3"/>
  <c r="Q50" i="3"/>
  <c r="Q51" i="3"/>
  <c r="Q52" i="3"/>
  <c r="T52" i="3" s="1"/>
  <c r="U52" i="3" s="1"/>
  <c r="V52" i="3" s="1"/>
  <c r="Q53" i="3"/>
  <c r="T53" i="3" s="1"/>
  <c r="U53" i="3" s="1"/>
  <c r="V53" i="3" s="1"/>
  <c r="Q54" i="3"/>
  <c r="Q55" i="3"/>
  <c r="Q56" i="3"/>
  <c r="Q58" i="3"/>
  <c r="Q59" i="3"/>
  <c r="T59" i="3" s="1"/>
  <c r="U59" i="3" s="1"/>
  <c r="V59" i="3" s="1"/>
  <c r="X59" i="3" s="1"/>
  <c r="Q60" i="3"/>
  <c r="Q61" i="3"/>
  <c r="Q62" i="3"/>
  <c r="Q63" i="3"/>
  <c r="Q64" i="3"/>
  <c r="Q66" i="3"/>
  <c r="T66" i="3" s="1"/>
  <c r="U66" i="3" s="1"/>
  <c r="V66" i="3" s="1"/>
  <c r="Q67" i="3"/>
  <c r="Q68" i="3"/>
  <c r="Q69" i="3"/>
  <c r="Q70" i="3"/>
  <c r="T70" i="3" s="1"/>
  <c r="U70" i="3" s="1"/>
  <c r="V70" i="3" s="1"/>
  <c r="Q71" i="3"/>
  <c r="T71" i="3" s="1"/>
  <c r="U71" i="3" s="1"/>
  <c r="V71" i="3" s="1"/>
  <c r="Q72" i="3"/>
  <c r="Q74" i="3"/>
  <c r="Q75" i="3"/>
  <c r="Q76" i="3"/>
  <c r="Q77" i="3"/>
  <c r="Q78" i="3"/>
  <c r="Q79" i="3"/>
  <c r="Q80" i="3"/>
  <c r="Q82" i="3"/>
  <c r="T82" i="3" s="1"/>
  <c r="U82" i="3" s="1"/>
  <c r="V82" i="3" s="1"/>
  <c r="Y82" i="3" s="1"/>
  <c r="Q83" i="3"/>
  <c r="Q84" i="3"/>
  <c r="T84" i="3" s="1"/>
  <c r="U84" i="3" s="1"/>
  <c r="V84" i="3" s="1"/>
  <c r="Q85" i="3"/>
  <c r="Q86" i="3"/>
  <c r="Q87" i="3"/>
  <c r="Q88" i="3"/>
  <c r="Q90" i="3"/>
  <c r="Q91" i="3"/>
  <c r="Q92" i="3"/>
  <c r="Q93" i="3"/>
  <c r="Q11" i="3"/>
  <c r="Q12" i="3"/>
  <c r="Q13" i="3"/>
  <c r="Q14" i="3"/>
  <c r="Q15" i="3"/>
  <c r="T15" i="3" s="1"/>
  <c r="U15" i="3" s="1"/>
  <c r="V15" i="3" s="1"/>
  <c r="Q16" i="3"/>
  <c r="T16" i="3" s="1"/>
  <c r="U16" i="3" s="1"/>
  <c r="V16" i="3" s="1"/>
  <c r="Q18" i="3"/>
  <c r="T18" i="3" s="1"/>
  <c r="U18" i="3" s="1"/>
  <c r="V18" i="3" s="1"/>
  <c r="Q19" i="3"/>
  <c r="Q20" i="3"/>
  <c r="T20" i="3" s="1"/>
  <c r="U20" i="3" s="1"/>
  <c r="V20" i="3" s="1"/>
  <c r="Q21" i="3"/>
  <c r="Q22" i="3"/>
  <c r="T22" i="3" s="1"/>
  <c r="U22" i="3" s="1"/>
  <c r="V22" i="3" s="1"/>
  <c r="X22" i="3" s="1"/>
  <c r="Q23" i="3"/>
  <c r="Q24" i="3"/>
  <c r="T24" i="3" s="1"/>
  <c r="U24" i="3" s="1"/>
  <c r="V24" i="3" s="1"/>
  <c r="W24" i="3" s="1"/>
  <c r="Q10" i="3"/>
  <c r="L11" i="3"/>
  <c r="L12" i="3"/>
  <c r="M12" i="3" s="1"/>
  <c r="N12" i="3" s="1"/>
  <c r="P12" i="3" s="1"/>
  <c r="L13" i="3"/>
  <c r="M13" i="3" s="1"/>
  <c r="N13" i="3" s="1"/>
  <c r="P13" i="3" s="1"/>
  <c r="L14" i="3"/>
  <c r="M14" i="3" s="1"/>
  <c r="N14" i="3" s="1"/>
  <c r="P14" i="3" s="1"/>
  <c r="L15" i="3"/>
  <c r="M15" i="3" s="1"/>
  <c r="N15" i="3" s="1"/>
  <c r="P15" i="3" s="1"/>
  <c r="L16" i="3"/>
  <c r="M16" i="3" s="1"/>
  <c r="N16" i="3" s="1"/>
  <c r="P16" i="3" s="1"/>
  <c r="L18" i="3"/>
  <c r="M18" i="3" s="1"/>
  <c r="N18" i="3" s="1"/>
  <c r="P18" i="3" s="1"/>
  <c r="L19" i="3"/>
  <c r="M19" i="3" s="1"/>
  <c r="N19" i="3" s="1"/>
  <c r="P19" i="3" s="1"/>
  <c r="L20" i="3"/>
  <c r="M20" i="3" s="1"/>
  <c r="N20" i="3" s="1"/>
  <c r="P20" i="3" s="1"/>
  <c r="L21" i="3"/>
  <c r="M21" i="3" s="1"/>
  <c r="N21" i="3" s="1"/>
  <c r="P21" i="3" s="1"/>
  <c r="L22" i="3"/>
  <c r="M22" i="3" s="1"/>
  <c r="N22" i="3" s="1"/>
  <c r="P22" i="3" s="1"/>
  <c r="L23" i="3"/>
  <c r="M23" i="3" s="1"/>
  <c r="N23" i="3" s="1"/>
  <c r="P23" i="3" s="1"/>
  <c r="L24" i="3"/>
  <c r="M24" i="3" s="1"/>
  <c r="N24" i="3" s="1"/>
  <c r="P24" i="3" s="1"/>
  <c r="L26" i="3"/>
  <c r="M26" i="3" s="1"/>
  <c r="N26" i="3" s="1"/>
  <c r="P26" i="3" s="1"/>
  <c r="L27" i="3"/>
  <c r="M27" i="3" s="1"/>
  <c r="N27" i="3" s="1"/>
  <c r="P27" i="3" s="1"/>
  <c r="L28" i="3"/>
  <c r="M28" i="3" s="1"/>
  <c r="N28" i="3" s="1"/>
  <c r="P28" i="3" s="1"/>
  <c r="L29" i="3"/>
  <c r="M29" i="3" s="1"/>
  <c r="N29" i="3" s="1"/>
  <c r="P29" i="3" s="1"/>
  <c r="L30" i="3"/>
  <c r="M30" i="3" s="1"/>
  <c r="N30" i="3" s="1"/>
  <c r="P30" i="3" s="1"/>
  <c r="L31" i="3"/>
  <c r="M31" i="3" s="1"/>
  <c r="N31" i="3" s="1"/>
  <c r="P31" i="3" s="1"/>
  <c r="L32" i="3"/>
  <c r="M32" i="3" s="1"/>
  <c r="N32" i="3" s="1"/>
  <c r="P32" i="3" s="1"/>
  <c r="L34" i="3"/>
  <c r="M34" i="3" s="1"/>
  <c r="N34" i="3" s="1"/>
  <c r="P34" i="3" s="1"/>
  <c r="L35" i="3"/>
  <c r="M35" i="3" s="1"/>
  <c r="N35" i="3" s="1"/>
  <c r="P35" i="3" s="1"/>
  <c r="L36" i="3"/>
  <c r="M36" i="3" s="1"/>
  <c r="N36" i="3" s="1"/>
  <c r="P36" i="3" s="1"/>
  <c r="L37" i="3"/>
  <c r="M37" i="3" s="1"/>
  <c r="N37" i="3" s="1"/>
  <c r="P37" i="3" s="1"/>
  <c r="L38" i="3"/>
  <c r="M38" i="3" s="1"/>
  <c r="N38" i="3" s="1"/>
  <c r="P38" i="3" s="1"/>
  <c r="L39" i="3"/>
  <c r="M39" i="3" s="1"/>
  <c r="N39" i="3" s="1"/>
  <c r="P39" i="3" s="1"/>
  <c r="L40" i="3"/>
  <c r="M40" i="3" s="1"/>
  <c r="N40" i="3" s="1"/>
  <c r="P40" i="3" s="1"/>
  <c r="L42" i="3"/>
  <c r="M42" i="3" s="1"/>
  <c r="N42" i="3" s="1"/>
  <c r="P42" i="3" s="1"/>
  <c r="L43" i="3"/>
  <c r="M43" i="3" s="1"/>
  <c r="N43" i="3" s="1"/>
  <c r="P43" i="3" s="1"/>
  <c r="L44" i="3"/>
  <c r="M44" i="3" s="1"/>
  <c r="N44" i="3" s="1"/>
  <c r="P44" i="3" s="1"/>
  <c r="L45" i="3"/>
  <c r="M45" i="3" s="1"/>
  <c r="N45" i="3" s="1"/>
  <c r="P45" i="3" s="1"/>
  <c r="L46" i="3"/>
  <c r="M46" i="3" s="1"/>
  <c r="N46" i="3" s="1"/>
  <c r="P46" i="3" s="1"/>
  <c r="L47" i="3"/>
  <c r="M47" i="3" s="1"/>
  <c r="N47" i="3" s="1"/>
  <c r="P47" i="3" s="1"/>
  <c r="L48" i="3"/>
  <c r="M48" i="3" s="1"/>
  <c r="N48" i="3" s="1"/>
  <c r="P48" i="3" s="1"/>
  <c r="L50" i="3"/>
  <c r="M50" i="3" s="1"/>
  <c r="N50" i="3" s="1"/>
  <c r="P50" i="3" s="1"/>
  <c r="L51" i="3"/>
  <c r="M51" i="3" s="1"/>
  <c r="N51" i="3" s="1"/>
  <c r="P51" i="3" s="1"/>
  <c r="L52" i="3"/>
  <c r="M52" i="3" s="1"/>
  <c r="N52" i="3" s="1"/>
  <c r="P52" i="3" s="1"/>
  <c r="L53" i="3"/>
  <c r="M53" i="3" s="1"/>
  <c r="N53" i="3" s="1"/>
  <c r="P53" i="3" s="1"/>
  <c r="L54" i="3"/>
  <c r="M54" i="3" s="1"/>
  <c r="N54" i="3" s="1"/>
  <c r="P54" i="3" s="1"/>
  <c r="L55" i="3"/>
  <c r="M55" i="3" s="1"/>
  <c r="N55" i="3" s="1"/>
  <c r="P55" i="3" s="1"/>
  <c r="L56" i="3"/>
  <c r="M56" i="3" s="1"/>
  <c r="N56" i="3" s="1"/>
  <c r="P56" i="3" s="1"/>
  <c r="L58" i="3"/>
  <c r="M58" i="3" s="1"/>
  <c r="N58" i="3" s="1"/>
  <c r="P58" i="3" s="1"/>
  <c r="L59" i="3"/>
  <c r="M59" i="3" s="1"/>
  <c r="N59" i="3" s="1"/>
  <c r="P59" i="3" s="1"/>
  <c r="L60" i="3"/>
  <c r="M60" i="3" s="1"/>
  <c r="N60" i="3" s="1"/>
  <c r="P60" i="3" s="1"/>
  <c r="L61" i="3"/>
  <c r="M61" i="3" s="1"/>
  <c r="N61" i="3" s="1"/>
  <c r="P61" i="3" s="1"/>
  <c r="L62" i="3"/>
  <c r="M62" i="3" s="1"/>
  <c r="N62" i="3" s="1"/>
  <c r="P62" i="3" s="1"/>
  <c r="L63" i="3"/>
  <c r="M63" i="3" s="1"/>
  <c r="N63" i="3" s="1"/>
  <c r="P63" i="3" s="1"/>
  <c r="L64" i="3"/>
  <c r="M64" i="3" s="1"/>
  <c r="N64" i="3" s="1"/>
  <c r="P64" i="3" s="1"/>
  <c r="L66" i="3"/>
  <c r="M66" i="3" s="1"/>
  <c r="N66" i="3" s="1"/>
  <c r="P66" i="3" s="1"/>
  <c r="L67" i="3"/>
  <c r="M67" i="3" s="1"/>
  <c r="N67" i="3" s="1"/>
  <c r="P67" i="3" s="1"/>
  <c r="L68" i="3"/>
  <c r="M68" i="3" s="1"/>
  <c r="N68" i="3" s="1"/>
  <c r="P68" i="3" s="1"/>
  <c r="L69" i="3"/>
  <c r="M69" i="3" s="1"/>
  <c r="N69" i="3" s="1"/>
  <c r="P69" i="3" s="1"/>
  <c r="L70" i="3"/>
  <c r="M70" i="3" s="1"/>
  <c r="N70" i="3" s="1"/>
  <c r="P70" i="3" s="1"/>
  <c r="L71" i="3"/>
  <c r="M71" i="3" s="1"/>
  <c r="N71" i="3" s="1"/>
  <c r="P71" i="3" s="1"/>
  <c r="L72" i="3"/>
  <c r="M72" i="3" s="1"/>
  <c r="N72" i="3" s="1"/>
  <c r="P72" i="3" s="1"/>
  <c r="L74" i="3"/>
  <c r="M74" i="3" s="1"/>
  <c r="N74" i="3" s="1"/>
  <c r="P74" i="3" s="1"/>
  <c r="L75" i="3"/>
  <c r="M75" i="3" s="1"/>
  <c r="N75" i="3" s="1"/>
  <c r="P75" i="3" s="1"/>
  <c r="L76" i="3"/>
  <c r="M76" i="3" s="1"/>
  <c r="N76" i="3" s="1"/>
  <c r="P76" i="3" s="1"/>
  <c r="L77" i="3"/>
  <c r="M77" i="3" s="1"/>
  <c r="N77" i="3" s="1"/>
  <c r="P77" i="3" s="1"/>
  <c r="L78" i="3"/>
  <c r="M78" i="3" s="1"/>
  <c r="N78" i="3" s="1"/>
  <c r="P78" i="3" s="1"/>
  <c r="L79" i="3"/>
  <c r="M79" i="3" s="1"/>
  <c r="N79" i="3" s="1"/>
  <c r="P79" i="3" s="1"/>
  <c r="L80" i="3"/>
  <c r="M80" i="3" s="1"/>
  <c r="N80" i="3" s="1"/>
  <c r="P80" i="3" s="1"/>
  <c r="L82" i="3"/>
  <c r="M82" i="3" s="1"/>
  <c r="N82" i="3" s="1"/>
  <c r="P82" i="3" s="1"/>
  <c r="L83" i="3"/>
  <c r="M83" i="3" s="1"/>
  <c r="N83" i="3" s="1"/>
  <c r="P83" i="3" s="1"/>
  <c r="L84" i="3"/>
  <c r="M84" i="3" s="1"/>
  <c r="N84" i="3" s="1"/>
  <c r="P84" i="3" s="1"/>
  <c r="L85" i="3"/>
  <c r="M85" i="3" s="1"/>
  <c r="N85" i="3" s="1"/>
  <c r="P85" i="3" s="1"/>
  <c r="L86" i="3"/>
  <c r="M86" i="3" s="1"/>
  <c r="N86" i="3" s="1"/>
  <c r="P86" i="3" s="1"/>
  <c r="L87" i="3"/>
  <c r="M87" i="3" s="1"/>
  <c r="N87" i="3" s="1"/>
  <c r="P87" i="3" s="1"/>
  <c r="L88" i="3"/>
  <c r="M88" i="3" s="1"/>
  <c r="N88" i="3" s="1"/>
  <c r="P88" i="3" s="1"/>
  <c r="L90" i="3"/>
  <c r="M90" i="3" s="1"/>
  <c r="N90" i="3" s="1"/>
  <c r="P90" i="3" s="1"/>
  <c r="L91" i="3"/>
  <c r="M91" i="3" s="1"/>
  <c r="N91" i="3" s="1"/>
  <c r="P91" i="3" s="1"/>
  <c r="L92" i="3"/>
  <c r="M92" i="3" s="1"/>
  <c r="N92" i="3" s="1"/>
  <c r="P92" i="3" s="1"/>
  <c r="L93" i="3"/>
  <c r="M93" i="3" s="1"/>
  <c r="N93" i="3" s="1"/>
  <c r="P93" i="3" s="1"/>
  <c r="L10" i="3"/>
  <c r="K96" i="3"/>
  <c r="H96" i="3"/>
  <c r="K96" i="2"/>
  <c r="L10" i="2" s="1"/>
  <c r="J96" i="3"/>
  <c r="I96" i="3"/>
  <c r="T63" i="3" l="1"/>
  <c r="U63" i="3" s="1"/>
  <c r="V63" i="3" s="1"/>
  <c r="T45" i="3"/>
  <c r="U45" i="3" s="1"/>
  <c r="V45" i="3" s="1"/>
  <c r="Y45" i="3" s="1"/>
  <c r="T26" i="3"/>
  <c r="U26" i="3" s="1"/>
  <c r="V26" i="3" s="1"/>
  <c r="T80" i="3"/>
  <c r="U80" i="3" s="1"/>
  <c r="V80" i="3" s="1"/>
  <c r="T44" i="3"/>
  <c r="U44" i="3" s="1"/>
  <c r="V44" i="3" s="1"/>
  <c r="T79" i="3"/>
  <c r="U79" i="3" s="1"/>
  <c r="V79" i="3" s="1"/>
  <c r="T43" i="3"/>
  <c r="U43" i="3" s="1"/>
  <c r="V43" i="3" s="1"/>
  <c r="X43" i="3" s="1"/>
  <c r="T35" i="3"/>
  <c r="U35" i="3" s="1"/>
  <c r="V35" i="3" s="1"/>
  <c r="T77" i="3"/>
  <c r="U77" i="3" s="1"/>
  <c r="V77" i="3" s="1"/>
  <c r="T40" i="3"/>
  <c r="U40" i="3" s="1"/>
  <c r="V40" i="3" s="1"/>
  <c r="T93" i="3"/>
  <c r="U93" i="3" s="1"/>
  <c r="V93" i="3" s="1"/>
  <c r="W93" i="3" s="1"/>
  <c r="T56" i="3"/>
  <c r="U56" i="3" s="1"/>
  <c r="V56" i="3" s="1"/>
  <c r="T38" i="3"/>
  <c r="U38" i="3" s="1"/>
  <c r="V38" i="3" s="1"/>
  <c r="W38" i="3" s="1"/>
  <c r="T91" i="3"/>
  <c r="U91" i="3" s="1"/>
  <c r="V91" i="3" s="1"/>
  <c r="T72" i="3"/>
  <c r="U72" i="3" s="1"/>
  <c r="V72" i="3" s="1"/>
  <c r="Y72" i="3" s="1"/>
  <c r="T54" i="3"/>
  <c r="U54" i="3" s="1"/>
  <c r="V54" i="3" s="1"/>
  <c r="T36" i="3"/>
  <c r="U36" i="3" s="1"/>
  <c r="V36" i="3" s="1"/>
  <c r="Y36" i="3" s="1"/>
  <c r="T90" i="3"/>
  <c r="U90" i="3" s="1"/>
  <c r="V90" i="3" s="1"/>
  <c r="T62" i="3"/>
  <c r="U62" i="3" s="1"/>
  <c r="V62" i="3" s="1"/>
  <c r="W62" i="3" s="1"/>
  <c r="T88" i="3"/>
  <c r="U88" i="3" s="1"/>
  <c r="V88" i="3" s="1"/>
  <c r="T75" i="3"/>
  <c r="U75" i="3" s="1"/>
  <c r="V75" i="3" s="1"/>
  <c r="T61" i="3"/>
  <c r="U61" i="3" s="1"/>
  <c r="V61" i="3" s="1"/>
  <c r="T47" i="3"/>
  <c r="U47" i="3" s="1"/>
  <c r="V47" i="3" s="1"/>
  <c r="W47" i="3" s="1"/>
  <c r="T27" i="3"/>
  <c r="U27" i="3" s="1"/>
  <c r="V27" i="3" s="1"/>
  <c r="M11" i="3"/>
  <c r="N11" i="3" s="1"/>
  <c r="P11" i="3" s="1"/>
  <c r="M10" i="3"/>
  <c r="N10" i="3" s="1"/>
  <c r="P10" i="3" s="1"/>
  <c r="T87" i="3"/>
  <c r="U87" i="3" s="1"/>
  <c r="V87" i="3" s="1"/>
  <c r="X87" i="3" s="1"/>
  <c r="T78" i="3"/>
  <c r="U78" i="3" s="1"/>
  <c r="V78" i="3" s="1"/>
  <c r="T69" i="3"/>
  <c r="U69" i="3" s="1"/>
  <c r="V69" i="3" s="1"/>
  <c r="Y69" i="3" s="1"/>
  <c r="T60" i="3"/>
  <c r="U60" i="3" s="1"/>
  <c r="V60" i="3" s="1"/>
  <c r="X60" i="3" s="1"/>
  <c r="T51" i="3"/>
  <c r="U51" i="3" s="1"/>
  <c r="V51" i="3" s="1"/>
  <c r="X51" i="3" s="1"/>
  <c r="T42" i="3"/>
  <c r="U42" i="3" s="1"/>
  <c r="V42" i="3" s="1"/>
  <c r="X42" i="3" s="1"/>
  <c r="T32" i="3"/>
  <c r="U32" i="3" s="1"/>
  <c r="V32" i="3" s="1"/>
  <c r="Y32" i="3" s="1"/>
  <c r="T23" i="3"/>
  <c r="U23" i="3" s="1"/>
  <c r="V23" i="3" s="1"/>
  <c r="W23" i="3" s="1"/>
  <c r="T14" i="3"/>
  <c r="U14" i="3" s="1"/>
  <c r="V14" i="3" s="1"/>
  <c r="T86" i="3"/>
  <c r="U86" i="3" s="1"/>
  <c r="V86" i="3" s="1"/>
  <c r="Y86" i="3" s="1"/>
  <c r="T68" i="3"/>
  <c r="U68" i="3" s="1"/>
  <c r="V68" i="3" s="1"/>
  <c r="Y68" i="3" s="1"/>
  <c r="T50" i="3"/>
  <c r="U50" i="3" s="1"/>
  <c r="V50" i="3" s="1"/>
  <c r="Y50" i="3" s="1"/>
  <c r="T31" i="3"/>
  <c r="U31" i="3" s="1"/>
  <c r="V31" i="3" s="1"/>
  <c r="X31" i="3" s="1"/>
  <c r="T11" i="3"/>
  <c r="U11" i="3" s="1"/>
  <c r="T85" i="3"/>
  <c r="U85" i="3" s="1"/>
  <c r="V85" i="3" s="1"/>
  <c r="X85" i="3" s="1"/>
  <c r="T76" i="3"/>
  <c r="U76" i="3" s="1"/>
  <c r="V76" i="3" s="1"/>
  <c r="Y76" i="3" s="1"/>
  <c r="T67" i="3"/>
  <c r="U67" i="3" s="1"/>
  <c r="V67" i="3" s="1"/>
  <c r="X67" i="3" s="1"/>
  <c r="T58" i="3"/>
  <c r="U58" i="3" s="1"/>
  <c r="V58" i="3" s="1"/>
  <c r="T48" i="3"/>
  <c r="U48" i="3" s="1"/>
  <c r="V48" i="3" s="1"/>
  <c r="X48" i="3" s="1"/>
  <c r="T39" i="3"/>
  <c r="U39" i="3" s="1"/>
  <c r="V39" i="3" s="1"/>
  <c r="T30" i="3"/>
  <c r="U30" i="3" s="1"/>
  <c r="V30" i="3" s="1"/>
  <c r="W30" i="3" s="1"/>
  <c r="T12" i="3"/>
  <c r="U12" i="3" s="1"/>
  <c r="V12" i="3" s="1"/>
  <c r="X12" i="3" s="1"/>
  <c r="X62" i="3"/>
  <c r="W26" i="3"/>
  <c r="Y26" i="3"/>
  <c r="X26" i="3"/>
  <c r="X61" i="3"/>
  <c r="Y61" i="3"/>
  <c r="W61" i="3"/>
  <c r="X34" i="3"/>
  <c r="Y34" i="3"/>
  <c r="W34" i="3"/>
  <c r="X68" i="3"/>
  <c r="W16" i="3"/>
  <c r="Y16" i="3"/>
  <c r="X16" i="3"/>
  <c r="W90" i="3"/>
  <c r="Y90" i="3"/>
  <c r="X90" i="3"/>
  <c r="X88" i="3"/>
  <c r="Y88" i="3"/>
  <c r="W88" i="3"/>
  <c r="W80" i="3"/>
  <c r="Y80" i="3"/>
  <c r="X80" i="3"/>
  <c r="X69" i="3"/>
  <c r="W43" i="3"/>
  <c r="W35" i="3"/>
  <c r="X35" i="3"/>
  <c r="Y35" i="3"/>
  <c r="X70" i="3"/>
  <c r="Y70" i="3"/>
  <c r="W70" i="3"/>
  <c r="X39" i="3"/>
  <c r="W39" i="3"/>
  <c r="Y39" i="3"/>
  <c r="W53" i="3"/>
  <c r="Y53" i="3"/>
  <c r="X53" i="3"/>
  <c r="X15" i="3"/>
  <c r="Y15" i="3"/>
  <c r="W15" i="3"/>
  <c r="W44" i="3"/>
  <c r="Y44" i="3"/>
  <c r="X44" i="3"/>
  <c r="X78" i="3"/>
  <c r="Y78" i="3"/>
  <c r="W78" i="3"/>
  <c r="W32" i="3"/>
  <c r="X79" i="3"/>
  <c r="Y79" i="3"/>
  <c r="W79" i="3"/>
  <c r="W71" i="3"/>
  <c r="Y71" i="3"/>
  <c r="X71" i="3"/>
  <c r="W20" i="3"/>
  <c r="X20" i="3"/>
  <c r="Y20" i="3"/>
  <c r="X58" i="3"/>
  <c r="Y58" i="3"/>
  <c r="W58" i="3"/>
  <c r="Y48" i="3"/>
  <c r="X30" i="3"/>
  <c r="Y30" i="3"/>
  <c r="W84" i="3"/>
  <c r="X84" i="3"/>
  <c r="Y84" i="3"/>
  <c r="W75" i="3"/>
  <c r="X75" i="3"/>
  <c r="Y75" i="3"/>
  <c r="W56" i="3"/>
  <c r="X56" i="3"/>
  <c r="Y56" i="3"/>
  <c r="W29" i="3"/>
  <c r="X29" i="3"/>
  <c r="Y29" i="3"/>
  <c r="Y40" i="3"/>
  <c r="W40" i="3"/>
  <c r="X54" i="3"/>
  <c r="W54" i="3"/>
  <c r="X52" i="3"/>
  <c r="Y52" i="3"/>
  <c r="T92" i="3"/>
  <c r="U92" i="3" s="1"/>
  <c r="V92" i="3" s="1"/>
  <c r="T74" i="3"/>
  <c r="U74" i="3" s="1"/>
  <c r="V74" i="3" s="1"/>
  <c r="T55" i="3"/>
  <c r="U55" i="3" s="1"/>
  <c r="V55" i="3" s="1"/>
  <c r="T28" i="3"/>
  <c r="U28" i="3" s="1"/>
  <c r="V28" i="3" s="1"/>
  <c r="T10" i="3"/>
  <c r="U10" i="3" s="1"/>
  <c r="V10" i="3" s="1"/>
  <c r="Y10" i="3" s="1"/>
  <c r="X36" i="3"/>
  <c r="W36" i="3"/>
  <c r="T83" i="3"/>
  <c r="U83" i="3" s="1"/>
  <c r="V83" i="3" s="1"/>
  <c r="T64" i="3"/>
  <c r="U64" i="3" s="1"/>
  <c r="V64" i="3" s="1"/>
  <c r="T46" i="3"/>
  <c r="U46" i="3" s="1"/>
  <c r="V46" i="3" s="1"/>
  <c r="T37" i="3"/>
  <c r="U37" i="3" s="1"/>
  <c r="V37" i="3" s="1"/>
  <c r="W52" i="3"/>
  <c r="Y59" i="3"/>
  <c r="W59" i="3"/>
  <c r="X40" i="3"/>
  <c r="W91" i="3"/>
  <c r="X82" i="3"/>
  <c r="W82" i="3"/>
  <c r="X63" i="3"/>
  <c r="W63" i="3"/>
  <c r="X45" i="3"/>
  <c r="W45" i="3"/>
  <c r="X27" i="3"/>
  <c r="W27" i="3"/>
  <c r="Y63" i="3"/>
  <c r="Y27" i="3"/>
  <c r="Y77" i="3"/>
  <c r="W77" i="3"/>
  <c r="W66" i="3"/>
  <c r="X66" i="3"/>
  <c r="Y66" i="3"/>
  <c r="X77" i="3"/>
  <c r="X18" i="3"/>
  <c r="W18" i="3"/>
  <c r="Y22" i="3"/>
  <c r="W22" i="3"/>
  <c r="X24" i="3"/>
  <c r="Y24" i="3"/>
  <c r="T19" i="3"/>
  <c r="U19" i="3" s="1"/>
  <c r="V19" i="3" s="1"/>
  <c r="T21" i="3"/>
  <c r="U21" i="3" s="1"/>
  <c r="V21" i="3" s="1"/>
  <c r="Y91" i="3"/>
  <c r="Y54" i="3"/>
  <c r="Y18" i="3"/>
  <c r="T13" i="3"/>
  <c r="U13" i="3" s="1"/>
  <c r="V13" i="3" s="1"/>
  <c r="Y13" i="3" s="1"/>
  <c r="X14" i="3"/>
  <c r="Y14" i="3"/>
  <c r="W14" i="3"/>
  <c r="S17" i="2"/>
  <c r="S18" i="2"/>
  <c r="S19" i="2"/>
  <c r="S20" i="2"/>
  <c r="S21" i="2"/>
  <c r="S22" i="2"/>
  <c r="S24" i="2"/>
  <c r="S25" i="2"/>
  <c r="S26" i="2"/>
  <c r="S27" i="2"/>
  <c r="S28" i="2"/>
  <c r="S29" i="2"/>
  <c r="S31" i="2"/>
  <c r="S32" i="2"/>
  <c r="S33" i="2"/>
  <c r="S34" i="2"/>
  <c r="S35" i="2"/>
  <c r="S36" i="2"/>
  <c r="S38" i="2"/>
  <c r="S39" i="2"/>
  <c r="S40" i="2"/>
  <c r="S41" i="2"/>
  <c r="S42" i="2"/>
  <c r="S43" i="2"/>
  <c r="S45" i="2"/>
  <c r="S46" i="2"/>
  <c r="S47" i="2"/>
  <c r="S48" i="2"/>
  <c r="S49" i="2"/>
  <c r="S50" i="2"/>
  <c r="S52" i="2"/>
  <c r="T52" i="2" s="1"/>
  <c r="U52" i="2" s="1"/>
  <c r="V52" i="2" s="1"/>
  <c r="W52" i="2" s="1"/>
  <c r="S53" i="2"/>
  <c r="S54" i="2"/>
  <c r="S55" i="2"/>
  <c r="S56" i="2"/>
  <c r="S57" i="2"/>
  <c r="S59" i="2"/>
  <c r="S60" i="2"/>
  <c r="S61" i="2"/>
  <c r="S62" i="2"/>
  <c r="S63" i="2"/>
  <c r="S64" i="2"/>
  <c r="S66" i="2"/>
  <c r="S67" i="2"/>
  <c r="S68" i="2"/>
  <c r="S69" i="2"/>
  <c r="S70" i="2"/>
  <c r="S71" i="2"/>
  <c r="S73" i="2"/>
  <c r="S74" i="2"/>
  <c r="S75" i="2"/>
  <c r="S76" i="2"/>
  <c r="S77" i="2"/>
  <c r="S78" i="2"/>
  <c r="S80" i="2"/>
  <c r="S81" i="2"/>
  <c r="S82" i="2"/>
  <c r="S83" i="2"/>
  <c r="S84" i="2"/>
  <c r="S85" i="2"/>
  <c r="S87" i="2"/>
  <c r="S88" i="2"/>
  <c r="S89" i="2"/>
  <c r="S90" i="2"/>
  <c r="S91" i="2"/>
  <c r="S92" i="2"/>
  <c r="S11" i="2"/>
  <c r="S12" i="2"/>
  <c r="S13" i="2"/>
  <c r="S14" i="2"/>
  <c r="S15" i="2"/>
  <c r="S10" i="2"/>
  <c r="R15" i="2"/>
  <c r="R17" i="2"/>
  <c r="R18" i="2"/>
  <c r="R19" i="2"/>
  <c r="R20" i="2"/>
  <c r="R21" i="2"/>
  <c r="R22" i="2"/>
  <c r="T22" i="2" s="1"/>
  <c r="U22" i="2" s="1"/>
  <c r="V22" i="2" s="1"/>
  <c r="R24" i="2"/>
  <c r="R25" i="2"/>
  <c r="R26" i="2"/>
  <c r="R27" i="2"/>
  <c r="R28" i="2"/>
  <c r="R29" i="2"/>
  <c r="R31" i="2"/>
  <c r="R32" i="2"/>
  <c r="R33" i="2"/>
  <c r="R34" i="2"/>
  <c r="R35" i="2"/>
  <c r="R36" i="2"/>
  <c r="R38" i="2"/>
  <c r="R39" i="2"/>
  <c r="R40" i="2"/>
  <c r="R41" i="2"/>
  <c r="R42" i="2"/>
  <c r="R43" i="2"/>
  <c r="R45" i="2"/>
  <c r="R46" i="2"/>
  <c r="R47" i="2"/>
  <c r="R48" i="2"/>
  <c r="R49" i="2"/>
  <c r="R50" i="2"/>
  <c r="R52" i="2"/>
  <c r="R53" i="2"/>
  <c r="R54" i="2"/>
  <c r="R55" i="2"/>
  <c r="R56" i="2"/>
  <c r="R57" i="2"/>
  <c r="R59" i="2"/>
  <c r="R60" i="2"/>
  <c r="R61" i="2"/>
  <c r="R62" i="2"/>
  <c r="R63" i="2"/>
  <c r="R64" i="2"/>
  <c r="R66" i="2"/>
  <c r="R67" i="2"/>
  <c r="R68" i="2"/>
  <c r="G2" i="5" s="1"/>
  <c r="R69" i="2"/>
  <c r="R70" i="2"/>
  <c r="G4" i="5" s="1"/>
  <c r="R71" i="2"/>
  <c r="G5" i="5" s="1"/>
  <c r="R73" i="2"/>
  <c r="R74" i="2"/>
  <c r="R75" i="2"/>
  <c r="R76" i="2"/>
  <c r="R77" i="2"/>
  <c r="R78" i="2"/>
  <c r="R80" i="2"/>
  <c r="R81" i="2"/>
  <c r="R82" i="2"/>
  <c r="R83" i="2"/>
  <c r="R84" i="2"/>
  <c r="R85" i="2"/>
  <c r="R87" i="2"/>
  <c r="R88" i="2"/>
  <c r="R89" i="2"/>
  <c r="R90" i="2"/>
  <c r="R91" i="2"/>
  <c r="R92" i="2"/>
  <c r="R12" i="2"/>
  <c r="R13" i="2"/>
  <c r="R14" i="2"/>
  <c r="R10" i="2"/>
  <c r="Q13" i="2"/>
  <c r="Q14" i="2"/>
  <c r="Q15" i="2"/>
  <c r="Q17" i="2"/>
  <c r="Q18" i="2"/>
  <c r="Q19" i="2"/>
  <c r="Q20" i="2"/>
  <c r="Q21" i="2"/>
  <c r="Q22" i="2"/>
  <c r="Q24" i="2"/>
  <c r="Q25" i="2"/>
  <c r="Q26" i="2"/>
  <c r="Q27" i="2"/>
  <c r="Q28" i="2"/>
  <c r="Q29" i="2"/>
  <c r="T29" i="2" s="1"/>
  <c r="U29" i="2" s="1"/>
  <c r="V29" i="2" s="1"/>
  <c r="Q31" i="2"/>
  <c r="Q32" i="2"/>
  <c r="Q33" i="2"/>
  <c r="Q34" i="2"/>
  <c r="Q35" i="2"/>
  <c r="Q36" i="2"/>
  <c r="Q38" i="2"/>
  <c r="Q39" i="2"/>
  <c r="Q40" i="2"/>
  <c r="Q41" i="2"/>
  <c r="Q42" i="2"/>
  <c r="Q43" i="2"/>
  <c r="Q45" i="2"/>
  <c r="Q46" i="2"/>
  <c r="Q47" i="2"/>
  <c r="Q48" i="2"/>
  <c r="T48" i="2" s="1"/>
  <c r="U48" i="2" s="1"/>
  <c r="V48" i="2" s="1"/>
  <c r="Q49" i="2"/>
  <c r="Q50" i="2"/>
  <c r="Q52" i="2"/>
  <c r="Q53" i="2"/>
  <c r="Q54" i="2"/>
  <c r="Q55" i="2"/>
  <c r="Q56" i="2"/>
  <c r="Q57" i="2"/>
  <c r="Q59" i="2"/>
  <c r="Q60" i="2"/>
  <c r="Q61" i="2"/>
  <c r="Q62" i="2"/>
  <c r="Q63" i="2"/>
  <c r="Q64" i="2"/>
  <c r="Q66" i="2"/>
  <c r="Q67" i="2"/>
  <c r="Q68" i="2"/>
  <c r="Q69" i="2"/>
  <c r="Q70" i="2"/>
  <c r="Q71" i="2"/>
  <c r="Q73" i="2"/>
  <c r="Q74" i="2"/>
  <c r="Q75" i="2"/>
  <c r="Q76" i="2"/>
  <c r="Q77" i="2"/>
  <c r="Q78" i="2"/>
  <c r="Q80" i="2"/>
  <c r="Q81" i="2"/>
  <c r="Q82" i="2"/>
  <c r="Q83" i="2"/>
  <c r="Q84" i="2"/>
  <c r="Q85" i="2"/>
  <c r="T85" i="2" s="1"/>
  <c r="U85" i="2" s="1"/>
  <c r="V85" i="2" s="1"/>
  <c r="Q87" i="2"/>
  <c r="Q88" i="2"/>
  <c r="Q89" i="2"/>
  <c r="Q90" i="2"/>
  <c r="Q91" i="2"/>
  <c r="Q92" i="2"/>
  <c r="Q11" i="2"/>
  <c r="Q12" i="2"/>
  <c r="L25" i="2"/>
  <c r="L26" i="2"/>
  <c r="L27" i="2"/>
  <c r="L28" i="2"/>
  <c r="L29" i="2"/>
  <c r="L31" i="2"/>
  <c r="L32" i="2"/>
  <c r="L33" i="2"/>
  <c r="L34" i="2"/>
  <c r="L35" i="2"/>
  <c r="L36" i="2"/>
  <c r="L38" i="2"/>
  <c r="L39" i="2"/>
  <c r="L40" i="2"/>
  <c r="L41" i="2"/>
  <c r="L42" i="2"/>
  <c r="L43" i="2"/>
  <c r="L45" i="2"/>
  <c r="L46" i="2"/>
  <c r="L47" i="2"/>
  <c r="L48" i="2"/>
  <c r="L49" i="2"/>
  <c r="L50" i="2"/>
  <c r="L52" i="2"/>
  <c r="L53" i="2"/>
  <c r="L54" i="2"/>
  <c r="L55" i="2"/>
  <c r="L56" i="2"/>
  <c r="L57" i="2"/>
  <c r="L59" i="2"/>
  <c r="L60" i="2"/>
  <c r="L61" i="2"/>
  <c r="L62" i="2"/>
  <c r="L63" i="2"/>
  <c r="L64" i="2"/>
  <c r="L66" i="2"/>
  <c r="L67" i="2"/>
  <c r="L68" i="2"/>
  <c r="L69" i="2"/>
  <c r="L70" i="2"/>
  <c r="L71" i="2"/>
  <c r="L73" i="2"/>
  <c r="L74" i="2"/>
  <c r="L75" i="2"/>
  <c r="L76" i="2"/>
  <c r="L77" i="2"/>
  <c r="L78" i="2"/>
  <c r="L80" i="2"/>
  <c r="L81" i="2"/>
  <c r="L82" i="2"/>
  <c r="L83" i="2"/>
  <c r="L84" i="2"/>
  <c r="L85" i="2"/>
  <c r="L87" i="2"/>
  <c r="L88" i="2"/>
  <c r="L89" i="2"/>
  <c r="L90" i="2"/>
  <c r="L91" i="2"/>
  <c r="L92" i="2"/>
  <c r="L22" i="2"/>
  <c r="L24" i="2"/>
  <c r="L21" i="2"/>
  <c r="L20" i="2"/>
  <c r="L19" i="2"/>
  <c r="L18" i="2"/>
  <c r="L17" i="2"/>
  <c r="L15" i="2"/>
  <c r="L13" i="2"/>
  <c r="L14" i="2"/>
  <c r="L12" i="2"/>
  <c r="J96" i="2"/>
  <c r="I96" i="2"/>
  <c r="H96" i="2"/>
  <c r="W48" i="3" l="1"/>
  <c r="W51" i="3"/>
  <c r="X72" i="3"/>
  <c r="W67" i="3"/>
  <c r="Y51" i="3"/>
  <c r="T50" i="2"/>
  <c r="U50" i="2" s="1"/>
  <c r="V50" i="2" s="1"/>
  <c r="T80" i="2"/>
  <c r="U80" i="2" s="1"/>
  <c r="V80" i="2" s="1"/>
  <c r="W80" i="2" s="1"/>
  <c r="T24" i="2"/>
  <c r="U24" i="2" s="1"/>
  <c r="V24" i="2" s="1"/>
  <c r="W72" i="3"/>
  <c r="Y93" i="3"/>
  <c r="Y67" i="3"/>
  <c r="Y38" i="3"/>
  <c r="X93" i="3"/>
  <c r="W60" i="3"/>
  <c r="X38" i="3"/>
  <c r="Y43" i="3"/>
  <c r="Y60" i="3"/>
  <c r="W12" i="3"/>
  <c r="Y47" i="3"/>
  <c r="Y12" i="3"/>
  <c r="W42" i="3"/>
  <c r="X47" i="3"/>
  <c r="W69" i="3"/>
  <c r="Y62" i="3"/>
  <c r="T76" i="2"/>
  <c r="U76" i="2" s="1"/>
  <c r="V76" i="2" s="1"/>
  <c r="W76" i="2" s="1"/>
  <c r="W31" i="3"/>
  <c r="T77" i="2"/>
  <c r="U77" i="2" s="1"/>
  <c r="V77" i="2" s="1"/>
  <c r="Y77" i="2" s="1"/>
  <c r="T49" i="2"/>
  <c r="U49" i="2" s="1"/>
  <c r="V49" i="2" s="1"/>
  <c r="W49" i="2" s="1"/>
  <c r="T21" i="2"/>
  <c r="U21" i="2" s="1"/>
  <c r="V21" i="2" s="1"/>
  <c r="X21" i="2" s="1"/>
  <c r="Y31" i="3"/>
  <c r="X50" i="3"/>
  <c r="T32" i="2"/>
  <c r="U32" i="2" s="1"/>
  <c r="V32" i="2" s="1"/>
  <c r="Y32" i="2" s="1"/>
  <c r="T89" i="2"/>
  <c r="U89" i="2" s="1"/>
  <c r="V89" i="2" s="1"/>
  <c r="W89" i="2" s="1"/>
  <c r="T61" i="2"/>
  <c r="U61" i="2" s="1"/>
  <c r="V61" i="2" s="1"/>
  <c r="T33" i="2"/>
  <c r="U33" i="2" s="1"/>
  <c r="V33" i="2" s="1"/>
  <c r="W50" i="3"/>
  <c r="T78" i="2"/>
  <c r="U78" i="2" s="1"/>
  <c r="V78" i="2" s="1"/>
  <c r="Y78" i="2" s="1"/>
  <c r="T31" i="2"/>
  <c r="U31" i="2" s="1"/>
  <c r="V31" i="2" s="1"/>
  <c r="T60" i="2"/>
  <c r="U60" i="2" s="1"/>
  <c r="V60" i="2" s="1"/>
  <c r="Y60" i="2" s="1"/>
  <c r="T87" i="2"/>
  <c r="U87" i="2" s="1"/>
  <c r="V87" i="2" s="1"/>
  <c r="T59" i="2"/>
  <c r="U59" i="2" s="1"/>
  <c r="V59" i="2" s="1"/>
  <c r="T57" i="2"/>
  <c r="U57" i="2" s="1"/>
  <c r="V57" i="2" s="1"/>
  <c r="Y57" i="2" s="1"/>
  <c r="X13" i="3"/>
  <c r="W68" i="3"/>
  <c r="T69" i="2"/>
  <c r="U69" i="2" s="1"/>
  <c r="V69" i="2" s="1"/>
  <c r="Y69" i="2" s="1"/>
  <c r="G3" i="5"/>
  <c r="T15" i="2"/>
  <c r="U15" i="2" s="1"/>
  <c r="V15" i="2" s="1"/>
  <c r="X15" i="2" s="1"/>
  <c r="T70" i="2"/>
  <c r="U70" i="2" s="1"/>
  <c r="V70" i="2" s="1"/>
  <c r="X70" i="2" s="1"/>
  <c r="T42" i="2"/>
  <c r="U42" i="2" s="1"/>
  <c r="V42" i="2" s="1"/>
  <c r="W42" i="2" s="1"/>
  <c r="W13" i="3"/>
  <c r="W87" i="3"/>
  <c r="T14" i="2"/>
  <c r="U14" i="2" s="1"/>
  <c r="V14" i="2" s="1"/>
  <c r="Y14" i="2" s="1"/>
  <c r="Y87" i="3"/>
  <c r="X86" i="3"/>
  <c r="T13" i="2"/>
  <c r="U13" i="2" s="1"/>
  <c r="V13" i="2" s="1"/>
  <c r="W86" i="3"/>
  <c r="T39" i="2"/>
  <c r="U39" i="2" s="1"/>
  <c r="V39" i="2" s="1"/>
  <c r="V11" i="3"/>
  <c r="X11" i="3" s="1"/>
  <c r="X91" i="3"/>
  <c r="X23" i="3"/>
  <c r="W85" i="3"/>
  <c r="T11" i="2"/>
  <c r="U11" i="2" s="1"/>
  <c r="V11" i="2" s="1"/>
  <c r="X11" i="2" s="1"/>
  <c r="T84" i="2"/>
  <c r="U84" i="2" s="1"/>
  <c r="V84" i="2" s="1"/>
  <c r="W84" i="2" s="1"/>
  <c r="T75" i="2"/>
  <c r="U75" i="2" s="1"/>
  <c r="V75" i="2" s="1"/>
  <c r="W75" i="2" s="1"/>
  <c r="T66" i="2"/>
  <c r="U66" i="2" s="1"/>
  <c r="V66" i="2" s="1"/>
  <c r="Y66" i="2" s="1"/>
  <c r="T56" i="2"/>
  <c r="U56" i="2" s="1"/>
  <c r="V56" i="2" s="1"/>
  <c r="X56" i="2" s="1"/>
  <c r="T47" i="2"/>
  <c r="U47" i="2" s="1"/>
  <c r="V47" i="2" s="1"/>
  <c r="W47" i="2" s="1"/>
  <c r="T38" i="2"/>
  <c r="U38" i="2" s="1"/>
  <c r="V38" i="2" s="1"/>
  <c r="T28" i="2"/>
  <c r="U28" i="2" s="1"/>
  <c r="V28" i="2" s="1"/>
  <c r="T19" i="2"/>
  <c r="U19" i="2" s="1"/>
  <c r="V19" i="2" s="1"/>
  <c r="W19" i="2" s="1"/>
  <c r="Y85" i="3"/>
  <c r="X32" i="3"/>
  <c r="Y42" i="3"/>
  <c r="W76" i="3"/>
  <c r="T12" i="2"/>
  <c r="U12" i="2" s="1"/>
  <c r="V12" i="2" s="1"/>
  <c r="X12" i="2" s="1"/>
  <c r="T68" i="2"/>
  <c r="U68" i="2" s="1"/>
  <c r="V68" i="2" s="1"/>
  <c r="X68" i="2" s="1"/>
  <c r="X10" i="3"/>
  <c r="W10" i="3"/>
  <c r="X76" i="3"/>
  <c r="T20" i="2"/>
  <c r="U20" i="2" s="1"/>
  <c r="V20" i="2" s="1"/>
  <c r="W20" i="2" s="1"/>
  <c r="T40" i="2"/>
  <c r="U40" i="2" s="1"/>
  <c r="V40" i="2" s="1"/>
  <c r="T92" i="2"/>
  <c r="U92" i="2" s="1"/>
  <c r="V92" i="2" s="1"/>
  <c r="Y92" i="2" s="1"/>
  <c r="T83" i="2"/>
  <c r="U83" i="2" s="1"/>
  <c r="V83" i="2" s="1"/>
  <c r="Y83" i="2" s="1"/>
  <c r="T74" i="2"/>
  <c r="U74" i="2" s="1"/>
  <c r="V74" i="2" s="1"/>
  <c r="Y74" i="2" s="1"/>
  <c r="T64" i="2"/>
  <c r="U64" i="2" s="1"/>
  <c r="V64" i="2" s="1"/>
  <c r="T55" i="2"/>
  <c r="U55" i="2" s="1"/>
  <c r="V55" i="2" s="1"/>
  <c r="Y55" i="2" s="1"/>
  <c r="T46" i="2"/>
  <c r="U46" i="2" s="1"/>
  <c r="T36" i="2"/>
  <c r="U36" i="2" s="1"/>
  <c r="V36" i="2" s="1"/>
  <c r="Y36" i="2" s="1"/>
  <c r="T27" i="2"/>
  <c r="U27" i="2" s="1"/>
  <c r="V27" i="2" s="1"/>
  <c r="Y27" i="2" s="1"/>
  <c r="T18" i="2"/>
  <c r="U18" i="2" s="1"/>
  <c r="V18" i="2" s="1"/>
  <c r="Y18" i="2" s="1"/>
  <c r="T88" i="2"/>
  <c r="U88" i="2" s="1"/>
  <c r="V88" i="2" s="1"/>
  <c r="Y88" i="2" s="1"/>
  <c r="T91" i="2"/>
  <c r="U91" i="2" s="1"/>
  <c r="V91" i="2" s="1"/>
  <c r="W91" i="2" s="1"/>
  <c r="T82" i="2"/>
  <c r="U82" i="2" s="1"/>
  <c r="V82" i="2" s="1"/>
  <c r="X82" i="2" s="1"/>
  <c r="T73" i="2"/>
  <c r="U73" i="2" s="1"/>
  <c r="V73" i="2" s="1"/>
  <c r="Y73" i="2" s="1"/>
  <c r="T63" i="2"/>
  <c r="U63" i="2" s="1"/>
  <c r="V63" i="2" s="1"/>
  <c r="W63" i="2" s="1"/>
  <c r="T54" i="2"/>
  <c r="U54" i="2" s="1"/>
  <c r="V54" i="2" s="1"/>
  <c r="X54" i="2" s="1"/>
  <c r="T45" i="2"/>
  <c r="U45" i="2" s="1"/>
  <c r="V45" i="2" s="1"/>
  <c r="Y45" i="2" s="1"/>
  <c r="T35" i="2"/>
  <c r="U35" i="2" s="1"/>
  <c r="V35" i="2" s="1"/>
  <c r="Y35" i="2" s="1"/>
  <c r="T26" i="2"/>
  <c r="U26" i="2" s="1"/>
  <c r="V26" i="2" s="1"/>
  <c r="T17" i="2"/>
  <c r="U17" i="2" s="1"/>
  <c r="V17" i="2" s="1"/>
  <c r="X17" i="2" s="1"/>
  <c r="Y23" i="3"/>
  <c r="T41" i="2"/>
  <c r="U41" i="2" s="1"/>
  <c r="V41" i="2" s="1"/>
  <c r="Y41" i="2" s="1"/>
  <c r="T67" i="2"/>
  <c r="U67" i="2" s="1"/>
  <c r="V67" i="2" s="1"/>
  <c r="T10" i="2"/>
  <c r="U10" i="2" s="1"/>
  <c r="T90" i="2"/>
  <c r="U90" i="2" s="1"/>
  <c r="V90" i="2" s="1"/>
  <c r="W90" i="2" s="1"/>
  <c r="T81" i="2"/>
  <c r="U81" i="2" s="1"/>
  <c r="V81" i="2" s="1"/>
  <c r="T71" i="2"/>
  <c r="U71" i="2" s="1"/>
  <c r="V71" i="2" s="1"/>
  <c r="W71" i="2" s="1"/>
  <c r="T62" i="2"/>
  <c r="U62" i="2" s="1"/>
  <c r="V62" i="2" s="1"/>
  <c r="X62" i="2" s="1"/>
  <c r="T53" i="2"/>
  <c r="U53" i="2" s="1"/>
  <c r="V53" i="2" s="1"/>
  <c r="W53" i="2" s="1"/>
  <c r="T43" i="2"/>
  <c r="U43" i="2" s="1"/>
  <c r="V43" i="2" s="1"/>
  <c r="X43" i="2" s="1"/>
  <c r="T34" i="2"/>
  <c r="U34" i="2" s="1"/>
  <c r="V34" i="2" s="1"/>
  <c r="Y34" i="2" s="1"/>
  <c r="T25" i="2"/>
  <c r="U25" i="2" s="1"/>
  <c r="V25" i="2" s="1"/>
  <c r="W25" i="2" s="1"/>
  <c r="W56" i="2"/>
  <c r="X35" i="2"/>
  <c r="W26" i="2"/>
  <c r="X26" i="2"/>
  <c r="Y26" i="2"/>
  <c r="Y17" i="2"/>
  <c r="W17" i="2"/>
  <c r="Y49" i="2"/>
  <c r="W87" i="2"/>
  <c r="Y87" i="2"/>
  <c r="X87" i="2"/>
  <c r="Y39" i="2"/>
  <c r="X39" i="2"/>
  <c r="W39" i="2"/>
  <c r="X84" i="2"/>
  <c r="Y76" i="2"/>
  <c r="Y48" i="2"/>
  <c r="W48" i="2"/>
  <c r="X48" i="2"/>
  <c r="Y50" i="2"/>
  <c r="W50" i="2"/>
  <c r="X50" i="2"/>
  <c r="Y85" i="2"/>
  <c r="X85" i="2"/>
  <c r="W85" i="2"/>
  <c r="W66" i="2"/>
  <c r="X66" i="2"/>
  <c r="W59" i="2"/>
  <c r="Y59" i="2"/>
  <c r="X59" i="2"/>
  <c r="Y22" i="2"/>
  <c r="X22" i="2"/>
  <c r="W22" i="2"/>
  <c r="W13" i="2"/>
  <c r="Y13" i="2"/>
  <c r="X13" i="2"/>
  <c r="X88" i="2"/>
  <c r="W88" i="2"/>
  <c r="X41" i="2"/>
  <c r="W41" i="2"/>
  <c r="Y31" i="2"/>
  <c r="W31" i="2"/>
  <c r="X31" i="2"/>
  <c r="W57" i="2"/>
  <c r="Y29" i="2"/>
  <c r="W29" i="2"/>
  <c r="X29" i="2"/>
  <c r="Y67" i="2"/>
  <c r="X67" i="2"/>
  <c r="W67" i="2"/>
  <c r="Y68" i="2"/>
  <c r="W68" i="2"/>
  <c r="W40" i="2"/>
  <c r="Y40" i="2"/>
  <c r="X40" i="2"/>
  <c r="W77" i="2"/>
  <c r="X77" i="2"/>
  <c r="W60" i="2"/>
  <c r="X60" i="2"/>
  <c r="W64" i="2"/>
  <c r="X64" i="2"/>
  <c r="W81" i="2"/>
  <c r="X81" i="2"/>
  <c r="Y81" i="2"/>
  <c r="W43" i="2"/>
  <c r="Y64" i="2"/>
  <c r="W28" i="2"/>
  <c r="X28" i="2"/>
  <c r="W74" i="3"/>
  <c r="Y74" i="3"/>
  <c r="X74" i="3"/>
  <c r="Y21" i="2"/>
  <c r="W21" i="2"/>
  <c r="W37" i="3"/>
  <c r="Y37" i="3"/>
  <c r="X37" i="3"/>
  <c r="X45" i="2"/>
  <c r="W46" i="3"/>
  <c r="Y46" i="3"/>
  <c r="X46" i="3"/>
  <c r="X61" i="2"/>
  <c r="Y61" i="2"/>
  <c r="X52" i="2"/>
  <c r="Y52" i="2"/>
  <c r="X42" i="2"/>
  <c r="Y42" i="2"/>
  <c r="X33" i="2"/>
  <c r="Y33" i="2"/>
  <c r="X24" i="2"/>
  <c r="Y24" i="2"/>
  <c r="W33" i="2"/>
  <c r="Y47" i="2"/>
  <c r="W55" i="3"/>
  <c r="Y55" i="3"/>
  <c r="X55" i="3"/>
  <c r="W74" i="2"/>
  <c r="X74" i="2"/>
  <c r="X27" i="2"/>
  <c r="X89" i="2"/>
  <c r="Y89" i="2"/>
  <c r="W38" i="2"/>
  <c r="X38" i="2"/>
  <c r="X21" i="3"/>
  <c r="Y21" i="3"/>
  <c r="W21" i="3"/>
  <c r="Y28" i="2"/>
  <c r="X80" i="2"/>
  <c r="Y80" i="2"/>
  <c r="W61" i="2"/>
  <c r="W24" i="2"/>
  <c r="Y38" i="2"/>
  <c r="W92" i="3"/>
  <c r="Y92" i="3"/>
  <c r="X92" i="3"/>
  <c r="W19" i="3"/>
  <c r="Y19" i="3"/>
  <c r="X19" i="3"/>
  <c r="W83" i="3"/>
  <c r="Y83" i="3"/>
  <c r="X83" i="3"/>
  <c r="W64" i="3"/>
  <c r="Y64" i="3"/>
  <c r="X64" i="3"/>
  <c r="W28" i="3"/>
  <c r="Y28" i="3"/>
  <c r="X28" i="3"/>
  <c r="W14" i="2"/>
  <c r="X14" i="2"/>
  <c r="L11" i="2"/>
  <c r="AB10" i="2"/>
  <c r="AB11" i="2" s="1"/>
  <c r="AC10" i="2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D10" i="2"/>
  <c r="AD11" i="2" s="1"/>
  <c r="W82" i="2" l="1"/>
  <c r="W54" i="2"/>
  <c r="W62" i="2"/>
  <c r="X63" i="2"/>
  <c r="Y63" i="2"/>
  <c r="X34" i="2"/>
  <c r="W27" i="2"/>
  <c r="Y71" i="2"/>
  <c r="X18" i="2"/>
  <c r="X57" i="2"/>
  <c r="X71" i="2"/>
  <c r="Y91" i="2"/>
  <c r="X20" i="2"/>
  <c r="Y54" i="2"/>
  <c r="X36" i="2"/>
  <c r="X55" i="2"/>
  <c r="Y75" i="2"/>
  <c r="W69" i="2"/>
  <c r="W11" i="2"/>
  <c r="X91" i="2"/>
  <c r="Y20" i="2"/>
  <c r="W36" i="2"/>
  <c r="W55" i="2"/>
  <c r="X75" i="2"/>
  <c r="X69" i="2"/>
  <c r="X76" i="2"/>
  <c r="X49" i="2"/>
  <c r="W32" i="2"/>
  <c r="X32" i="2"/>
  <c r="W18" i="2"/>
  <c r="Y11" i="2"/>
  <c r="Y43" i="2"/>
  <c r="Y70" i="2"/>
  <c r="Y11" i="3"/>
  <c r="W70" i="2"/>
  <c r="Y19" i="2"/>
  <c r="W78" i="2"/>
  <c r="X19" i="2"/>
  <c r="W11" i="3"/>
  <c r="W73" i="2"/>
  <c r="X78" i="2"/>
  <c r="Y15" i="2"/>
  <c r="W15" i="2"/>
  <c r="W83" i="2"/>
  <c r="V10" i="2"/>
  <c r="X10" i="2" s="1"/>
  <c r="X92" i="2"/>
  <c r="V46" i="2"/>
  <c r="Y46" i="2" s="1"/>
  <c r="Y82" i="2"/>
  <c r="W34" i="2"/>
  <c r="M11" i="2"/>
  <c r="N11" i="2" s="1"/>
  <c r="P11" i="2" s="1"/>
  <c r="Y62" i="2"/>
  <c r="X73" i="2"/>
  <c r="W45" i="2"/>
  <c r="X47" i="2"/>
  <c r="W35" i="2"/>
  <c r="W12" i="2"/>
  <c r="Y84" i="2"/>
  <c r="Y25" i="2"/>
  <c r="Y90" i="2"/>
  <c r="Y53" i="2"/>
  <c r="W92" i="2"/>
  <c r="X46" i="2"/>
  <c r="Y12" i="2"/>
  <c r="X25" i="2"/>
  <c r="X90" i="2"/>
  <c r="X53" i="2"/>
  <c r="Y56" i="2"/>
  <c r="X83" i="2"/>
  <c r="M10" i="2"/>
  <c r="N10" i="2" s="1"/>
  <c r="P10" i="2" s="1"/>
  <c r="AB12" i="2"/>
  <c r="AD12" i="2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W10" i="2" l="1"/>
  <c r="W46" i="2"/>
  <c r="Y10" i="2"/>
  <c r="AB13" i="2"/>
  <c r="M12" i="2"/>
  <c r="N12" i="2" s="1"/>
  <c r="P12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M13" i="2" l="1"/>
  <c r="N13" i="2" s="1"/>
  <c r="P13" i="2" s="1"/>
  <c r="AB14" i="2"/>
  <c r="H32" i="1"/>
  <c r="Q17" i="1" s="1"/>
  <c r="I32" i="1"/>
  <c r="R18" i="1" s="1"/>
  <c r="J32" i="1"/>
  <c r="L10" i="1" s="1"/>
  <c r="G32" i="1"/>
  <c r="M10" i="1" l="1"/>
  <c r="N10" i="1" s="1"/>
  <c r="O10" i="1" s="1"/>
  <c r="AB15" i="2"/>
  <c r="M14" i="2"/>
  <c r="N14" i="2" s="1"/>
  <c r="P14" i="2" s="1"/>
  <c r="L20" i="1"/>
  <c r="M20" i="1" s="1"/>
  <c r="N20" i="1" s="1"/>
  <c r="O20" i="1" s="1"/>
  <c r="L12" i="1"/>
  <c r="M12" i="1" s="1"/>
  <c r="N12" i="1" s="1"/>
  <c r="O12" i="1" s="1"/>
  <c r="L14" i="1"/>
  <c r="M14" i="1" s="1"/>
  <c r="N14" i="1" s="1"/>
  <c r="O14" i="1" s="1"/>
  <c r="L13" i="1"/>
  <c r="M13" i="1" s="1"/>
  <c r="N13" i="1" s="1"/>
  <c r="O13" i="1" s="1"/>
  <c r="L11" i="1"/>
  <c r="M11" i="1" s="1"/>
  <c r="N11" i="1" s="1"/>
  <c r="O11" i="1" s="1"/>
  <c r="L24" i="1"/>
  <c r="M24" i="1" s="1"/>
  <c r="N24" i="1" s="1"/>
  <c r="O24" i="1" s="1"/>
  <c r="L17" i="1"/>
  <c r="M17" i="1" s="1"/>
  <c r="N17" i="1" s="1"/>
  <c r="O17" i="1" s="1"/>
  <c r="P17" i="1"/>
  <c r="P10" i="1"/>
  <c r="Q16" i="1"/>
  <c r="Q10" i="1"/>
  <c r="P25" i="1"/>
  <c r="R23" i="1"/>
  <c r="P22" i="1"/>
  <c r="R19" i="1"/>
  <c r="P18" i="1"/>
  <c r="R16" i="1"/>
  <c r="R26" i="1"/>
  <c r="Q23" i="1"/>
  <c r="Q19" i="1"/>
  <c r="P13" i="1"/>
  <c r="Q26" i="1"/>
  <c r="L25" i="1"/>
  <c r="M25" i="1" s="1"/>
  <c r="N25" i="1" s="1"/>
  <c r="O25" i="1" s="1"/>
  <c r="P23" i="1"/>
  <c r="L22" i="1"/>
  <c r="M22" i="1" s="1"/>
  <c r="N22" i="1" s="1"/>
  <c r="O22" i="1" s="1"/>
  <c r="P19" i="1"/>
  <c r="L18" i="1"/>
  <c r="M18" i="1" s="1"/>
  <c r="N18" i="1" s="1"/>
  <c r="O18" i="1" s="1"/>
  <c r="P16" i="1"/>
  <c r="R13" i="1"/>
  <c r="R10" i="1"/>
  <c r="P26" i="1"/>
  <c r="R24" i="1"/>
  <c r="R20" i="1"/>
  <c r="R17" i="1"/>
  <c r="R25" i="1"/>
  <c r="R22" i="1"/>
  <c r="Q25" i="1"/>
  <c r="Q22" i="1"/>
  <c r="Q18" i="1"/>
  <c r="Q24" i="1"/>
  <c r="Q20" i="1"/>
  <c r="L16" i="1"/>
  <c r="M16" i="1" s="1"/>
  <c r="N16" i="1" s="1"/>
  <c r="O16" i="1" s="1"/>
  <c r="L26" i="1"/>
  <c r="M26" i="1" s="1"/>
  <c r="N26" i="1" s="1"/>
  <c r="O26" i="1" s="1"/>
  <c r="P24" i="1"/>
  <c r="L23" i="1"/>
  <c r="M23" i="1" s="1"/>
  <c r="N23" i="1" s="1"/>
  <c r="O23" i="1" s="1"/>
  <c r="P20" i="1"/>
  <c r="L19" i="1"/>
  <c r="M19" i="1" s="1"/>
  <c r="N19" i="1" s="1"/>
  <c r="O19" i="1" s="1"/>
  <c r="Q12" i="1"/>
  <c r="Q14" i="1"/>
  <c r="Q13" i="1"/>
  <c r="P11" i="1"/>
  <c r="R11" i="1"/>
  <c r="P12" i="1"/>
  <c r="R12" i="1"/>
  <c r="Q11" i="1"/>
  <c r="P14" i="1"/>
  <c r="R14" i="1"/>
  <c r="S26" i="1" l="1"/>
  <c r="T26" i="1" s="1"/>
  <c r="U26" i="1" s="1"/>
  <c r="V26" i="1" s="1"/>
  <c r="S20" i="1"/>
  <c r="T20" i="1" s="1"/>
  <c r="U20" i="1" s="1"/>
  <c r="V20" i="1" s="1"/>
  <c r="AB16" i="2"/>
  <c r="AB17" i="2" s="1"/>
  <c r="M15" i="2"/>
  <c r="N15" i="2" s="1"/>
  <c r="P15" i="2" s="1"/>
  <c r="S17" i="1"/>
  <c r="T17" i="1" s="1"/>
  <c r="U17" i="1" s="1"/>
  <c r="V17" i="1" s="1"/>
  <c r="S13" i="1"/>
  <c r="T13" i="1" s="1"/>
  <c r="U13" i="1" s="1"/>
  <c r="V13" i="1" s="1"/>
  <c r="S19" i="1"/>
  <c r="T19" i="1" s="1"/>
  <c r="U19" i="1" s="1"/>
  <c r="V19" i="1" s="1"/>
  <c r="S18" i="1"/>
  <c r="T18" i="1" s="1"/>
  <c r="U18" i="1" s="1"/>
  <c r="V18" i="1" s="1"/>
  <c r="S22" i="1"/>
  <c r="T22" i="1" s="1"/>
  <c r="U22" i="1" s="1"/>
  <c r="V22" i="1" s="1"/>
  <c r="S16" i="1"/>
  <c r="T16" i="1" s="1"/>
  <c r="U16" i="1" s="1"/>
  <c r="V16" i="1" s="1"/>
  <c r="S25" i="1"/>
  <c r="T25" i="1" s="1"/>
  <c r="U25" i="1" s="1"/>
  <c r="V25" i="1" s="1"/>
  <c r="S23" i="1"/>
  <c r="T23" i="1" s="1"/>
  <c r="U23" i="1" s="1"/>
  <c r="V23" i="1" s="1"/>
  <c r="S24" i="1"/>
  <c r="T24" i="1" s="1"/>
  <c r="U24" i="1" s="1"/>
  <c r="V24" i="1" s="1"/>
  <c r="S10" i="1"/>
  <c r="S11" i="1"/>
  <c r="T11" i="1" s="1"/>
  <c r="U11" i="1" s="1"/>
  <c r="V11" i="1" s="1"/>
  <c r="S12" i="1"/>
  <c r="T12" i="1" s="1"/>
  <c r="U12" i="1" s="1"/>
  <c r="V12" i="1" s="1"/>
  <c r="S14" i="1"/>
  <c r="T14" i="1" s="1"/>
  <c r="U14" i="1" s="1"/>
  <c r="V14" i="1" s="1"/>
  <c r="X20" i="1" l="1"/>
  <c r="W26" i="1"/>
  <c r="X26" i="1"/>
  <c r="W13" i="1"/>
  <c r="W20" i="1"/>
  <c r="W17" i="1"/>
  <c r="X18" i="1"/>
  <c r="T10" i="1"/>
  <c r="U10" i="1" s="1"/>
  <c r="W10" i="1" s="1"/>
  <c r="X17" i="1"/>
  <c r="W19" i="1"/>
  <c r="X13" i="1"/>
  <c r="AB18" i="2"/>
  <c r="M17" i="2"/>
  <c r="N17" i="2" s="1"/>
  <c r="P17" i="2" s="1"/>
  <c r="W18" i="1"/>
  <c r="X19" i="1"/>
  <c r="W23" i="1"/>
  <c r="X23" i="1"/>
  <c r="X25" i="1"/>
  <c r="W25" i="1"/>
  <c r="W24" i="1"/>
  <c r="X24" i="1"/>
  <c r="W11" i="1"/>
  <c r="W16" i="1"/>
  <c r="X16" i="1"/>
  <c r="X11" i="1"/>
  <c r="W22" i="1"/>
  <c r="X22" i="1"/>
  <c r="X12" i="1"/>
  <c r="W12" i="1"/>
  <c r="W14" i="1"/>
  <c r="X14" i="1"/>
  <c r="V10" i="1" l="1"/>
  <c r="X10" i="1"/>
  <c r="AB19" i="2"/>
  <c r="M18" i="2"/>
  <c r="N18" i="2" s="1"/>
  <c r="P18" i="2" s="1"/>
  <c r="AB20" i="2" l="1"/>
  <c r="M19" i="2"/>
  <c r="N19" i="2" s="1"/>
  <c r="P19" i="2" s="1"/>
  <c r="AB21" i="2" l="1"/>
  <c r="M20" i="2"/>
  <c r="N20" i="2" s="1"/>
  <c r="P20" i="2" s="1"/>
  <c r="AB22" i="2" l="1"/>
  <c r="M21" i="2"/>
  <c r="N21" i="2" s="1"/>
  <c r="P21" i="2" s="1"/>
  <c r="AB23" i="2" l="1"/>
  <c r="AB24" i="2" s="1"/>
  <c r="M22" i="2"/>
  <c r="N22" i="2" s="1"/>
  <c r="P22" i="2" s="1"/>
  <c r="AB25" i="2" l="1"/>
  <c r="M24" i="2"/>
  <c r="N24" i="2" s="1"/>
  <c r="P24" i="2" s="1"/>
  <c r="AB26" i="2" l="1"/>
  <c r="M25" i="2"/>
  <c r="N25" i="2" s="1"/>
  <c r="P25" i="2" s="1"/>
  <c r="AB27" i="2" l="1"/>
  <c r="M26" i="2"/>
  <c r="N26" i="2" s="1"/>
  <c r="P26" i="2" s="1"/>
  <c r="AB28" i="2" l="1"/>
  <c r="M27" i="2"/>
  <c r="N27" i="2" s="1"/>
  <c r="P27" i="2" s="1"/>
  <c r="AB29" i="2" l="1"/>
  <c r="M28" i="2"/>
  <c r="N28" i="2" s="1"/>
  <c r="P28" i="2" s="1"/>
  <c r="AB30" i="2" l="1"/>
  <c r="AB31" i="2" s="1"/>
  <c r="M29" i="2"/>
  <c r="N29" i="2" s="1"/>
  <c r="P29" i="2" s="1"/>
  <c r="AB32" i="2" l="1"/>
  <c r="M31" i="2"/>
  <c r="N31" i="2" s="1"/>
  <c r="P31" i="2" s="1"/>
  <c r="AB33" i="2" l="1"/>
  <c r="M32" i="2"/>
  <c r="N32" i="2" s="1"/>
  <c r="P32" i="2" s="1"/>
  <c r="AB34" i="2" l="1"/>
  <c r="M33" i="2"/>
  <c r="N33" i="2" s="1"/>
  <c r="P33" i="2" s="1"/>
  <c r="AB35" i="2" l="1"/>
  <c r="M34" i="2"/>
  <c r="N34" i="2" s="1"/>
  <c r="P34" i="2" s="1"/>
  <c r="AB36" i="2" l="1"/>
  <c r="M35" i="2"/>
  <c r="N35" i="2" s="1"/>
  <c r="P35" i="2" s="1"/>
  <c r="AB37" i="2" l="1"/>
  <c r="AB38" i="2" s="1"/>
  <c r="M36" i="2"/>
  <c r="N36" i="2" s="1"/>
  <c r="P36" i="2" s="1"/>
  <c r="AB39" i="2" l="1"/>
  <c r="M38" i="2"/>
  <c r="N38" i="2" s="1"/>
  <c r="P38" i="2" s="1"/>
  <c r="AB40" i="2" l="1"/>
  <c r="M39" i="2"/>
  <c r="N39" i="2" s="1"/>
  <c r="P39" i="2" s="1"/>
  <c r="AB41" i="2" l="1"/>
  <c r="M40" i="2"/>
  <c r="N40" i="2" s="1"/>
  <c r="P40" i="2" s="1"/>
  <c r="AB42" i="2" l="1"/>
  <c r="M41" i="2"/>
  <c r="N41" i="2" s="1"/>
  <c r="P41" i="2" s="1"/>
  <c r="AB43" i="2" l="1"/>
  <c r="M42" i="2"/>
  <c r="N42" i="2" s="1"/>
  <c r="P42" i="2" s="1"/>
  <c r="AB44" i="2" l="1"/>
  <c r="AB45" i="2" s="1"/>
  <c r="M43" i="2"/>
  <c r="N43" i="2" s="1"/>
  <c r="P43" i="2" s="1"/>
  <c r="AB46" i="2" l="1"/>
  <c r="M45" i="2"/>
  <c r="N45" i="2" s="1"/>
  <c r="P45" i="2" s="1"/>
  <c r="AB47" i="2" l="1"/>
  <c r="M46" i="2"/>
  <c r="N46" i="2" s="1"/>
  <c r="P46" i="2" s="1"/>
  <c r="AB48" i="2" l="1"/>
  <c r="M47" i="2"/>
  <c r="N47" i="2" s="1"/>
  <c r="P47" i="2" s="1"/>
  <c r="AB49" i="2" l="1"/>
  <c r="M48" i="2"/>
  <c r="N48" i="2" s="1"/>
  <c r="P48" i="2" s="1"/>
  <c r="AB50" i="2" l="1"/>
  <c r="M49" i="2"/>
  <c r="N49" i="2" s="1"/>
  <c r="P49" i="2" s="1"/>
  <c r="AB51" i="2" l="1"/>
  <c r="AB52" i="2" s="1"/>
  <c r="M50" i="2"/>
  <c r="N50" i="2" s="1"/>
  <c r="P50" i="2" s="1"/>
  <c r="AB53" i="2" l="1"/>
  <c r="M52" i="2"/>
  <c r="N52" i="2" s="1"/>
  <c r="P52" i="2" s="1"/>
  <c r="AB54" i="2" l="1"/>
  <c r="M53" i="2"/>
  <c r="N53" i="2" s="1"/>
  <c r="P53" i="2" s="1"/>
  <c r="AB55" i="2" l="1"/>
  <c r="M54" i="2"/>
  <c r="N54" i="2" s="1"/>
  <c r="P54" i="2" s="1"/>
  <c r="AB56" i="2" l="1"/>
  <c r="M55" i="2"/>
  <c r="N55" i="2" s="1"/>
  <c r="P55" i="2" s="1"/>
  <c r="AB57" i="2" l="1"/>
  <c r="M56" i="2"/>
  <c r="N56" i="2" s="1"/>
  <c r="P56" i="2" s="1"/>
  <c r="AB58" i="2" l="1"/>
  <c r="AB59" i="2" s="1"/>
  <c r="M57" i="2"/>
  <c r="N57" i="2" s="1"/>
  <c r="P57" i="2" s="1"/>
  <c r="AB60" i="2" l="1"/>
  <c r="M59" i="2"/>
  <c r="N59" i="2" s="1"/>
  <c r="P59" i="2" s="1"/>
  <c r="AB61" i="2" l="1"/>
  <c r="M60" i="2"/>
  <c r="N60" i="2" s="1"/>
  <c r="P60" i="2" s="1"/>
  <c r="AB62" i="2" l="1"/>
  <c r="M61" i="2"/>
  <c r="N61" i="2" s="1"/>
  <c r="P61" i="2" s="1"/>
  <c r="AB63" i="2" l="1"/>
  <c r="M62" i="2"/>
  <c r="N62" i="2" s="1"/>
  <c r="P62" i="2" s="1"/>
  <c r="AB64" i="2" l="1"/>
  <c r="M63" i="2"/>
  <c r="N63" i="2" s="1"/>
  <c r="P63" i="2" s="1"/>
  <c r="AB65" i="2" l="1"/>
  <c r="AB66" i="2" s="1"/>
  <c r="M64" i="2"/>
  <c r="N64" i="2" s="1"/>
  <c r="P64" i="2" s="1"/>
  <c r="AB67" i="2" l="1"/>
  <c r="M66" i="2"/>
  <c r="N66" i="2" s="1"/>
  <c r="P66" i="2" s="1"/>
  <c r="AB68" i="2" l="1"/>
  <c r="M68" i="2" s="1"/>
  <c r="M67" i="2"/>
  <c r="N67" i="2" s="1"/>
  <c r="P67" i="2" s="1"/>
  <c r="AB69" i="2" l="1"/>
  <c r="N68" i="2"/>
  <c r="P68" i="2" s="1"/>
  <c r="AB70" i="2" l="1"/>
  <c r="M69" i="2"/>
  <c r="N69" i="2" s="1"/>
  <c r="P69" i="2" s="1"/>
  <c r="AB71" i="2" l="1"/>
  <c r="M70" i="2"/>
  <c r="N70" i="2" s="1"/>
  <c r="P70" i="2" s="1"/>
  <c r="AB72" i="2" l="1"/>
  <c r="AB73" i="2" s="1"/>
  <c r="M71" i="2"/>
  <c r="N71" i="2" s="1"/>
  <c r="P71" i="2" s="1"/>
  <c r="AB74" i="2" l="1"/>
  <c r="M73" i="2"/>
  <c r="N73" i="2" s="1"/>
  <c r="P73" i="2" s="1"/>
  <c r="AB75" i="2" l="1"/>
  <c r="M74" i="2"/>
  <c r="N74" i="2" s="1"/>
  <c r="P74" i="2" s="1"/>
  <c r="AB76" i="2" l="1"/>
  <c r="M75" i="2"/>
  <c r="N75" i="2" s="1"/>
  <c r="P75" i="2" s="1"/>
  <c r="AB77" i="2" l="1"/>
  <c r="M76" i="2"/>
  <c r="N76" i="2" s="1"/>
  <c r="P76" i="2" s="1"/>
  <c r="AB78" i="2" l="1"/>
  <c r="M77" i="2"/>
  <c r="N77" i="2" s="1"/>
  <c r="P77" i="2" s="1"/>
  <c r="AB79" i="2" l="1"/>
  <c r="AB80" i="2" s="1"/>
  <c r="M78" i="2"/>
  <c r="N78" i="2" s="1"/>
  <c r="P78" i="2" s="1"/>
  <c r="AB81" i="2" l="1"/>
  <c r="M80" i="2"/>
  <c r="N80" i="2" s="1"/>
  <c r="P80" i="2" s="1"/>
  <c r="AB82" i="2" l="1"/>
  <c r="M81" i="2"/>
  <c r="N81" i="2" s="1"/>
  <c r="P81" i="2" s="1"/>
  <c r="AB83" i="2" l="1"/>
  <c r="M82" i="2"/>
  <c r="N82" i="2" s="1"/>
  <c r="P82" i="2" s="1"/>
  <c r="AB84" i="2" l="1"/>
  <c r="M83" i="2"/>
  <c r="N83" i="2" s="1"/>
  <c r="P83" i="2" s="1"/>
  <c r="AB85" i="2" l="1"/>
  <c r="M84" i="2"/>
  <c r="N84" i="2" s="1"/>
  <c r="P84" i="2" s="1"/>
  <c r="AB86" i="2" l="1"/>
  <c r="AB87" i="2" s="1"/>
  <c r="M85" i="2"/>
  <c r="N85" i="2" s="1"/>
  <c r="P85" i="2" s="1"/>
  <c r="AB88" i="2" l="1"/>
  <c r="M87" i="2"/>
  <c r="N87" i="2" s="1"/>
  <c r="P87" i="2" s="1"/>
  <c r="AB89" i="2" l="1"/>
  <c r="M88" i="2"/>
  <c r="N88" i="2" s="1"/>
  <c r="P88" i="2" s="1"/>
  <c r="AB90" i="2" l="1"/>
  <c r="M89" i="2"/>
  <c r="N89" i="2" s="1"/>
  <c r="P89" i="2" s="1"/>
  <c r="AB91" i="2" l="1"/>
  <c r="M90" i="2"/>
  <c r="N90" i="2" s="1"/>
  <c r="P90" i="2" s="1"/>
  <c r="AB92" i="2" l="1"/>
  <c r="M91" i="2"/>
  <c r="N91" i="2" s="1"/>
  <c r="P91" i="2" s="1"/>
  <c r="AB93" i="2" l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M92" i="2"/>
  <c r="N92" i="2" s="1"/>
  <c r="P9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Angela Wan</author>
  </authors>
  <commentList>
    <comment ref="S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Angela Wan:</t>
        </r>
        <r>
          <rPr>
            <sz val="9"/>
            <color indexed="81"/>
            <rFont val="Tahoma"/>
            <family val="2"/>
          </rPr>
          <t xml:space="preserve">
=TOC+ROC+TIC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Angela Wan</author>
  </authors>
  <commentList>
    <comment ref="T6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Angela Wan: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=TOC+ROC+TIC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Angela Wan</author>
  </authors>
  <commentList>
    <comment ref="T6" authorId="0" shapeId="0" xr:uid="{00000000-0006-0000-0300-000001000000}">
      <text>
        <r>
          <rPr>
            <b/>
            <sz val="9"/>
            <color rgb="FF000000"/>
            <rFont val="Tahoma"/>
            <family val="2"/>
          </rPr>
          <t>Angela Wan: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=TOC+ROC+TIC</t>
        </r>
      </text>
    </comment>
  </commentList>
</comments>
</file>

<file path=xl/sharedStrings.xml><?xml version="1.0" encoding="utf-8"?>
<sst xmlns="http://schemas.openxmlformats.org/spreadsheetml/2006/main" count="974" uniqueCount="240">
  <si>
    <t>TOC400  Area</t>
  </si>
  <si>
    <t>ROC  Area</t>
  </si>
  <si>
    <t>TIC900  Area</t>
  </si>
  <si>
    <t>N  Area</t>
  </si>
  <si>
    <t>TN-blnk</t>
    <phoneticPr fontId="3" type="noConversion"/>
  </si>
  <si>
    <t xml:space="preserve">TN (mg) </t>
    <phoneticPr fontId="3" type="noConversion"/>
  </si>
  <si>
    <t>TN (%)</t>
    <phoneticPr fontId="3" type="noConversion"/>
  </si>
  <si>
    <t>TOC-blnk</t>
  </si>
  <si>
    <t>ROC - blnk</t>
  </si>
  <si>
    <t>TIC - blnk</t>
  </si>
  <si>
    <t xml:space="preserve">TC (mg) </t>
  </si>
  <si>
    <t>TC(%)</t>
  </si>
  <si>
    <t>SD(%)</t>
  </si>
  <si>
    <t>TOC(%)</t>
  </si>
  <si>
    <t>TIC (%)</t>
  </si>
  <si>
    <t>RunIn</t>
    <phoneticPr fontId="1" type="noConversion"/>
  </si>
  <si>
    <t>Weight  [mg]</t>
  </si>
  <si>
    <t>Name</t>
  </si>
  <si>
    <t>Memo</t>
  </si>
  <si>
    <t>Method</t>
  </si>
  <si>
    <t>Coefficients</t>
  </si>
  <si>
    <t>system blank</t>
    <phoneticPr fontId="1" type="noConversion"/>
  </si>
  <si>
    <t>EN15936</t>
    <phoneticPr fontId="1" type="noConversion"/>
  </si>
  <si>
    <t>2020 low C N</t>
    <phoneticPr fontId="1" type="noConversion"/>
  </si>
  <si>
    <t>DIN19539_4</t>
  </si>
  <si>
    <t>DIN19539_4</t>
    <phoneticPr fontId="1" type="noConversion"/>
  </si>
  <si>
    <t>b</t>
    <phoneticPr fontId="1" type="noConversion"/>
  </si>
  <si>
    <t>a</t>
    <phoneticPr fontId="1" type="noConversion"/>
  </si>
  <si>
    <t>carbon</t>
    <phoneticPr fontId="1" type="noConversion"/>
  </si>
  <si>
    <t>nitrogen</t>
    <phoneticPr fontId="1" type="noConversion"/>
  </si>
  <si>
    <t>c</t>
    <phoneticPr fontId="1" type="noConversion"/>
  </si>
  <si>
    <t>y=bx+a</t>
    <phoneticPr fontId="1" type="noConversion"/>
  </si>
  <si>
    <t>y=bx+a+cx^2</t>
    <phoneticPr fontId="1" type="noConversion"/>
  </si>
  <si>
    <t>ceramic cup A</t>
    <phoneticPr fontId="1" type="noConversion"/>
  </si>
  <si>
    <t>sample #1</t>
    <phoneticPr fontId="1" type="noConversion"/>
  </si>
  <si>
    <t>sample #2</t>
  </si>
  <si>
    <t>sample #3</t>
  </si>
  <si>
    <t>sample #4</t>
  </si>
  <si>
    <t>TC - blnk</t>
    <phoneticPr fontId="1" type="noConversion"/>
  </si>
  <si>
    <r>
      <t>memo</t>
    </r>
    <r>
      <rPr>
        <sz val="12"/>
        <color theme="1"/>
        <rFont val="新細明體"/>
        <family val="2"/>
        <charset val="136"/>
      </rPr>
      <t>為</t>
    </r>
    <r>
      <rPr>
        <sz val="12"/>
        <color theme="1"/>
        <rFont val="Times New Roman"/>
        <family val="1"/>
      </rPr>
      <t>system blank</t>
    </r>
    <r>
      <rPr>
        <sz val="12"/>
        <color theme="1"/>
        <rFont val="新細明體"/>
        <family val="2"/>
        <charset val="136"/>
      </rPr>
      <t>的</t>
    </r>
    <r>
      <rPr>
        <sz val="12"/>
        <color theme="1"/>
        <rFont val="Times New Roman"/>
        <family val="1"/>
      </rPr>
      <t>RunIn</t>
    </r>
    <r>
      <rPr>
        <sz val="12"/>
        <color theme="1"/>
        <rFont val="新細明體"/>
        <family val="2"/>
        <charset val="136"/>
      </rPr>
      <t>不用算在</t>
    </r>
    <r>
      <rPr>
        <sz val="12"/>
        <color theme="1"/>
        <rFont val="Times New Roman"/>
        <family val="1"/>
      </rPr>
      <t>blank</t>
    </r>
    <r>
      <rPr>
        <sz val="12"/>
        <color theme="1"/>
        <rFont val="新細明體"/>
        <family val="2"/>
        <charset val="136"/>
      </rPr>
      <t>平均內）</t>
    </r>
    <phoneticPr fontId="1" type="noConversion"/>
  </si>
  <si>
    <r>
      <t xml:space="preserve">(2. </t>
    </r>
    <r>
      <rPr>
        <sz val="12"/>
        <color theme="1"/>
        <rFont val="PMingLiU"/>
        <family val="1"/>
        <charset val="136"/>
      </rPr>
      <t>減對應的</t>
    </r>
    <r>
      <rPr>
        <sz val="12"/>
        <color theme="1"/>
        <rFont val="Times New Roman"/>
        <family val="1"/>
      </rPr>
      <t>blank</t>
    </r>
    <r>
      <rPr>
        <sz val="12"/>
        <color theme="1"/>
        <rFont val="PMingLiU"/>
        <family val="1"/>
        <charset val="136"/>
      </rPr>
      <t>）</t>
    </r>
    <phoneticPr fontId="1" type="noConversion"/>
  </si>
  <si>
    <t>N blank average</t>
    <phoneticPr fontId="1" type="noConversion"/>
  </si>
  <si>
    <t>TIC 900 blank average</t>
    <phoneticPr fontId="1" type="noConversion"/>
  </si>
  <si>
    <t>ROC blank average</t>
    <phoneticPr fontId="1" type="noConversion"/>
  </si>
  <si>
    <t>TOC 400 blank average</t>
    <phoneticPr fontId="1" type="noConversion"/>
  </si>
  <si>
    <r>
      <t>(3.</t>
    </r>
    <r>
      <rPr>
        <sz val="12"/>
        <color theme="1"/>
        <rFont val="PMingLiU"/>
        <family val="1"/>
        <charset val="136"/>
      </rPr>
      <t>代入檢量線算式)</t>
    </r>
    <phoneticPr fontId="1" type="noConversion"/>
  </si>
  <si>
    <t>(4.TC% = TC mg / weight *100)</t>
    <phoneticPr fontId="1" type="noConversion"/>
  </si>
  <si>
    <t>(4.TN% = TN mg / weight *100)</t>
    <phoneticPr fontId="1" type="noConversion"/>
  </si>
  <si>
    <t>TOC% = TC% * ((TOC400+ROC)/TC)</t>
    <phoneticPr fontId="1" type="noConversion"/>
  </si>
  <si>
    <t xml:space="preserve">std </t>
    <phoneticPr fontId="1" type="noConversion"/>
  </si>
  <si>
    <t>Blnk</t>
    <phoneticPr fontId="1" type="noConversion"/>
  </si>
  <si>
    <t>(5.error =TN%*SQRT((0.2/weight)^2+(0.020798677/TNmg)^2)</t>
    <phoneticPr fontId="1" type="noConversion"/>
  </si>
  <si>
    <t>(5.error =TC%*SQRT((0.2/weight)^2+(0.0258413446374805/TCmg)^2)</t>
    <phoneticPr fontId="1" type="noConversion"/>
  </si>
  <si>
    <t>blank average:</t>
    <phoneticPr fontId="1" type="noConversion"/>
  </si>
  <si>
    <r>
      <t xml:space="preserve">(1. </t>
    </r>
    <r>
      <rPr>
        <sz val="12"/>
        <color theme="1"/>
        <rFont val="細明體"/>
        <family val="3"/>
        <charset val="136"/>
      </rPr>
      <t>計算所有</t>
    </r>
    <r>
      <rPr>
        <sz val="12"/>
        <color theme="1"/>
        <rFont val="Times New Roman"/>
        <family val="1"/>
      </rPr>
      <t>blank</t>
    </r>
    <r>
      <rPr>
        <sz val="12"/>
        <color theme="1"/>
        <rFont val="細明體"/>
        <family val="3"/>
        <charset val="136"/>
      </rPr>
      <t>的平均：</t>
    </r>
    <r>
      <rPr>
        <sz val="12"/>
        <color theme="1"/>
        <rFont val="新細明體"/>
        <family val="2"/>
        <charset val="136"/>
      </rPr>
      <t>只要取</t>
    </r>
    <r>
      <rPr>
        <sz val="12"/>
        <color theme="1"/>
        <rFont val="Times New Roman"/>
        <family val="1"/>
      </rPr>
      <t>memo</t>
    </r>
    <r>
      <rPr>
        <sz val="12"/>
        <color theme="1"/>
        <rFont val="新細明體"/>
        <family val="2"/>
        <charset val="136"/>
      </rPr>
      <t>為</t>
    </r>
    <r>
      <rPr>
        <sz val="12"/>
        <color theme="1"/>
        <rFont val="Times New Roman"/>
        <family val="1"/>
      </rPr>
      <t>ceramic cup</t>
    </r>
    <r>
      <rPr>
        <sz val="12"/>
        <color theme="1"/>
        <rFont val="新細明體"/>
        <family val="2"/>
        <charset val="136"/>
      </rPr>
      <t>、</t>
    </r>
    <r>
      <rPr>
        <sz val="12"/>
        <color theme="1"/>
        <rFont val="Times New Roman"/>
        <family val="1"/>
      </rPr>
      <t>method</t>
    </r>
    <r>
      <rPr>
        <sz val="12"/>
        <color theme="1"/>
        <rFont val="新細明體"/>
        <family val="2"/>
        <charset val="136"/>
      </rPr>
      <t>為</t>
    </r>
    <r>
      <rPr>
        <sz val="12"/>
        <color theme="1"/>
        <rFont val="Times New Roman"/>
        <family val="1"/>
      </rPr>
      <t xml:space="preserve">DIN19539_4 </t>
    </r>
    <r>
      <rPr>
        <sz val="12"/>
        <color theme="1"/>
        <rFont val="新細明體"/>
        <family val="2"/>
        <charset val="136"/>
      </rPr>
      <t>的</t>
    </r>
    <r>
      <rPr>
        <sz val="12"/>
        <color theme="1"/>
        <rFont val="Times New Roman"/>
        <family val="1"/>
      </rPr>
      <t>RunIn</t>
    </r>
    <r>
      <rPr>
        <sz val="12"/>
        <color theme="1"/>
        <rFont val="新細明體"/>
        <family val="2"/>
        <charset val="136"/>
      </rPr>
      <t>；</t>
    </r>
    <phoneticPr fontId="1" type="noConversion"/>
  </si>
  <si>
    <t>pos.</t>
    <phoneticPr fontId="1" type="noConversion"/>
  </si>
  <si>
    <t>date</t>
    <phoneticPr fontId="1" type="noConversion"/>
  </si>
  <si>
    <t>runIn</t>
  </si>
  <si>
    <t>blnk</t>
  </si>
  <si>
    <t>leco std</t>
  </si>
  <si>
    <t>A0-1</t>
  </si>
  <si>
    <t>A1-2</t>
  </si>
  <si>
    <t>A2-3</t>
  </si>
  <si>
    <t>A3-4</t>
  </si>
  <si>
    <t>A4-5</t>
  </si>
  <si>
    <t>dgs oc #1</t>
  </si>
  <si>
    <t>A5-6</t>
  </si>
  <si>
    <t>A6-7</t>
  </si>
  <si>
    <t>A7-8</t>
  </si>
  <si>
    <t>A8-9</t>
  </si>
  <si>
    <t>A9-10</t>
  </si>
  <si>
    <t>A10-11</t>
  </si>
  <si>
    <t>A11-12</t>
  </si>
  <si>
    <t>A12-13</t>
  </si>
  <si>
    <t>A13-14</t>
  </si>
  <si>
    <t>A14-15</t>
  </si>
  <si>
    <t>A15-16</t>
  </si>
  <si>
    <t>A16-17</t>
  </si>
  <si>
    <t>A17-18</t>
  </si>
  <si>
    <t>A18-19</t>
  </si>
  <si>
    <t>A19-20</t>
  </si>
  <si>
    <t>A20-21</t>
  </si>
  <si>
    <t>A21-22</t>
  </si>
  <si>
    <t>A22-23</t>
  </si>
  <si>
    <t>A23-24</t>
  </si>
  <si>
    <t>A24-25</t>
  </si>
  <si>
    <t>A25-26</t>
  </si>
  <si>
    <t>A26-27</t>
  </si>
  <si>
    <t>A27-28</t>
  </si>
  <si>
    <t>A28-29</t>
  </si>
  <si>
    <t>A29-30</t>
  </si>
  <si>
    <t>A30-31</t>
  </si>
  <si>
    <t>A31-32</t>
  </si>
  <si>
    <t>A32-33</t>
  </si>
  <si>
    <t>A33-34</t>
  </si>
  <si>
    <t>A34-35</t>
  </si>
  <si>
    <t>A35-36</t>
  </si>
  <si>
    <t>A36-37</t>
  </si>
  <si>
    <t>A37-38</t>
  </si>
  <si>
    <t>A38-39</t>
  </si>
  <si>
    <t>A39-40</t>
  </si>
  <si>
    <t>A40-41</t>
  </si>
  <si>
    <t>B0-1</t>
  </si>
  <si>
    <t>B1-2</t>
  </si>
  <si>
    <t>B2-3</t>
  </si>
  <si>
    <t>B3-4</t>
  </si>
  <si>
    <t>B4-5</t>
  </si>
  <si>
    <t>B5-6</t>
  </si>
  <si>
    <t>B6-7</t>
  </si>
  <si>
    <t>B7-8</t>
  </si>
  <si>
    <t>B8-9</t>
  </si>
  <si>
    <t>Dgs oc #1</t>
  </si>
  <si>
    <t>B9-10</t>
  </si>
  <si>
    <t>B10-11</t>
  </si>
  <si>
    <t>B11-12</t>
  </si>
  <si>
    <t>B12-13</t>
  </si>
  <si>
    <t>B13-14</t>
  </si>
  <si>
    <t>B14-15</t>
  </si>
  <si>
    <t>B15-16</t>
  </si>
  <si>
    <t>B16-17</t>
  </si>
  <si>
    <t>B17-18</t>
  </si>
  <si>
    <t>B18-19</t>
  </si>
  <si>
    <t>system blank</t>
  </si>
  <si>
    <t>ceramic cup A</t>
  </si>
  <si>
    <t>EN15936</t>
  </si>
  <si>
    <t>JSLW_2</t>
  </si>
  <si>
    <t>(5.error =TN%*SQRT((0.2/weight)^2+(0.020798677/TNmg)^2)</t>
    <phoneticPr fontId="1" type="noConversion"/>
  </si>
  <si>
    <t>(5.error =TC%*SQRT((0.2/weight)^2+(0.0258413446374805/TCmg)^2)</t>
    <phoneticPr fontId="1" type="noConversion"/>
  </si>
  <si>
    <t>(4.TC% = TC mg / weight *100)</t>
    <phoneticPr fontId="1" type="noConversion"/>
  </si>
  <si>
    <t>TOC% = TC% * ((TOC400+ROC)/TC)</t>
    <phoneticPr fontId="1" type="noConversion"/>
  </si>
  <si>
    <t>TIC (%)</t>
    <phoneticPr fontId="1" type="noConversion"/>
  </si>
  <si>
    <t>B19-20</t>
  </si>
  <si>
    <t>B20-21</t>
  </si>
  <si>
    <t>B21-22</t>
  </si>
  <si>
    <t>B23-24</t>
  </si>
  <si>
    <t>B24-25</t>
  </si>
  <si>
    <t>B25-26</t>
  </si>
  <si>
    <t>B26-27</t>
  </si>
  <si>
    <t>B27-28</t>
  </si>
  <si>
    <t>B28-29</t>
  </si>
  <si>
    <t>B29-30</t>
  </si>
  <si>
    <t>B30-31</t>
  </si>
  <si>
    <t>B31-32</t>
  </si>
  <si>
    <t>B32-33</t>
  </si>
  <si>
    <t>ceramic cup A_N:103+340</t>
  </si>
  <si>
    <t>B33-34</t>
  </si>
  <si>
    <t>B34-35</t>
  </si>
  <si>
    <t>ceramic cup A_N:5512-3843-6</t>
  </si>
  <si>
    <t>B35-36</t>
  </si>
  <si>
    <t>B36-37</t>
  </si>
  <si>
    <t>B37-38</t>
  </si>
  <si>
    <t>B38-39</t>
  </si>
  <si>
    <t>B39-40</t>
  </si>
  <si>
    <t>B40-41</t>
  </si>
  <si>
    <t>B41-42</t>
  </si>
  <si>
    <t>B42-43</t>
  </si>
  <si>
    <t>B43-44</t>
  </si>
  <si>
    <t>ceramic cup A_N:7556-3839</t>
  </si>
  <si>
    <t>B44-45</t>
  </si>
  <si>
    <t>ceramic cup A_N:183+334</t>
  </si>
  <si>
    <t>B45-46</t>
  </si>
  <si>
    <t>B46-47</t>
  </si>
  <si>
    <t>B47-48</t>
  </si>
  <si>
    <t>B48-49</t>
  </si>
  <si>
    <t>B49-50</t>
  </si>
  <si>
    <t>C0-1</t>
  </si>
  <si>
    <t>C1-2</t>
  </si>
  <si>
    <t>C2-3</t>
  </si>
  <si>
    <t>C3-4</t>
  </si>
  <si>
    <t>C4-5</t>
  </si>
  <si>
    <t>C5-6</t>
  </si>
  <si>
    <t>locostd</t>
  </si>
  <si>
    <t>C6-7</t>
  </si>
  <si>
    <t>C7-8</t>
  </si>
  <si>
    <t>C8-9</t>
  </si>
  <si>
    <t>C9-10</t>
  </si>
  <si>
    <t>C10-11</t>
  </si>
  <si>
    <t>C11-12</t>
  </si>
  <si>
    <t>C12-13</t>
  </si>
  <si>
    <t>C13-14</t>
  </si>
  <si>
    <t>C14-15</t>
  </si>
  <si>
    <t>C15-16</t>
  </si>
  <si>
    <t>C16-17</t>
  </si>
  <si>
    <t>C17-18</t>
  </si>
  <si>
    <t>C18-19</t>
  </si>
  <si>
    <t>C19-20</t>
  </si>
  <si>
    <t>C20-21</t>
  </si>
  <si>
    <t>C21-22</t>
  </si>
  <si>
    <t>C22-23</t>
  </si>
  <si>
    <t>C23-24</t>
  </si>
  <si>
    <t>C24-25</t>
  </si>
  <si>
    <t>C25-26</t>
  </si>
  <si>
    <t>C26-27</t>
  </si>
  <si>
    <t>C27-28</t>
  </si>
  <si>
    <t>ceramic cup A_N:4023-3834</t>
  </si>
  <si>
    <t>C28-29</t>
  </si>
  <si>
    <t>C29-30</t>
  </si>
  <si>
    <t>ceramic cup A_N:3959-3831</t>
  </si>
  <si>
    <t>C30-31</t>
  </si>
  <si>
    <t>C31-32</t>
  </si>
  <si>
    <t>B22-23</t>
  </si>
  <si>
    <t>blnk平均</t>
    <phoneticPr fontId="1" type="noConversion"/>
  </si>
  <si>
    <t>N Area blnk 平均</t>
    <phoneticPr fontId="1" type="noConversion"/>
  </si>
  <si>
    <t>c</t>
    <phoneticPr fontId="1" type="noConversion"/>
  </si>
  <si>
    <t>(4.TN% = TN mg / weight *100)</t>
    <phoneticPr fontId="1" type="noConversion"/>
  </si>
  <si>
    <t>(5.error =TN%*SQRT((0.2/weight)^2+(0.020798677/TNmg)^2)</t>
    <phoneticPr fontId="1" type="noConversion"/>
  </si>
  <si>
    <t>TOC blnk平均</t>
    <phoneticPr fontId="1" type="noConversion"/>
  </si>
  <si>
    <t>ROC blnk平均</t>
    <phoneticPr fontId="1" type="noConversion"/>
  </si>
  <si>
    <t>TIC blnk平均</t>
    <phoneticPr fontId="1" type="noConversion"/>
  </si>
  <si>
    <t>b 氮</t>
    <phoneticPr fontId="1" type="noConversion"/>
  </si>
  <si>
    <t>b 碳</t>
    <phoneticPr fontId="1" type="noConversion"/>
  </si>
  <si>
    <t>SD(%)</t>
    <phoneticPr fontId="1" type="noConversion"/>
  </si>
  <si>
    <t>WZW-A</t>
    <phoneticPr fontId="1" type="noConversion"/>
  </si>
  <si>
    <t>深度</t>
    <phoneticPr fontId="1" type="noConversion"/>
  </si>
  <si>
    <t>WZW-B</t>
    <phoneticPr fontId="1" type="noConversion"/>
  </si>
  <si>
    <t>WZW-C</t>
    <phoneticPr fontId="1" type="noConversion"/>
  </si>
  <si>
    <t>重量(g)</t>
    <phoneticPr fontId="1" type="noConversion"/>
  </si>
  <si>
    <t>LOC</t>
    <phoneticPr fontId="1" type="noConversion"/>
  </si>
  <si>
    <t>ROC</t>
    <phoneticPr fontId="1" type="noConversion"/>
  </si>
  <si>
    <t>TIC inferred CaCO3</t>
    <phoneticPr fontId="1" type="noConversion"/>
  </si>
  <si>
    <t>LOC(第一個溫度燒出來的)</t>
    <phoneticPr fontId="1" type="noConversion"/>
  </si>
  <si>
    <t>TOC(%)</t>
    <phoneticPr fontId="1" type="noConversion"/>
  </si>
  <si>
    <t>TIC(%)</t>
    <phoneticPr fontId="1" type="noConversion"/>
  </si>
  <si>
    <t>TN(%)</t>
    <phoneticPr fontId="1" type="noConversion"/>
  </si>
  <si>
    <t>PC含水率(%)</t>
    <phoneticPr fontId="1" type="noConversion"/>
  </si>
  <si>
    <t>WZW-A</t>
    <phoneticPr fontId="1" type="noConversion"/>
  </si>
  <si>
    <t>WZW-B</t>
    <phoneticPr fontId="1" type="noConversion"/>
  </si>
  <si>
    <t>TC(%)</t>
    <phoneticPr fontId="1" type="noConversion"/>
  </si>
  <si>
    <t>TC(%)</t>
    <phoneticPr fontId="1" type="noConversion"/>
  </si>
  <si>
    <t>TC(%)</t>
    <phoneticPr fontId="1" type="noConversion"/>
  </si>
  <si>
    <t>TC(%)</t>
    <phoneticPr fontId="1" type="noConversion"/>
  </si>
  <si>
    <t>深度</t>
    <phoneticPr fontId="1" type="noConversion"/>
  </si>
  <si>
    <t>WZW-B</t>
    <phoneticPr fontId="1" type="noConversion"/>
  </si>
  <si>
    <t>Weight(g)</t>
    <phoneticPr fontId="1" type="noConversion"/>
  </si>
  <si>
    <t>TC(g)</t>
    <phoneticPr fontId="1" type="noConversion"/>
  </si>
  <si>
    <t>切片乾土重(g)</t>
    <phoneticPr fontId="1" type="noConversion"/>
  </si>
  <si>
    <t>WZW-A 前10公分加總</t>
    <phoneticPr fontId="1" type="noConversion"/>
  </si>
  <si>
    <t>WZW-B 前10公分加總</t>
    <phoneticPr fontId="1" type="noConversion"/>
  </si>
  <si>
    <t>(A+B)/2</t>
    <phoneticPr fontId="1" type="noConversion"/>
  </si>
  <si>
    <t>每一cm總TC(g)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</si>
</sst>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_);[Red]\(0\)"/>
    <numFmt numFmtId="177" formatCode="0.00_);[Red]\(0.00\)"/>
    <numFmt numFmtId="178" formatCode="0_ ;[Red]\-0\ "/>
    <numFmt numFmtId="179" formatCode="0.00_ "/>
    <numFmt numFmtId="180" formatCode="0.00000_ "/>
    <numFmt numFmtId="181" formatCode="0.00_ ;[Red]\-0.00\ "/>
    <numFmt numFmtId="182" formatCode="0.0000000000_ "/>
    <numFmt numFmtId="183" formatCode="0.000000"/>
  </numFmts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Wawati TC"/>
      <family val="3"/>
      <charset val="136"/>
    </font>
    <font>
      <sz val="12"/>
      <color theme="1"/>
      <name val="新細明體"/>
      <family val="2"/>
      <charset val="136"/>
    </font>
    <font>
      <sz val="12"/>
      <color theme="1"/>
      <name val="PMingLiU"/>
      <family val="1"/>
      <charset val="136"/>
    </font>
    <font>
      <sz val="12"/>
      <color theme="1"/>
      <name val="Arial"/>
      <family val="2"/>
    </font>
    <font>
      <sz val="12"/>
      <color theme="1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新細明體"/>
      <family val="2"/>
      <scheme val="minor"/>
    </font>
    <font>
      <sz val="12"/>
      <color rgb="FF000000"/>
      <name val="新細明體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D0CECE"/>
      </patternFill>
    </fill>
    <fill>
      <patternFill patternType="solid">
        <fgColor theme="7" tint="0.79998168889431442"/>
        <bgColor rgb="FFC8C8C8"/>
      </patternFill>
    </fill>
    <fill>
      <patternFill patternType="solid">
        <fgColor rgb="FFF1E3FD"/>
        <bgColor indexed="64"/>
      </patternFill>
    </fill>
    <fill>
      <patternFill patternType="solid">
        <fgColor rgb="FFF1E3FD"/>
        <bgColor rgb="FFD0CE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/>
    <xf numFmtId="0" fontId="12" fillId="0" borderId="0"/>
    <xf numFmtId="9" fontId="12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176" fontId="2" fillId="2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81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179" fontId="2" fillId="0" borderId="0" xfId="0" applyNumberFormat="1" applyFont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left" vertical="center"/>
    </xf>
    <xf numFmtId="176" fontId="2" fillId="7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left" vertical="center"/>
    </xf>
    <xf numFmtId="177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left" vertical="center"/>
    </xf>
    <xf numFmtId="178" fontId="2" fillId="11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0" xfId="0" applyFont="1" applyFill="1">
      <alignment vertical="center"/>
    </xf>
    <xf numFmtId="179" fontId="2" fillId="12" borderId="0" xfId="0" applyNumberFormat="1" applyFont="1" applyFill="1" applyAlignment="1">
      <alignment horizontal="center" vertical="center"/>
    </xf>
    <xf numFmtId="181" fontId="2" fillId="13" borderId="0" xfId="0" applyNumberFormat="1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176" fontId="2" fillId="8" borderId="7" xfId="0" applyNumberFormat="1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2" fillId="14" borderId="0" xfId="0" applyFont="1" applyFill="1" applyAlignment="1">
      <alignment horizontal="center" vertical="center"/>
    </xf>
    <xf numFmtId="180" fontId="2" fillId="15" borderId="0" xfId="0" applyNumberFormat="1" applyFont="1" applyFill="1" applyAlignment="1">
      <alignment horizontal="center" vertical="center"/>
    </xf>
    <xf numFmtId="0" fontId="2" fillId="14" borderId="0" xfId="0" applyFont="1" applyFill="1">
      <alignment vertical="center"/>
    </xf>
    <xf numFmtId="0" fontId="0" fillId="0" borderId="0" xfId="0" applyAlignment="1"/>
    <xf numFmtId="182" fontId="0" fillId="0" borderId="0" xfId="0" applyNumberFormat="1">
      <alignment vertical="center"/>
    </xf>
    <xf numFmtId="180" fontId="0" fillId="0" borderId="0" xfId="0" applyNumberFormat="1">
      <alignment vertical="center"/>
    </xf>
    <xf numFmtId="10" fontId="0" fillId="0" borderId="0" xfId="0" applyNumberFormat="1" applyAlignment="1">
      <alignment horizontal="center"/>
    </xf>
    <xf numFmtId="10" fontId="0" fillId="0" borderId="0" xfId="0" applyNumberFormat="1">
      <alignment vertical="center"/>
    </xf>
    <xf numFmtId="183" fontId="13" fillId="0" borderId="0" xfId="2" applyNumberFormat="1" applyFont="1"/>
    <xf numFmtId="183" fontId="0" fillId="0" borderId="0" xfId="0" applyNumberFormat="1">
      <alignment vertical="center"/>
    </xf>
  </cellXfs>
  <cellStyles count="4">
    <cellStyle name="一般" xfId="0" builtinId="0"/>
    <cellStyle name="一般 2" xfId="1" xr:uid="{00000000-0005-0000-0000-000001000000}"/>
    <cellStyle name="一般 3" xfId="2" xr:uid="{00000000-0005-0000-0000-000002000000}"/>
    <cellStyle name="百分比 2" xfId="3" xr:uid="{00000000-0005-0000-0000-000003000000}"/>
  </cellStyles>
  <dxfs count="0"/>
  <tableStyles count="0" defaultTableStyle="TableStyleMedium2" defaultPivotStyle="PivotStyleLight16"/>
  <colors>
    <mruColors>
      <color rgb="FFF1E3FD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'WZW-A'!$K$2:$K$42</c:f>
              <c:numCache>
                <c:formatCode>General</c:formatCode>
                <c:ptCount val="41"/>
                <c:pt idx="0">
                  <c:v>1.8268267544393701E-2</c:v>
                </c:pt>
                <c:pt idx="1">
                  <c:v>2.5720524248520827E-2</c:v>
                </c:pt>
                <c:pt idx="2">
                  <c:v>2.7761808137366922E-2</c:v>
                </c:pt>
                <c:pt idx="3">
                  <c:v>1.3890174654729888E-2</c:v>
                </c:pt>
                <c:pt idx="4">
                  <c:v>3.5998047883177939E-2</c:v>
                </c:pt>
                <c:pt idx="5">
                  <c:v>1.0779298532003446E-2</c:v>
                </c:pt>
                <c:pt idx="6">
                  <c:v>4.9809356660806256E-2</c:v>
                </c:pt>
                <c:pt idx="7">
                  <c:v>9.0043015220541658E-2</c:v>
                </c:pt>
                <c:pt idx="8">
                  <c:v>3.1247460681690785E-2</c:v>
                </c:pt>
                <c:pt idx="9">
                  <c:v>2.6451027406274863E-2</c:v>
                </c:pt>
                <c:pt idx="10">
                  <c:v>5.8285936010249711E-4</c:v>
                </c:pt>
                <c:pt idx="11">
                  <c:v>3.0416405929255336E-2</c:v>
                </c:pt>
                <c:pt idx="12">
                  <c:v>6.6250704774791095E-3</c:v>
                </c:pt>
                <c:pt idx="13">
                  <c:v>7.0166933757207011E-3</c:v>
                </c:pt>
                <c:pt idx="14">
                  <c:v>1.0562331800928255E-2</c:v>
                </c:pt>
                <c:pt idx="15">
                  <c:v>5.8285936010249711E-4</c:v>
                </c:pt>
                <c:pt idx="16">
                  <c:v>2.1294295792654301E-2</c:v>
                </c:pt>
                <c:pt idx="17">
                  <c:v>7.7869189557613601E-3</c:v>
                </c:pt>
                <c:pt idx="18">
                  <c:v>2.9331068585141144E-3</c:v>
                </c:pt>
                <c:pt idx="19">
                  <c:v>9.8033463601571742E-3</c:v>
                </c:pt>
                <c:pt idx="20">
                  <c:v>5.8285936010249711E-4</c:v>
                </c:pt>
                <c:pt idx="21">
                  <c:v>1.9540488651078762E-2</c:v>
                </c:pt>
                <c:pt idx="22">
                  <c:v>9.1532803189150191E-3</c:v>
                </c:pt>
                <c:pt idx="23">
                  <c:v>1.041319649896973E-2</c:v>
                </c:pt>
                <c:pt idx="24">
                  <c:v>5.8423229209235211E-3</c:v>
                </c:pt>
                <c:pt idx="25">
                  <c:v>5.8285936010249711E-4</c:v>
                </c:pt>
                <c:pt idx="26">
                  <c:v>2.5224649786004718E-2</c:v>
                </c:pt>
                <c:pt idx="27">
                  <c:v>9.4240858752670156E-3</c:v>
                </c:pt>
                <c:pt idx="28">
                  <c:v>7.3679447579524521E-3</c:v>
                </c:pt>
                <c:pt idx="29">
                  <c:v>1.5306393840433957E-2</c:v>
                </c:pt>
                <c:pt idx="30">
                  <c:v>5.8285936010249711E-4</c:v>
                </c:pt>
                <c:pt idx="31">
                  <c:v>1.9075177486711947E-2</c:v>
                </c:pt>
                <c:pt idx="32">
                  <c:v>1.3250853277537996E-2</c:v>
                </c:pt>
                <c:pt idx="33">
                  <c:v>9.342835914236583E-3</c:v>
                </c:pt>
                <c:pt idx="34">
                  <c:v>1.3427643207057808E-2</c:v>
                </c:pt>
                <c:pt idx="35">
                  <c:v>5.8285936010249711E-4</c:v>
                </c:pt>
                <c:pt idx="36">
                  <c:v>2.125315391043061E-2</c:v>
                </c:pt>
                <c:pt idx="37">
                  <c:v>1.0928492485273306E-2</c:v>
                </c:pt>
                <c:pt idx="38">
                  <c:v>1.6151694582759765E-2</c:v>
                </c:pt>
                <c:pt idx="39">
                  <c:v>9.1532803189150191E-3</c:v>
                </c:pt>
                <c:pt idx="40">
                  <c:v>1.4416769992498344E-3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5-437B-88D7-9BB82FDCF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331016"/>
        <c:axId val="439332584"/>
      </c:barChart>
      <c:catAx>
        <c:axId val="439331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32584"/>
        <c:crosses val="autoZero"/>
        <c:auto val="1"/>
        <c:lblAlgn val="ctr"/>
        <c:lblOffset val="100"/>
        <c:noMultiLvlLbl val="0"/>
      </c:catAx>
      <c:valAx>
        <c:axId val="43933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3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layout>
        <c:manualLayout>
          <c:xMode val="edge"/>
          <c:yMode val="edge"/>
          <c:x val="0.43335314221024362"/>
          <c:y val="2.5320623462676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775224880476802"/>
          <c:y val="0.11159223627353217"/>
          <c:w val="0.86229789689397995"/>
          <c:h val="0.806842175837790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776600384137792E-2"/>
                  <c:y val="-0.18589496014209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000" baseline="0"/>
                      <a:t>y = 60352x + 18082</a:t>
                    </a:r>
                    <a:br>
                      <a:rPr lang="en-US" altLang="zh-TW" sz="1000" baseline="0"/>
                    </a:br>
                    <a:r>
                      <a:rPr lang="en-US" altLang="zh-TW" sz="1000" baseline="0"/>
                      <a:t>R² = 0.6538</a:t>
                    </a:r>
                    <a:endParaRPr lang="en-US" altLang="zh-TW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'WZW-A'!$E$2:$E$42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'WZW-A'!$G$2:$G$42</c:f>
              <c:numCache>
                <c:formatCode>General</c:formatCode>
                <c:ptCount val="41"/>
                <c:pt idx="0">
                  <c:v>95033.307692307688</c:v>
                </c:pt>
                <c:pt idx="1">
                  <c:v>83108.307692307688</c:v>
                </c:pt>
                <c:pt idx="2">
                  <c:v>95762.307692307688</c:v>
                </c:pt>
                <c:pt idx="3">
                  <c:v>65734.307692307688</c:v>
                </c:pt>
                <c:pt idx="4">
                  <c:v>91536.307692307688</c:v>
                </c:pt>
                <c:pt idx="5">
                  <c:v>101583.30769230769</c:v>
                </c:pt>
                <c:pt idx="6">
                  <c:v>102737.30769230769</c:v>
                </c:pt>
                <c:pt idx="7">
                  <c:v>107479.30769230769</c:v>
                </c:pt>
                <c:pt idx="8">
                  <c:v>101566.30769230769</c:v>
                </c:pt>
                <c:pt idx="9">
                  <c:v>94569.307692307688</c:v>
                </c:pt>
                <c:pt idx="10">
                  <c:v>65824.307692307688</c:v>
                </c:pt>
                <c:pt idx="11">
                  <c:v>84276.307692307688</c:v>
                </c:pt>
                <c:pt idx="12">
                  <c:v>63596.307692307695</c:v>
                </c:pt>
                <c:pt idx="13">
                  <c:v>69382.307692307688</c:v>
                </c:pt>
                <c:pt idx="14">
                  <c:v>74344.307692307688</c:v>
                </c:pt>
                <c:pt idx="15">
                  <c:v>90041.307692307688</c:v>
                </c:pt>
                <c:pt idx="16">
                  <c:v>53758.307692307695</c:v>
                </c:pt>
                <c:pt idx="17">
                  <c:v>56492.307692307695</c:v>
                </c:pt>
                <c:pt idx="18">
                  <c:v>39889.307692307695</c:v>
                </c:pt>
                <c:pt idx="19">
                  <c:v>58222.307692307695</c:v>
                </c:pt>
                <c:pt idx="20">
                  <c:v>63137.307692307695</c:v>
                </c:pt>
                <c:pt idx="21">
                  <c:v>66068.307692307688</c:v>
                </c:pt>
                <c:pt idx="22">
                  <c:v>89349.307692307688</c:v>
                </c:pt>
                <c:pt idx="23">
                  <c:v>79754.307692307688</c:v>
                </c:pt>
                <c:pt idx="24">
                  <c:v>60642.307692307695</c:v>
                </c:pt>
                <c:pt idx="25">
                  <c:v>67846.307692307688</c:v>
                </c:pt>
                <c:pt idx="26">
                  <c:v>69843.307692307688</c:v>
                </c:pt>
                <c:pt idx="27">
                  <c:v>78519.307692307688</c:v>
                </c:pt>
                <c:pt idx="28">
                  <c:v>64402.307692307695</c:v>
                </c:pt>
                <c:pt idx="29">
                  <c:v>84415.307692307688</c:v>
                </c:pt>
                <c:pt idx="30">
                  <c:v>78497.307692307688</c:v>
                </c:pt>
                <c:pt idx="31">
                  <c:v>97821.307692307688</c:v>
                </c:pt>
                <c:pt idx="32">
                  <c:v>120490.30769230769</c:v>
                </c:pt>
                <c:pt idx="33">
                  <c:v>104934.30769230769</c:v>
                </c:pt>
                <c:pt idx="34">
                  <c:v>105114.30769230769</c:v>
                </c:pt>
                <c:pt idx="35">
                  <c:v>108656.30769230769</c:v>
                </c:pt>
                <c:pt idx="36">
                  <c:v>114533.30769230769</c:v>
                </c:pt>
                <c:pt idx="37">
                  <c:v>79845.307692307688</c:v>
                </c:pt>
                <c:pt idx="38">
                  <c:v>159670.30769230769</c:v>
                </c:pt>
                <c:pt idx="39">
                  <c:v>137631.30769230769</c:v>
                </c:pt>
                <c:pt idx="40">
                  <c:v>66609.307692307688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E-4BB1-81E4-A8A0CA86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57232"/>
        <c:axId val="442661152"/>
      </c:scatterChart>
      <c:valAx>
        <c:axId val="44265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51287269455886964"/>
              <c:y val="0.9274289502311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61152"/>
        <c:crosses val="autoZero"/>
        <c:crossBetween val="midCat"/>
      </c:valAx>
      <c:valAx>
        <c:axId val="4426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ROC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775224880476802"/>
          <c:y val="0.11159223627353217"/>
          <c:w val="0.86229789689397995"/>
          <c:h val="0.80684217583779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95280686114207"/>
                  <c:y val="1.423308004398909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'WZW-A'!$E$2:$E$42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'WZW-A'!$I$2:$I$42</c:f>
              <c:numCache>
                <c:formatCode>General</c:formatCode>
                <c:ptCount val="41"/>
                <c:pt idx="0">
                  <c:v>2.8101162492884017E-2</c:v>
                </c:pt>
                <c:pt idx="1">
                  <c:v>4.680520368353544E-2</c:v>
                </c:pt>
                <c:pt idx="2">
                  <c:v>2.3272529770383434E-2</c:v>
                </c:pt>
                <c:pt idx="3">
                  <c:v>2.6201287447446063E-2</c:v>
                </c:pt>
                <c:pt idx="4">
                  <c:v>5.0288128265681332E-2</c:v>
                </c:pt>
                <c:pt idx="5">
                  <c:v>3.266813246024499E-2</c:v>
                </c:pt>
                <c:pt idx="6">
                  <c:v>2.9726264854710884E-2</c:v>
                </c:pt>
                <c:pt idx="7">
                  <c:v>2.3263654844769194E-2</c:v>
                </c:pt>
                <c:pt idx="8">
                  <c:v>2.7503133218252596E-2</c:v>
                </c:pt>
                <c:pt idx="9">
                  <c:v>2.6604210623617373E-2</c:v>
                </c:pt>
                <c:pt idx="10">
                  <c:v>1.6930040494463824E-2</c:v>
                </c:pt>
                <c:pt idx="11">
                  <c:v>1.7831502202012333E-2</c:v>
                </c:pt>
                <c:pt idx="12">
                  <c:v>1.9598997399161922E-2</c:v>
                </c:pt>
                <c:pt idx="13">
                  <c:v>2.1033908624323947E-2</c:v>
                </c:pt>
                <c:pt idx="14">
                  <c:v>2.7503223924870941E-2</c:v>
                </c:pt>
                <c:pt idx="15">
                  <c:v>2.0488024615690176E-2</c:v>
                </c:pt>
                <c:pt idx="16">
                  <c:v>3.8871240026943511E-2</c:v>
                </c:pt>
                <c:pt idx="17">
                  <c:v>1.6886794076029599E-2</c:v>
                </c:pt>
                <c:pt idx="18">
                  <c:v>1.43246026653003E-2</c:v>
                </c:pt>
                <c:pt idx="19">
                  <c:v>1.9499031688686948E-2</c:v>
                </c:pt>
                <c:pt idx="20">
                  <c:v>1.8992985145979951E-2</c:v>
                </c:pt>
                <c:pt idx="21">
                  <c:v>1.7121091976229959E-2</c:v>
                </c:pt>
                <c:pt idx="22">
                  <c:v>3.0698201827933161E-2</c:v>
                </c:pt>
                <c:pt idx="23">
                  <c:v>2.1686161910397832E-2</c:v>
                </c:pt>
                <c:pt idx="24">
                  <c:v>2.4805123419054054E-2</c:v>
                </c:pt>
                <c:pt idx="25">
                  <c:v>1.96931541981809E-2</c:v>
                </c:pt>
                <c:pt idx="26">
                  <c:v>1.7606002816261585E-2</c:v>
                </c:pt>
                <c:pt idx="27">
                  <c:v>2.41673130289199E-2</c:v>
                </c:pt>
                <c:pt idx="28">
                  <c:v>3.1336591835368563E-2</c:v>
                </c:pt>
                <c:pt idx="29">
                  <c:v>2.4015944943473162E-2</c:v>
                </c:pt>
                <c:pt idx="30">
                  <c:v>2.649456479469682E-2</c:v>
                </c:pt>
                <c:pt idx="31">
                  <c:v>2.9846835780256795E-2</c:v>
                </c:pt>
                <c:pt idx="32">
                  <c:v>3.6064915370940788E-2</c:v>
                </c:pt>
                <c:pt idx="33">
                  <c:v>3.2977231315087119E-2</c:v>
                </c:pt>
                <c:pt idx="34">
                  <c:v>2.2104977586617818E-2</c:v>
                </c:pt>
                <c:pt idx="35">
                  <c:v>4.280342146854537E-2</c:v>
                </c:pt>
                <c:pt idx="36">
                  <c:v>3.764991935484506E-2</c:v>
                </c:pt>
                <c:pt idx="37">
                  <c:v>2.6092581408820391E-2</c:v>
                </c:pt>
                <c:pt idx="38">
                  <c:v>4.2974664388946836E-2</c:v>
                </c:pt>
                <c:pt idx="39">
                  <c:v>4.262193005949106E-2</c:v>
                </c:pt>
                <c:pt idx="40">
                  <c:v>3.4953483771764535E-2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1-48F4-AA13-948077BA1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57624"/>
        <c:axId val="442654096"/>
      </c:scatterChart>
      <c:valAx>
        <c:axId val="44265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51287269455886964"/>
              <c:y val="0.9274289502311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4096"/>
        <c:crosses val="autoZero"/>
        <c:crossBetween val="midCat"/>
      </c:valAx>
      <c:valAx>
        <c:axId val="4426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layout>
        <c:manualLayout>
          <c:xMode val="edge"/>
          <c:yMode val="edge"/>
          <c:x val="0.4299639662204664"/>
          <c:y val="2.1011734309101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775224880476802"/>
          <c:y val="0.11159223627353217"/>
          <c:w val="0.86229789689397995"/>
          <c:h val="0.80684217583779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1204819108347"/>
                  <c:y val="-5.64103351805141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'WZW-A'!$E$2:$E$42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'WZW-A'!$J$2:$J$42</c:f>
              <c:numCache>
                <c:formatCode>General</c:formatCode>
                <c:ptCount val="41"/>
                <c:pt idx="0">
                  <c:v>0.23416520192398912</c:v>
                </c:pt>
                <c:pt idx="1">
                  <c:v>0.39002478898956322</c:v>
                </c:pt>
                <c:pt idx="2">
                  <c:v>0.19392851218677795</c:v>
                </c:pt>
                <c:pt idx="3">
                  <c:v>0.21833366386011069</c:v>
                </c:pt>
                <c:pt idx="4">
                  <c:v>0.41904777827944567</c:v>
                </c:pt>
                <c:pt idx="5">
                  <c:v>0.27222147254477519</c:v>
                </c:pt>
                <c:pt idx="6">
                  <c:v>0.24770707667029912</c:v>
                </c:pt>
                <c:pt idx="7">
                  <c:v>0.19385455799541504</c:v>
                </c:pt>
                <c:pt idx="8">
                  <c:v>0.22918186196835619</c:v>
                </c:pt>
                <c:pt idx="9">
                  <c:v>0.22169119709141036</c:v>
                </c:pt>
                <c:pt idx="10">
                  <c:v>0.14107695195781797</c:v>
                </c:pt>
                <c:pt idx="11">
                  <c:v>0.14858877510137275</c:v>
                </c:pt>
                <c:pt idx="12">
                  <c:v>0.16331720029890762</c:v>
                </c:pt>
                <c:pt idx="13">
                  <c:v>0.17527422438530085</c:v>
                </c:pt>
                <c:pt idx="14">
                  <c:v>0.2291826178208447</c:v>
                </c:pt>
                <c:pt idx="15">
                  <c:v>0.17072540761869298</c:v>
                </c:pt>
                <c:pt idx="16">
                  <c:v>0.32391157384503311</c:v>
                </c:pt>
                <c:pt idx="17">
                  <c:v>0.1407165823002387</c:v>
                </c:pt>
                <c:pt idx="18">
                  <c:v>0.11936600403810212</c:v>
                </c:pt>
                <c:pt idx="19">
                  <c:v>0.16248419238385162</c:v>
                </c:pt>
                <c:pt idx="20">
                  <c:v>0.15826733869013243</c:v>
                </c:pt>
                <c:pt idx="21">
                  <c:v>0.1426689718188103</c:v>
                </c:pt>
                <c:pt idx="22">
                  <c:v>0.25580616572576503</c:v>
                </c:pt>
                <c:pt idx="23">
                  <c:v>0.18070940958369802</c:v>
                </c:pt>
                <c:pt idx="24">
                  <c:v>0.20669951770298237</c:v>
                </c:pt>
                <c:pt idx="25">
                  <c:v>0.16410180292381252</c:v>
                </c:pt>
                <c:pt idx="26">
                  <c:v>0.14670970304478326</c:v>
                </c:pt>
                <c:pt idx="27">
                  <c:v>0.20138468423896455</c:v>
                </c:pt>
                <c:pt idx="28">
                  <c:v>0.26112582910393389</c:v>
                </c:pt>
                <c:pt idx="29">
                  <c:v>0.20012334359860995</c:v>
                </c:pt>
                <c:pt idx="30">
                  <c:v>0.22077752536427789</c:v>
                </c:pt>
                <c:pt idx="31">
                  <c:v>0.24871178653359285</c:v>
                </c:pt>
                <c:pt idx="32">
                  <c:v>0.30052664875862239</c:v>
                </c:pt>
                <c:pt idx="33">
                  <c:v>0.27479717366663836</c:v>
                </c:pt>
                <c:pt idx="34">
                  <c:v>0.18419937400833061</c:v>
                </c:pt>
                <c:pt idx="35">
                  <c:v>0.35667819200567424</c:v>
                </c:pt>
                <c:pt idx="36">
                  <c:v>0.313734386268957</c:v>
                </c:pt>
                <c:pt idx="37">
                  <c:v>0.21742782334580515</c:v>
                </c:pt>
                <c:pt idx="38">
                  <c:v>0.35810514838315571</c:v>
                </c:pt>
                <c:pt idx="39">
                  <c:v>0.35516583562328502</c:v>
                </c:pt>
                <c:pt idx="40">
                  <c:v>0.29126515984649237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D81-AFA0-689355AB7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69224"/>
        <c:axId val="444471576"/>
      </c:scatterChart>
      <c:valAx>
        <c:axId val="44446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71576"/>
        <c:crosses val="autoZero"/>
        <c:crossBetween val="midCat"/>
      </c:valAx>
      <c:valAx>
        <c:axId val="44447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</a:t>
                </a:r>
                <a:r>
                  <a:rPr lang="zh-TW" altLang="en-US"/>
                  <a:t> </a:t>
                </a:r>
                <a:r>
                  <a:rPr lang="en-US" altLang="zh-TW"/>
                  <a:t>inferred CaCO3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6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775224880476802"/>
          <c:y val="0.11159223627353217"/>
          <c:w val="0.86229789689397995"/>
          <c:h val="0.80684217583779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35991762562366"/>
                  <c:y val="-1.54371221704828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'WZW-A'!$E$2:$E$42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'WZW-A'!$K$2:$K$42</c:f>
              <c:numCache>
                <c:formatCode>General</c:formatCode>
                <c:ptCount val="41"/>
                <c:pt idx="0">
                  <c:v>1.8268267544393701E-2</c:v>
                </c:pt>
                <c:pt idx="1">
                  <c:v>2.5720524248520827E-2</c:v>
                </c:pt>
                <c:pt idx="2">
                  <c:v>2.7761808137366922E-2</c:v>
                </c:pt>
                <c:pt idx="3">
                  <c:v>1.3890174654729888E-2</c:v>
                </c:pt>
                <c:pt idx="4">
                  <c:v>3.5998047883177939E-2</c:v>
                </c:pt>
                <c:pt idx="5">
                  <c:v>1.0779298532003446E-2</c:v>
                </c:pt>
                <c:pt idx="6">
                  <c:v>4.9809356660806256E-2</c:v>
                </c:pt>
                <c:pt idx="7">
                  <c:v>9.0043015220541658E-2</c:v>
                </c:pt>
                <c:pt idx="8">
                  <c:v>3.1247460681690785E-2</c:v>
                </c:pt>
                <c:pt idx="9">
                  <c:v>2.6451027406274863E-2</c:v>
                </c:pt>
                <c:pt idx="10">
                  <c:v>5.8285936010249711E-4</c:v>
                </c:pt>
                <c:pt idx="11">
                  <c:v>3.0416405929255336E-2</c:v>
                </c:pt>
                <c:pt idx="12">
                  <c:v>6.6250704774791095E-3</c:v>
                </c:pt>
                <c:pt idx="13">
                  <c:v>7.0166933757207011E-3</c:v>
                </c:pt>
                <c:pt idx="14">
                  <c:v>1.0562331800928255E-2</c:v>
                </c:pt>
                <c:pt idx="15">
                  <c:v>5.8285936010249711E-4</c:v>
                </c:pt>
                <c:pt idx="16">
                  <c:v>2.1294295792654301E-2</c:v>
                </c:pt>
                <c:pt idx="17">
                  <c:v>7.7869189557613601E-3</c:v>
                </c:pt>
                <c:pt idx="18">
                  <c:v>2.9331068585141144E-3</c:v>
                </c:pt>
                <c:pt idx="19">
                  <c:v>9.8033463601571742E-3</c:v>
                </c:pt>
                <c:pt idx="20">
                  <c:v>5.8285936010249711E-4</c:v>
                </c:pt>
                <c:pt idx="21">
                  <c:v>1.9540488651078762E-2</c:v>
                </c:pt>
                <c:pt idx="22">
                  <c:v>9.1532803189150191E-3</c:v>
                </c:pt>
                <c:pt idx="23">
                  <c:v>1.041319649896973E-2</c:v>
                </c:pt>
                <c:pt idx="24">
                  <c:v>5.8423229209235211E-3</c:v>
                </c:pt>
                <c:pt idx="25">
                  <c:v>5.8285936010249711E-4</c:v>
                </c:pt>
                <c:pt idx="26">
                  <c:v>2.5224649786004718E-2</c:v>
                </c:pt>
                <c:pt idx="27">
                  <c:v>9.4240858752670156E-3</c:v>
                </c:pt>
                <c:pt idx="28">
                  <c:v>7.3679447579524521E-3</c:v>
                </c:pt>
                <c:pt idx="29">
                  <c:v>1.5306393840433957E-2</c:v>
                </c:pt>
                <c:pt idx="30">
                  <c:v>5.8285936010249711E-4</c:v>
                </c:pt>
                <c:pt idx="31">
                  <c:v>1.9075177486711947E-2</c:v>
                </c:pt>
                <c:pt idx="32">
                  <c:v>1.3250853277537996E-2</c:v>
                </c:pt>
                <c:pt idx="33">
                  <c:v>9.342835914236583E-3</c:v>
                </c:pt>
                <c:pt idx="34">
                  <c:v>1.3427643207057808E-2</c:v>
                </c:pt>
                <c:pt idx="35">
                  <c:v>5.8285936010249711E-4</c:v>
                </c:pt>
                <c:pt idx="36">
                  <c:v>2.125315391043061E-2</c:v>
                </c:pt>
                <c:pt idx="37">
                  <c:v>1.0928492485273306E-2</c:v>
                </c:pt>
                <c:pt idx="38">
                  <c:v>1.6151694582759765E-2</c:v>
                </c:pt>
                <c:pt idx="39">
                  <c:v>9.1532803189150191E-3</c:v>
                </c:pt>
                <c:pt idx="40">
                  <c:v>1.4416769992498344E-3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6-41E4-BF12-E16C4B81E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72360"/>
        <c:axId val="444472752"/>
      </c:scatterChart>
      <c:valAx>
        <c:axId val="44447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72752"/>
        <c:crosses val="autoZero"/>
        <c:crossBetween val="midCat"/>
      </c:valAx>
      <c:valAx>
        <c:axId val="4444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5374798975031964E-2"/>
              <c:y val="0.40857520164351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7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775224880476802"/>
          <c:y val="0.11159223627353217"/>
          <c:w val="0.86229789689397995"/>
          <c:h val="0.80684217583779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081517031840058"/>
                  <c:y val="-7.449672778649084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'WZW-A'!$E$2:$E$42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'WZW-A'!$L$2:$L$42</c:f>
              <c:numCache>
                <c:formatCode>0.00%</c:formatCode>
                <c:ptCount val="41"/>
                <c:pt idx="0">
                  <c:v>0.37302977232924689</c:v>
                </c:pt>
                <c:pt idx="1">
                  <c:v>0.38154613466334164</c:v>
                </c:pt>
                <c:pt idx="2">
                  <c:v>0.41097724230254334</c:v>
                </c:pt>
                <c:pt idx="3">
                  <c:v>0.35188509874326757</c:v>
                </c:pt>
                <c:pt idx="4">
                  <c:v>0.41893362350380847</c:v>
                </c:pt>
                <c:pt idx="5">
                  <c:v>0.46498277841561414</c:v>
                </c:pt>
                <c:pt idx="6">
                  <c:v>0.48028673835125452</c:v>
                </c:pt>
                <c:pt idx="7">
                  <c:v>0.48122866894197952</c:v>
                </c:pt>
                <c:pt idx="8">
                  <c:v>0.45151515151515154</c:v>
                </c:pt>
                <c:pt idx="9">
                  <c:v>0.39130434782608692</c:v>
                </c:pt>
                <c:pt idx="10">
                  <c:v>0.28078817733990141</c:v>
                </c:pt>
                <c:pt idx="11">
                  <c:v>0.25254582484725052</c:v>
                </c:pt>
                <c:pt idx="12">
                  <c:v>0.25102880658436205</c:v>
                </c:pt>
                <c:pt idx="13">
                  <c:v>0.22911051212938</c:v>
                </c:pt>
                <c:pt idx="14">
                  <c:v>0.21410419313850071</c:v>
                </c:pt>
                <c:pt idx="15">
                  <c:v>0.1977107180020812</c:v>
                </c:pt>
                <c:pt idx="16">
                  <c:v>0.18581341557440251</c:v>
                </c:pt>
                <c:pt idx="17">
                  <c:v>0.19574468085106381</c:v>
                </c:pt>
                <c:pt idx="18">
                  <c:v>0.19962917181705814</c:v>
                </c:pt>
                <c:pt idx="19">
                  <c:v>0.22953451043338677</c:v>
                </c:pt>
                <c:pt idx="20">
                  <c:v>0.20979020979020976</c:v>
                </c:pt>
                <c:pt idx="21">
                  <c:v>0.2009040683073833</c:v>
                </c:pt>
                <c:pt idx="22">
                  <c:v>0.21459227467811162</c:v>
                </c:pt>
                <c:pt idx="23">
                  <c:v>0.22688598979013064</c:v>
                </c:pt>
                <c:pt idx="24">
                  <c:v>0.24477611940298502</c:v>
                </c:pt>
                <c:pt idx="25">
                  <c:v>0.24053224155578298</c:v>
                </c:pt>
                <c:pt idx="26">
                  <c:v>0.23287671232876705</c:v>
                </c:pt>
                <c:pt idx="27">
                  <c:v>0.23498694516971289</c:v>
                </c:pt>
                <c:pt idx="28">
                  <c:v>0.24845573095401499</c:v>
                </c:pt>
                <c:pt idx="29">
                  <c:v>0.24335548172757474</c:v>
                </c:pt>
                <c:pt idx="30">
                  <c:v>0.25841184387617766</c:v>
                </c:pt>
                <c:pt idx="31">
                  <c:v>0.3047945205479452</c:v>
                </c:pt>
                <c:pt idx="32">
                  <c:v>0.31793265465935794</c:v>
                </c:pt>
                <c:pt idx="33">
                  <c:v>0.32237673830594188</c:v>
                </c:pt>
                <c:pt idx="34">
                  <c:v>0.26820603907637652</c:v>
                </c:pt>
                <c:pt idx="35">
                  <c:v>0.27186761229314416</c:v>
                </c:pt>
                <c:pt idx="36">
                  <c:v>0.30078125</c:v>
                </c:pt>
                <c:pt idx="37">
                  <c:v>0.28197879858657243</c:v>
                </c:pt>
                <c:pt idx="38">
                  <c:v>0.31540342298288504</c:v>
                </c:pt>
                <c:pt idx="39">
                  <c:v>0.29007633587786263</c:v>
                </c:pt>
                <c:pt idx="40">
                  <c:v>0.26508875739644977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4-40BE-8F50-5FCE954B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70400"/>
        <c:axId val="444470792"/>
      </c:scatterChart>
      <c:valAx>
        <c:axId val="4444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70792"/>
        <c:crosses val="autoZero"/>
        <c:crossBetween val="midCat"/>
      </c:valAx>
      <c:valAx>
        <c:axId val="44447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含水率</a:t>
                </a:r>
                <a:r>
                  <a:rPr lang="en-US" altLang="zh-TW"/>
                  <a:t>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9775916526463239E-2"/>
              <c:y val="0.40857520164351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'WZW-B'!$K$1</c:f>
              <c:strCache>
                <c:ptCount val="1"/>
                <c:pt idx="0">
                  <c:v>TN(%)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'WZW-B'!$K$2:$K$51</c:f>
              <c:numCache>
                <c:formatCode>General</c:formatCode>
                <c:ptCount val="50"/>
                <c:pt idx="0">
                  <c:v>3.2301150607088699E-2</c:v>
                </c:pt>
                <c:pt idx="1">
                  <c:v>1.687489219636738E-2</c:v>
                </c:pt>
                <c:pt idx="2">
                  <c:v>2.1980255489606443E-2</c:v>
                </c:pt>
                <c:pt idx="3">
                  <c:v>2.3312425229384353E-2</c:v>
                </c:pt>
                <c:pt idx="4">
                  <c:v>1.1552653366856893E-2</c:v>
                </c:pt>
                <c:pt idx="5">
                  <c:v>4.1765656582743491E-2</c:v>
                </c:pt>
                <c:pt idx="6">
                  <c:v>1.6369959936809141E-2</c:v>
                </c:pt>
                <c:pt idx="7">
                  <c:v>3.8326172221147529E-2</c:v>
                </c:pt>
                <c:pt idx="8">
                  <c:v>2.521087914874378E-2</c:v>
                </c:pt>
                <c:pt idx="9">
                  <c:v>8.1114164128930858E-3</c:v>
                </c:pt>
                <c:pt idx="10">
                  <c:v>4.1485577404909199E-2</c:v>
                </c:pt>
                <c:pt idx="11">
                  <c:v>1.9923857492470574E-2</c:v>
                </c:pt>
                <c:pt idx="12">
                  <c:v>3.8647243592000162E-2</c:v>
                </c:pt>
                <c:pt idx="13">
                  <c:v>3.6778122518696416E-2</c:v>
                </c:pt>
                <c:pt idx="14">
                  <c:v>1.236740423961648E-2</c:v>
                </c:pt>
                <c:pt idx="15">
                  <c:v>3.4620502525691058E-2</c:v>
                </c:pt>
                <c:pt idx="16">
                  <c:v>2.8397142389978373E-2</c:v>
                </c:pt>
                <c:pt idx="17">
                  <c:v>2.3532343089067542E-2</c:v>
                </c:pt>
                <c:pt idx="18">
                  <c:v>1.5878933982696599E-2</c:v>
                </c:pt>
                <c:pt idx="19">
                  <c:v>1.0858691780178177E-2</c:v>
                </c:pt>
                <c:pt idx="20">
                  <c:v>1.0872255035455898E-2</c:v>
                </c:pt>
                <c:pt idx="21">
                  <c:v>1.6449828306177795E-2</c:v>
                </c:pt>
                <c:pt idx="22">
                  <c:v>1.3575272671060708E-2</c:v>
                </c:pt>
                <c:pt idx="23">
                  <c:v>3.7652496947706009E-3</c:v>
                </c:pt>
                <c:pt idx="24">
                  <c:v>1.2677927724211835E-2</c:v>
                </c:pt>
                <c:pt idx="25">
                  <c:v>7.5821904827920077E-3</c:v>
                </c:pt>
                <c:pt idx="26">
                  <c:v>3.7973109876559213E-4</c:v>
                </c:pt>
                <c:pt idx="27">
                  <c:v>2.8519476251735263E-2</c:v>
                </c:pt>
                <c:pt idx="28">
                  <c:v>1.2542041410710513E-2</c:v>
                </c:pt>
                <c:pt idx="29">
                  <c:v>1.5471236835529413E-3</c:v>
                </c:pt>
                <c:pt idx="30">
                  <c:v>4.6809509050784424E-3</c:v>
                </c:pt>
                <c:pt idx="31">
                  <c:v>4.7752661032432926E-3</c:v>
                </c:pt>
                <c:pt idx="32">
                  <c:v>6.0697080150561135E-3</c:v>
                </c:pt>
                <c:pt idx="33">
                  <c:v>6.609595954967443E-3</c:v>
                </c:pt>
                <c:pt idx="34">
                  <c:v>2.2678435683692339E-2</c:v>
                </c:pt>
                <c:pt idx="35">
                  <c:v>3.913315922014644E-3</c:v>
                </c:pt>
                <c:pt idx="36">
                  <c:v>8.3664139044275498E-3</c:v>
                </c:pt>
                <c:pt idx="37">
                  <c:v>4.0344787901571448E-3</c:v>
                </c:pt>
                <c:pt idx="38">
                  <c:v>1.1157629002435687E-4</c:v>
                </c:pt>
                <c:pt idx="39">
                  <c:v>1.545431909480309E-2</c:v>
                </c:pt>
                <c:pt idx="40">
                  <c:v>5.9212942244856468E-3</c:v>
                </c:pt>
                <c:pt idx="41">
                  <c:v>1.2202412024090909E-2</c:v>
                </c:pt>
                <c:pt idx="42">
                  <c:v>4.7213705194169729E-3</c:v>
                </c:pt>
                <c:pt idx="43">
                  <c:v>1.2895386901479797E-2</c:v>
                </c:pt>
                <c:pt idx="44">
                  <c:v>7.0687491326788011E-3</c:v>
                </c:pt>
                <c:pt idx="45">
                  <c:v>1.3289660515431671E-2</c:v>
                </c:pt>
                <c:pt idx="46">
                  <c:v>7.338945875962774E-3</c:v>
                </c:pt>
                <c:pt idx="47">
                  <c:v>6.1506710631682128E-3</c:v>
                </c:pt>
                <c:pt idx="48">
                  <c:v>1.0004604815673905E-2</c:v>
                </c:pt>
                <c:pt idx="49">
                  <c:v>9.6929905958420704E-3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3-4569-B97C-1106FD7A7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999400"/>
        <c:axId val="441995480"/>
      </c:barChart>
      <c:catAx>
        <c:axId val="441999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5480"/>
        <c:crosses val="autoZero"/>
        <c:auto val="1"/>
        <c:lblAlgn val="ctr"/>
        <c:lblOffset val="100"/>
        <c:noMultiLvlLbl val="0"/>
      </c:catAx>
      <c:valAx>
        <c:axId val="44199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'WZW-B'!$H$1</c:f>
              <c:strCache>
                <c:ptCount val="1"/>
                <c:pt idx="0">
                  <c:v>TOC(%)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'WZW-B'!$H$2:$H$51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7-40D1-A9C9-1E768F43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997048"/>
        <c:axId val="441998616"/>
      </c:barChart>
      <c:catAx>
        <c:axId val="441997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8616"/>
        <c:crosses val="autoZero"/>
        <c:auto val="1"/>
        <c:lblAlgn val="ctr"/>
        <c:lblOffset val="100"/>
        <c:noMultiLvlLbl val="0"/>
      </c:catAx>
      <c:valAx>
        <c:axId val="44199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'WZW-B'!$I$1</c:f>
              <c:strCache>
                <c:ptCount val="1"/>
                <c:pt idx="0">
                  <c:v>TIC(%)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'WZW-B'!$I$2:$I$51</c:f>
              <c:numCache>
                <c:formatCode>General</c:formatCode>
                <c:ptCount val="50"/>
                <c:pt idx="0">
                  <c:v>2.1131549673572645E-2</c:v>
                </c:pt>
                <c:pt idx="1">
                  <c:v>1.8945049671989549E-2</c:v>
                </c:pt>
                <c:pt idx="2">
                  <c:v>1.988283310600665E-2</c:v>
                </c:pt>
                <c:pt idx="3">
                  <c:v>2.6931815527291431E-2</c:v>
                </c:pt>
                <c:pt idx="4">
                  <c:v>2.6284645365575808E-2</c:v>
                </c:pt>
                <c:pt idx="5">
                  <c:v>2.8177960946913112E-2</c:v>
                </c:pt>
                <c:pt idx="6">
                  <c:v>1.8833073283866422E-2</c:v>
                </c:pt>
                <c:pt idx="7">
                  <c:v>2.7799081617284498E-2</c:v>
                </c:pt>
                <c:pt idx="8">
                  <c:v>2.3723670148376921E-2</c:v>
                </c:pt>
                <c:pt idx="9">
                  <c:v>2.4913014599260763E-2</c:v>
                </c:pt>
                <c:pt idx="10">
                  <c:v>2.5221217271222493E-2</c:v>
                </c:pt>
                <c:pt idx="11">
                  <c:v>2.2804340230339226E-2</c:v>
                </c:pt>
                <c:pt idx="12">
                  <c:v>2.4205723621493036E-2</c:v>
                </c:pt>
                <c:pt idx="13">
                  <c:v>2.6285971721049749E-2</c:v>
                </c:pt>
                <c:pt idx="14">
                  <c:v>2.5332465473574317E-2</c:v>
                </c:pt>
                <c:pt idx="15">
                  <c:v>1.9442256059733379E-2</c:v>
                </c:pt>
                <c:pt idx="16">
                  <c:v>2.5677912414098922E-2</c:v>
                </c:pt>
                <c:pt idx="17">
                  <c:v>2.0639171432202921E-2</c:v>
                </c:pt>
                <c:pt idx="18">
                  <c:v>1.965373025494092E-2</c:v>
                </c:pt>
                <c:pt idx="19">
                  <c:v>1.8926890681377609E-2</c:v>
                </c:pt>
                <c:pt idx="20">
                  <c:v>1.7028342598116447E-2</c:v>
                </c:pt>
                <c:pt idx="21">
                  <c:v>2.3603235639000984E-2</c:v>
                </c:pt>
                <c:pt idx="22">
                  <c:v>1.918787399804564E-2</c:v>
                </c:pt>
                <c:pt idx="23">
                  <c:v>1.5436956496757963E-2</c:v>
                </c:pt>
                <c:pt idx="24">
                  <c:v>1.7470472368198271E-2</c:v>
                </c:pt>
                <c:pt idx="25">
                  <c:v>1.9316128789522682E-2</c:v>
                </c:pt>
                <c:pt idx="26">
                  <c:v>1.7767501148843779E-2</c:v>
                </c:pt>
                <c:pt idx="27">
                  <c:v>2.7199663584137609E-2</c:v>
                </c:pt>
                <c:pt idx="28">
                  <c:v>1.9427279528371613E-2</c:v>
                </c:pt>
                <c:pt idx="29">
                  <c:v>1.8782734096844726E-2</c:v>
                </c:pt>
                <c:pt idx="30">
                  <c:v>2.1588598385367804E-2</c:v>
                </c:pt>
                <c:pt idx="31">
                  <c:v>2.3490167730280932E-2</c:v>
                </c:pt>
                <c:pt idx="32">
                  <c:v>1.6321652815665635E-2</c:v>
                </c:pt>
                <c:pt idx="33">
                  <c:v>2.0352950261828002E-2</c:v>
                </c:pt>
                <c:pt idx="34">
                  <c:v>1.7720176854768132E-2</c:v>
                </c:pt>
                <c:pt idx="35">
                  <c:v>2.5048256685355937E-2</c:v>
                </c:pt>
                <c:pt idx="36">
                  <c:v>1.8083966196276429E-2</c:v>
                </c:pt>
                <c:pt idx="37">
                  <c:v>2.3160201045040432E-2</c:v>
                </c:pt>
                <c:pt idx="38">
                  <c:v>2.3387550572249758E-2</c:v>
                </c:pt>
                <c:pt idx="39">
                  <c:v>2.0689045292357135E-2</c:v>
                </c:pt>
                <c:pt idx="40">
                  <c:v>1.9178252561699763E-2</c:v>
                </c:pt>
                <c:pt idx="41">
                  <c:v>2.2872242129614046E-2</c:v>
                </c:pt>
                <c:pt idx="42">
                  <c:v>2.7536542917246911E-2</c:v>
                </c:pt>
                <c:pt idx="43">
                  <c:v>2.3977804454584185E-2</c:v>
                </c:pt>
                <c:pt idx="44">
                  <c:v>2.6690860347644757E-2</c:v>
                </c:pt>
                <c:pt idx="45">
                  <c:v>2.4064400804327177E-2</c:v>
                </c:pt>
                <c:pt idx="46">
                  <c:v>4.285791776701306E-2</c:v>
                </c:pt>
                <c:pt idx="47">
                  <c:v>4.107031423131749E-2</c:v>
                </c:pt>
                <c:pt idx="48">
                  <c:v>2.4469878201119205E-2</c:v>
                </c:pt>
                <c:pt idx="49">
                  <c:v>2.3089580050386093E-2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3-4D79-BAAB-BD8D956BB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997832"/>
        <c:axId val="441995872"/>
      </c:barChart>
      <c:catAx>
        <c:axId val="44199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5872"/>
        <c:crosses val="autoZero"/>
        <c:auto val="1"/>
        <c:lblAlgn val="ctr"/>
        <c:lblOffset val="100"/>
        <c:noMultiLvlLbl val="0"/>
      </c:catAx>
      <c:valAx>
        <c:axId val="4419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7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'WZW-B'!$B$2:$B$51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'WZW-B'!$K$2:$K$51</c:f>
              <c:numCache>
                <c:formatCode>General</c:formatCode>
                <c:ptCount val="50"/>
                <c:pt idx="0">
                  <c:v>3.2301150607088699E-2</c:v>
                </c:pt>
                <c:pt idx="1">
                  <c:v>1.687489219636738E-2</c:v>
                </c:pt>
                <c:pt idx="2">
                  <c:v>2.1980255489606443E-2</c:v>
                </c:pt>
                <c:pt idx="3">
                  <c:v>2.3312425229384353E-2</c:v>
                </c:pt>
                <c:pt idx="4">
                  <c:v>1.1552653366856893E-2</c:v>
                </c:pt>
                <c:pt idx="5">
                  <c:v>4.1765656582743491E-2</c:v>
                </c:pt>
                <c:pt idx="6">
                  <c:v>1.6369959936809141E-2</c:v>
                </c:pt>
                <c:pt idx="7">
                  <c:v>3.8326172221147529E-2</c:v>
                </c:pt>
                <c:pt idx="8">
                  <c:v>2.521087914874378E-2</c:v>
                </c:pt>
                <c:pt idx="9">
                  <c:v>8.1114164128930858E-3</c:v>
                </c:pt>
                <c:pt idx="10">
                  <c:v>4.1485577404909199E-2</c:v>
                </c:pt>
                <c:pt idx="11">
                  <c:v>1.9923857492470574E-2</c:v>
                </c:pt>
                <c:pt idx="12">
                  <c:v>3.8647243592000162E-2</c:v>
                </c:pt>
                <c:pt idx="13">
                  <c:v>3.6778122518696416E-2</c:v>
                </c:pt>
                <c:pt idx="14">
                  <c:v>1.236740423961648E-2</c:v>
                </c:pt>
                <c:pt idx="15">
                  <c:v>3.4620502525691058E-2</c:v>
                </c:pt>
                <c:pt idx="16">
                  <c:v>2.8397142389978373E-2</c:v>
                </c:pt>
                <c:pt idx="17">
                  <c:v>2.3532343089067542E-2</c:v>
                </c:pt>
                <c:pt idx="18">
                  <c:v>1.5878933982696599E-2</c:v>
                </c:pt>
                <c:pt idx="19">
                  <c:v>1.0858691780178177E-2</c:v>
                </c:pt>
                <c:pt idx="20">
                  <c:v>1.0872255035455898E-2</c:v>
                </c:pt>
                <c:pt idx="21">
                  <c:v>1.6449828306177795E-2</c:v>
                </c:pt>
                <c:pt idx="22">
                  <c:v>1.3575272671060708E-2</c:v>
                </c:pt>
                <c:pt idx="23">
                  <c:v>3.7652496947706009E-3</c:v>
                </c:pt>
                <c:pt idx="24">
                  <c:v>1.2677927724211835E-2</c:v>
                </c:pt>
                <c:pt idx="25">
                  <c:v>7.5821904827920077E-3</c:v>
                </c:pt>
                <c:pt idx="26">
                  <c:v>3.7973109876559213E-4</c:v>
                </c:pt>
                <c:pt idx="27">
                  <c:v>2.8519476251735263E-2</c:v>
                </c:pt>
                <c:pt idx="28">
                  <c:v>1.2542041410710513E-2</c:v>
                </c:pt>
                <c:pt idx="29">
                  <c:v>1.5471236835529413E-3</c:v>
                </c:pt>
                <c:pt idx="30">
                  <c:v>4.6809509050784424E-3</c:v>
                </c:pt>
                <c:pt idx="31">
                  <c:v>4.7752661032432926E-3</c:v>
                </c:pt>
                <c:pt idx="32">
                  <c:v>6.0697080150561135E-3</c:v>
                </c:pt>
                <c:pt idx="33">
                  <c:v>6.609595954967443E-3</c:v>
                </c:pt>
                <c:pt idx="34">
                  <c:v>2.2678435683692339E-2</c:v>
                </c:pt>
                <c:pt idx="35">
                  <c:v>3.913315922014644E-3</c:v>
                </c:pt>
                <c:pt idx="36">
                  <c:v>8.3664139044275498E-3</c:v>
                </c:pt>
                <c:pt idx="37">
                  <c:v>4.0344787901571448E-3</c:v>
                </c:pt>
                <c:pt idx="38">
                  <c:v>1.1157629002435687E-4</c:v>
                </c:pt>
                <c:pt idx="39">
                  <c:v>1.545431909480309E-2</c:v>
                </c:pt>
                <c:pt idx="40">
                  <c:v>5.9212942244856468E-3</c:v>
                </c:pt>
                <c:pt idx="41">
                  <c:v>1.2202412024090909E-2</c:v>
                </c:pt>
                <c:pt idx="42">
                  <c:v>4.7213705194169729E-3</c:v>
                </c:pt>
                <c:pt idx="43">
                  <c:v>1.2895386901479797E-2</c:v>
                </c:pt>
                <c:pt idx="44">
                  <c:v>7.0687491326788011E-3</c:v>
                </c:pt>
                <c:pt idx="45">
                  <c:v>1.3289660515431671E-2</c:v>
                </c:pt>
                <c:pt idx="46">
                  <c:v>7.338945875962774E-3</c:v>
                </c:pt>
                <c:pt idx="47">
                  <c:v>6.1506710631682128E-3</c:v>
                </c:pt>
                <c:pt idx="48">
                  <c:v>1.0004604815673905E-2</c:v>
                </c:pt>
                <c:pt idx="49">
                  <c:v>9.6929905958420704E-3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7-4D8A-ACA6-4BBD6CEAF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98224"/>
        <c:axId val="442002536"/>
      </c:scatterChart>
      <c:valAx>
        <c:axId val="44199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002536"/>
        <c:crosses val="autoZero"/>
        <c:crossBetween val="midCat"/>
      </c:valAx>
      <c:valAx>
        <c:axId val="44200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'WZW-B'!$B$2:$B$51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'WZW-B'!$H$2:$H$51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6-41B6-ABD7-B676645B3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99008"/>
        <c:axId val="442001360"/>
      </c:scatterChart>
      <c:valAx>
        <c:axId val="4419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001360"/>
        <c:crosses val="autoZero"/>
        <c:crossBetween val="midCat"/>
      </c:valAx>
      <c:valAx>
        <c:axId val="4420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'WZW-A'!$H$1</c:f>
              <c:strCache>
                <c:ptCount val="1"/>
                <c:pt idx="0">
                  <c:v>TOC(%)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'WZW-A'!$H$2:$H$42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3-47C9-937C-526FBD31D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330624"/>
        <c:axId val="439331800"/>
      </c:barChart>
      <c:catAx>
        <c:axId val="43933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31800"/>
        <c:crosses val="autoZero"/>
        <c:auto val="1"/>
        <c:lblAlgn val="ctr"/>
        <c:lblOffset val="100"/>
        <c:noMultiLvlLbl val="0"/>
      </c:catAx>
      <c:valAx>
        <c:axId val="43933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3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/>
              <a:t>WZW-B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'WZW-B'!$G$1</c:f>
              <c:strCache>
                <c:ptCount val="1"/>
                <c:pt idx="0">
                  <c:v>ROC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05271216097988"/>
                  <c:y val="0.13787037037037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'WZW-B'!$G$2:$G$51</c:f>
              <c:numCache>
                <c:formatCode>General</c:formatCode>
                <c:ptCount val="50"/>
                <c:pt idx="0">
                  <c:v>60084.307692307695</c:v>
                </c:pt>
                <c:pt idx="1">
                  <c:v>51353.307692307695</c:v>
                </c:pt>
                <c:pt idx="2">
                  <c:v>51760.307692307695</c:v>
                </c:pt>
                <c:pt idx="3">
                  <c:v>58801.307692307695</c:v>
                </c:pt>
                <c:pt idx="4">
                  <c:v>78233.307692307688</c:v>
                </c:pt>
                <c:pt idx="5">
                  <c:v>71892.307692307688</c:v>
                </c:pt>
                <c:pt idx="6">
                  <c:v>48585.307692307695</c:v>
                </c:pt>
                <c:pt idx="7">
                  <c:v>72380.307692307688</c:v>
                </c:pt>
                <c:pt idx="8">
                  <c:v>61894.307692307695</c:v>
                </c:pt>
                <c:pt idx="9">
                  <c:v>75836.307692307688</c:v>
                </c:pt>
                <c:pt idx="10">
                  <c:v>75576.307692307688</c:v>
                </c:pt>
                <c:pt idx="11">
                  <c:v>59987.307692307695</c:v>
                </c:pt>
                <c:pt idx="12">
                  <c:v>85530.307692307688</c:v>
                </c:pt>
                <c:pt idx="13">
                  <c:v>81875.307692307688</c:v>
                </c:pt>
                <c:pt idx="14">
                  <c:v>83499.307692307688</c:v>
                </c:pt>
                <c:pt idx="15">
                  <c:v>66734.307692307688</c:v>
                </c:pt>
                <c:pt idx="16">
                  <c:v>61105.307692307695</c:v>
                </c:pt>
                <c:pt idx="17">
                  <c:v>67594.307692307688</c:v>
                </c:pt>
                <c:pt idx="18">
                  <c:v>51970.307692307695</c:v>
                </c:pt>
                <c:pt idx="19">
                  <c:v>47683.5</c:v>
                </c:pt>
                <c:pt idx="20">
                  <c:v>40229.5</c:v>
                </c:pt>
                <c:pt idx="21">
                  <c:v>51594.5</c:v>
                </c:pt>
                <c:pt idx="22">
                  <c:v>47678.5</c:v>
                </c:pt>
                <c:pt idx="23">
                  <c:v>30543.5</c:v>
                </c:pt>
                <c:pt idx="24">
                  <c:v>39357.5</c:v>
                </c:pt>
                <c:pt idx="25">
                  <c:v>38395.5</c:v>
                </c:pt>
                <c:pt idx="26">
                  <c:v>39799.5</c:v>
                </c:pt>
                <c:pt idx="27">
                  <c:v>64105.5</c:v>
                </c:pt>
                <c:pt idx="28">
                  <c:v>54806.5</c:v>
                </c:pt>
                <c:pt idx="29">
                  <c:v>36023.5</c:v>
                </c:pt>
                <c:pt idx="30">
                  <c:v>32709.5</c:v>
                </c:pt>
                <c:pt idx="31">
                  <c:v>29949.5</c:v>
                </c:pt>
                <c:pt idx="32">
                  <c:v>32855.5</c:v>
                </c:pt>
                <c:pt idx="33">
                  <c:v>29096.5</c:v>
                </c:pt>
                <c:pt idx="34">
                  <c:v>47063.5</c:v>
                </c:pt>
                <c:pt idx="35">
                  <c:v>41841.5</c:v>
                </c:pt>
                <c:pt idx="36">
                  <c:v>44296.5</c:v>
                </c:pt>
                <c:pt idx="37">
                  <c:v>43695.5</c:v>
                </c:pt>
                <c:pt idx="38">
                  <c:v>51428.5</c:v>
                </c:pt>
                <c:pt idx="39">
                  <c:v>44612.5</c:v>
                </c:pt>
                <c:pt idx="40">
                  <c:v>40184.5</c:v>
                </c:pt>
                <c:pt idx="41">
                  <c:v>46783.5</c:v>
                </c:pt>
                <c:pt idx="42">
                  <c:v>47241.5</c:v>
                </c:pt>
                <c:pt idx="43">
                  <c:v>56561.5</c:v>
                </c:pt>
                <c:pt idx="44">
                  <c:v>50957.5</c:v>
                </c:pt>
                <c:pt idx="45">
                  <c:v>62220.5</c:v>
                </c:pt>
                <c:pt idx="46">
                  <c:v>66827.5</c:v>
                </c:pt>
                <c:pt idx="47">
                  <c:v>64496.5</c:v>
                </c:pt>
                <c:pt idx="48">
                  <c:v>61058.5</c:v>
                </c:pt>
                <c:pt idx="49">
                  <c:v>63679.5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D-4BF3-8E6B-6A7A055B8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00184"/>
        <c:axId val="442000576"/>
      </c:scatterChart>
      <c:valAx>
        <c:axId val="44200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000576"/>
        <c:crosses val="autoZero"/>
        <c:crossBetween val="midCat"/>
      </c:valAx>
      <c:valAx>
        <c:axId val="4420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00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WZW-B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'WZW-B'!$F$1</c:f>
              <c:strCache>
                <c:ptCount val="1"/>
                <c:pt idx="0">
                  <c:v>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782589676290463E-2"/>
                  <c:y val="-4.67129629629629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'WZW-B'!$F$2:$F$51</c:f>
              <c:numCache>
                <c:formatCode>General</c:formatCode>
                <c:ptCount val="50"/>
                <c:pt idx="0">
                  <c:v>149813.41666666666</c:v>
                </c:pt>
                <c:pt idx="1">
                  <c:v>139994.41666666701</c:v>
                </c:pt>
                <c:pt idx="2">
                  <c:v>134203.41666666666</c:v>
                </c:pt>
                <c:pt idx="3">
                  <c:v>160467.41666666666</c:v>
                </c:pt>
                <c:pt idx="4">
                  <c:v>211943.41666666666</c:v>
                </c:pt>
                <c:pt idx="5">
                  <c:v>190612.41666666666</c:v>
                </c:pt>
                <c:pt idx="6">
                  <c:v>130871.41666666667</c:v>
                </c:pt>
                <c:pt idx="7">
                  <c:v>199780.41666666666</c:v>
                </c:pt>
                <c:pt idx="8">
                  <c:v>158891.41666666666</c:v>
                </c:pt>
                <c:pt idx="9">
                  <c:v>187825.41666666666</c:v>
                </c:pt>
                <c:pt idx="10">
                  <c:v>188353.41666666666</c:v>
                </c:pt>
                <c:pt idx="11">
                  <c:v>152081.41666666666</c:v>
                </c:pt>
                <c:pt idx="12">
                  <c:v>214971.41666666666</c:v>
                </c:pt>
                <c:pt idx="13">
                  <c:v>220043.41666666666</c:v>
                </c:pt>
                <c:pt idx="14">
                  <c:v>236301.41666666666</c:v>
                </c:pt>
                <c:pt idx="15">
                  <c:v>167219.41666666666</c:v>
                </c:pt>
                <c:pt idx="16">
                  <c:v>156179.41666666666</c:v>
                </c:pt>
                <c:pt idx="17">
                  <c:v>159286.41666666666</c:v>
                </c:pt>
                <c:pt idx="18">
                  <c:v>119613.41666666667</c:v>
                </c:pt>
                <c:pt idx="19">
                  <c:v>106301.2</c:v>
                </c:pt>
                <c:pt idx="20">
                  <c:v>87595.199999999997</c:v>
                </c:pt>
                <c:pt idx="21">
                  <c:v>116541.2</c:v>
                </c:pt>
                <c:pt idx="22">
                  <c:v>85010.2</c:v>
                </c:pt>
                <c:pt idx="23">
                  <c:v>64094.2</c:v>
                </c:pt>
                <c:pt idx="24">
                  <c:v>80992.2</c:v>
                </c:pt>
                <c:pt idx="25">
                  <c:v>79176.2</c:v>
                </c:pt>
                <c:pt idx="26">
                  <c:v>95194.2</c:v>
                </c:pt>
                <c:pt idx="27">
                  <c:v>124385.2</c:v>
                </c:pt>
                <c:pt idx="28">
                  <c:v>116349.2</c:v>
                </c:pt>
                <c:pt idx="29">
                  <c:v>54591.199999999997</c:v>
                </c:pt>
                <c:pt idx="30">
                  <c:v>49306.2</c:v>
                </c:pt>
                <c:pt idx="31">
                  <c:v>39097.199999999997</c:v>
                </c:pt>
                <c:pt idx="32">
                  <c:v>52619.199999999997</c:v>
                </c:pt>
                <c:pt idx="33">
                  <c:v>41466.199999999997</c:v>
                </c:pt>
                <c:pt idx="34">
                  <c:v>64000.2</c:v>
                </c:pt>
                <c:pt idx="35">
                  <c:v>55812.2</c:v>
                </c:pt>
                <c:pt idx="36">
                  <c:v>64316.2</c:v>
                </c:pt>
                <c:pt idx="37">
                  <c:v>60051.199999999997</c:v>
                </c:pt>
                <c:pt idx="38">
                  <c:v>70361.2</c:v>
                </c:pt>
                <c:pt idx="39">
                  <c:v>63547.199999999997</c:v>
                </c:pt>
                <c:pt idx="40">
                  <c:v>63880.2</c:v>
                </c:pt>
                <c:pt idx="41">
                  <c:v>68622.2</c:v>
                </c:pt>
                <c:pt idx="42">
                  <c:v>70784.2</c:v>
                </c:pt>
                <c:pt idx="43">
                  <c:v>85599.2</c:v>
                </c:pt>
                <c:pt idx="44">
                  <c:v>74782.2</c:v>
                </c:pt>
                <c:pt idx="45">
                  <c:v>79997.2</c:v>
                </c:pt>
                <c:pt idx="46">
                  <c:v>83627.199999999997</c:v>
                </c:pt>
                <c:pt idx="47">
                  <c:v>77270.2</c:v>
                </c:pt>
                <c:pt idx="48">
                  <c:v>101106.2</c:v>
                </c:pt>
                <c:pt idx="49">
                  <c:v>95896.2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6-42DB-831D-1B318184F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01752"/>
        <c:axId val="442002144"/>
      </c:scatterChart>
      <c:valAx>
        <c:axId val="44200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002144"/>
        <c:crosses val="autoZero"/>
        <c:crossBetween val="midCat"/>
      </c:valAx>
      <c:valAx>
        <c:axId val="4420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00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WZW-B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'WZW-B'!$G$1</c:f>
              <c:strCache>
                <c:ptCount val="1"/>
                <c:pt idx="0">
                  <c:v>ROC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187226596675418E-2"/>
                  <c:y val="-1.77081510644502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'WZW-B'!$G$2:$G$51</c:f>
              <c:numCache>
                <c:formatCode>General</c:formatCode>
                <c:ptCount val="50"/>
                <c:pt idx="0">
                  <c:v>60084.307692307695</c:v>
                </c:pt>
                <c:pt idx="1">
                  <c:v>51353.307692307695</c:v>
                </c:pt>
                <c:pt idx="2">
                  <c:v>51760.307692307695</c:v>
                </c:pt>
                <c:pt idx="3">
                  <c:v>58801.307692307695</c:v>
                </c:pt>
                <c:pt idx="4">
                  <c:v>78233.307692307688</c:v>
                </c:pt>
                <c:pt idx="5">
                  <c:v>71892.307692307688</c:v>
                </c:pt>
                <c:pt idx="6">
                  <c:v>48585.307692307695</c:v>
                </c:pt>
                <c:pt idx="7">
                  <c:v>72380.307692307688</c:v>
                </c:pt>
                <c:pt idx="8">
                  <c:v>61894.307692307695</c:v>
                </c:pt>
                <c:pt idx="9">
                  <c:v>75836.307692307688</c:v>
                </c:pt>
                <c:pt idx="10">
                  <c:v>75576.307692307688</c:v>
                </c:pt>
                <c:pt idx="11">
                  <c:v>59987.307692307695</c:v>
                </c:pt>
                <c:pt idx="12">
                  <c:v>85530.307692307688</c:v>
                </c:pt>
                <c:pt idx="13">
                  <c:v>81875.307692307688</c:v>
                </c:pt>
                <c:pt idx="14">
                  <c:v>83499.307692307688</c:v>
                </c:pt>
                <c:pt idx="15">
                  <c:v>66734.307692307688</c:v>
                </c:pt>
                <c:pt idx="16">
                  <c:v>61105.307692307695</c:v>
                </c:pt>
                <c:pt idx="17">
                  <c:v>67594.307692307688</c:v>
                </c:pt>
                <c:pt idx="18">
                  <c:v>51970.307692307695</c:v>
                </c:pt>
                <c:pt idx="19">
                  <c:v>47683.5</c:v>
                </c:pt>
                <c:pt idx="20">
                  <c:v>40229.5</c:v>
                </c:pt>
                <c:pt idx="21">
                  <c:v>51594.5</c:v>
                </c:pt>
                <c:pt idx="22">
                  <c:v>47678.5</c:v>
                </c:pt>
                <c:pt idx="23">
                  <c:v>30543.5</c:v>
                </c:pt>
                <c:pt idx="24">
                  <c:v>39357.5</c:v>
                </c:pt>
                <c:pt idx="25">
                  <c:v>38395.5</c:v>
                </c:pt>
                <c:pt idx="26">
                  <c:v>39799.5</c:v>
                </c:pt>
                <c:pt idx="27">
                  <c:v>64105.5</c:v>
                </c:pt>
                <c:pt idx="28">
                  <c:v>54806.5</c:v>
                </c:pt>
                <c:pt idx="29">
                  <c:v>36023.5</c:v>
                </c:pt>
                <c:pt idx="30">
                  <c:v>32709.5</c:v>
                </c:pt>
                <c:pt idx="31">
                  <c:v>29949.5</c:v>
                </c:pt>
                <c:pt idx="32">
                  <c:v>32855.5</c:v>
                </c:pt>
                <c:pt idx="33">
                  <c:v>29096.5</c:v>
                </c:pt>
                <c:pt idx="34">
                  <c:v>47063.5</c:v>
                </c:pt>
                <c:pt idx="35">
                  <c:v>41841.5</c:v>
                </c:pt>
                <c:pt idx="36">
                  <c:v>44296.5</c:v>
                </c:pt>
                <c:pt idx="37">
                  <c:v>43695.5</c:v>
                </c:pt>
                <c:pt idx="38">
                  <c:v>51428.5</c:v>
                </c:pt>
                <c:pt idx="39">
                  <c:v>44612.5</c:v>
                </c:pt>
                <c:pt idx="40">
                  <c:v>40184.5</c:v>
                </c:pt>
                <c:pt idx="41">
                  <c:v>46783.5</c:v>
                </c:pt>
                <c:pt idx="42">
                  <c:v>47241.5</c:v>
                </c:pt>
                <c:pt idx="43">
                  <c:v>56561.5</c:v>
                </c:pt>
                <c:pt idx="44">
                  <c:v>50957.5</c:v>
                </c:pt>
                <c:pt idx="45">
                  <c:v>62220.5</c:v>
                </c:pt>
                <c:pt idx="46">
                  <c:v>66827.5</c:v>
                </c:pt>
                <c:pt idx="47">
                  <c:v>64496.5</c:v>
                </c:pt>
                <c:pt idx="48">
                  <c:v>61058.5</c:v>
                </c:pt>
                <c:pt idx="49">
                  <c:v>63679.5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C-4F67-81CC-7EBD40677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02640"/>
        <c:axId val="513003424"/>
      </c:scatterChart>
      <c:valAx>
        <c:axId val="5130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3424"/>
        <c:crosses val="autoZero"/>
        <c:crossBetween val="midCat"/>
      </c:valAx>
      <c:valAx>
        <c:axId val="5130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WZW-B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35680446194225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'WZW-B'!$I$1</c:f>
              <c:strCache>
                <c:ptCount val="1"/>
                <c:pt idx="0">
                  <c:v>TIC(%)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318460192475941E-2"/>
                  <c:y val="-0.10529527559055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'WZW-B'!$I$2:$I$51</c:f>
              <c:numCache>
                <c:formatCode>General</c:formatCode>
                <c:ptCount val="50"/>
                <c:pt idx="0">
                  <c:v>2.1131549673572645E-2</c:v>
                </c:pt>
                <c:pt idx="1">
                  <c:v>1.8945049671989549E-2</c:v>
                </c:pt>
                <c:pt idx="2">
                  <c:v>1.988283310600665E-2</c:v>
                </c:pt>
                <c:pt idx="3">
                  <c:v>2.6931815527291431E-2</c:v>
                </c:pt>
                <c:pt idx="4">
                  <c:v>2.6284645365575808E-2</c:v>
                </c:pt>
                <c:pt idx="5">
                  <c:v>2.8177960946913112E-2</c:v>
                </c:pt>
                <c:pt idx="6">
                  <c:v>1.8833073283866422E-2</c:v>
                </c:pt>
                <c:pt idx="7">
                  <c:v>2.7799081617284498E-2</c:v>
                </c:pt>
                <c:pt idx="8">
                  <c:v>2.3723670148376921E-2</c:v>
                </c:pt>
                <c:pt idx="9">
                  <c:v>2.4913014599260763E-2</c:v>
                </c:pt>
                <c:pt idx="10">
                  <c:v>2.5221217271222493E-2</c:v>
                </c:pt>
                <c:pt idx="11">
                  <c:v>2.2804340230339226E-2</c:v>
                </c:pt>
                <c:pt idx="12">
                  <c:v>2.4205723621493036E-2</c:v>
                </c:pt>
                <c:pt idx="13">
                  <c:v>2.6285971721049749E-2</c:v>
                </c:pt>
                <c:pt idx="14">
                  <c:v>2.5332465473574317E-2</c:v>
                </c:pt>
                <c:pt idx="15">
                  <c:v>1.9442256059733379E-2</c:v>
                </c:pt>
                <c:pt idx="16">
                  <c:v>2.5677912414098922E-2</c:v>
                </c:pt>
                <c:pt idx="17">
                  <c:v>2.0639171432202921E-2</c:v>
                </c:pt>
                <c:pt idx="18">
                  <c:v>1.965373025494092E-2</c:v>
                </c:pt>
                <c:pt idx="19">
                  <c:v>1.8926890681377609E-2</c:v>
                </c:pt>
                <c:pt idx="20">
                  <c:v>1.7028342598116447E-2</c:v>
                </c:pt>
                <c:pt idx="21">
                  <c:v>2.3603235639000984E-2</c:v>
                </c:pt>
                <c:pt idx="22">
                  <c:v>1.918787399804564E-2</c:v>
                </c:pt>
                <c:pt idx="23">
                  <c:v>1.5436956496757963E-2</c:v>
                </c:pt>
                <c:pt idx="24">
                  <c:v>1.7470472368198271E-2</c:v>
                </c:pt>
                <c:pt idx="25">
                  <c:v>1.9316128789522682E-2</c:v>
                </c:pt>
                <c:pt idx="26">
                  <c:v>1.7767501148843779E-2</c:v>
                </c:pt>
                <c:pt idx="27">
                  <c:v>2.7199663584137609E-2</c:v>
                </c:pt>
                <c:pt idx="28">
                  <c:v>1.9427279528371613E-2</c:v>
                </c:pt>
                <c:pt idx="29">
                  <c:v>1.8782734096844726E-2</c:v>
                </c:pt>
                <c:pt idx="30">
                  <c:v>2.1588598385367804E-2</c:v>
                </c:pt>
                <c:pt idx="31">
                  <c:v>2.3490167730280932E-2</c:v>
                </c:pt>
                <c:pt idx="32">
                  <c:v>1.6321652815665635E-2</c:v>
                </c:pt>
                <c:pt idx="33">
                  <c:v>2.0352950261828002E-2</c:v>
                </c:pt>
                <c:pt idx="34">
                  <c:v>1.7720176854768132E-2</c:v>
                </c:pt>
                <c:pt idx="35">
                  <c:v>2.5048256685355937E-2</c:v>
                </c:pt>
                <c:pt idx="36">
                  <c:v>1.8083966196276429E-2</c:v>
                </c:pt>
                <c:pt idx="37">
                  <c:v>2.3160201045040432E-2</c:v>
                </c:pt>
                <c:pt idx="38">
                  <c:v>2.3387550572249758E-2</c:v>
                </c:pt>
                <c:pt idx="39">
                  <c:v>2.0689045292357135E-2</c:v>
                </c:pt>
                <c:pt idx="40">
                  <c:v>1.9178252561699763E-2</c:v>
                </c:pt>
                <c:pt idx="41">
                  <c:v>2.2872242129614046E-2</c:v>
                </c:pt>
                <c:pt idx="42">
                  <c:v>2.7536542917246911E-2</c:v>
                </c:pt>
                <c:pt idx="43">
                  <c:v>2.3977804454584185E-2</c:v>
                </c:pt>
                <c:pt idx="44">
                  <c:v>2.6690860347644757E-2</c:v>
                </c:pt>
                <c:pt idx="45">
                  <c:v>2.4064400804327177E-2</c:v>
                </c:pt>
                <c:pt idx="46">
                  <c:v>4.285791776701306E-2</c:v>
                </c:pt>
                <c:pt idx="47">
                  <c:v>4.107031423131749E-2</c:v>
                </c:pt>
                <c:pt idx="48">
                  <c:v>2.4469878201119205E-2</c:v>
                </c:pt>
                <c:pt idx="49">
                  <c:v>2.3089580050386093E-2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8-4DAF-AA54-436CCC695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08128"/>
        <c:axId val="513006952"/>
      </c:scatterChart>
      <c:valAx>
        <c:axId val="5130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6952"/>
        <c:crosses val="autoZero"/>
        <c:crossBetween val="midCat"/>
      </c:valAx>
      <c:valAx>
        <c:axId val="51300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WZW-B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926596675415573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'WZW-B'!$J$1</c:f>
              <c:strCache>
                <c:ptCount val="1"/>
                <c:pt idx="0">
                  <c:v>TIC inferred CaCO3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318460192475941E-2"/>
                  <c:y val="-0.10529527559055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'WZW-B'!$J$2:$J$51</c:f>
              <c:numCache>
                <c:formatCode>General</c:formatCode>
                <c:ptCount val="50"/>
                <c:pt idx="0">
                  <c:v>0.17608786104603266</c:v>
                </c:pt>
                <c:pt idx="1">
                  <c:v>0.1578678954304763</c:v>
                </c:pt>
                <c:pt idx="2">
                  <c:v>0.16568238521335255</c:v>
                </c:pt>
                <c:pt idx="3">
                  <c:v>0.22442110794259135</c:v>
                </c:pt>
                <c:pt idx="4">
                  <c:v>0.21902828009656561</c:v>
                </c:pt>
                <c:pt idx="5">
                  <c:v>0.23480515856278397</c:v>
                </c:pt>
                <c:pt idx="6">
                  <c:v>0.15693480330155776</c:v>
                </c:pt>
                <c:pt idx="7">
                  <c:v>0.23164798117733679</c:v>
                </c:pt>
                <c:pt idx="8">
                  <c:v>0.19768783629785913</c:v>
                </c:pt>
                <c:pt idx="9">
                  <c:v>0.20759856805384666</c:v>
                </c:pt>
                <c:pt idx="10">
                  <c:v>0.21016680134069757</c:v>
                </c:pt>
                <c:pt idx="11">
                  <c:v>0.19002711849137785</c:v>
                </c:pt>
                <c:pt idx="12">
                  <c:v>0.20170475726683967</c:v>
                </c:pt>
                <c:pt idx="13">
                  <c:v>0.2190393325324731</c:v>
                </c:pt>
                <c:pt idx="14">
                  <c:v>0.21109382554384196</c:v>
                </c:pt>
                <c:pt idx="15">
                  <c:v>0.16201108467445915</c:v>
                </c:pt>
                <c:pt idx="16">
                  <c:v>0.21397241295468133</c:v>
                </c:pt>
                <c:pt idx="17">
                  <c:v>0.17198490443907674</c:v>
                </c:pt>
                <c:pt idx="18">
                  <c:v>0.16377328570920377</c:v>
                </c:pt>
                <c:pt idx="19">
                  <c:v>0.15771657771525874</c:v>
                </c:pt>
                <c:pt idx="20">
                  <c:v>0.1418960971429041</c:v>
                </c:pt>
                <c:pt idx="21">
                  <c:v>0.19668426318184395</c:v>
                </c:pt>
                <c:pt idx="22">
                  <c:v>0.15989133511406164</c:v>
                </c:pt>
                <c:pt idx="23">
                  <c:v>0.12863517785324824</c:v>
                </c:pt>
                <c:pt idx="24">
                  <c:v>0.14558033643065721</c:v>
                </c:pt>
                <c:pt idx="25">
                  <c:v>0.16096007414404112</c:v>
                </c:pt>
                <c:pt idx="26">
                  <c:v>0.14805545839099263</c:v>
                </c:pt>
                <c:pt idx="27">
                  <c:v>0.22665306878521543</c:v>
                </c:pt>
                <c:pt idx="28">
                  <c:v>0.16188628619000722</c:v>
                </c:pt>
                <c:pt idx="29">
                  <c:v>0.15651533005390797</c:v>
                </c:pt>
                <c:pt idx="30">
                  <c:v>0.17989641892735567</c:v>
                </c:pt>
                <c:pt idx="31">
                  <c:v>0.19574207548113018</c:v>
                </c:pt>
                <c:pt idx="32">
                  <c:v>0.13600729607828199</c:v>
                </c:pt>
                <c:pt idx="33">
                  <c:v>0.16959984160857158</c:v>
                </c:pt>
                <c:pt idx="34">
                  <c:v>0.14766110805474089</c:v>
                </c:pt>
                <c:pt idx="35">
                  <c:v>0.20872553176601044</c:v>
                </c:pt>
                <c:pt idx="36">
                  <c:v>0.1506925415277745</c:v>
                </c:pt>
                <c:pt idx="37">
                  <c:v>0.19299248405418842</c:v>
                </c:pt>
                <c:pt idx="38">
                  <c:v>0.19488697322202186</c:v>
                </c:pt>
                <c:pt idx="39">
                  <c:v>0.17240050014749975</c:v>
                </c:pt>
                <c:pt idx="40">
                  <c:v>0.15981116029619419</c:v>
                </c:pt>
                <c:pt idx="41">
                  <c:v>0.19059294070455984</c:v>
                </c:pt>
                <c:pt idx="42">
                  <c:v>0.22946026286772125</c:v>
                </c:pt>
                <c:pt idx="43">
                  <c:v>0.19980552132757654</c:v>
                </c:pt>
                <c:pt idx="44">
                  <c:v>0.22241324373729801</c:v>
                </c:pt>
                <c:pt idx="45">
                  <c:v>0.20052712320894298</c:v>
                </c:pt>
                <c:pt idx="46">
                  <c:v>0.35713230619892267</c:v>
                </c:pt>
                <c:pt idx="47">
                  <c:v>0.34223631949366834</c:v>
                </c:pt>
                <c:pt idx="48">
                  <c:v>0.20390594059841796</c:v>
                </c:pt>
                <c:pt idx="49">
                  <c:v>0.19240400379193973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A-4D7D-9E50-D59A8C779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03032"/>
        <c:axId val="513008912"/>
      </c:scatterChart>
      <c:valAx>
        <c:axId val="51300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8912"/>
        <c:crosses val="autoZero"/>
        <c:crossBetween val="midCat"/>
      </c:valAx>
      <c:valAx>
        <c:axId val="5130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 inferred CaCO3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285104986876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WZW-B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'WZW-B'!$K$1</c:f>
              <c:strCache>
                <c:ptCount val="1"/>
                <c:pt idx="0">
                  <c:v>TN(%)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41557305336832"/>
                  <c:y val="-0.13419181977252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'WZW-B'!$K$2:$K$51</c:f>
              <c:numCache>
                <c:formatCode>General</c:formatCode>
                <c:ptCount val="50"/>
                <c:pt idx="0">
                  <c:v>3.2301150607088699E-2</c:v>
                </c:pt>
                <c:pt idx="1">
                  <c:v>1.687489219636738E-2</c:v>
                </c:pt>
                <c:pt idx="2">
                  <c:v>2.1980255489606443E-2</c:v>
                </c:pt>
                <c:pt idx="3">
                  <c:v>2.3312425229384353E-2</c:v>
                </c:pt>
                <c:pt idx="4">
                  <c:v>1.1552653366856893E-2</c:v>
                </c:pt>
                <c:pt idx="5">
                  <c:v>4.1765656582743491E-2</c:v>
                </c:pt>
                <c:pt idx="6">
                  <c:v>1.6369959936809141E-2</c:v>
                </c:pt>
                <c:pt idx="7">
                  <c:v>3.8326172221147529E-2</c:v>
                </c:pt>
                <c:pt idx="8">
                  <c:v>2.521087914874378E-2</c:v>
                </c:pt>
                <c:pt idx="9">
                  <c:v>8.1114164128930858E-3</c:v>
                </c:pt>
                <c:pt idx="10">
                  <c:v>4.1485577404909199E-2</c:v>
                </c:pt>
                <c:pt idx="11">
                  <c:v>1.9923857492470574E-2</c:v>
                </c:pt>
                <c:pt idx="12">
                  <c:v>3.8647243592000162E-2</c:v>
                </c:pt>
                <c:pt idx="13">
                  <c:v>3.6778122518696416E-2</c:v>
                </c:pt>
                <c:pt idx="14">
                  <c:v>1.236740423961648E-2</c:v>
                </c:pt>
                <c:pt idx="15">
                  <c:v>3.4620502525691058E-2</c:v>
                </c:pt>
                <c:pt idx="16">
                  <c:v>2.8397142389978373E-2</c:v>
                </c:pt>
                <c:pt idx="17">
                  <c:v>2.3532343089067542E-2</c:v>
                </c:pt>
                <c:pt idx="18">
                  <c:v>1.5878933982696599E-2</c:v>
                </c:pt>
                <c:pt idx="19">
                  <c:v>1.0858691780178177E-2</c:v>
                </c:pt>
                <c:pt idx="20">
                  <c:v>1.0872255035455898E-2</c:v>
                </c:pt>
                <c:pt idx="21">
                  <c:v>1.6449828306177795E-2</c:v>
                </c:pt>
                <c:pt idx="22">
                  <c:v>1.3575272671060708E-2</c:v>
                </c:pt>
                <c:pt idx="23">
                  <c:v>3.7652496947706009E-3</c:v>
                </c:pt>
                <c:pt idx="24">
                  <c:v>1.2677927724211835E-2</c:v>
                </c:pt>
                <c:pt idx="25">
                  <c:v>7.5821904827920077E-3</c:v>
                </c:pt>
                <c:pt idx="26">
                  <c:v>3.7973109876559213E-4</c:v>
                </c:pt>
                <c:pt idx="27">
                  <c:v>2.8519476251735263E-2</c:v>
                </c:pt>
                <c:pt idx="28">
                  <c:v>1.2542041410710513E-2</c:v>
                </c:pt>
                <c:pt idx="29">
                  <c:v>1.5471236835529413E-3</c:v>
                </c:pt>
                <c:pt idx="30">
                  <c:v>4.6809509050784424E-3</c:v>
                </c:pt>
                <c:pt idx="31">
                  <c:v>4.7752661032432926E-3</c:v>
                </c:pt>
                <c:pt idx="32">
                  <c:v>6.0697080150561135E-3</c:v>
                </c:pt>
                <c:pt idx="33">
                  <c:v>6.609595954967443E-3</c:v>
                </c:pt>
                <c:pt idx="34">
                  <c:v>2.2678435683692339E-2</c:v>
                </c:pt>
                <c:pt idx="35">
                  <c:v>3.913315922014644E-3</c:v>
                </c:pt>
                <c:pt idx="36">
                  <c:v>8.3664139044275498E-3</c:v>
                </c:pt>
                <c:pt idx="37">
                  <c:v>4.0344787901571448E-3</c:v>
                </c:pt>
                <c:pt idx="38">
                  <c:v>1.1157629002435687E-4</c:v>
                </c:pt>
                <c:pt idx="39">
                  <c:v>1.545431909480309E-2</c:v>
                </c:pt>
                <c:pt idx="40">
                  <c:v>5.9212942244856468E-3</c:v>
                </c:pt>
                <c:pt idx="41">
                  <c:v>1.2202412024090909E-2</c:v>
                </c:pt>
                <c:pt idx="42">
                  <c:v>4.7213705194169729E-3</c:v>
                </c:pt>
                <c:pt idx="43">
                  <c:v>1.2895386901479797E-2</c:v>
                </c:pt>
                <c:pt idx="44">
                  <c:v>7.0687491326788011E-3</c:v>
                </c:pt>
                <c:pt idx="45">
                  <c:v>1.3289660515431671E-2</c:v>
                </c:pt>
                <c:pt idx="46">
                  <c:v>7.338945875962774E-3</c:v>
                </c:pt>
                <c:pt idx="47">
                  <c:v>6.1506710631682128E-3</c:v>
                </c:pt>
                <c:pt idx="48">
                  <c:v>1.0004604815673905E-2</c:v>
                </c:pt>
                <c:pt idx="49">
                  <c:v>9.6929905958420704E-3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8-4317-8EAF-73223F2ED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05776"/>
        <c:axId val="513006560"/>
      </c:scatterChart>
      <c:valAx>
        <c:axId val="5130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6560"/>
        <c:crosses val="autoZero"/>
        <c:crossBetween val="midCat"/>
      </c:valAx>
      <c:valAx>
        <c:axId val="5130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285104986876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WZW-B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'WZW-B'!$L$1</c:f>
              <c:strCache>
                <c:ptCount val="1"/>
                <c:pt idx="0">
                  <c:v>PC含水率(%)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05271216097988"/>
                  <c:y val="0.13787037037037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'WZW-B'!$L$2:$L$51</c:f>
              <c:numCache>
                <c:formatCode>0.00%</c:formatCode>
                <c:ptCount val="50"/>
                <c:pt idx="0">
                  <c:v>0.33794466403162099</c:v>
                </c:pt>
                <c:pt idx="1">
                  <c:v>0.32102272727272724</c:v>
                </c:pt>
                <c:pt idx="2">
                  <c:v>0.33596837944664021</c:v>
                </c:pt>
                <c:pt idx="3">
                  <c:v>0.33001422475106695</c:v>
                </c:pt>
                <c:pt idx="4">
                  <c:v>0.38747731397459162</c:v>
                </c:pt>
                <c:pt idx="5">
                  <c:v>0.37762237762237777</c:v>
                </c:pt>
                <c:pt idx="6">
                  <c:v>0.32583333333333336</c:v>
                </c:pt>
                <c:pt idx="7">
                  <c:v>0.37967914438502653</c:v>
                </c:pt>
                <c:pt idx="8">
                  <c:v>0.34491017964071846</c:v>
                </c:pt>
                <c:pt idx="9">
                  <c:v>0.36746490503715934</c:v>
                </c:pt>
                <c:pt idx="10">
                  <c:v>0.34913793103448276</c:v>
                </c:pt>
                <c:pt idx="11">
                  <c:v>0.32304038004750579</c:v>
                </c:pt>
                <c:pt idx="12">
                  <c:v>0.37834821428571419</c:v>
                </c:pt>
                <c:pt idx="13">
                  <c:v>0.38888888888888895</c:v>
                </c:pt>
                <c:pt idx="14">
                  <c:v>0.34092634776006076</c:v>
                </c:pt>
                <c:pt idx="15">
                  <c:v>0.33772342427093133</c:v>
                </c:pt>
                <c:pt idx="16">
                  <c:v>0.32197496522948538</c:v>
                </c:pt>
                <c:pt idx="17">
                  <c:v>0.34009740259740268</c:v>
                </c:pt>
                <c:pt idx="18">
                  <c:v>0.32681388012618295</c:v>
                </c:pt>
                <c:pt idx="19">
                  <c:v>0.26541850220264318</c:v>
                </c:pt>
                <c:pt idx="20">
                  <c:v>0.24941724941724949</c:v>
                </c:pt>
                <c:pt idx="21">
                  <c:v>0.29388083735909826</c:v>
                </c:pt>
                <c:pt idx="22">
                  <c:v>0.23979261179520414</c:v>
                </c:pt>
                <c:pt idx="23">
                  <c:v>0.2109704641350211</c:v>
                </c:pt>
                <c:pt idx="24">
                  <c:v>0.23495883470550985</c:v>
                </c:pt>
                <c:pt idx="25">
                  <c:v>0.24358974358974364</c:v>
                </c:pt>
                <c:pt idx="26">
                  <c:v>0.2664526484751204</c:v>
                </c:pt>
                <c:pt idx="27">
                  <c:v>0.30494037478705294</c:v>
                </c:pt>
                <c:pt idx="28">
                  <c:v>0.2722891566265061</c:v>
                </c:pt>
                <c:pt idx="29">
                  <c:v>0.20639269406392693</c:v>
                </c:pt>
                <c:pt idx="30">
                  <c:v>0.20348204570184977</c:v>
                </c:pt>
                <c:pt idx="31">
                  <c:v>0.20151133501259449</c:v>
                </c:pt>
                <c:pt idx="32">
                  <c:v>0.20558526440879396</c:v>
                </c:pt>
                <c:pt idx="33">
                  <c:v>0.20340050377833754</c:v>
                </c:pt>
                <c:pt idx="34">
                  <c:v>0.21083333333333343</c:v>
                </c:pt>
                <c:pt idx="35">
                  <c:v>0.20347394540942934</c:v>
                </c:pt>
                <c:pt idx="36">
                  <c:v>0.20493197278911565</c:v>
                </c:pt>
                <c:pt idx="37">
                  <c:v>0.20818505338078291</c:v>
                </c:pt>
                <c:pt idx="38">
                  <c:v>0.24007220216606498</c:v>
                </c:pt>
                <c:pt idx="39">
                  <c:v>0.22471910112359544</c:v>
                </c:pt>
                <c:pt idx="40">
                  <c:v>0.23035952063914786</c:v>
                </c:pt>
                <c:pt idx="41">
                  <c:v>0.23653846153846139</c:v>
                </c:pt>
                <c:pt idx="42">
                  <c:v>0.22890173410404629</c:v>
                </c:pt>
                <c:pt idx="43">
                  <c:v>0.23461538461538464</c:v>
                </c:pt>
                <c:pt idx="44">
                  <c:v>0.24319248826291096</c:v>
                </c:pt>
                <c:pt idx="45">
                  <c:v>0.24540311173974536</c:v>
                </c:pt>
                <c:pt idx="46">
                  <c:v>0.23962743437764608</c:v>
                </c:pt>
                <c:pt idx="47">
                  <c:v>0.21476510067114099</c:v>
                </c:pt>
                <c:pt idx="48">
                  <c:v>0.21461716937354985</c:v>
                </c:pt>
                <c:pt idx="49">
                  <c:v>0.24149659863945586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D-4D97-902C-770FE4E35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06168"/>
        <c:axId val="513009304"/>
      </c:scatterChart>
      <c:valAx>
        <c:axId val="51300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9304"/>
        <c:crosses val="autoZero"/>
        <c:crossBetween val="midCat"/>
      </c:valAx>
      <c:valAx>
        <c:axId val="51300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PC</a:t>
                </a:r>
                <a:r>
                  <a:rPr lang="zh-TW" altLang="en-US"/>
                  <a:t>含水率</a:t>
                </a:r>
                <a:r>
                  <a:rPr lang="en-US" altLang="zh-TW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'WZW-C'!$K$1</c:f>
              <c:strCache>
                <c:ptCount val="1"/>
                <c:pt idx="0">
                  <c:v>TN(%)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'WZW-C'!$K$2:$K$33</c:f>
              <c:numCache>
                <c:formatCode>General</c:formatCode>
                <c:ptCount val="32"/>
                <c:pt idx="0">
                  <c:v>1.1157629002435687E-4</c:v>
                </c:pt>
                <c:pt idx="1">
                  <c:v>8.0012617355331214E-3</c:v>
                </c:pt>
                <c:pt idx="2">
                  <c:v>2.8235699202803295E-3</c:v>
                </c:pt>
                <c:pt idx="3">
                  <c:v>1.5202702866795716E-3</c:v>
                </c:pt>
                <c:pt idx="4">
                  <c:v>2.5009310398078077E-3</c:v>
                </c:pt>
                <c:pt idx="5">
                  <c:v>2.7160109881230739E-3</c:v>
                </c:pt>
                <c:pt idx="6">
                  <c:v>1.3838821627355113E-4</c:v>
                </c:pt>
                <c:pt idx="7">
                  <c:v>3.6172073625052484E-3</c:v>
                </c:pt>
                <c:pt idx="8">
                  <c:v>6.5285926211061445E-3</c:v>
                </c:pt>
                <c:pt idx="9">
                  <c:v>9.1627769124335125E-4</c:v>
                </c:pt>
                <c:pt idx="10">
                  <c:v>3.3346474448155304E-3</c:v>
                </c:pt>
                <c:pt idx="11">
                  <c:v>6.5015930896523463E-3</c:v>
                </c:pt>
                <c:pt idx="12">
                  <c:v>1.1157629002435687E-4</c:v>
                </c:pt>
                <c:pt idx="13">
                  <c:v>1.1102860589489037E-2</c:v>
                </c:pt>
                <c:pt idx="14">
                  <c:v>1.788839801662562E-3</c:v>
                </c:pt>
                <c:pt idx="15">
                  <c:v>3.563379711510912E-3</c:v>
                </c:pt>
                <c:pt idx="16">
                  <c:v>2.4202890928143243E-3</c:v>
                </c:pt>
                <c:pt idx="17">
                  <c:v>5.0089709886454982E-2</c:v>
                </c:pt>
                <c:pt idx="18">
                  <c:v>1.1157629002435687E-4</c:v>
                </c:pt>
                <c:pt idx="19">
                  <c:v>1.060102745094242E-2</c:v>
                </c:pt>
                <c:pt idx="20">
                  <c:v>4.8701513992831312E-4</c:v>
                </c:pt>
                <c:pt idx="21">
                  <c:v>4.4250012874127598E-3</c:v>
                </c:pt>
                <c:pt idx="22">
                  <c:v>4.8701513992831312E-4</c:v>
                </c:pt>
                <c:pt idx="23">
                  <c:v>1.6679737447016605E-3</c:v>
                </c:pt>
                <c:pt idx="24">
                  <c:v>1.1157629002435687E-4</c:v>
                </c:pt>
                <c:pt idx="25">
                  <c:v>6.6636021271248977E-3</c:v>
                </c:pt>
                <c:pt idx="26">
                  <c:v>1.5605506782083703E-3</c:v>
                </c:pt>
                <c:pt idx="27">
                  <c:v>2.6487930735975781E-3</c:v>
                </c:pt>
                <c:pt idx="28">
                  <c:v>7.9552715959265309E-4</c:v>
                </c:pt>
                <c:pt idx="29">
                  <c:v>1.8291320419411251E-3</c:v>
                </c:pt>
                <c:pt idx="30">
                  <c:v>1.1157629002435687E-4</c:v>
                </c:pt>
                <c:pt idx="31">
                  <c:v>5.0043575845356986E-3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2-4FF9-9787-0634B95A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09696"/>
        <c:axId val="513007344"/>
      </c:barChart>
      <c:catAx>
        <c:axId val="51300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7344"/>
        <c:crosses val="autoZero"/>
        <c:auto val="1"/>
        <c:lblAlgn val="ctr"/>
        <c:lblOffset val="100"/>
        <c:noMultiLvlLbl val="0"/>
      </c:catAx>
      <c:valAx>
        <c:axId val="5130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'WZW-C'!$H$1</c:f>
              <c:strCache>
                <c:ptCount val="1"/>
                <c:pt idx="0">
                  <c:v>TOC(%)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'WZW-C'!$H$2:$H$33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5-4B97-AB79-3B6BA263A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07736"/>
        <c:axId val="512688776"/>
      </c:barChart>
      <c:catAx>
        <c:axId val="51300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8776"/>
        <c:crosses val="autoZero"/>
        <c:auto val="1"/>
        <c:lblAlgn val="ctr"/>
        <c:lblOffset val="100"/>
        <c:noMultiLvlLbl val="0"/>
      </c:catAx>
      <c:valAx>
        <c:axId val="5126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'WZW-C'!$I$1</c:f>
              <c:strCache>
                <c:ptCount val="1"/>
                <c:pt idx="0">
                  <c:v>TIC(%)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'WZW-C'!$I$2:$I$33</c:f>
              <c:numCache>
                <c:formatCode>General</c:formatCode>
                <c:ptCount val="32"/>
                <c:pt idx="0">
                  <c:v>7.8990082858534608E-2</c:v>
                </c:pt>
                <c:pt idx="1">
                  <c:v>0.1061008771358966</c:v>
                </c:pt>
                <c:pt idx="2">
                  <c:v>7.08813478819669E-2</c:v>
                </c:pt>
                <c:pt idx="3">
                  <c:v>9.0064435246804769E-2</c:v>
                </c:pt>
                <c:pt idx="4">
                  <c:v>9.6707181359776934E-2</c:v>
                </c:pt>
                <c:pt idx="5">
                  <c:v>4.7130577235962742E-2</c:v>
                </c:pt>
                <c:pt idx="6">
                  <c:v>6.3974714433659693E-2</c:v>
                </c:pt>
                <c:pt idx="7">
                  <c:v>6.098524285714086E-2</c:v>
                </c:pt>
                <c:pt idx="8">
                  <c:v>8.143697532600451E-2</c:v>
                </c:pt>
                <c:pt idx="9">
                  <c:v>8.4651940371050741E-2</c:v>
                </c:pt>
                <c:pt idx="10">
                  <c:v>6.6261978833203672E-2</c:v>
                </c:pt>
                <c:pt idx="11">
                  <c:v>0.13709630019882527</c:v>
                </c:pt>
                <c:pt idx="12">
                  <c:v>0.10244973204440645</c:v>
                </c:pt>
                <c:pt idx="13">
                  <c:v>0.1046119045190728</c:v>
                </c:pt>
                <c:pt idx="14">
                  <c:v>0.12073448678218804</c:v>
                </c:pt>
                <c:pt idx="15">
                  <c:v>8.6603651949406793E-2</c:v>
                </c:pt>
                <c:pt idx="16">
                  <c:v>8.0105959400187512E-2</c:v>
                </c:pt>
                <c:pt idx="17">
                  <c:v>8.1697892730780236E-2</c:v>
                </c:pt>
                <c:pt idx="18">
                  <c:v>0.13090368384143439</c:v>
                </c:pt>
                <c:pt idx="19">
                  <c:v>0.11998449233122811</c:v>
                </c:pt>
                <c:pt idx="20">
                  <c:v>6.422956563235277E-2</c:v>
                </c:pt>
                <c:pt idx="21">
                  <c:v>7.8975791653859914E-2</c:v>
                </c:pt>
                <c:pt idx="22">
                  <c:v>0.113877575261497</c:v>
                </c:pt>
                <c:pt idx="23">
                  <c:v>6.9380297151164713E-2</c:v>
                </c:pt>
                <c:pt idx="24">
                  <c:v>7.8786447545441243E-2</c:v>
                </c:pt>
                <c:pt idx="25">
                  <c:v>8.3372502436311877E-2</c:v>
                </c:pt>
                <c:pt idx="26">
                  <c:v>9.8012934407436053E-2</c:v>
                </c:pt>
                <c:pt idx="27">
                  <c:v>0.11613678714513202</c:v>
                </c:pt>
                <c:pt idx="28">
                  <c:v>9.9629619522335913E-2</c:v>
                </c:pt>
                <c:pt idx="29">
                  <c:v>8.4474647649100995E-2</c:v>
                </c:pt>
                <c:pt idx="30">
                  <c:v>0.13480848927959491</c:v>
                </c:pt>
                <c:pt idx="31">
                  <c:v>0.19920345012005641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A-433A-B6F4-F4153D322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686032"/>
        <c:axId val="512690344"/>
      </c:barChart>
      <c:catAx>
        <c:axId val="51268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90344"/>
        <c:crosses val="autoZero"/>
        <c:auto val="1"/>
        <c:lblAlgn val="ctr"/>
        <c:lblOffset val="100"/>
        <c:noMultiLvlLbl val="0"/>
      </c:catAx>
      <c:valAx>
        <c:axId val="51269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'WZW-A'!$I$1</c:f>
              <c:strCache>
                <c:ptCount val="1"/>
                <c:pt idx="0">
                  <c:v>TIC(%)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'WZW-A'!$I$2:$I$42</c:f>
              <c:numCache>
                <c:formatCode>General</c:formatCode>
                <c:ptCount val="41"/>
                <c:pt idx="0">
                  <c:v>2.8101162492884017E-2</c:v>
                </c:pt>
                <c:pt idx="1">
                  <c:v>4.680520368353544E-2</c:v>
                </c:pt>
                <c:pt idx="2">
                  <c:v>2.3272529770383434E-2</c:v>
                </c:pt>
                <c:pt idx="3">
                  <c:v>2.6201287447446063E-2</c:v>
                </c:pt>
                <c:pt idx="4">
                  <c:v>5.0288128265681332E-2</c:v>
                </c:pt>
                <c:pt idx="5">
                  <c:v>3.266813246024499E-2</c:v>
                </c:pt>
                <c:pt idx="6">
                  <c:v>2.9726264854710884E-2</c:v>
                </c:pt>
                <c:pt idx="7">
                  <c:v>2.3263654844769194E-2</c:v>
                </c:pt>
                <c:pt idx="8">
                  <c:v>2.7503133218252596E-2</c:v>
                </c:pt>
                <c:pt idx="9">
                  <c:v>2.6604210623617373E-2</c:v>
                </c:pt>
                <c:pt idx="10">
                  <c:v>1.6930040494463824E-2</c:v>
                </c:pt>
                <c:pt idx="11">
                  <c:v>1.7831502202012333E-2</c:v>
                </c:pt>
                <c:pt idx="12">
                  <c:v>1.9598997399161922E-2</c:v>
                </c:pt>
                <c:pt idx="13">
                  <c:v>2.1033908624323947E-2</c:v>
                </c:pt>
                <c:pt idx="14">
                  <c:v>2.7503223924870941E-2</c:v>
                </c:pt>
                <c:pt idx="15">
                  <c:v>2.0488024615690176E-2</c:v>
                </c:pt>
                <c:pt idx="16">
                  <c:v>3.8871240026943511E-2</c:v>
                </c:pt>
                <c:pt idx="17">
                  <c:v>1.6886794076029599E-2</c:v>
                </c:pt>
                <c:pt idx="18">
                  <c:v>1.43246026653003E-2</c:v>
                </c:pt>
                <c:pt idx="19">
                  <c:v>1.9499031688686948E-2</c:v>
                </c:pt>
                <c:pt idx="20">
                  <c:v>1.8992985145979951E-2</c:v>
                </c:pt>
                <c:pt idx="21">
                  <c:v>1.7121091976229959E-2</c:v>
                </c:pt>
                <c:pt idx="22">
                  <c:v>3.0698201827933161E-2</c:v>
                </c:pt>
                <c:pt idx="23">
                  <c:v>2.1686161910397832E-2</c:v>
                </c:pt>
                <c:pt idx="24">
                  <c:v>2.4805123419054054E-2</c:v>
                </c:pt>
                <c:pt idx="25">
                  <c:v>1.96931541981809E-2</c:v>
                </c:pt>
                <c:pt idx="26">
                  <c:v>1.7606002816261585E-2</c:v>
                </c:pt>
                <c:pt idx="27">
                  <c:v>2.41673130289199E-2</c:v>
                </c:pt>
                <c:pt idx="28">
                  <c:v>3.1336591835368563E-2</c:v>
                </c:pt>
                <c:pt idx="29">
                  <c:v>2.4015944943473162E-2</c:v>
                </c:pt>
                <c:pt idx="30">
                  <c:v>2.649456479469682E-2</c:v>
                </c:pt>
                <c:pt idx="31">
                  <c:v>2.9846835780256795E-2</c:v>
                </c:pt>
                <c:pt idx="32">
                  <c:v>3.6064915370940788E-2</c:v>
                </c:pt>
                <c:pt idx="33">
                  <c:v>3.2977231315087119E-2</c:v>
                </c:pt>
                <c:pt idx="34">
                  <c:v>2.2104977586617818E-2</c:v>
                </c:pt>
                <c:pt idx="35">
                  <c:v>4.280342146854537E-2</c:v>
                </c:pt>
                <c:pt idx="36">
                  <c:v>3.764991935484506E-2</c:v>
                </c:pt>
                <c:pt idx="37">
                  <c:v>2.6092581408820391E-2</c:v>
                </c:pt>
                <c:pt idx="38">
                  <c:v>4.2974664388946836E-2</c:v>
                </c:pt>
                <c:pt idx="39">
                  <c:v>4.262193005949106E-2</c:v>
                </c:pt>
                <c:pt idx="40">
                  <c:v>3.4953483771764535E-2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7-494C-BE45-46A40685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7488"/>
        <c:axId val="439329840"/>
      </c:lineChart>
      <c:catAx>
        <c:axId val="43932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29840"/>
        <c:crosses val="autoZero"/>
        <c:auto val="1"/>
        <c:lblAlgn val="ctr"/>
        <c:lblOffset val="100"/>
        <c:noMultiLvlLbl val="0"/>
      </c:catAx>
      <c:valAx>
        <c:axId val="4393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2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'WZW-C'!$B$2:$B$33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'WZW-C'!$H$2:$H$33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5-43DE-B5C5-2180B9024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86424"/>
        <c:axId val="512689168"/>
      </c:scatterChart>
      <c:valAx>
        <c:axId val="51268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9168"/>
        <c:crosses val="autoZero"/>
        <c:crossBetween val="midCat"/>
      </c:valAx>
      <c:valAx>
        <c:axId val="5126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WZW-C</a:t>
            </a:r>
          </a:p>
        </c:rich>
      </c:tx>
      <c:layout>
        <c:manualLayout>
          <c:xMode val="edge"/>
          <c:yMode val="edge"/>
          <c:x val="0.46502882682343"/>
          <c:y val="3.9997746408688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'WZW-C'!$G$1</c:f>
              <c:strCache>
                <c:ptCount val="1"/>
                <c:pt idx="0">
                  <c:v>ROC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5133025934341"/>
                  <c:y val="2.7330393633114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'WZW-C'!$G$2:$G$33</c:f>
              <c:numCache>
                <c:formatCode>General</c:formatCode>
                <c:ptCount val="32"/>
                <c:pt idx="0">
                  <c:v>34017.5</c:v>
                </c:pt>
                <c:pt idx="1">
                  <c:v>37752.5</c:v>
                </c:pt>
                <c:pt idx="2">
                  <c:v>38848.5</c:v>
                </c:pt>
                <c:pt idx="3">
                  <c:v>36357.5</c:v>
                </c:pt>
                <c:pt idx="4">
                  <c:v>30490.5</c:v>
                </c:pt>
                <c:pt idx="5">
                  <c:v>28360.5</c:v>
                </c:pt>
                <c:pt idx="6">
                  <c:v>28630.5</c:v>
                </c:pt>
                <c:pt idx="7">
                  <c:v>31895.5</c:v>
                </c:pt>
                <c:pt idx="8">
                  <c:v>33736.5</c:v>
                </c:pt>
                <c:pt idx="9">
                  <c:v>29669.5</c:v>
                </c:pt>
                <c:pt idx="10">
                  <c:v>31326.5</c:v>
                </c:pt>
                <c:pt idx="11">
                  <c:v>30973.5</c:v>
                </c:pt>
                <c:pt idx="12">
                  <c:v>32700.5</c:v>
                </c:pt>
                <c:pt idx="13">
                  <c:v>35443.5</c:v>
                </c:pt>
                <c:pt idx="14">
                  <c:v>28834.5</c:v>
                </c:pt>
                <c:pt idx="15">
                  <c:v>32932.5</c:v>
                </c:pt>
                <c:pt idx="16">
                  <c:v>26293.5</c:v>
                </c:pt>
                <c:pt idx="17">
                  <c:v>29976.5</c:v>
                </c:pt>
                <c:pt idx="18">
                  <c:v>24426.5</c:v>
                </c:pt>
                <c:pt idx="19">
                  <c:v>30170.5</c:v>
                </c:pt>
                <c:pt idx="20">
                  <c:v>27655.5</c:v>
                </c:pt>
                <c:pt idx="21">
                  <c:v>33865.5</c:v>
                </c:pt>
                <c:pt idx="22">
                  <c:v>33723.5</c:v>
                </c:pt>
                <c:pt idx="23">
                  <c:v>32526.5</c:v>
                </c:pt>
                <c:pt idx="24">
                  <c:v>33896.5</c:v>
                </c:pt>
                <c:pt idx="25">
                  <c:v>34802.5</c:v>
                </c:pt>
                <c:pt idx="26">
                  <c:v>31876.5</c:v>
                </c:pt>
                <c:pt idx="27">
                  <c:v>30614.5</c:v>
                </c:pt>
                <c:pt idx="28">
                  <c:v>30826.5</c:v>
                </c:pt>
                <c:pt idx="29">
                  <c:v>33548.5</c:v>
                </c:pt>
                <c:pt idx="30">
                  <c:v>31378.5</c:v>
                </c:pt>
                <c:pt idx="31">
                  <c:v>32455.5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4-4484-A34E-172867CBC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93088"/>
        <c:axId val="512686816"/>
      </c:scatterChart>
      <c:valAx>
        <c:axId val="51269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6816"/>
        <c:crosses val="autoZero"/>
        <c:crossBetween val="midCat"/>
      </c:valAx>
      <c:valAx>
        <c:axId val="5126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ROC</a:t>
                </a:r>
              </a:p>
            </c:rich>
          </c:tx>
          <c:layout>
            <c:manualLayout>
              <c:xMode val="edge"/>
              <c:yMode val="edge"/>
              <c:x val="3.5960019254183538E-2"/>
              <c:y val="0.44561793718709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9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WZW-C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4424803047562628"/>
          <c:y val="2.6665164272459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'WZW-C'!$F$1</c:f>
              <c:strCache>
                <c:ptCount val="1"/>
                <c:pt idx="0">
                  <c:v>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495801760320265E-2"/>
                  <c:y val="-2.70651417365460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'WZW-C'!$F$2:$F$33</c:f>
              <c:numCache>
                <c:formatCode>General</c:formatCode>
                <c:ptCount val="32"/>
                <c:pt idx="0">
                  <c:v>31724.2</c:v>
                </c:pt>
                <c:pt idx="1">
                  <c:v>25430.2</c:v>
                </c:pt>
                <c:pt idx="2">
                  <c:v>27630.2</c:v>
                </c:pt>
                <c:pt idx="3">
                  <c:v>25396.2</c:v>
                </c:pt>
                <c:pt idx="4">
                  <c:v>24384.2</c:v>
                </c:pt>
                <c:pt idx="5">
                  <c:v>25818.2</c:v>
                </c:pt>
                <c:pt idx="6">
                  <c:v>22176.2</c:v>
                </c:pt>
                <c:pt idx="7">
                  <c:v>23218.2</c:v>
                </c:pt>
                <c:pt idx="8">
                  <c:v>28143.200000000001</c:v>
                </c:pt>
                <c:pt idx="9">
                  <c:v>24458.2</c:v>
                </c:pt>
                <c:pt idx="10">
                  <c:v>27814.2</c:v>
                </c:pt>
                <c:pt idx="11">
                  <c:v>27659.200000000001</c:v>
                </c:pt>
                <c:pt idx="12">
                  <c:v>31198.2</c:v>
                </c:pt>
                <c:pt idx="13">
                  <c:v>29962.2</c:v>
                </c:pt>
                <c:pt idx="14">
                  <c:v>24601.200000000001</c:v>
                </c:pt>
                <c:pt idx="15">
                  <c:v>26248.2</c:v>
                </c:pt>
                <c:pt idx="16">
                  <c:v>19861.2</c:v>
                </c:pt>
                <c:pt idx="17">
                  <c:v>17725.2</c:v>
                </c:pt>
                <c:pt idx="18">
                  <c:v>18312.2</c:v>
                </c:pt>
                <c:pt idx="19">
                  <c:v>22936.2</c:v>
                </c:pt>
                <c:pt idx="20">
                  <c:v>22007.200000000001</c:v>
                </c:pt>
                <c:pt idx="21">
                  <c:v>26896.2</c:v>
                </c:pt>
                <c:pt idx="22">
                  <c:v>23564.2</c:v>
                </c:pt>
                <c:pt idx="23">
                  <c:v>20588.2</c:v>
                </c:pt>
                <c:pt idx="24">
                  <c:v>23528.2</c:v>
                </c:pt>
                <c:pt idx="25">
                  <c:v>24360.2</c:v>
                </c:pt>
                <c:pt idx="26">
                  <c:v>20173.2</c:v>
                </c:pt>
                <c:pt idx="27">
                  <c:v>23711.200000000001</c:v>
                </c:pt>
                <c:pt idx="28">
                  <c:v>19487.2</c:v>
                </c:pt>
                <c:pt idx="29">
                  <c:v>22896.2</c:v>
                </c:pt>
                <c:pt idx="30">
                  <c:v>21822.2</c:v>
                </c:pt>
                <c:pt idx="31">
                  <c:v>18415.2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A-4817-A6F6-B5D92E346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87992"/>
        <c:axId val="512685640"/>
      </c:scatterChart>
      <c:valAx>
        <c:axId val="51268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5640"/>
        <c:crosses val="autoZero"/>
        <c:crossBetween val="midCat"/>
      </c:valAx>
      <c:valAx>
        <c:axId val="51268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WZW-C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'WZW-C'!$G$1</c:f>
              <c:strCache>
                <c:ptCount val="1"/>
                <c:pt idx="0">
                  <c:v>ROC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343308191086885E-2"/>
                  <c:y val="-5.96512322490316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'WZW-C'!$G$2:$G$33</c:f>
              <c:numCache>
                <c:formatCode>General</c:formatCode>
                <c:ptCount val="32"/>
                <c:pt idx="0">
                  <c:v>34017.5</c:v>
                </c:pt>
                <c:pt idx="1">
                  <c:v>37752.5</c:v>
                </c:pt>
                <c:pt idx="2">
                  <c:v>38848.5</c:v>
                </c:pt>
                <c:pt idx="3">
                  <c:v>36357.5</c:v>
                </c:pt>
                <c:pt idx="4">
                  <c:v>30490.5</c:v>
                </c:pt>
                <c:pt idx="5">
                  <c:v>28360.5</c:v>
                </c:pt>
                <c:pt idx="6">
                  <c:v>28630.5</c:v>
                </c:pt>
                <c:pt idx="7">
                  <c:v>31895.5</c:v>
                </c:pt>
                <c:pt idx="8">
                  <c:v>33736.5</c:v>
                </c:pt>
                <c:pt idx="9">
                  <c:v>29669.5</c:v>
                </c:pt>
                <c:pt idx="10">
                  <c:v>31326.5</c:v>
                </c:pt>
                <c:pt idx="11">
                  <c:v>30973.5</c:v>
                </c:pt>
                <c:pt idx="12">
                  <c:v>32700.5</c:v>
                </c:pt>
                <c:pt idx="13">
                  <c:v>35443.5</c:v>
                </c:pt>
                <c:pt idx="14">
                  <c:v>28834.5</c:v>
                </c:pt>
                <c:pt idx="15">
                  <c:v>32932.5</c:v>
                </c:pt>
                <c:pt idx="16">
                  <c:v>26293.5</c:v>
                </c:pt>
                <c:pt idx="17">
                  <c:v>29976.5</c:v>
                </c:pt>
                <c:pt idx="18">
                  <c:v>24426.5</c:v>
                </c:pt>
                <c:pt idx="19">
                  <c:v>30170.5</c:v>
                </c:pt>
                <c:pt idx="20">
                  <c:v>27655.5</c:v>
                </c:pt>
                <c:pt idx="21">
                  <c:v>33865.5</c:v>
                </c:pt>
                <c:pt idx="22">
                  <c:v>33723.5</c:v>
                </c:pt>
                <c:pt idx="23">
                  <c:v>32526.5</c:v>
                </c:pt>
                <c:pt idx="24">
                  <c:v>33896.5</c:v>
                </c:pt>
                <c:pt idx="25">
                  <c:v>34802.5</c:v>
                </c:pt>
                <c:pt idx="26">
                  <c:v>31876.5</c:v>
                </c:pt>
                <c:pt idx="27">
                  <c:v>30614.5</c:v>
                </c:pt>
                <c:pt idx="28">
                  <c:v>30826.5</c:v>
                </c:pt>
                <c:pt idx="29">
                  <c:v>33548.5</c:v>
                </c:pt>
                <c:pt idx="30">
                  <c:v>31378.5</c:v>
                </c:pt>
                <c:pt idx="31">
                  <c:v>32455.5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8-426B-9490-6EE0BBC4B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88384"/>
        <c:axId val="512691520"/>
      </c:scatterChart>
      <c:valAx>
        <c:axId val="51268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91520"/>
        <c:crosses val="autoZero"/>
        <c:crossBetween val="midCat"/>
      </c:valAx>
      <c:valAx>
        <c:axId val="5126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ROC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0427708599693761E-2"/>
              <c:y val="0.45718019037247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WZW-C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3871571982113655"/>
          <c:y val="2.6665164272459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'WZW-C'!$I$1</c:f>
              <c:strCache>
                <c:ptCount val="1"/>
                <c:pt idx="0">
                  <c:v>TIC(%)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085395788909677"/>
                  <c:y val="-0.13177140325601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'WZW-C'!$I$2:$I$33</c:f>
              <c:numCache>
                <c:formatCode>General</c:formatCode>
                <c:ptCount val="32"/>
                <c:pt idx="0">
                  <c:v>7.8990082858534608E-2</c:v>
                </c:pt>
                <c:pt idx="1">
                  <c:v>0.1061008771358966</c:v>
                </c:pt>
                <c:pt idx="2">
                  <c:v>7.08813478819669E-2</c:v>
                </c:pt>
                <c:pt idx="3">
                  <c:v>9.0064435246804769E-2</c:v>
                </c:pt>
                <c:pt idx="4">
                  <c:v>9.6707181359776934E-2</c:v>
                </c:pt>
                <c:pt idx="5">
                  <c:v>4.7130577235962742E-2</c:v>
                </c:pt>
                <c:pt idx="6">
                  <c:v>6.3974714433659693E-2</c:v>
                </c:pt>
                <c:pt idx="7">
                  <c:v>6.098524285714086E-2</c:v>
                </c:pt>
                <c:pt idx="8">
                  <c:v>8.143697532600451E-2</c:v>
                </c:pt>
                <c:pt idx="9">
                  <c:v>8.4651940371050741E-2</c:v>
                </c:pt>
                <c:pt idx="10">
                  <c:v>6.6261978833203672E-2</c:v>
                </c:pt>
                <c:pt idx="11">
                  <c:v>0.13709630019882527</c:v>
                </c:pt>
                <c:pt idx="12">
                  <c:v>0.10244973204440645</c:v>
                </c:pt>
                <c:pt idx="13">
                  <c:v>0.1046119045190728</c:v>
                </c:pt>
                <c:pt idx="14">
                  <c:v>0.12073448678218804</c:v>
                </c:pt>
                <c:pt idx="15">
                  <c:v>8.6603651949406793E-2</c:v>
                </c:pt>
                <c:pt idx="16">
                  <c:v>8.0105959400187512E-2</c:v>
                </c:pt>
                <c:pt idx="17">
                  <c:v>8.1697892730780236E-2</c:v>
                </c:pt>
                <c:pt idx="18">
                  <c:v>0.13090368384143439</c:v>
                </c:pt>
                <c:pt idx="19">
                  <c:v>0.11998449233122811</c:v>
                </c:pt>
                <c:pt idx="20">
                  <c:v>6.422956563235277E-2</c:v>
                </c:pt>
                <c:pt idx="21">
                  <c:v>7.8975791653859914E-2</c:v>
                </c:pt>
                <c:pt idx="22">
                  <c:v>0.113877575261497</c:v>
                </c:pt>
                <c:pt idx="23">
                  <c:v>6.9380297151164713E-2</c:v>
                </c:pt>
                <c:pt idx="24">
                  <c:v>7.8786447545441243E-2</c:v>
                </c:pt>
                <c:pt idx="25">
                  <c:v>8.3372502436311877E-2</c:v>
                </c:pt>
                <c:pt idx="26">
                  <c:v>9.8012934407436053E-2</c:v>
                </c:pt>
                <c:pt idx="27">
                  <c:v>0.11613678714513202</c:v>
                </c:pt>
                <c:pt idx="28">
                  <c:v>9.9629619522335913E-2</c:v>
                </c:pt>
                <c:pt idx="29">
                  <c:v>8.4474647649100995E-2</c:v>
                </c:pt>
                <c:pt idx="30">
                  <c:v>0.13480848927959491</c:v>
                </c:pt>
                <c:pt idx="31">
                  <c:v>0.19920345012005641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3-4963-A91F-C1D511CF0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89952"/>
        <c:axId val="512691912"/>
      </c:scatterChart>
      <c:valAx>
        <c:axId val="5126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91912"/>
        <c:crosses val="autoZero"/>
        <c:crossBetween val="midCat"/>
      </c:valAx>
      <c:valAx>
        <c:axId val="5126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0427708599693761E-2"/>
              <c:y val="0.45718019037247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WZW-C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8162575878689934"/>
          <c:y val="4.8886134499508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'WZW-C'!$J$1</c:f>
              <c:strCache>
                <c:ptCount val="1"/>
                <c:pt idx="0">
                  <c:v>TIC inferred CaCO3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085395788909677"/>
                  <c:y val="-0.13177140325601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'WZW-C'!$J$2:$J$33</c:f>
              <c:numCache>
                <c:formatCode>General</c:formatCode>
                <c:ptCount val="32"/>
                <c:pt idx="0">
                  <c:v>0.65821934260709913</c:v>
                </c:pt>
                <c:pt idx="1">
                  <c:v>0.88413186910438513</c:v>
                </c:pt>
                <c:pt idx="2">
                  <c:v>0.59064976915557688</c:v>
                </c:pt>
                <c:pt idx="3">
                  <c:v>0.75050121755918953</c:v>
                </c:pt>
                <c:pt idx="4">
                  <c:v>0.80585479893746215</c:v>
                </c:pt>
                <c:pt idx="5">
                  <c:v>0.39273610613255183</c:v>
                </c:pt>
                <c:pt idx="6">
                  <c:v>0.53309723137542708</c:v>
                </c:pt>
                <c:pt idx="7">
                  <c:v>0.50818615463478245</c:v>
                </c:pt>
                <c:pt idx="8">
                  <c:v>0.67860914209943224</c:v>
                </c:pt>
                <c:pt idx="9">
                  <c:v>0.70539924158882017</c:v>
                </c:pt>
                <c:pt idx="10">
                  <c:v>0.55215686031812283</c:v>
                </c:pt>
                <c:pt idx="11">
                  <c:v>1.1424147605003583</c:v>
                </c:pt>
                <c:pt idx="12">
                  <c:v>0.85370710899636204</c:v>
                </c:pt>
                <c:pt idx="13">
                  <c:v>0.87172435487552979</c:v>
                </c:pt>
                <c:pt idx="14">
                  <c:v>1.0060728086853865</c:v>
                </c:pt>
                <c:pt idx="15">
                  <c:v>0.72166273018858407</c:v>
                </c:pt>
                <c:pt idx="16">
                  <c:v>0.66751787094252168</c:v>
                </c:pt>
                <c:pt idx="17">
                  <c:v>0.68078335025862369</c:v>
                </c:pt>
                <c:pt idx="18">
                  <c:v>1.090812081780806</c:v>
                </c:pt>
                <c:pt idx="19">
                  <c:v>0.99982315256901133</c:v>
                </c:pt>
                <c:pt idx="20">
                  <c:v>0.53522089022468811</c:v>
                </c:pt>
                <c:pt idx="21">
                  <c:v>0.65810025490639523</c:v>
                </c:pt>
                <c:pt idx="22">
                  <c:v>0.94893460056947176</c:v>
                </c:pt>
                <c:pt idx="23">
                  <c:v>0.57814160877020304</c:v>
                </c:pt>
                <c:pt idx="24">
                  <c:v>0.65652246247904622</c:v>
                </c:pt>
                <c:pt idx="25">
                  <c:v>0.69473776655506647</c:v>
                </c:pt>
                <c:pt idx="26">
                  <c:v>0.81673555613551008</c:v>
                </c:pt>
                <c:pt idx="27">
                  <c:v>0.96776046967913698</c:v>
                </c:pt>
                <c:pt idx="28">
                  <c:v>0.83020729049788378</c:v>
                </c:pt>
                <c:pt idx="29">
                  <c:v>0.70392187259935113</c:v>
                </c:pt>
                <c:pt idx="30">
                  <c:v>1.1233505774438339</c:v>
                </c:pt>
                <c:pt idx="31">
                  <c:v>1.6599496954309447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0-4F82-AC07-3B6CD2F5A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70440"/>
        <c:axId val="513870832"/>
      </c:scatterChart>
      <c:valAx>
        <c:axId val="51387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0832"/>
        <c:crosses val="autoZero"/>
        <c:crossBetween val="midCat"/>
      </c:valAx>
      <c:valAx>
        <c:axId val="5138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 inferred CaCO3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WZW-C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8162575878689939"/>
          <c:y val="4.4441940454098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'WZW-C'!$K$1</c:f>
              <c:strCache>
                <c:ptCount val="1"/>
                <c:pt idx="0">
                  <c:v>TN(%)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085395788909677"/>
                  <c:y val="-0.13177140325601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'WZW-C'!$K$2:$K$33</c:f>
              <c:numCache>
                <c:formatCode>General</c:formatCode>
                <c:ptCount val="32"/>
                <c:pt idx="0">
                  <c:v>1.1157629002435687E-4</c:v>
                </c:pt>
                <c:pt idx="1">
                  <c:v>8.0012617355331214E-3</c:v>
                </c:pt>
                <c:pt idx="2">
                  <c:v>2.8235699202803295E-3</c:v>
                </c:pt>
                <c:pt idx="3">
                  <c:v>1.5202702866795716E-3</c:v>
                </c:pt>
                <c:pt idx="4">
                  <c:v>2.5009310398078077E-3</c:v>
                </c:pt>
                <c:pt idx="5">
                  <c:v>2.7160109881230739E-3</c:v>
                </c:pt>
                <c:pt idx="6">
                  <c:v>1.3838821627355113E-4</c:v>
                </c:pt>
                <c:pt idx="7">
                  <c:v>3.6172073625052484E-3</c:v>
                </c:pt>
                <c:pt idx="8">
                  <c:v>6.5285926211061445E-3</c:v>
                </c:pt>
                <c:pt idx="9">
                  <c:v>9.1627769124335125E-4</c:v>
                </c:pt>
                <c:pt idx="10">
                  <c:v>3.3346474448155304E-3</c:v>
                </c:pt>
                <c:pt idx="11">
                  <c:v>6.5015930896523463E-3</c:v>
                </c:pt>
                <c:pt idx="12">
                  <c:v>1.1157629002435687E-4</c:v>
                </c:pt>
                <c:pt idx="13">
                  <c:v>1.1102860589489037E-2</c:v>
                </c:pt>
                <c:pt idx="14">
                  <c:v>1.788839801662562E-3</c:v>
                </c:pt>
                <c:pt idx="15">
                  <c:v>3.563379711510912E-3</c:v>
                </c:pt>
                <c:pt idx="16">
                  <c:v>2.4202890928143243E-3</c:v>
                </c:pt>
                <c:pt idx="17">
                  <c:v>5.0089709886454982E-2</c:v>
                </c:pt>
                <c:pt idx="18">
                  <c:v>1.1157629002435687E-4</c:v>
                </c:pt>
                <c:pt idx="19">
                  <c:v>1.060102745094242E-2</c:v>
                </c:pt>
                <c:pt idx="20">
                  <c:v>4.8701513992831312E-4</c:v>
                </c:pt>
                <c:pt idx="21">
                  <c:v>4.4250012874127598E-3</c:v>
                </c:pt>
                <c:pt idx="22">
                  <c:v>4.8701513992831312E-4</c:v>
                </c:pt>
                <c:pt idx="23">
                  <c:v>1.6679737447016605E-3</c:v>
                </c:pt>
                <c:pt idx="24">
                  <c:v>1.1157629002435687E-4</c:v>
                </c:pt>
                <c:pt idx="25">
                  <c:v>6.6636021271248977E-3</c:v>
                </c:pt>
                <c:pt idx="26">
                  <c:v>1.5605506782083703E-3</c:v>
                </c:pt>
                <c:pt idx="27">
                  <c:v>2.6487930735975781E-3</c:v>
                </c:pt>
                <c:pt idx="28">
                  <c:v>7.9552715959265309E-4</c:v>
                </c:pt>
                <c:pt idx="29">
                  <c:v>1.8291320419411251E-3</c:v>
                </c:pt>
                <c:pt idx="30">
                  <c:v>1.1157629002435687E-4</c:v>
                </c:pt>
                <c:pt idx="31">
                  <c:v>5.0043575845356986E-3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4-443E-864B-B0F71B8CB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73576"/>
        <c:axId val="513871224"/>
      </c:scatterChart>
      <c:valAx>
        <c:axId val="51387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1224"/>
        <c:crosses val="autoZero"/>
        <c:crossBetween val="midCat"/>
      </c:valAx>
      <c:valAx>
        <c:axId val="51387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</a:p>
            </c:rich>
          </c:tx>
          <c:layout>
            <c:manualLayout>
              <c:xMode val="edge"/>
              <c:yMode val="edge"/>
              <c:x val="3.0427708599693761E-2"/>
              <c:y val="0.3078479217793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WZW-C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5119805018720549"/>
          <c:y val="3.9997746408688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'WZW-C'!$L$1</c:f>
              <c:strCache>
                <c:ptCount val="1"/>
                <c:pt idx="0">
                  <c:v>PC含水率(%)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5133025934341"/>
                  <c:y val="2.7330393633114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'WZW-C'!$L$2:$L$33</c:f>
              <c:numCache>
                <c:formatCode>0.00%</c:formatCode>
                <c:ptCount val="32"/>
                <c:pt idx="0">
                  <c:v>0.99858746457800052</c:v>
                </c:pt>
                <c:pt idx="1">
                  <c:v>0.92458816598391635</c:v>
                </c:pt>
                <c:pt idx="2">
                  <c:v>0.96016483878125169</c:v>
                </c:pt>
                <c:pt idx="3">
                  <c:v>0.98312019297613362</c:v>
                </c:pt>
                <c:pt idx="4">
                  <c:v>0.97413913832827304</c:v>
                </c:pt>
                <c:pt idx="5">
                  <c:v>0.9423726347647905</c:v>
                </c:pt>
                <c:pt idx="6">
                  <c:v>0.99783682948023056</c:v>
                </c:pt>
                <c:pt idx="7">
                  <c:v>0.94068716966531352</c:v>
                </c:pt>
                <c:pt idx="8">
                  <c:v>0.91983257488418257</c:v>
                </c:pt>
                <c:pt idx="9">
                  <c:v>0.98917593988717711</c:v>
                </c:pt>
                <c:pt idx="10">
                  <c:v>0.94967479837555735</c:v>
                </c:pt>
                <c:pt idx="11">
                  <c:v>0.95257645114986078</c:v>
                </c:pt>
                <c:pt idx="12">
                  <c:v>0.99891091672181254</c:v>
                </c:pt>
                <c:pt idx="13">
                  <c:v>0.89386618434554199</c:v>
                </c:pt>
                <c:pt idx="14">
                  <c:v>0.98518368819598556</c:v>
                </c:pt>
                <c:pt idx="15">
                  <c:v>0.95885416340649687</c:v>
                </c:pt>
                <c:pt idx="16">
                  <c:v>0.96978640402116389</c:v>
                </c:pt>
                <c:pt idx="17">
                  <c:v>0.38689104195727508</c:v>
                </c:pt>
                <c:pt idx="18">
                  <c:v>0.99914764591224547</c:v>
                </c:pt>
                <c:pt idx="19">
                  <c:v>0.91164668662615733</c:v>
                </c:pt>
                <c:pt idx="20">
                  <c:v>0.99241758627614007</c:v>
                </c:pt>
                <c:pt idx="21">
                  <c:v>0.94397015598391298</c:v>
                </c:pt>
                <c:pt idx="22">
                  <c:v>0.99572334466368839</c:v>
                </c:pt>
                <c:pt idx="23">
                  <c:v>0.97595897087227068</c:v>
                </c:pt>
                <c:pt idx="24">
                  <c:v>0.99858381366973048</c:v>
                </c:pt>
                <c:pt idx="25">
                  <c:v>0.92007434187050807</c:v>
                </c:pt>
                <c:pt idx="26">
                  <c:v>0.98407811491775954</c:v>
                </c:pt>
                <c:pt idx="27">
                  <c:v>0.97719247157847167</c:v>
                </c:pt>
                <c:pt idx="28">
                  <c:v>0.99201515409366492</c:v>
                </c:pt>
                <c:pt idx="29">
                  <c:v>0.97834697044799579</c:v>
                </c:pt>
                <c:pt idx="30">
                  <c:v>0.99917233483869883</c:v>
                </c:pt>
                <c:pt idx="31">
                  <c:v>0.97487815807648071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B-4B6E-83A1-3040FE487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67304"/>
        <c:axId val="513872792"/>
      </c:scatterChart>
      <c:valAx>
        <c:axId val="51386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2792"/>
        <c:crosses val="autoZero"/>
        <c:crossBetween val="midCat"/>
      </c:valAx>
      <c:valAx>
        <c:axId val="51387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PC</a:t>
                </a:r>
                <a:r>
                  <a:rPr lang="zh-TW" altLang="en-US"/>
                  <a:t>含水率</a:t>
                </a:r>
                <a:r>
                  <a:rPr lang="en-US" altLang="zh-TW"/>
                  <a:t>(%)</a:t>
                </a:r>
              </a:p>
            </c:rich>
          </c:tx>
          <c:layout>
            <c:manualLayout>
              <c:xMode val="edge"/>
              <c:yMode val="edge"/>
              <c:x val="3.5960019254183538E-2"/>
              <c:y val="0.44561793718709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6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TN(%)</a:t>
            </a:r>
            <a:endParaRPr lang="zh-TW" altLang="en-US"/>
          </a:p>
        </c:rich>
      </c:tx>
      <c:layout>
        <c:manualLayout>
          <c:xMode val="edge"/>
          <c:yMode val="edge"/>
          <c:x val="0.46956958607101085"/>
          <c:y val="1.870179134691184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ABC比較!$H$1</c:f>
              <c:strCache>
                <c:ptCount val="1"/>
                <c:pt idx="0">
                  <c:v>WZW-A</c:v>
                </c:pt>
              </c:strCache>
            </c:strRef>
          </c:tx>
          <c:spPr>
            <a:ln cap="rnd">
              <a:solidFill>
                <a:srgbClr val="0070C0"/>
              </a:solidFill>
              <a:round/>
            </a:ln>
          </c:spP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ABC比較!$H$2:$H$52</c:f>
              <c:numCache>
                <c:formatCode>General</c:formatCode>
                <c:ptCount val="51"/>
                <c:pt idx="0">
                  <c:v>0</c:v>
                </c:pt>
                <c:pt idx="1">
                  <c:v>1.8268267544393701E-2</c:v>
                </c:pt>
                <c:pt idx="2">
                  <c:v>2.5720524248520827E-2</c:v>
                </c:pt>
                <c:pt idx="3">
                  <c:v>2.7761808137366922E-2</c:v>
                </c:pt>
                <c:pt idx="4">
                  <c:v>1.3890174654729888E-2</c:v>
                </c:pt>
                <c:pt idx="5">
                  <c:v>3.5998047883177939E-2</c:v>
                </c:pt>
                <c:pt idx="6">
                  <c:v>1.0779298532003446E-2</c:v>
                </c:pt>
                <c:pt idx="7">
                  <c:v>4.9809356660806256E-2</c:v>
                </c:pt>
                <c:pt idx="8">
                  <c:v>9.0043015220541658E-2</c:v>
                </c:pt>
                <c:pt idx="9">
                  <c:v>3.1247460681690785E-2</c:v>
                </c:pt>
                <c:pt idx="10">
                  <c:v>2.6451027406274863E-2</c:v>
                </c:pt>
                <c:pt idx="11">
                  <c:v>5.8285936010249711E-4</c:v>
                </c:pt>
                <c:pt idx="12">
                  <c:v>3.0416405929255336E-2</c:v>
                </c:pt>
                <c:pt idx="13">
                  <c:v>6.6250704774791095E-3</c:v>
                </c:pt>
                <c:pt idx="14">
                  <c:v>7.0166933757207011E-3</c:v>
                </c:pt>
                <c:pt idx="15">
                  <c:v>1.0562331800928255E-2</c:v>
                </c:pt>
                <c:pt idx="16">
                  <c:v>5.8285936010249711E-4</c:v>
                </c:pt>
                <c:pt idx="17">
                  <c:v>2.1294295792654301E-2</c:v>
                </c:pt>
                <c:pt idx="18">
                  <c:v>7.7869189557613601E-3</c:v>
                </c:pt>
                <c:pt idx="19">
                  <c:v>2.9331068585141144E-3</c:v>
                </c:pt>
                <c:pt idx="20">
                  <c:v>9.8033463601571742E-3</c:v>
                </c:pt>
                <c:pt idx="21">
                  <c:v>5.8285936010249711E-4</c:v>
                </c:pt>
                <c:pt idx="22">
                  <c:v>1.9540488651078762E-2</c:v>
                </c:pt>
                <c:pt idx="23">
                  <c:v>9.1532803189150191E-3</c:v>
                </c:pt>
                <c:pt idx="24">
                  <c:v>1.041319649896973E-2</c:v>
                </c:pt>
                <c:pt idx="25">
                  <c:v>5.8423229209235211E-3</c:v>
                </c:pt>
                <c:pt idx="26">
                  <c:v>5.8285936010249711E-4</c:v>
                </c:pt>
                <c:pt idx="27">
                  <c:v>2.5224649786004718E-2</c:v>
                </c:pt>
                <c:pt idx="28">
                  <c:v>9.4240858752670156E-3</c:v>
                </c:pt>
                <c:pt idx="29">
                  <c:v>7.3679447579524521E-3</c:v>
                </c:pt>
                <c:pt idx="30">
                  <c:v>1.5306393840433957E-2</c:v>
                </c:pt>
                <c:pt idx="31">
                  <c:v>5.8285936010249711E-4</c:v>
                </c:pt>
                <c:pt idx="32">
                  <c:v>1.9075177486711947E-2</c:v>
                </c:pt>
                <c:pt idx="33">
                  <c:v>1.3250853277537996E-2</c:v>
                </c:pt>
                <c:pt idx="34">
                  <c:v>9.342835914236583E-3</c:v>
                </c:pt>
                <c:pt idx="35">
                  <c:v>1.3427643207057808E-2</c:v>
                </c:pt>
                <c:pt idx="36">
                  <c:v>5.8285936010249711E-4</c:v>
                </c:pt>
                <c:pt idx="37">
                  <c:v>2.125315391043061E-2</c:v>
                </c:pt>
                <c:pt idx="38">
                  <c:v>1.0928492485273306E-2</c:v>
                </c:pt>
                <c:pt idx="39">
                  <c:v>1.6151694582759765E-2</c:v>
                </c:pt>
                <c:pt idx="40">
                  <c:v>9.1532803189150191E-3</c:v>
                </c:pt>
                <c:pt idx="41">
                  <c:v>1.4416769992498344E-3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70-4C13-9011-B9BFC3604A79}"/>
            </c:ext>
          </c:extLst>
        </c:ser>
        <c:ser>
          <c:idx val="0"/>
          <c:order val="1"/>
          <c:tx>
            <c:strRef>
              <c:f>ABC比較!$I$1</c:f>
              <c:strCache>
                <c:ptCount val="1"/>
                <c:pt idx="0">
                  <c:v>WZW-B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ABC比較!$I$2:$I$52</c:f>
              <c:numCache>
                <c:formatCode>General</c:formatCode>
                <c:ptCount val="51"/>
                <c:pt idx="0">
                  <c:v>0</c:v>
                </c:pt>
                <c:pt idx="1">
                  <c:v>3.2301150607088699E-2</c:v>
                </c:pt>
                <c:pt idx="2">
                  <c:v>1.687489219636738E-2</c:v>
                </c:pt>
                <c:pt idx="3">
                  <c:v>2.1980255489606443E-2</c:v>
                </c:pt>
                <c:pt idx="4">
                  <c:v>2.3312425229384353E-2</c:v>
                </c:pt>
                <c:pt idx="5">
                  <c:v>1.1552653366856893E-2</c:v>
                </c:pt>
                <c:pt idx="6">
                  <c:v>4.1765656582743491E-2</c:v>
                </c:pt>
                <c:pt idx="7">
                  <c:v>1.6369959936809141E-2</c:v>
                </c:pt>
                <c:pt idx="8">
                  <c:v>3.8326172221147529E-2</c:v>
                </c:pt>
                <c:pt idx="9">
                  <c:v>2.521087914874378E-2</c:v>
                </c:pt>
                <c:pt idx="10">
                  <c:v>8.1114164128930858E-3</c:v>
                </c:pt>
                <c:pt idx="11">
                  <c:v>4.1485577404909199E-2</c:v>
                </c:pt>
                <c:pt idx="12">
                  <c:v>1.9923857492470574E-2</c:v>
                </c:pt>
                <c:pt idx="13">
                  <c:v>3.8647243592000162E-2</c:v>
                </c:pt>
                <c:pt idx="14">
                  <c:v>3.6778122518696416E-2</c:v>
                </c:pt>
                <c:pt idx="15">
                  <c:v>1.236740423961648E-2</c:v>
                </c:pt>
                <c:pt idx="16">
                  <c:v>3.4620502525691058E-2</c:v>
                </c:pt>
                <c:pt idx="17">
                  <c:v>2.8397142389978373E-2</c:v>
                </c:pt>
                <c:pt idx="18">
                  <c:v>2.3532343089067542E-2</c:v>
                </c:pt>
                <c:pt idx="19">
                  <c:v>1.5878933982696599E-2</c:v>
                </c:pt>
                <c:pt idx="20">
                  <c:v>1.0858691780178177E-2</c:v>
                </c:pt>
                <c:pt idx="21">
                  <c:v>1.0872255035455898E-2</c:v>
                </c:pt>
                <c:pt idx="22">
                  <c:v>1.6449828306177795E-2</c:v>
                </c:pt>
                <c:pt idx="23">
                  <c:v>1.3575272671060708E-2</c:v>
                </c:pt>
                <c:pt idx="24">
                  <c:v>3.7652496947706009E-3</c:v>
                </c:pt>
                <c:pt idx="25">
                  <c:v>1.2677927724211835E-2</c:v>
                </c:pt>
                <c:pt idx="26">
                  <c:v>7.5821904827920077E-3</c:v>
                </c:pt>
                <c:pt idx="27">
                  <c:v>3.7973109876559213E-4</c:v>
                </c:pt>
                <c:pt idx="28">
                  <c:v>2.8519476251735263E-2</c:v>
                </c:pt>
                <c:pt idx="29">
                  <c:v>1.2542041410710513E-2</c:v>
                </c:pt>
                <c:pt idx="30">
                  <c:v>1.5471236835529413E-3</c:v>
                </c:pt>
                <c:pt idx="31">
                  <c:v>4.6809509050784424E-3</c:v>
                </c:pt>
                <c:pt idx="32">
                  <c:v>4.7752661032432926E-3</c:v>
                </c:pt>
                <c:pt idx="33">
                  <c:v>6.0697080150561135E-3</c:v>
                </c:pt>
                <c:pt idx="34">
                  <c:v>6.609595954967443E-3</c:v>
                </c:pt>
                <c:pt idx="35">
                  <c:v>2.2678435683692339E-2</c:v>
                </c:pt>
                <c:pt idx="36">
                  <c:v>3.913315922014644E-3</c:v>
                </c:pt>
                <c:pt idx="37">
                  <c:v>8.3664139044275498E-3</c:v>
                </c:pt>
                <c:pt idx="38">
                  <c:v>4.0344787901571448E-3</c:v>
                </c:pt>
                <c:pt idx="39">
                  <c:v>1.1157629002435687E-4</c:v>
                </c:pt>
                <c:pt idx="40">
                  <c:v>1.545431909480309E-2</c:v>
                </c:pt>
                <c:pt idx="41">
                  <c:v>5.9212942244856468E-3</c:v>
                </c:pt>
                <c:pt idx="42">
                  <c:v>1.2202412024090909E-2</c:v>
                </c:pt>
                <c:pt idx="43">
                  <c:v>4.7213705194169729E-3</c:v>
                </c:pt>
                <c:pt idx="44">
                  <c:v>1.2895386901479797E-2</c:v>
                </c:pt>
                <c:pt idx="45">
                  <c:v>7.0687491326788011E-3</c:v>
                </c:pt>
                <c:pt idx="46">
                  <c:v>1.3289660515431671E-2</c:v>
                </c:pt>
                <c:pt idx="47">
                  <c:v>7.338945875962774E-3</c:v>
                </c:pt>
                <c:pt idx="48">
                  <c:v>6.1506710631682128E-3</c:v>
                </c:pt>
                <c:pt idx="49">
                  <c:v>1.0004604815673905E-2</c:v>
                </c:pt>
                <c:pt idx="50">
                  <c:v>9.6929905958420704E-3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70-4C13-9011-B9BFC3604A79}"/>
            </c:ext>
          </c:extLst>
        </c:ser>
        <c:ser>
          <c:idx val="1"/>
          <c:order val="2"/>
          <c:tx>
            <c:strRef>
              <c:f>ABC比較!$J$1</c:f>
              <c:strCache>
                <c:ptCount val="1"/>
                <c:pt idx="0">
                  <c:v>WZW-C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ABC比較!$J$2:$J$52</c:f>
              <c:numCache>
                <c:formatCode>General</c:formatCode>
                <c:ptCount val="51"/>
                <c:pt idx="0">
                  <c:v>0</c:v>
                </c:pt>
                <c:pt idx="1">
                  <c:v>1.1157629002435687E-4</c:v>
                </c:pt>
                <c:pt idx="2">
                  <c:v>8.0012617355331214E-3</c:v>
                </c:pt>
                <c:pt idx="3">
                  <c:v>2.8235699202803295E-3</c:v>
                </c:pt>
                <c:pt idx="4">
                  <c:v>1.5202702866795716E-3</c:v>
                </c:pt>
                <c:pt idx="5">
                  <c:v>2.5009310398078077E-3</c:v>
                </c:pt>
                <c:pt idx="6">
                  <c:v>2.7160109881230739E-3</c:v>
                </c:pt>
                <c:pt idx="7">
                  <c:v>1.3838821627355113E-4</c:v>
                </c:pt>
                <c:pt idx="8">
                  <c:v>3.6172073625052484E-3</c:v>
                </c:pt>
                <c:pt idx="9">
                  <c:v>6.5285926211061445E-3</c:v>
                </c:pt>
                <c:pt idx="10">
                  <c:v>9.1627769124335125E-4</c:v>
                </c:pt>
                <c:pt idx="11">
                  <c:v>3.3346474448155304E-3</c:v>
                </c:pt>
                <c:pt idx="12">
                  <c:v>6.5015930896523463E-3</c:v>
                </c:pt>
                <c:pt idx="13">
                  <c:v>1.1157629002435687E-4</c:v>
                </c:pt>
                <c:pt idx="14">
                  <c:v>1.1102860589489037E-2</c:v>
                </c:pt>
                <c:pt idx="15">
                  <c:v>1.788839801662562E-3</c:v>
                </c:pt>
                <c:pt idx="16">
                  <c:v>3.563379711510912E-3</c:v>
                </c:pt>
                <c:pt idx="17">
                  <c:v>2.4202890928143243E-3</c:v>
                </c:pt>
                <c:pt idx="18">
                  <c:v>5.0089709886454982E-2</c:v>
                </c:pt>
                <c:pt idx="19">
                  <c:v>1.1157629002435687E-4</c:v>
                </c:pt>
                <c:pt idx="20">
                  <c:v>1.060102745094242E-2</c:v>
                </c:pt>
                <c:pt idx="21">
                  <c:v>4.8701513992831312E-4</c:v>
                </c:pt>
                <c:pt idx="22">
                  <c:v>4.4250012874127598E-3</c:v>
                </c:pt>
                <c:pt idx="23">
                  <c:v>4.8701513992831312E-4</c:v>
                </c:pt>
                <c:pt idx="24">
                  <c:v>1.6679737447016605E-3</c:v>
                </c:pt>
                <c:pt idx="25">
                  <c:v>1.1157629002435687E-4</c:v>
                </c:pt>
                <c:pt idx="26">
                  <c:v>6.6636021271248977E-3</c:v>
                </c:pt>
                <c:pt idx="27">
                  <c:v>1.5605506782083703E-3</c:v>
                </c:pt>
                <c:pt idx="28">
                  <c:v>2.6487930735975781E-3</c:v>
                </c:pt>
                <c:pt idx="29">
                  <c:v>7.9552715959265309E-4</c:v>
                </c:pt>
                <c:pt idx="30">
                  <c:v>1.8291320419411251E-3</c:v>
                </c:pt>
                <c:pt idx="31">
                  <c:v>1.1157629002435687E-4</c:v>
                </c:pt>
                <c:pt idx="32">
                  <c:v>5.0043575845356986E-3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70-4C13-9011-B9BFC360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869656"/>
        <c:axId val="513873184"/>
      </c:lineChart>
      <c:catAx>
        <c:axId val="51386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距離土壤表層深度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81307455680616958"/>
              <c:y val="0.83204196073311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3184"/>
        <c:crosses val="autoZero"/>
        <c:auto val="1"/>
        <c:lblAlgn val="ctr"/>
        <c:lblOffset val="100"/>
        <c:noMultiLvlLbl val="0"/>
      </c:catAx>
      <c:valAx>
        <c:axId val="5138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69656"/>
        <c:crosses val="autoZero"/>
        <c:crossBetween val="between"/>
      </c:val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TIC(%)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ABC比較!$E$1</c:f>
              <c:strCache>
                <c:ptCount val="1"/>
                <c:pt idx="0">
                  <c:v>WZW-A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ABC比較!$E$2:$E$52</c:f>
              <c:numCache>
                <c:formatCode>General</c:formatCode>
                <c:ptCount val="51"/>
                <c:pt idx="0">
                  <c:v>0</c:v>
                </c:pt>
                <c:pt idx="1">
                  <c:v>2.8101162492884017E-2</c:v>
                </c:pt>
                <c:pt idx="2">
                  <c:v>4.680520368353544E-2</c:v>
                </c:pt>
                <c:pt idx="3">
                  <c:v>2.3272529770383434E-2</c:v>
                </c:pt>
                <c:pt idx="4">
                  <c:v>2.6201287447446063E-2</c:v>
                </c:pt>
                <c:pt idx="5">
                  <c:v>5.0288128265681332E-2</c:v>
                </c:pt>
                <c:pt idx="6">
                  <c:v>3.266813246024499E-2</c:v>
                </c:pt>
                <c:pt idx="7">
                  <c:v>2.9726264854710884E-2</c:v>
                </c:pt>
                <c:pt idx="8">
                  <c:v>2.3263654844769194E-2</c:v>
                </c:pt>
                <c:pt idx="9">
                  <c:v>2.7503133218252596E-2</c:v>
                </c:pt>
                <c:pt idx="10">
                  <c:v>2.6604210623617373E-2</c:v>
                </c:pt>
                <c:pt idx="11">
                  <c:v>1.6930040494463824E-2</c:v>
                </c:pt>
                <c:pt idx="12">
                  <c:v>1.7831502202012333E-2</c:v>
                </c:pt>
                <c:pt idx="13">
                  <c:v>1.9598997399161922E-2</c:v>
                </c:pt>
                <c:pt idx="14">
                  <c:v>2.1033908624323947E-2</c:v>
                </c:pt>
                <c:pt idx="15">
                  <c:v>2.7503223924870941E-2</c:v>
                </c:pt>
                <c:pt idx="16">
                  <c:v>2.0488024615690176E-2</c:v>
                </c:pt>
                <c:pt idx="17">
                  <c:v>3.8871240026943511E-2</c:v>
                </c:pt>
                <c:pt idx="18">
                  <c:v>1.6886794076029599E-2</c:v>
                </c:pt>
                <c:pt idx="19">
                  <c:v>1.43246026653003E-2</c:v>
                </c:pt>
                <c:pt idx="20">
                  <c:v>1.9499031688686948E-2</c:v>
                </c:pt>
                <c:pt idx="21">
                  <c:v>1.8992985145979951E-2</c:v>
                </c:pt>
                <c:pt idx="22">
                  <c:v>1.7121091976229959E-2</c:v>
                </c:pt>
                <c:pt idx="23">
                  <c:v>3.0698201827933161E-2</c:v>
                </c:pt>
                <c:pt idx="24">
                  <c:v>2.1686161910397832E-2</c:v>
                </c:pt>
                <c:pt idx="25">
                  <c:v>2.4805123419054054E-2</c:v>
                </c:pt>
                <c:pt idx="26">
                  <c:v>1.96931541981809E-2</c:v>
                </c:pt>
                <c:pt idx="27">
                  <c:v>1.7606002816261585E-2</c:v>
                </c:pt>
                <c:pt idx="28">
                  <c:v>2.41673130289199E-2</c:v>
                </c:pt>
                <c:pt idx="29">
                  <c:v>3.1336591835368563E-2</c:v>
                </c:pt>
                <c:pt idx="30">
                  <c:v>2.4015944943473162E-2</c:v>
                </c:pt>
                <c:pt idx="31">
                  <c:v>2.649456479469682E-2</c:v>
                </c:pt>
                <c:pt idx="32">
                  <c:v>2.9846835780256795E-2</c:v>
                </c:pt>
                <c:pt idx="33">
                  <c:v>3.6064915370940788E-2</c:v>
                </c:pt>
                <c:pt idx="34">
                  <c:v>3.2977231315087119E-2</c:v>
                </c:pt>
                <c:pt idx="35">
                  <c:v>2.2104977586617818E-2</c:v>
                </c:pt>
                <c:pt idx="36">
                  <c:v>4.280342146854537E-2</c:v>
                </c:pt>
                <c:pt idx="37">
                  <c:v>3.764991935484506E-2</c:v>
                </c:pt>
                <c:pt idx="38">
                  <c:v>2.6092581408820391E-2</c:v>
                </c:pt>
                <c:pt idx="39">
                  <c:v>4.2974664388946836E-2</c:v>
                </c:pt>
                <c:pt idx="40">
                  <c:v>4.262193005949106E-2</c:v>
                </c:pt>
                <c:pt idx="41">
                  <c:v>3.4953483771764535E-2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2-453A-AAFE-4472985890BD}"/>
            </c:ext>
          </c:extLst>
        </c:ser>
        <c:ser>
          <c:idx val="1"/>
          <c:order val="1"/>
          <c:tx>
            <c:strRef>
              <c:f>ABC比較!$F$1</c:f>
              <c:strCache>
                <c:ptCount val="1"/>
                <c:pt idx="0">
                  <c:v>WZW-B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ABC比較!$F$2:$F$52</c:f>
              <c:numCache>
                <c:formatCode>General</c:formatCode>
                <c:ptCount val="51"/>
                <c:pt idx="0">
                  <c:v>0</c:v>
                </c:pt>
                <c:pt idx="1">
                  <c:v>2.1131549673572645E-2</c:v>
                </c:pt>
                <c:pt idx="2">
                  <c:v>1.8945049671989549E-2</c:v>
                </c:pt>
                <c:pt idx="3">
                  <c:v>1.988283310600665E-2</c:v>
                </c:pt>
                <c:pt idx="4">
                  <c:v>2.6931815527291431E-2</c:v>
                </c:pt>
                <c:pt idx="5">
                  <c:v>2.6284645365575808E-2</c:v>
                </c:pt>
                <c:pt idx="6">
                  <c:v>2.8177960946913112E-2</c:v>
                </c:pt>
                <c:pt idx="7">
                  <c:v>1.8833073283866422E-2</c:v>
                </c:pt>
                <c:pt idx="8">
                  <c:v>2.7799081617284498E-2</c:v>
                </c:pt>
                <c:pt idx="9">
                  <c:v>2.3723670148376921E-2</c:v>
                </c:pt>
                <c:pt idx="10">
                  <c:v>2.4913014599260763E-2</c:v>
                </c:pt>
                <c:pt idx="11">
                  <c:v>2.5221217271222493E-2</c:v>
                </c:pt>
                <c:pt idx="12">
                  <c:v>2.2804340230339226E-2</c:v>
                </c:pt>
                <c:pt idx="13">
                  <c:v>2.4205723621493036E-2</c:v>
                </c:pt>
                <c:pt idx="14">
                  <c:v>2.6285971721049749E-2</c:v>
                </c:pt>
                <c:pt idx="15">
                  <c:v>2.5332465473574317E-2</c:v>
                </c:pt>
                <c:pt idx="16">
                  <c:v>1.9442256059733379E-2</c:v>
                </c:pt>
                <c:pt idx="17">
                  <c:v>2.5677912414098922E-2</c:v>
                </c:pt>
                <c:pt idx="18">
                  <c:v>2.0639171432202921E-2</c:v>
                </c:pt>
                <c:pt idx="19">
                  <c:v>1.965373025494092E-2</c:v>
                </c:pt>
                <c:pt idx="20">
                  <c:v>1.8926890681377609E-2</c:v>
                </c:pt>
                <c:pt idx="21">
                  <c:v>1.7028342598116447E-2</c:v>
                </c:pt>
                <c:pt idx="22">
                  <c:v>2.3603235639000984E-2</c:v>
                </c:pt>
                <c:pt idx="23">
                  <c:v>1.918787399804564E-2</c:v>
                </c:pt>
                <c:pt idx="24">
                  <c:v>1.5436956496757963E-2</c:v>
                </c:pt>
                <c:pt idx="25">
                  <c:v>1.7470472368198271E-2</c:v>
                </c:pt>
                <c:pt idx="26">
                  <c:v>1.9316128789522682E-2</c:v>
                </c:pt>
                <c:pt idx="27">
                  <c:v>1.7767501148843779E-2</c:v>
                </c:pt>
                <c:pt idx="28">
                  <c:v>2.7199663584137609E-2</c:v>
                </c:pt>
                <c:pt idx="29">
                  <c:v>1.9427279528371613E-2</c:v>
                </c:pt>
                <c:pt idx="30">
                  <c:v>1.8782734096844726E-2</c:v>
                </c:pt>
                <c:pt idx="31">
                  <c:v>2.1588598385367804E-2</c:v>
                </c:pt>
                <c:pt idx="32">
                  <c:v>2.3490167730280932E-2</c:v>
                </c:pt>
                <c:pt idx="33">
                  <c:v>1.6321652815665635E-2</c:v>
                </c:pt>
                <c:pt idx="34">
                  <c:v>2.0352950261828002E-2</c:v>
                </c:pt>
                <c:pt idx="35">
                  <c:v>1.7720176854768132E-2</c:v>
                </c:pt>
                <c:pt idx="36">
                  <c:v>2.5048256685355937E-2</c:v>
                </c:pt>
                <c:pt idx="37">
                  <c:v>1.8083966196276429E-2</c:v>
                </c:pt>
                <c:pt idx="38">
                  <c:v>2.3160201045040432E-2</c:v>
                </c:pt>
                <c:pt idx="39">
                  <c:v>2.3387550572249758E-2</c:v>
                </c:pt>
                <c:pt idx="40">
                  <c:v>2.0689045292357135E-2</c:v>
                </c:pt>
                <c:pt idx="41">
                  <c:v>1.9178252561699763E-2</c:v>
                </c:pt>
                <c:pt idx="42">
                  <c:v>2.2872242129614046E-2</c:v>
                </c:pt>
                <c:pt idx="43">
                  <c:v>2.7536542917246911E-2</c:v>
                </c:pt>
                <c:pt idx="44">
                  <c:v>2.3977804454584185E-2</c:v>
                </c:pt>
                <c:pt idx="45">
                  <c:v>2.6690860347644757E-2</c:v>
                </c:pt>
                <c:pt idx="46">
                  <c:v>2.4064400804327177E-2</c:v>
                </c:pt>
                <c:pt idx="47">
                  <c:v>4.285791776701306E-2</c:v>
                </c:pt>
                <c:pt idx="48">
                  <c:v>4.107031423131749E-2</c:v>
                </c:pt>
                <c:pt idx="49">
                  <c:v>2.4469878201119205E-2</c:v>
                </c:pt>
                <c:pt idx="50">
                  <c:v>2.3089580050386093E-2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2-453A-AAFE-4472985890BD}"/>
            </c:ext>
          </c:extLst>
        </c:ser>
        <c:ser>
          <c:idx val="2"/>
          <c:order val="2"/>
          <c:tx>
            <c:strRef>
              <c:f>ABC比較!$G$1</c:f>
              <c:strCache>
                <c:ptCount val="1"/>
                <c:pt idx="0">
                  <c:v>WZW-C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ABC比較!$G$2:$G$52</c:f>
              <c:numCache>
                <c:formatCode>General</c:formatCode>
                <c:ptCount val="51"/>
                <c:pt idx="0">
                  <c:v>0</c:v>
                </c:pt>
                <c:pt idx="1">
                  <c:v>7.8990082858534594E-2</c:v>
                </c:pt>
                <c:pt idx="2">
                  <c:v>0.1061008771358966</c:v>
                </c:pt>
                <c:pt idx="3">
                  <c:v>7.08813478819669E-2</c:v>
                </c:pt>
                <c:pt idx="4">
                  <c:v>9.0064435246804769E-2</c:v>
                </c:pt>
                <c:pt idx="5">
                  <c:v>9.6707181359776934E-2</c:v>
                </c:pt>
                <c:pt idx="6">
                  <c:v>4.7130577235962742E-2</c:v>
                </c:pt>
                <c:pt idx="7">
                  <c:v>6.3974714433659693E-2</c:v>
                </c:pt>
                <c:pt idx="8">
                  <c:v>6.098524285714086E-2</c:v>
                </c:pt>
                <c:pt idx="9">
                  <c:v>8.143697532600451E-2</c:v>
                </c:pt>
                <c:pt idx="10">
                  <c:v>8.4651940371050741E-2</c:v>
                </c:pt>
                <c:pt idx="11">
                  <c:v>6.6261978833203672E-2</c:v>
                </c:pt>
                <c:pt idx="12">
                  <c:v>0.13709630019882527</c:v>
                </c:pt>
                <c:pt idx="13">
                  <c:v>0.10244973204440645</c:v>
                </c:pt>
                <c:pt idx="14">
                  <c:v>0.1046119045190728</c:v>
                </c:pt>
                <c:pt idx="15">
                  <c:v>0.12073448678218804</c:v>
                </c:pt>
                <c:pt idx="16">
                  <c:v>8.6603651949406793E-2</c:v>
                </c:pt>
                <c:pt idx="17">
                  <c:v>8.0105959400187512E-2</c:v>
                </c:pt>
                <c:pt idx="18">
                  <c:v>8.1697892730780236E-2</c:v>
                </c:pt>
                <c:pt idx="19">
                  <c:v>0.13090368384143439</c:v>
                </c:pt>
                <c:pt idx="20">
                  <c:v>0.11998449233122811</c:v>
                </c:pt>
                <c:pt idx="21">
                  <c:v>6.422956563235277E-2</c:v>
                </c:pt>
                <c:pt idx="22">
                  <c:v>7.8975791653859914E-2</c:v>
                </c:pt>
                <c:pt idx="23">
                  <c:v>0.113877575261497</c:v>
                </c:pt>
                <c:pt idx="24">
                  <c:v>6.9380297151164713E-2</c:v>
                </c:pt>
                <c:pt idx="25">
                  <c:v>7.8786447545441243E-2</c:v>
                </c:pt>
                <c:pt idx="26">
                  <c:v>8.3372502436311877E-2</c:v>
                </c:pt>
                <c:pt idx="27">
                  <c:v>9.8012934407436053E-2</c:v>
                </c:pt>
                <c:pt idx="28">
                  <c:v>0.11613678714513202</c:v>
                </c:pt>
                <c:pt idx="29">
                  <c:v>9.9629619522335913E-2</c:v>
                </c:pt>
                <c:pt idx="30">
                  <c:v>8.4474647649100995E-2</c:v>
                </c:pt>
                <c:pt idx="31">
                  <c:v>0.13480848927959491</c:v>
                </c:pt>
                <c:pt idx="32">
                  <c:v>0.19920345012005641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2-453A-AAFE-447298589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72400"/>
        <c:axId val="513872008"/>
      </c:lineChart>
      <c:catAx>
        <c:axId val="5138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距離土壤表層深度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78681726325315915"/>
              <c:y val="0.79660875274281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2008"/>
        <c:crosses val="autoZero"/>
        <c:auto val="1"/>
        <c:lblAlgn val="ctr"/>
        <c:lblOffset val="100"/>
        <c:noMultiLvlLbl val="0"/>
      </c:catAx>
      <c:valAx>
        <c:axId val="51387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2170874046792242E-2"/>
          <c:y val="0.19312215422202578"/>
          <c:w val="0.88253169946203691"/>
          <c:h val="0.705091293634947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'WZW-A'!$B$2:$B$42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'WZW-A'!$H$2:$H$42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A-42EA-96B9-BD097160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32192"/>
        <c:axId val="439333760"/>
      </c:scatterChart>
      <c:valAx>
        <c:axId val="43933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33760"/>
        <c:crosses val="autoZero"/>
        <c:crossBetween val="midCat"/>
      </c:valAx>
      <c:valAx>
        <c:axId val="4393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3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TOC(%)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ABC比較!$B$1</c:f>
              <c:strCache>
                <c:ptCount val="1"/>
                <c:pt idx="0">
                  <c:v>WZW-A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ABC比較!$B$2:$B$52</c:f>
              <c:numCache>
                <c:formatCode>General</c:formatCode>
                <c:ptCount val="51"/>
                <c:pt idx="0">
                  <c:v>0</c:v>
                </c:pt>
                <c:pt idx="1">
                  <c:v>1.5125279669955201</c:v>
                </c:pt>
                <c:pt idx="2">
                  <c:v>1.3693243213399049</c:v>
                </c:pt>
                <c:pt idx="3">
                  <c:v>1.6732334225563241</c:v>
                </c:pt>
                <c:pt idx="4">
                  <c:v>1.064285808079507</c:v>
                </c:pt>
                <c:pt idx="5">
                  <c:v>1.4708453880554961</c:v>
                </c:pt>
                <c:pt idx="6">
                  <c:v>1.6236737657271532</c:v>
                </c:pt>
                <c:pt idx="7">
                  <c:v>1.6421426162384187</c:v>
                </c:pt>
                <c:pt idx="8">
                  <c:v>1.746545491950716</c:v>
                </c:pt>
                <c:pt idx="9">
                  <c:v>1.5892130404429832</c:v>
                </c:pt>
                <c:pt idx="10">
                  <c:v>1.4800270161355642</c:v>
                </c:pt>
                <c:pt idx="11">
                  <c:v>0.89144831753897646</c:v>
                </c:pt>
                <c:pt idx="12">
                  <c:v>1.0354398232019366</c:v>
                </c:pt>
                <c:pt idx="13">
                  <c:v>0.87298835806674047</c:v>
                </c:pt>
                <c:pt idx="14">
                  <c:v>0.84869178831695735</c:v>
                </c:pt>
                <c:pt idx="15">
                  <c:v>0.96657902261704232</c:v>
                </c:pt>
                <c:pt idx="16">
                  <c:v>1.0566571569414644</c:v>
                </c:pt>
                <c:pt idx="17">
                  <c:v>0.67503512046649661</c:v>
                </c:pt>
                <c:pt idx="18">
                  <c:v>0.72756440555837854</c:v>
                </c:pt>
                <c:pt idx="19">
                  <c:v>0.57811392625864688</c:v>
                </c:pt>
                <c:pt idx="20">
                  <c:v>0.78739058643683135</c:v>
                </c:pt>
                <c:pt idx="21">
                  <c:v>0.85462751373784751</c:v>
                </c:pt>
                <c:pt idx="22">
                  <c:v>0.79323774765598432</c:v>
                </c:pt>
                <c:pt idx="23">
                  <c:v>0.93284309507250551</c:v>
                </c:pt>
                <c:pt idx="24">
                  <c:v>0.94372777092037563</c:v>
                </c:pt>
                <c:pt idx="25">
                  <c:v>0.76440922034025038</c:v>
                </c:pt>
                <c:pt idx="26">
                  <c:v>0.91847764242283891</c:v>
                </c:pt>
                <c:pt idx="27">
                  <c:v>0.94230351126492784</c:v>
                </c:pt>
                <c:pt idx="28">
                  <c:v>1.0249051526299722</c:v>
                </c:pt>
                <c:pt idx="29">
                  <c:v>0.75543518097118667</c:v>
                </c:pt>
                <c:pt idx="30">
                  <c:v>1.0430667222994408</c:v>
                </c:pt>
                <c:pt idx="31">
                  <c:v>1.0260092434820767</c:v>
                </c:pt>
                <c:pt idx="32">
                  <c:v>1.2057430310973327</c:v>
                </c:pt>
                <c:pt idx="33">
                  <c:v>1.4678087693642647</c:v>
                </c:pt>
                <c:pt idx="34">
                  <c:v>1.2618427645388397</c:v>
                </c:pt>
                <c:pt idx="35">
                  <c:v>1.1579221803820363</c:v>
                </c:pt>
                <c:pt idx="36">
                  <c:v>1.1253850519094093</c:v>
                </c:pt>
                <c:pt idx="37">
                  <c:v>1.1912297718903577</c:v>
                </c:pt>
                <c:pt idx="38">
                  <c:v>0.96571109867782079</c:v>
                </c:pt>
                <c:pt idx="39">
                  <c:v>1.7303142564182297</c:v>
                </c:pt>
                <c:pt idx="40">
                  <c:v>1.3431598332739449</c:v>
                </c:pt>
                <c:pt idx="41">
                  <c:v>0.76560905272667046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1-4143-BE15-5AF335076CFF}"/>
            </c:ext>
          </c:extLst>
        </c:ser>
        <c:ser>
          <c:idx val="1"/>
          <c:order val="1"/>
          <c:tx>
            <c:strRef>
              <c:f>ABC比較!$C$1</c:f>
              <c:strCache>
                <c:ptCount val="1"/>
                <c:pt idx="0">
                  <c:v>WZW-B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ABC比較!$C$2:$C$52</c:f>
              <c:numCache>
                <c:formatCode>General</c:formatCode>
                <c:ptCount val="51"/>
                <c:pt idx="0">
                  <c:v>0</c:v>
                </c:pt>
                <c:pt idx="1">
                  <c:v>1.0860792686632355</c:v>
                </c:pt>
                <c:pt idx="2">
                  <c:v>0.98003988382976626</c:v>
                </c:pt>
                <c:pt idx="3">
                  <c:v>0.94906537480229503</c:v>
                </c:pt>
                <c:pt idx="4">
                  <c:v>1.0994953289711742</c:v>
                </c:pt>
                <c:pt idx="5">
                  <c:v>1.4353223000616828</c:v>
                </c:pt>
                <c:pt idx="6">
                  <c:v>1.3215918406786122</c:v>
                </c:pt>
                <c:pt idx="7">
                  <c:v>0.92268430708466009</c:v>
                </c:pt>
                <c:pt idx="8">
                  <c:v>1.3708866900338299</c:v>
                </c:pt>
                <c:pt idx="9">
                  <c:v>1.1066834624254984</c:v>
                </c:pt>
                <c:pt idx="10">
                  <c:v>1.3140046940399184</c:v>
                </c:pt>
                <c:pt idx="11">
                  <c:v>1.3284236896486172</c:v>
                </c:pt>
                <c:pt idx="12">
                  <c:v>1.0814334815936875</c:v>
                </c:pt>
                <c:pt idx="13">
                  <c:v>1.477849526279603</c:v>
                </c:pt>
                <c:pt idx="14">
                  <c:v>1.4940402817641065</c:v>
                </c:pt>
                <c:pt idx="15">
                  <c:v>1.5606744095791629</c:v>
                </c:pt>
                <c:pt idx="16">
                  <c:v>1.1405907604980616</c:v>
                </c:pt>
                <c:pt idx="17">
                  <c:v>1.0729808957698752</c:v>
                </c:pt>
                <c:pt idx="18">
                  <c:v>1.1091225679364896</c:v>
                </c:pt>
                <c:pt idx="19">
                  <c:v>0.89262278930145667</c:v>
                </c:pt>
                <c:pt idx="20">
                  <c:v>0.7759249177350781</c:v>
                </c:pt>
                <c:pt idx="21">
                  <c:v>0.65936893281071618</c:v>
                </c:pt>
                <c:pt idx="22">
                  <c:v>0.84273991769730472</c:v>
                </c:pt>
                <c:pt idx="23">
                  <c:v>0.69126932653592876</c:v>
                </c:pt>
                <c:pt idx="24">
                  <c:v>0.52776924889029697</c:v>
                </c:pt>
                <c:pt idx="25">
                  <c:v>0.64081134630793068</c:v>
                </c:pt>
                <c:pt idx="26">
                  <c:v>0.63012405294057428</c:v>
                </c:pt>
                <c:pt idx="27">
                  <c:v>0.72745768094285068</c:v>
                </c:pt>
                <c:pt idx="28">
                  <c:v>0.95346629758394053</c:v>
                </c:pt>
                <c:pt idx="29">
                  <c:v>0.84843194273535072</c:v>
                </c:pt>
                <c:pt idx="30">
                  <c:v>0.49924960117490125</c:v>
                </c:pt>
                <c:pt idx="31">
                  <c:v>0.46815367351334186</c:v>
                </c:pt>
                <c:pt idx="32">
                  <c:v>0.37604473910235986</c:v>
                </c:pt>
                <c:pt idx="33">
                  <c:v>0.47402003938811982</c:v>
                </c:pt>
                <c:pt idx="34">
                  <c:v>0.41149512146938222</c:v>
                </c:pt>
                <c:pt idx="35">
                  <c:v>0.55593582275780673</c:v>
                </c:pt>
                <c:pt idx="36">
                  <c:v>0.54307296549249418</c:v>
                </c:pt>
                <c:pt idx="37">
                  <c:v>0.59590072973705677</c:v>
                </c:pt>
                <c:pt idx="38">
                  <c:v>0.54595315483844853</c:v>
                </c:pt>
                <c:pt idx="39">
                  <c:v>0.63197239198800248</c:v>
                </c:pt>
                <c:pt idx="40">
                  <c:v>0.55677164840580229</c:v>
                </c:pt>
                <c:pt idx="41">
                  <c:v>0.57696484616157884</c:v>
                </c:pt>
                <c:pt idx="42">
                  <c:v>0.59650338151399951</c:v>
                </c:pt>
                <c:pt idx="43">
                  <c:v>0.64342811533885858</c:v>
                </c:pt>
                <c:pt idx="44">
                  <c:v>0.71205979940398278</c:v>
                </c:pt>
                <c:pt idx="45">
                  <c:v>0.69039945132886527</c:v>
                </c:pt>
                <c:pt idx="46">
                  <c:v>0.75731533585659994</c:v>
                </c:pt>
                <c:pt idx="47">
                  <c:v>0.7746393195973883</c:v>
                </c:pt>
                <c:pt idx="48">
                  <c:v>0.70805449484220262</c:v>
                </c:pt>
                <c:pt idx="49">
                  <c:v>0.8268530469298484</c:v>
                </c:pt>
                <c:pt idx="50">
                  <c:v>0.74765850921174404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1-4143-BE15-5AF335076CFF}"/>
            </c:ext>
          </c:extLst>
        </c:ser>
        <c:ser>
          <c:idx val="2"/>
          <c:order val="2"/>
          <c:tx>
            <c:strRef>
              <c:f>ABC比較!$D$1</c:f>
              <c:strCache>
                <c:ptCount val="1"/>
                <c:pt idx="0">
                  <c:v>WZW-C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ABC比較!$D$2:$D$52</c:f>
              <c:numCache>
                <c:formatCode>General</c:formatCode>
                <c:ptCount val="51"/>
                <c:pt idx="0">
                  <c:v>0</c:v>
                </c:pt>
                <c:pt idx="1">
                  <c:v>0.36714547622407395</c:v>
                </c:pt>
                <c:pt idx="2">
                  <c:v>0.37365266844364137</c:v>
                </c:pt>
                <c:pt idx="3">
                  <c:v>0.40181288310331736</c:v>
                </c:pt>
                <c:pt idx="4">
                  <c:v>0.34817686848715157</c:v>
                </c:pt>
                <c:pt idx="5">
                  <c:v>0.33667960265214353</c:v>
                </c:pt>
                <c:pt idx="6">
                  <c:v>0.34604130651353887</c:v>
                </c:pt>
                <c:pt idx="7">
                  <c:v>0.3222917099301561</c:v>
                </c:pt>
                <c:pt idx="8">
                  <c:v>0.33430365515119242</c:v>
                </c:pt>
                <c:pt idx="9">
                  <c:v>0.34820762723312865</c:v>
                </c:pt>
                <c:pt idx="10">
                  <c:v>0.3333319874598703</c:v>
                </c:pt>
                <c:pt idx="11">
                  <c:v>0.36761191842298357</c:v>
                </c:pt>
                <c:pt idx="12">
                  <c:v>0.35350239194460908</c:v>
                </c:pt>
                <c:pt idx="13">
                  <c:v>0.36880945419946454</c:v>
                </c:pt>
                <c:pt idx="14">
                  <c:v>0.36554003041992084</c:v>
                </c:pt>
                <c:pt idx="15">
                  <c:v>0.32026905224591645</c:v>
                </c:pt>
                <c:pt idx="16">
                  <c:v>0.34284771290059324</c:v>
                </c:pt>
                <c:pt idx="17">
                  <c:v>0.31006671567060279</c:v>
                </c:pt>
                <c:pt idx="18">
                  <c:v>0.29279482270425161</c:v>
                </c:pt>
                <c:pt idx="19">
                  <c:v>0.26780079902896026</c:v>
                </c:pt>
                <c:pt idx="20">
                  <c:v>0.28111140987981842</c:v>
                </c:pt>
                <c:pt idx="21">
                  <c:v>0.32347442467167409</c:v>
                </c:pt>
                <c:pt idx="22">
                  <c:v>0.3505236163164871</c:v>
                </c:pt>
                <c:pt idx="23">
                  <c:v>0.34987393440494591</c:v>
                </c:pt>
                <c:pt idx="24">
                  <c:v>0.32088832987303911</c:v>
                </c:pt>
                <c:pt idx="25">
                  <c:v>0.35528919313989205</c:v>
                </c:pt>
                <c:pt idx="26">
                  <c:v>0.3422975794677891</c:v>
                </c:pt>
                <c:pt idx="27">
                  <c:v>0.30234775068166042</c:v>
                </c:pt>
                <c:pt idx="28">
                  <c:v>0.33124266987679485</c:v>
                </c:pt>
                <c:pt idx="29">
                  <c:v>0.29500384224203913</c:v>
                </c:pt>
                <c:pt idx="30">
                  <c:v>0.34687265072705792</c:v>
                </c:pt>
                <c:pt idx="31">
                  <c:v>0.29756353162657795</c:v>
                </c:pt>
                <c:pt idx="32">
                  <c:v>0.28336196560107918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1-4143-BE15-5AF335076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68872"/>
        <c:axId val="513869264"/>
      </c:lineChart>
      <c:catAx>
        <c:axId val="513868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距離土壤表層深度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79214856020720203"/>
              <c:y val="0.8031819403998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69264"/>
        <c:crosses val="autoZero"/>
        <c:auto val="1"/>
        <c:lblAlgn val="ctr"/>
        <c:lblOffset val="100"/>
        <c:noMultiLvlLbl val="0"/>
      </c:catAx>
      <c:valAx>
        <c:axId val="5138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6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TOC(%)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ABC比較!$B$1</c:f>
              <c:strCache>
                <c:ptCount val="1"/>
                <c:pt idx="0">
                  <c:v>WZW-A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ABC比較!$B$2:$B$52</c:f>
              <c:numCache>
                <c:formatCode>General</c:formatCode>
                <c:ptCount val="51"/>
                <c:pt idx="0">
                  <c:v>0</c:v>
                </c:pt>
                <c:pt idx="1">
                  <c:v>1.5125279669955201</c:v>
                </c:pt>
                <c:pt idx="2">
                  <c:v>1.3693243213399049</c:v>
                </c:pt>
                <c:pt idx="3">
                  <c:v>1.6732334225563241</c:v>
                </c:pt>
                <c:pt idx="4">
                  <c:v>1.064285808079507</c:v>
                </c:pt>
                <c:pt idx="5">
                  <c:v>1.4708453880554961</c:v>
                </c:pt>
                <c:pt idx="6">
                  <c:v>1.6236737657271532</c:v>
                </c:pt>
                <c:pt idx="7">
                  <c:v>1.6421426162384187</c:v>
                </c:pt>
                <c:pt idx="8">
                  <c:v>1.746545491950716</c:v>
                </c:pt>
                <c:pt idx="9">
                  <c:v>1.5892130404429832</c:v>
                </c:pt>
                <c:pt idx="10">
                  <c:v>1.4800270161355642</c:v>
                </c:pt>
                <c:pt idx="11">
                  <c:v>0.89144831753897646</c:v>
                </c:pt>
                <c:pt idx="12">
                  <c:v>1.0354398232019366</c:v>
                </c:pt>
                <c:pt idx="13">
                  <c:v>0.87298835806674047</c:v>
                </c:pt>
                <c:pt idx="14">
                  <c:v>0.84869178831695735</c:v>
                </c:pt>
                <c:pt idx="15">
                  <c:v>0.96657902261704232</c:v>
                </c:pt>
                <c:pt idx="16">
                  <c:v>1.0566571569414644</c:v>
                </c:pt>
                <c:pt idx="17">
                  <c:v>0.67503512046649661</c:v>
                </c:pt>
                <c:pt idx="18">
                  <c:v>0.72756440555837854</c:v>
                </c:pt>
                <c:pt idx="19">
                  <c:v>0.57811392625864688</c:v>
                </c:pt>
                <c:pt idx="20">
                  <c:v>0.78739058643683135</c:v>
                </c:pt>
                <c:pt idx="21">
                  <c:v>0.85462751373784751</c:v>
                </c:pt>
                <c:pt idx="22">
                  <c:v>0.79323774765598432</c:v>
                </c:pt>
                <c:pt idx="23">
                  <c:v>0.93284309507250551</c:v>
                </c:pt>
                <c:pt idx="24">
                  <c:v>0.94372777092037563</c:v>
                </c:pt>
                <c:pt idx="25">
                  <c:v>0.76440922034025038</c:v>
                </c:pt>
                <c:pt idx="26">
                  <c:v>0.91847764242283891</c:v>
                </c:pt>
                <c:pt idx="27">
                  <c:v>0.94230351126492784</c:v>
                </c:pt>
                <c:pt idx="28">
                  <c:v>1.0249051526299722</c:v>
                </c:pt>
                <c:pt idx="29">
                  <c:v>0.75543518097118667</c:v>
                </c:pt>
                <c:pt idx="30">
                  <c:v>1.0430667222994408</c:v>
                </c:pt>
                <c:pt idx="31">
                  <c:v>1.0260092434820767</c:v>
                </c:pt>
                <c:pt idx="32">
                  <c:v>1.2057430310973327</c:v>
                </c:pt>
                <c:pt idx="33">
                  <c:v>1.4678087693642647</c:v>
                </c:pt>
                <c:pt idx="34">
                  <c:v>1.2618427645388397</c:v>
                </c:pt>
                <c:pt idx="35">
                  <c:v>1.1579221803820363</c:v>
                </c:pt>
                <c:pt idx="36">
                  <c:v>1.1253850519094093</c:v>
                </c:pt>
                <c:pt idx="37">
                  <c:v>1.1912297718903577</c:v>
                </c:pt>
                <c:pt idx="38">
                  <c:v>0.96571109867782079</c:v>
                </c:pt>
                <c:pt idx="39">
                  <c:v>1.7303142564182297</c:v>
                </c:pt>
                <c:pt idx="40">
                  <c:v>1.3431598332739449</c:v>
                </c:pt>
                <c:pt idx="41">
                  <c:v>0.76560905272667046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5-4F6C-AF51-262F37137BC3}"/>
            </c:ext>
          </c:extLst>
        </c:ser>
        <c:ser>
          <c:idx val="1"/>
          <c:order val="1"/>
          <c:tx>
            <c:strRef>
              <c:f>ABC比較!$C$1</c:f>
              <c:strCache>
                <c:ptCount val="1"/>
                <c:pt idx="0">
                  <c:v>WZW-B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ABC比較!$C$2:$C$52</c:f>
              <c:numCache>
                <c:formatCode>General</c:formatCode>
                <c:ptCount val="51"/>
                <c:pt idx="0">
                  <c:v>0</c:v>
                </c:pt>
                <c:pt idx="1">
                  <c:v>1.0860792686632355</c:v>
                </c:pt>
                <c:pt idx="2">
                  <c:v>0.98003988382976626</c:v>
                </c:pt>
                <c:pt idx="3">
                  <c:v>0.94906537480229503</c:v>
                </c:pt>
                <c:pt idx="4">
                  <c:v>1.0994953289711742</c:v>
                </c:pt>
                <c:pt idx="5">
                  <c:v>1.4353223000616828</c:v>
                </c:pt>
                <c:pt idx="6">
                  <c:v>1.3215918406786122</c:v>
                </c:pt>
                <c:pt idx="7">
                  <c:v>0.92268430708466009</c:v>
                </c:pt>
                <c:pt idx="8">
                  <c:v>1.3708866900338299</c:v>
                </c:pt>
                <c:pt idx="9">
                  <c:v>1.1066834624254984</c:v>
                </c:pt>
                <c:pt idx="10">
                  <c:v>1.3140046940399184</c:v>
                </c:pt>
                <c:pt idx="11">
                  <c:v>1.3284236896486172</c:v>
                </c:pt>
                <c:pt idx="12">
                  <c:v>1.0814334815936875</c:v>
                </c:pt>
                <c:pt idx="13">
                  <c:v>1.477849526279603</c:v>
                </c:pt>
                <c:pt idx="14">
                  <c:v>1.4940402817641065</c:v>
                </c:pt>
                <c:pt idx="15">
                  <c:v>1.5606744095791629</c:v>
                </c:pt>
                <c:pt idx="16">
                  <c:v>1.1405907604980616</c:v>
                </c:pt>
                <c:pt idx="17">
                  <c:v>1.0729808957698752</c:v>
                </c:pt>
                <c:pt idx="18">
                  <c:v>1.1091225679364896</c:v>
                </c:pt>
                <c:pt idx="19">
                  <c:v>0.89262278930145667</c:v>
                </c:pt>
                <c:pt idx="20">
                  <c:v>0.7759249177350781</c:v>
                </c:pt>
                <c:pt idx="21">
                  <c:v>0.65936893281071618</c:v>
                </c:pt>
                <c:pt idx="22">
                  <c:v>0.84273991769730472</c:v>
                </c:pt>
                <c:pt idx="23">
                  <c:v>0.69126932653592876</c:v>
                </c:pt>
                <c:pt idx="24">
                  <c:v>0.52776924889029697</c:v>
                </c:pt>
                <c:pt idx="25">
                  <c:v>0.64081134630793068</c:v>
                </c:pt>
                <c:pt idx="26">
                  <c:v>0.63012405294057428</c:v>
                </c:pt>
                <c:pt idx="27">
                  <c:v>0.72745768094285068</c:v>
                </c:pt>
                <c:pt idx="28">
                  <c:v>0.95346629758394053</c:v>
                </c:pt>
                <c:pt idx="29">
                  <c:v>0.84843194273535072</c:v>
                </c:pt>
                <c:pt idx="30">
                  <c:v>0.49924960117490125</c:v>
                </c:pt>
                <c:pt idx="31">
                  <c:v>0.46815367351334186</c:v>
                </c:pt>
                <c:pt idx="32">
                  <c:v>0.37604473910235986</c:v>
                </c:pt>
                <c:pt idx="33">
                  <c:v>0.47402003938811982</c:v>
                </c:pt>
                <c:pt idx="34">
                  <c:v>0.41149512146938222</c:v>
                </c:pt>
                <c:pt idx="35">
                  <c:v>0.55593582275780673</c:v>
                </c:pt>
                <c:pt idx="36">
                  <c:v>0.54307296549249418</c:v>
                </c:pt>
                <c:pt idx="37">
                  <c:v>0.59590072973705677</c:v>
                </c:pt>
                <c:pt idx="38">
                  <c:v>0.54595315483844853</c:v>
                </c:pt>
                <c:pt idx="39">
                  <c:v>0.63197239198800248</c:v>
                </c:pt>
                <c:pt idx="40">
                  <c:v>0.55677164840580229</c:v>
                </c:pt>
                <c:pt idx="41">
                  <c:v>0.57696484616157884</c:v>
                </c:pt>
                <c:pt idx="42">
                  <c:v>0.59650338151399951</c:v>
                </c:pt>
                <c:pt idx="43">
                  <c:v>0.64342811533885858</c:v>
                </c:pt>
                <c:pt idx="44">
                  <c:v>0.71205979940398278</c:v>
                </c:pt>
                <c:pt idx="45">
                  <c:v>0.69039945132886527</c:v>
                </c:pt>
                <c:pt idx="46">
                  <c:v>0.75731533585659994</c:v>
                </c:pt>
                <c:pt idx="47">
                  <c:v>0.7746393195973883</c:v>
                </c:pt>
                <c:pt idx="48">
                  <c:v>0.70805449484220262</c:v>
                </c:pt>
                <c:pt idx="49">
                  <c:v>0.8268530469298484</c:v>
                </c:pt>
                <c:pt idx="50">
                  <c:v>0.74765850921174404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5-4F6C-AF51-262F37137BC3}"/>
            </c:ext>
          </c:extLst>
        </c:ser>
        <c:ser>
          <c:idx val="2"/>
          <c:order val="2"/>
          <c:tx>
            <c:strRef>
              <c:f>ABC比較!$D$1</c:f>
              <c:strCache>
                <c:ptCount val="1"/>
                <c:pt idx="0">
                  <c:v>WZW-C</c:v>
                </c:pt>
              </c:strCache>
            </c:strRef>
          </c:tx>
          <c:spPr>
            <a:ln w="38100" cap="flat" cmpd="sng" algn="ctr">
              <a:solidFill>
                <a:srgbClr val="FFC000"/>
              </a:solidFill>
              <a:miter lim="800000"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ABC比較!$D$2:$D$52</c:f>
              <c:numCache>
                <c:formatCode>General</c:formatCode>
                <c:ptCount val="51"/>
                <c:pt idx="0">
                  <c:v>0</c:v>
                </c:pt>
                <c:pt idx="1">
                  <c:v>0.36714547622407395</c:v>
                </c:pt>
                <c:pt idx="2">
                  <c:v>0.37365266844364137</c:v>
                </c:pt>
                <c:pt idx="3">
                  <c:v>0.40181288310331736</c:v>
                </c:pt>
                <c:pt idx="4">
                  <c:v>0.34817686848715157</c:v>
                </c:pt>
                <c:pt idx="5">
                  <c:v>0.33667960265214353</c:v>
                </c:pt>
                <c:pt idx="6">
                  <c:v>0.34604130651353887</c:v>
                </c:pt>
                <c:pt idx="7">
                  <c:v>0.3222917099301561</c:v>
                </c:pt>
                <c:pt idx="8">
                  <c:v>0.33430365515119242</c:v>
                </c:pt>
                <c:pt idx="9">
                  <c:v>0.34820762723312865</c:v>
                </c:pt>
                <c:pt idx="10">
                  <c:v>0.3333319874598703</c:v>
                </c:pt>
                <c:pt idx="11">
                  <c:v>0.36761191842298357</c:v>
                </c:pt>
                <c:pt idx="12">
                  <c:v>0.35350239194460908</c:v>
                </c:pt>
                <c:pt idx="13">
                  <c:v>0.36880945419946454</c:v>
                </c:pt>
                <c:pt idx="14">
                  <c:v>0.36554003041992084</c:v>
                </c:pt>
                <c:pt idx="15">
                  <c:v>0.32026905224591645</c:v>
                </c:pt>
                <c:pt idx="16">
                  <c:v>0.34284771290059324</c:v>
                </c:pt>
                <c:pt idx="17">
                  <c:v>0.31006671567060279</c:v>
                </c:pt>
                <c:pt idx="18">
                  <c:v>0.29279482270425161</c:v>
                </c:pt>
                <c:pt idx="19">
                  <c:v>0.26780079902896026</c:v>
                </c:pt>
                <c:pt idx="20">
                  <c:v>0.28111140987981842</c:v>
                </c:pt>
                <c:pt idx="21">
                  <c:v>0.32347442467167409</c:v>
                </c:pt>
                <c:pt idx="22">
                  <c:v>0.3505236163164871</c:v>
                </c:pt>
                <c:pt idx="23">
                  <c:v>0.34987393440494591</c:v>
                </c:pt>
                <c:pt idx="24">
                  <c:v>0.32088832987303911</c:v>
                </c:pt>
                <c:pt idx="25">
                  <c:v>0.35528919313989205</c:v>
                </c:pt>
                <c:pt idx="26">
                  <c:v>0.3422975794677891</c:v>
                </c:pt>
                <c:pt idx="27">
                  <c:v>0.30234775068166042</c:v>
                </c:pt>
                <c:pt idx="28">
                  <c:v>0.33124266987679485</c:v>
                </c:pt>
                <c:pt idx="29">
                  <c:v>0.29500384224203913</c:v>
                </c:pt>
                <c:pt idx="30">
                  <c:v>0.34687265072705792</c:v>
                </c:pt>
                <c:pt idx="31">
                  <c:v>0.29756353162657795</c:v>
                </c:pt>
                <c:pt idx="32">
                  <c:v>0.28336196560107918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35-4F6C-AF51-262F37137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70048"/>
        <c:axId val="513868480"/>
      </c:lineChart>
      <c:catAx>
        <c:axId val="51387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距離土壤表層深度</a:t>
                </a:r>
                <a:r>
                  <a:rPr lang="en-US"/>
                  <a:t>(cm)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79606863149693941"/>
              <c:y val="0.872200410798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68480"/>
        <c:crosses val="autoZero"/>
        <c:auto val="1"/>
        <c:lblAlgn val="ctr"/>
        <c:lblOffset val="100"/>
        <c:noMultiLvlLbl val="0"/>
      </c:catAx>
      <c:valAx>
        <c:axId val="5138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TOC(%)</a:t>
                </a:r>
                <a:endParaRPr lang="zh-TW" sz="1200"/>
              </a:p>
            </c:rich>
          </c:tx>
          <c:layout>
            <c:manualLayout>
              <c:xMode val="edge"/>
              <c:yMode val="edge"/>
              <c:x val="9.8001782243435191E-3"/>
              <c:y val="0.46692069190304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TN(%)</a:t>
            </a:r>
            <a:endParaRPr lang="zh-TW" altLang="en-US"/>
          </a:p>
        </c:rich>
      </c:tx>
      <c:layout>
        <c:manualLayout>
          <c:xMode val="edge"/>
          <c:yMode val="edge"/>
          <c:x val="0.46956958607101085"/>
          <c:y val="1.870179134691184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ABC比較!$H$1</c:f>
              <c:strCache>
                <c:ptCount val="1"/>
                <c:pt idx="0">
                  <c:v>WZW-A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ABC比較!$H$2:$H$52</c:f>
              <c:numCache>
                <c:formatCode>General</c:formatCode>
                <c:ptCount val="51"/>
                <c:pt idx="0">
                  <c:v>0</c:v>
                </c:pt>
                <c:pt idx="1">
                  <c:v>1.8268267544393701E-2</c:v>
                </c:pt>
                <c:pt idx="2">
                  <c:v>2.5720524248520827E-2</c:v>
                </c:pt>
                <c:pt idx="3">
                  <c:v>2.7761808137366922E-2</c:v>
                </c:pt>
                <c:pt idx="4">
                  <c:v>1.3890174654729888E-2</c:v>
                </c:pt>
                <c:pt idx="5">
                  <c:v>3.5998047883177939E-2</c:v>
                </c:pt>
                <c:pt idx="6">
                  <c:v>1.0779298532003446E-2</c:v>
                </c:pt>
                <c:pt idx="7">
                  <c:v>4.9809356660806256E-2</c:v>
                </c:pt>
                <c:pt idx="8">
                  <c:v>9.0043015220541658E-2</c:v>
                </c:pt>
                <c:pt idx="9">
                  <c:v>3.1247460681690785E-2</c:v>
                </c:pt>
                <c:pt idx="10">
                  <c:v>2.6451027406274863E-2</c:v>
                </c:pt>
                <c:pt idx="11">
                  <c:v>5.8285936010249711E-4</c:v>
                </c:pt>
                <c:pt idx="12">
                  <c:v>3.0416405929255336E-2</c:v>
                </c:pt>
                <c:pt idx="13">
                  <c:v>6.6250704774791095E-3</c:v>
                </c:pt>
                <c:pt idx="14">
                  <c:v>7.0166933757207011E-3</c:v>
                </c:pt>
                <c:pt idx="15">
                  <c:v>1.0562331800928255E-2</c:v>
                </c:pt>
                <c:pt idx="16">
                  <c:v>5.8285936010249711E-4</c:v>
                </c:pt>
                <c:pt idx="17">
                  <c:v>2.1294295792654301E-2</c:v>
                </c:pt>
                <c:pt idx="18">
                  <c:v>7.7869189557613601E-3</c:v>
                </c:pt>
                <c:pt idx="19">
                  <c:v>2.9331068585141144E-3</c:v>
                </c:pt>
                <c:pt idx="20">
                  <c:v>9.8033463601571742E-3</c:v>
                </c:pt>
                <c:pt idx="21">
                  <c:v>5.8285936010249711E-4</c:v>
                </c:pt>
                <c:pt idx="22">
                  <c:v>1.9540488651078762E-2</c:v>
                </c:pt>
                <c:pt idx="23">
                  <c:v>9.1532803189150191E-3</c:v>
                </c:pt>
                <c:pt idx="24">
                  <c:v>1.041319649896973E-2</c:v>
                </c:pt>
                <c:pt idx="25">
                  <c:v>5.8423229209235211E-3</c:v>
                </c:pt>
                <c:pt idx="26">
                  <c:v>5.8285936010249711E-4</c:v>
                </c:pt>
                <c:pt idx="27">
                  <c:v>2.5224649786004718E-2</c:v>
                </c:pt>
                <c:pt idx="28">
                  <c:v>9.4240858752670156E-3</c:v>
                </c:pt>
                <c:pt idx="29">
                  <c:v>7.3679447579524521E-3</c:v>
                </c:pt>
                <c:pt idx="30">
                  <c:v>1.5306393840433957E-2</c:v>
                </c:pt>
                <c:pt idx="31">
                  <c:v>5.8285936010249711E-4</c:v>
                </c:pt>
                <c:pt idx="32">
                  <c:v>1.9075177486711947E-2</c:v>
                </c:pt>
                <c:pt idx="33">
                  <c:v>1.3250853277537996E-2</c:v>
                </c:pt>
                <c:pt idx="34">
                  <c:v>9.342835914236583E-3</c:v>
                </c:pt>
                <c:pt idx="35">
                  <c:v>1.3427643207057808E-2</c:v>
                </c:pt>
                <c:pt idx="36">
                  <c:v>5.8285936010249711E-4</c:v>
                </c:pt>
                <c:pt idx="37">
                  <c:v>2.125315391043061E-2</c:v>
                </c:pt>
                <c:pt idx="38">
                  <c:v>1.0928492485273306E-2</c:v>
                </c:pt>
                <c:pt idx="39">
                  <c:v>1.6151694582759765E-2</c:v>
                </c:pt>
                <c:pt idx="40">
                  <c:v>9.1532803189150191E-3</c:v>
                </c:pt>
                <c:pt idx="41">
                  <c:v>1.4416769992498344E-3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E-44C8-829F-E4BD76FF0DE4}"/>
            </c:ext>
          </c:extLst>
        </c:ser>
        <c:ser>
          <c:idx val="0"/>
          <c:order val="1"/>
          <c:tx>
            <c:strRef>
              <c:f>ABC比較!$I$1</c:f>
              <c:strCache>
                <c:ptCount val="1"/>
                <c:pt idx="0">
                  <c:v>WZW-B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ABC比較!$I$2:$I$52</c:f>
              <c:numCache>
                <c:formatCode>General</c:formatCode>
                <c:ptCount val="51"/>
                <c:pt idx="0">
                  <c:v>0</c:v>
                </c:pt>
                <c:pt idx="1">
                  <c:v>3.2301150607088699E-2</c:v>
                </c:pt>
                <c:pt idx="2">
                  <c:v>1.687489219636738E-2</c:v>
                </c:pt>
                <c:pt idx="3">
                  <c:v>2.1980255489606443E-2</c:v>
                </c:pt>
                <c:pt idx="4">
                  <c:v>2.3312425229384353E-2</c:v>
                </c:pt>
                <c:pt idx="5">
                  <c:v>1.1552653366856893E-2</c:v>
                </c:pt>
                <c:pt idx="6">
                  <c:v>4.1765656582743491E-2</c:v>
                </c:pt>
                <c:pt idx="7">
                  <c:v>1.6369959936809141E-2</c:v>
                </c:pt>
                <c:pt idx="8">
                  <c:v>3.8326172221147529E-2</c:v>
                </c:pt>
                <c:pt idx="9">
                  <c:v>2.521087914874378E-2</c:v>
                </c:pt>
                <c:pt idx="10">
                  <c:v>8.1114164128930858E-3</c:v>
                </c:pt>
                <c:pt idx="11">
                  <c:v>4.1485577404909199E-2</c:v>
                </c:pt>
                <c:pt idx="12">
                  <c:v>1.9923857492470574E-2</c:v>
                </c:pt>
                <c:pt idx="13">
                  <c:v>3.8647243592000162E-2</c:v>
                </c:pt>
                <c:pt idx="14">
                  <c:v>3.6778122518696416E-2</c:v>
                </c:pt>
                <c:pt idx="15">
                  <c:v>1.236740423961648E-2</c:v>
                </c:pt>
                <c:pt idx="16">
                  <c:v>3.4620502525691058E-2</c:v>
                </c:pt>
                <c:pt idx="17">
                  <c:v>2.8397142389978373E-2</c:v>
                </c:pt>
                <c:pt idx="18">
                  <c:v>2.3532343089067542E-2</c:v>
                </c:pt>
                <c:pt idx="19">
                  <c:v>1.5878933982696599E-2</c:v>
                </c:pt>
                <c:pt idx="20">
                  <c:v>1.0858691780178177E-2</c:v>
                </c:pt>
                <c:pt idx="21">
                  <c:v>1.0872255035455898E-2</c:v>
                </c:pt>
                <c:pt idx="22">
                  <c:v>1.6449828306177795E-2</c:v>
                </c:pt>
                <c:pt idx="23">
                  <c:v>1.3575272671060708E-2</c:v>
                </c:pt>
                <c:pt idx="24">
                  <c:v>3.7652496947706009E-3</c:v>
                </c:pt>
                <c:pt idx="25">
                  <c:v>1.2677927724211835E-2</c:v>
                </c:pt>
                <c:pt idx="26">
                  <c:v>7.5821904827920077E-3</c:v>
                </c:pt>
                <c:pt idx="27">
                  <c:v>3.7973109876559213E-4</c:v>
                </c:pt>
                <c:pt idx="28">
                  <c:v>2.8519476251735263E-2</c:v>
                </c:pt>
                <c:pt idx="29">
                  <c:v>1.2542041410710513E-2</c:v>
                </c:pt>
                <c:pt idx="30">
                  <c:v>1.5471236835529413E-3</c:v>
                </c:pt>
                <c:pt idx="31">
                  <c:v>4.6809509050784424E-3</c:v>
                </c:pt>
                <c:pt idx="32">
                  <c:v>4.7752661032432926E-3</c:v>
                </c:pt>
                <c:pt idx="33">
                  <c:v>6.0697080150561135E-3</c:v>
                </c:pt>
                <c:pt idx="34">
                  <c:v>6.609595954967443E-3</c:v>
                </c:pt>
                <c:pt idx="35">
                  <c:v>2.2678435683692339E-2</c:v>
                </c:pt>
                <c:pt idx="36">
                  <c:v>3.913315922014644E-3</c:v>
                </c:pt>
                <c:pt idx="37">
                  <c:v>8.3664139044275498E-3</c:v>
                </c:pt>
                <c:pt idx="38">
                  <c:v>4.0344787901571448E-3</c:v>
                </c:pt>
                <c:pt idx="39">
                  <c:v>1.1157629002435687E-4</c:v>
                </c:pt>
                <c:pt idx="40">
                  <c:v>1.545431909480309E-2</c:v>
                </c:pt>
                <c:pt idx="41">
                  <c:v>5.9212942244856468E-3</c:v>
                </c:pt>
                <c:pt idx="42">
                  <c:v>1.2202412024090909E-2</c:v>
                </c:pt>
                <c:pt idx="43">
                  <c:v>4.7213705194169729E-3</c:v>
                </c:pt>
                <c:pt idx="44">
                  <c:v>1.2895386901479797E-2</c:v>
                </c:pt>
                <c:pt idx="45">
                  <c:v>7.0687491326788011E-3</c:v>
                </c:pt>
                <c:pt idx="46">
                  <c:v>1.3289660515431671E-2</c:v>
                </c:pt>
                <c:pt idx="47">
                  <c:v>7.338945875962774E-3</c:v>
                </c:pt>
                <c:pt idx="48">
                  <c:v>6.1506710631682128E-3</c:v>
                </c:pt>
                <c:pt idx="49">
                  <c:v>1.0004604815673905E-2</c:v>
                </c:pt>
                <c:pt idx="50">
                  <c:v>9.6929905958420704E-3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E-44C8-829F-E4BD76FF0DE4}"/>
            </c:ext>
          </c:extLst>
        </c:ser>
        <c:ser>
          <c:idx val="1"/>
          <c:order val="2"/>
          <c:tx>
            <c:strRef>
              <c:f>ABC比較!$J$1</c:f>
              <c:strCache>
                <c:ptCount val="1"/>
                <c:pt idx="0">
                  <c:v>WZW-C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ABC比較!$J$2:$J$52</c:f>
              <c:numCache>
                <c:formatCode>General</c:formatCode>
                <c:ptCount val="51"/>
                <c:pt idx="0">
                  <c:v>0</c:v>
                </c:pt>
                <c:pt idx="1">
                  <c:v>1.1157629002435687E-4</c:v>
                </c:pt>
                <c:pt idx="2">
                  <c:v>8.0012617355331214E-3</c:v>
                </c:pt>
                <c:pt idx="3">
                  <c:v>2.8235699202803295E-3</c:v>
                </c:pt>
                <c:pt idx="4">
                  <c:v>1.5202702866795716E-3</c:v>
                </c:pt>
                <c:pt idx="5">
                  <c:v>2.5009310398078077E-3</c:v>
                </c:pt>
                <c:pt idx="6">
                  <c:v>2.7160109881230739E-3</c:v>
                </c:pt>
                <c:pt idx="7">
                  <c:v>1.3838821627355113E-4</c:v>
                </c:pt>
                <c:pt idx="8">
                  <c:v>3.6172073625052484E-3</c:v>
                </c:pt>
                <c:pt idx="9">
                  <c:v>6.5285926211061445E-3</c:v>
                </c:pt>
                <c:pt idx="10">
                  <c:v>9.1627769124335125E-4</c:v>
                </c:pt>
                <c:pt idx="11">
                  <c:v>3.3346474448155304E-3</c:v>
                </c:pt>
                <c:pt idx="12">
                  <c:v>6.5015930896523463E-3</c:v>
                </c:pt>
                <c:pt idx="13">
                  <c:v>1.1157629002435687E-4</c:v>
                </c:pt>
                <c:pt idx="14">
                  <c:v>1.1102860589489037E-2</c:v>
                </c:pt>
                <c:pt idx="15">
                  <c:v>1.788839801662562E-3</c:v>
                </c:pt>
                <c:pt idx="16">
                  <c:v>3.563379711510912E-3</c:v>
                </c:pt>
                <c:pt idx="17">
                  <c:v>2.4202890928143243E-3</c:v>
                </c:pt>
                <c:pt idx="18">
                  <c:v>5.0089709886454982E-2</c:v>
                </c:pt>
                <c:pt idx="19">
                  <c:v>1.1157629002435687E-4</c:v>
                </c:pt>
                <c:pt idx="20">
                  <c:v>1.060102745094242E-2</c:v>
                </c:pt>
                <c:pt idx="21">
                  <c:v>4.8701513992831312E-4</c:v>
                </c:pt>
                <c:pt idx="22">
                  <c:v>4.4250012874127598E-3</c:v>
                </c:pt>
                <c:pt idx="23">
                  <c:v>4.8701513992831312E-4</c:v>
                </c:pt>
                <c:pt idx="24">
                  <c:v>1.6679737447016605E-3</c:v>
                </c:pt>
                <c:pt idx="25">
                  <c:v>1.1157629002435687E-4</c:v>
                </c:pt>
                <c:pt idx="26">
                  <c:v>6.6636021271248977E-3</c:v>
                </c:pt>
                <c:pt idx="27">
                  <c:v>1.5605506782083703E-3</c:v>
                </c:pt>
                <c:pt idx="28">
                  <c:v>2.6487930735975781E-3</c:v>
                </c:pt>
                <c:pt idx="29">
                  <c:v>7.9552715959265309E-4</c:v>
                </c:pt>
                <c:pt idx="30">
                  <c:v>1.8291320419411251E-3</c:v>
                </c:pt>
                <c:pt idx="31">
                  <c:v>1.1157629002435687E-4</c:v>
                </c:pt>
                <c:pt idx="32">
                  <c:v>5.0043575845356986E-3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E-44C8-829F-E4BD76FF0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5344"/>
        <c:axId val="513248088"/>
      </c:lineChart>
      <c:catAx>
        <c:axId val="51324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距離土壤表層深度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81307455680616958"/>
              <c:y val="0.83204196073311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8088"/>
        <c:crosses val="autoZero"/>
        <c:auto val="1"/>
        <c:lblAlgn val="ctr"/>
        <c:lblOffset val="100"/>
        <c:noMultiLvlLbl val="0"/>
      </c:catAx>
      <c:valAx>
        <c:axId val="51324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53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ABC比較!$B$2</c:f>
              <c:strCache>
                <c:ptCount val="1"/>
                <c:pt idx="0">
                  <c:v>TOC(%)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ABC比較!$B$3:$B$43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5-4F1B-96CC-9D631BBECD50}"/>
            </c:ext>
          </c:extLst>
        </c:ser>
        <c:ser>
          <c:idx val="1"/>
          <c:order val="1"/>
          <c:tx>
            <c:strRef>
              <c:f>ABC比較!$E$2</c:f>
              <c:strCache>
                <c:ptCount val="1"/>
                <c:pt idx="0">
                  <c:v>TIC(%)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ABC比較!$E$3:$E$43</c:f>
              <c:numCache>
                <c:formatCode>General</c:formatCode>
                <c:ptCount val="41"/>
                <c:pt idx="0">
                  <c:v>2.8101162492884017E-2</c:v>
                </c:pt>
                <c:pt idx="1">
                  <c:v>4.680520368353544E-2</c:v>
                </c:pt>
                <c:pt idx="2">
                  <c:v>2.3272529770383434E-2</c:v>
                </c:pt>
                <c:pt idx="3">
                  <c:v>2.6201287447446063E-2</c:v>
                </c:pt>
                <c:pt idx="4">
                  <c:v>5.0288128265681332E-2</c:v>
                </c:pt>
                <c:pt idx="5">
                  <c:v>3.266813246024499E-2</c:v>
                </c:pt>
                <c:pt idx="6">
                  <c:v>2.9726264854710884E-2</c:v>
                </c:pt>
                <c:pt idx="7">
                  <c:v>2.3263654844769194E-2</c:v>
                </c:pt>
                <c:pt idx="8">
                  <c:v>2.7503133218252596E-2</c:v>
                </c:pt>
                <c:pt idx="9">
                  <c:v>2.6604210623617373E-2</c:v>
                </c:pt>
                <c:pt idx="10">
                  <c:v>1.6930040494463824E-2</c:v>
                </c:pt>
                <c:pt idx="11">
                  <c:v>1.7831502202012333E-2</c:v>
                </c:pt>
                <c:pt idx="12">
                  <c:v>1.9598997399161922E-2</c:v>
                </c:pt>
                <c:pt idx="13">
                  <c:v>2.1033908624323947E-2</c:v>
                </c:pt>
                <c:pt idx="14">
                  <c:v>2.7503223924870941E-2</c:v>
                </c:pt>
                <c:pt idx="15">
                  <c:v>2.0488024615690176E-2</c:v>
                </c:pt>
                <c:pt idx="16">
                  <c:v>3.8871240026943511E-2</c:v>
                </c:pt>
                <c:pt idx="17">
                  <c:v>1.6886794076029599E-2</c:v>
                </c:pt>
                <c:pt idx="18">
                  <c:v>1.43246026653003E-2</c:v>
                </c:pt>
                <c:pt idx="19">
                  <c:v>1.9499031688686948E-2</c:v>
                </c:pt>
                <c:pt idx="20">
                  <c:v>1.8992985145979951E-2</c:v>
                </c:pt>
                <c:pt idx="21">
                  <c:v>1.7121091976229959E-2</c:v>
                </c:pt>
                <c:pt idx="22">
                  <c:v>3.0698201827933161E-2</c:v>
                </c:pt>
                <c:pt idx="23">
                  <c:v>2.1686161910397832E-2</c:v>
                </c:pt>
                <c:pt idx="24">
                  <c:v>2.4805123419054054E-2</c:v>
                </c:pt>
                <c:pt idx="25">
                  <c:v>1.96931541981809E-2</c:v>
                </c:pt>
                <c:pt idx="26">
                  <c:v>1.7606002816261585E-2</c:v>
                </c:pt>
                <c:pt idx="27">
                  <c:v>2.41673130289199E-2</c:v>
                </c:pt>
                <c:pt idx="28">
                  <c:v>3.1336591835368563E-2</c:v>
                </c:pt>
                <c:pt idx="29">
                  <c:v>2.4015944943473162E-2</c:v>
                </c:pt>
                <c:pt idx="30">
                  <c:v>2.649456479469682E-2</c:v>
                </c:pt>
                <c:pt idx="31">
                  <c:v>2.9846835780256795E-2</c:v>
                </c:pt>
                <c:pt idx="32">
                  <c:v>3.6064915370940788E-2</c:v>
                </c:pt>
                <c:pt idx="33">
                  <c:v>3.2977231315087119E-2</c:v>
                </c:pt>
                <c:pt idx="34">
                  <c:v>2.2104977586617818E-2</c:v>
                </c:pt>
                <c:pt idx="35">
                  <c:v>4.280342146854537E-2</c:v>
                </c:pt>
                <c:pt idx="36">
                  <c:v>3.764991935484506E-2</c:v>
                </c:pt>
                <c:pt idx="37">
                  <c:v>2.6092581408820391E-2</c:v>
                </c:pt>
                <c:pt idx="38">
                  <c:v>4.2974664388946836E-2</c:v>
                </c:pt>
                <c:pt idx="39">
                  <c:v>4.262193005949106E-2</c:v>
                </c:pt>
                <c:pt idx="40">
                  <c:v>3.4953483771764535E-2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5-4F1B-96CC-9D631BBEC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8872"/>
        <c:axId val="513242600"/>
      </c:lineChart>
      <c:catAx>
        <c:axId val="513248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2600"/>
        <c:crosses val="autoZero"/>
        <c:auto val="1"/>
        <c:lblAlgn val="ctr"/>
        <c:lblOffset val="100"/>
        <c:noMultiLvlLbl val="0"/>
      </c:catAx>
      <c:valAx>
        <c:axId val="51324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ABC比較!$C$2</c:f>
              <c:strCache>
                <c:ptCount val="1"/>
                <c:pt idx="0">
                  <c:v>TOC(%)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ABC比較!$C$3:$C$52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D-4254-AA57-25C5E4905BF1}"/>
            </c:ext>
          </c:extLst>
        </c:ser>
        <c:ser>
          <c:idx val="1"/>
          <c:order val="1"/>
          <c:tx>
            <c:strRef>
              <c:f>ABC比較!$F$2</c:f>
              <c:strCache>
                <c:ptCount val="1"/>
                <c:pt idx="0">
                  <c:v>TIC(%)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ABC比較!$F$3:$F$52</c:f>
              <c:numCache>
                <c:formatCode>General</c:formatCode>
                <c:ptCount val="50"/>
                <c:pt idx="0">
                  <c:v>2.1131549673572645E-2</c:v>
                </c:pt>
                <c:pt idx="1">
                  <c:v>1.8945049671989549E-2</c:v>
                </c:pt>
                <c:pt idx="2">
                  <c:v>1.988283310600665E-2</c:v>
                </c:pt>
                <c:pt idx="3">
                  <c:v>2.6931815527291431E-2</c:v>
                </c:pt>
                <c:pt idx="4">
                  <c:v>2.6284645365575808E-2</c:v>
                </c:pt>
                <c:pt idx="5">
                  <c:v>2.8177960946913112E-2</c:v>
                </c:pt>
                <c:pt idx="6">
                  <c:v>1.8833073283866422E-2</c:v>
                </c:pt>
                <c:pt idx="7">
                  <c:v>2.7799081617284498E-2</c:v>
                </c:pt>
                <c:pt idx="8">
                  <c:v>2.3723670148376921E-2</c:v>
                </c:pt>
                <c:pt idx="9">
                  <c:v>2.4913014599260763E-2</c:v>
                </c:pt>
                <c:pt idx="10">
                  <c:v>2.5221217271222493E-2</c:v>
                </c:pt>
                <c:pt idx="11">
                  <c:v>2.2804340230339226E-2</c:v>
                </c:pt>
                <c:pt idx="12">
                  <c:v>2.4205723621493036E-2</c:v>
                </c:pt>
                <c:pt idx="13">
                  <c:v>2.6285971721049749E-2</c:v>
                </c:pt>
                <c:pt idx="14">
                  <c:v>2.5332465473574317E-2</c:v>
                </c:pt>
                <c:pt idx="15">
                  <c:v>1.9442256059733379E-2</c:v>
                </c:pt>
                <c:pt idx="16">
                  <c:v>2.5677912414098922E-2</c:v>
                </c:pt>
                <c:pt idx="17">
                  <c:v>2.0639171432202921E-2</c:v>
                </c:pt>
                <c:pt idx="18">
                  <c:v>1.965373025494092E-2</c:v>
                </c:pt>
                <c:pt idx="19">
                  <c:v>1.8926890681377609E-2</c:v>
                </c:pt>
                <c:pt idx="20">
                  <c:v>1.7028342598116447E-2</c:v>
                </c:pt>
                <c:pt idx="21">
                  <c:v>2.3603235639000984E-2</c:v>
                </c:pt>
                <c:pt idx="22">
                  <c:v>1.918787399804564E-2</c:v>
                </c:pt>
                <c:pt idx="23">
                  <c:v>1.5436956496757963E-2</c:v>
                </c:pt>
                <c:pt idx="24">
                  <c:v>1.7470472368198271E-2</c:v>
                </c:pt>
                <c:pt idx="25">
                  <c:v>1.9316128789522682E-2</c:v>
                </c:pt>
                <c:pt idx="26">
                  <c:v>1.7767501148843779E-2</c:v>
                </c:pt>
                <c:pt idx="27">
                  <c:v>2.7199663584137609E-2</c:v>
                </c:pt>
                <c:pt idx="28">
                  <c:v>1.9427279528371613E-2</c:v>
                </c:pt>
                <c:pt idx="29">
                  <c:v>1.8782734096844726E-2</c:v>
                </c:pt>
                <c:pt idx="30">
                  <c:v>2.1588598385367804E-2</c:v>
                </c:pt>
                <c:pt idx="31">
                  <c:v>2.3490167730280932E-2</c:v>
                </c:pt>
                <c:pt idx="32">
                  <c:v>1.6321652815665635E-2</c:v>
                </c:pt>
                <c:pt idx="33">
                  <c:v>2.0352950261828002E-2</c:v>
                </c:pt>
                <c:pt idx="34">
                  <c:v>1.7720176854768132E-2</c:v>
                </c:pt>
                <c:pt idx="35">
                  <c:v>2.5048256685355937E-2</c:v>
                </c:pt>
                <c:pt idx="36">
                  <c:v>1.8083966196276429E-2</c:v>
                </c:pt>
                <c:pt idx="37">
                  <c:v>2.3160201045040432E-2</c:v>
                </c:pt>
                <c:pt idx="38">
                  <c:v>2.3387550572249758E-2</c:v>
                </c:pt>
                <c:pt idx="39">
                  <c:v>2.0689045292357135E-2</c:v>
                </c:pt>
                <c:pt idx="40">
                  <c:v>1.9178252561699763E-2</c:v>
                </c:pt>
                <c:pt idx="41">
                  <c:v>2.2872242129614046E-2</c:v>
                </c:pt>
                <c:pt idx="42">
                  <c:v>2.7536542917246911E-2</c:v>
                </c:pt>
                <c:pt idx="43">
                  <c:v>2.3977804454584185E-2</c:v>
                </c:pt>
                <c:pt idx="44">
                  <c:v>2.6690860347644757E-2</c:v>
                </c:pt>
                <c:pt idx="45">
                  <c:v>2.4064400804327177E-2</c:v>
                </c:pt>
                <c:pt idx="46">
                  <c:v>4.285791776701306E-2</c:v>
                </c:pt>
                <c:pt idx="47">
                  <c:v>4.107031423131749E-2</c:v>
                </c:pt>
                <c:pt idx="48">
                  <c:v>2.4469878201119205E-2</c:v>
                </c:pt>
                <c:pt idx="49">
                  <c:v>2.3089580050386093E-2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D-4254-AA57-25C5E490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5736"/>
        <c:axId val="513244168"/>
      </c:lineChart>
      <c:catAx>
        <c:axId val="513245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4168"/>
        <c:crosses val="autoZero"/>
        <c:auto val="1"/>
        <c:lblAlgn val="ctr"/>
        <c:lblOffset val="100"/>
        <c:noMultiLvlLbl val="0"/>
      </c:catAx>
      <c:valAx>
        <c:axId val="51324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ABC比較!$D$2</c:f>
              <c:strCache>
                <c:ptCount val="1"/>
                <c:pt idx="0">
                  <c:v>TOC(%)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ABC比較!$D$3:$D$34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6-4A40-9385-1276793D63F7}"/>
            </c:ext>
          </c:extLst>
        </c:ser>
        <c:ser>
          <c:idx val="1"/>
          <c:order val="1"/>
          <c:tx>
            <c:strRef>
              <c:f>ABC比較!$G$2</c:f>
              <c:strCache>
                <c:ptCount val="1"/>
                <c:pt idx="0">
                  <c:v>TIC(%)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ABC比較!$G$3:$G$34</c:f>
              <c:numCache>
                <c:formatCode>General</c:formatCode>
                <c:ptCount val="32"/>
                <c:pt idx="0">
                  <c:v>7.8990082858534594E-2</c:v>
                </c:pt>
                <c:pt idx="1">
                  <c:v>0.1061008771358966</c:v>
                </c:pt>
                <c:pt idx="2">
                  <c:v>7.08813478819669E-2</c:v>
                </c:pt>
                <c:pt idx="3">
                  <c:v>9.0064435246804769E-2</c:v>
                </c:pt>
                <c:pt idx="4">
                  <c:v>9.6707181359776934E-2</c:v>
                </c:pt>
                <c:pt idx="5">
                  <c:v>4.7130577235962742E-2</c:v>
                </c:pt>
                <c:pt idx="6">
                  <c:v>6.3974714433659693E-2</c:v>
                </c:pt>
                <c:pt idx="7">
                  <c:v>6.098524285714086E-2</c:v>
                </c:pt>
                <c:pt idx="8">
                  <c:v>8.143697532600451E-2</c:v>
                </c:pt>
                <c:pt idx="9">
                  <c:v>8.4651940371050741E-2</c:v>
                </c:pt>
                <c:pt idx="10">
                  <c:v>6.6261978833203672E-2</c:v>
                </c:pt>
                <c:pt idx="11">
                  <c:v>0.13709630019882527</c:v>
                </c:pt>
                <c:pt idx="12">
                  <c:v>0.10244973204440645</c:v>
                </c:pt>
                <c:pt idx="13">
                  <c:v>0.1046119045190728</c:v>
                </c:pt>
                <c:pt idx="14">
                  <c:v>0.12073448678218804</c:v>
                </c:pt>
                <c:pt idx="15">
                  <c:v>8.6603651949406793E-2</c:v>
                </c:pt>
                <c:pt idx="16">
                  <c:v>8.0105959400187512E-2</c:v>
                </c:pt>
                <c:pt idx="17">
                  <c:v>8.1697892730780236E-2</c:v>
                </c:pt>
                <c:pt idx="18">
                  <c:v>0.13090368384143439</c:v>
                </c:pt>
                <c:pt idx="19">
                  <c:v>0.11998449233122811</c:v>
                </c:pt>
                <c:pt idx="20">
                  <c:v>6.422956563235277E-2</c:v>
                </c:pt>
                <c:pt idx="21">
                  <c:v>7.8975791653859914E-2</c:v>
                </c:pt>
                <c:pt idx="22">
                  <c:v>0.113877575261497</c:v>
                </c:pt>
                <c:pt idx="23">
                  <c:v>6.9380297151164713E-2</c:v>
                </c:pt>
                <c:pt idx="24">
                  <c:v>7.8786447545441243E-2</c:v>
                </c:pt>
                <c:pt idx="25">
                  <c:v>8.3372502436311877E-2</c:v>
                </c:pt>
                <c:pt idx="26">
                  <c:v>9.8012934407436053E-2</c:v>
                </c:pt>
                <c:pt idx="27">
                  <c:v>0.11613678714513202</c:v>
                </c:pt>
                <c:pt idx="28">
                  <c:v>9.9629619522335913E-2</c:v>
                </c:pt>
                <c:pt idx="29">
                  <c:v>8.4474647649100995E-2</c:v>
                </c:pt>
                <c:pt idx="30">
                  <c:v>0.13480848927959491</c:v>
                </c:pt>
                <c:pt idx="31">
                  <c:v>0.19920345012005641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6-4A40-9385-1276793D6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3384"/>
        <c:axId val="513246520"/>
      </c:lineChart>
      <c:catAx>
        <c:axId val="513243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6520"/>
        <c:crosses val="autoZero"/>
        <c:auto val="1"/>
        <c:lblAlgn val="ctr"/>
        <c:lblOffset val="100"/>
        <c:noMultiLvlLbl val="0"/>
      </c:catAx>
      <c:valAx>
        <c:axId val="51324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TC(%)</a:t>
            </a:r>
            <a:endParaRPr lang="zh-TW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ABC比較!$K$1</c:f>
              <c:strCache>
                <c:ptCount val="1"/>
                <c:pt idx="0">
                  <c:v>WZW-A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ABC比較!$K$2:$K$52</c:f>
              <c:numCache>
                <c:formatCode>General</c:formatCode>
                <c:ptCount val="51"/>
                <c:pt idx="0">
                  <c:v>0</c:v>
                </c:pt>
                <c:pt idx="1">
                  <c:v>1.5406291294884018</c:v>
                </c:pt>
                <c:pt idx="2">
                  <c:v>1.4161295250234402</c:v>
                </c:pt>
                <c:pt idx="3">
                  <c:v>1.6965059523267074</c:v>
                </c:pt>
                <c:pt idx="4">
                  <c:v>1.0904870955269532</c:v>
                </c:pt>
                <c:pt idx="5">
                  <c:v>1.5211335163211774</c:v>
                </c:pt>
                <c:pt idx="6">
                  <c:v>1.6563418981873981</c:v>
                </c:pt>
                <c:pt idx="7">
                  <c:v>1.6718688810931297</c:v>
                </c:pt>
                <c:pt idx="8">
                  <c:v>1.7698091467954851</c:v>
                </c:pt>
                <c:pt idx="9">
                  <c:v>1.6167161736612357</c:v>
                </c:pt>
                <c:pt idx="10">
                  <c:v>1.5066312267591815</c:v>
                </c:pt>
                <c:pt idx="11">
                  <c:v>0.90837835803344014</c:v>
                </c:pt>
                <c:pt idx="12">
                  <c:v>1.0532713254039487</c:v>
                </c:pt>
                <c:pt idx="13">
                  <c:v>0.8925873554659024</c:v>
                </c:pt>
                <c:pt idx="14">
                  <c:v>0.86972569694128121</c:v>
                </c:pt>
                <c:pt idx="15">
                  <c:v>0.99408224654191324</c:v>
                </c:pt>
                <c:pt idx="16">
                  <c:v>1.0771451815571547</c:v>
                </c:pt>
                <c:pt idx="17">
                  <c:v>0.71390636049344003</c:v>
                </c:pt>
                <c:pt idx="18">
                  <c:v>0.74445119963440798</c:v>
                </c:pt>
                <c:pt idx="19">
                  <c:v>0.59243852892394722</c:v>
                </c:pt>
                <c:pt idx="20">
                  <c:v>0.80688961812551818</c:v>
                </c:pt>
                <c:pt idx="21">
                  <c:v>0.87362049888382742</c:v>
                </c:pt>
                <c:pt idx="22">
                  <c:v>0.81035883963221422</c:v>
                </c:pt>
                <c:pt idx="23">
                  <c:v>0.96354129690043866</c:v>
                </c:pt>
                <c:pt idx="24">
                  <c:v>0.96541393283077337</c:v>
                </c:pt>
                <c:pt idx="25">
                  <c:v>0.78921434375930444</c:v>
                </c:pt>
                <c:pt idx="26">
                  <c:v>0.93817079662101976</c:v>
                </c:pt>
                <c:pt idx="27">
                  <c:v>0.95990951408118941</c:v>
                </c:pt>
                <c:pt idx="28">
                  <c:v>1.0490724656588921</c:v>
                </c:pt>
                <c:pt idx="29">
                  <c:v>0.78677177280655508</c:v>
                </c:pt>
                <c:pt idx="30">
                  <c:v>1.0670826672429139</c:v>
                </c:pt>
                <c:pt idx="31">
                  <c:v>1.0525038082767735</c:v>
                </c:pt>
                <c:pt idx="32">
                  <c:v>1.2355898668775895</c:v>
                </c:pt>
                <c:pt idx="33">
                  <c:v>1.5038736847352054</c:v>
                </c:pt>
                <c:pt idx="34">
                  <c:v>1.2948199958539268</c:v>
                </c:pt>
                <c:pt idx="35">
                  <c:v>1.1800271579686541</c:v>
                </c:pt>
                <c:pt idx="36">
                  <c:v>1.1681884733779546</c:v>
                </c:pt>
                <c:pt idx="37">
                  <c:v>1.2288796912452027</c:v>
                </c:pt>
                <c:pt idx="38">
                  <c:v>0.9918036800866411</c:v>
                </c:pt>
                <c:pt idx="39">
                  <c:v>1.7732889208071763</c:v>
                </c:pt>
                <c:pt idx="40">
                  <c:v>1.3857817633334357</c:v>
                </c:pt>
                <c:pt idx="41">
                  <c:v>0.8005625364984349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B-47B2-83AF-040A25D28F9B}"/>
            </c:ext>
          </c:extLst>
        </c:ser>
        <c:ser>
          <c:idx val="1"/>
          <c:order val="1"/>
          <c:tx>
            <c:strRef>
              <c:f>ABC比較!$L$1</c:f>
              <c:strCache>
                <c:ptCount val="1"/>
                <c:pt idx="0">
                  <c:v>WZW-B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ABC比較!$L$2:$L$52</c:f>
              <c:numCache>
                <c:formatCode>General</c:formatCode>
                <c:ptCount val="51"/>
                <c:pt idx="0">
                  <c:v>0</c:v>
                </c:pt>
                <c:pt idx="1">
                  <c:v>1.1072108183368099</c:v>
                </c:pt>
                <c:pt idx="2">
                  <c:v>0.99898493350175588</c:v>
                </c:pt>
                <c:pt idx="3">
                  <c:v>0.96894820790830172</c:v>
                </c:pt>
                <c:pt idx="4">
                  <c:v>1.1264271444984657</c:v>
                </c:pt>
                <c:pt idx="5">
                  <c:v>1.4616069454272584</c:v>
                </c:pt>
                <c:pt idx="6">
                  <c:v>1.3497698016255253</c:v>
                </c:pt>
                <c:pt idx="7">
                  <c:v>0.9415173803685265</c:v>
                </c:pt>
                <c:pt idx="8">
                  <c:v>1.3986857716511143</c:v>
                </c:pt>
                <c:pt idx="9">
                  <c:v>1.1304071325738754</c:v>
                </c:pt>
                <c:pt idx="10">
                  <c:v>1.338917708639179</c:v>
                </c:pt>
                <c:pt idx="11">
                  <c:v>1.3536449069198397</c:v>
                </c:pt>
                <c:pt idx="12">
                  <c:v>1.1042378218240267</c:v>
                </c:pt>
                <c:pt idx="13">
                  <c:v>1.502055249901096</c:v>
                </c:pt>
                <c:pt idx="14">
                  <c:v>1.5203262534851563</c:v>
                </c:pt>
                <c:pt idx="15">
                  <c:v>1.5860068750527372</c:v>
                </c:pt>
                <c:pt idx="16">
                  <c:v>1.160033016557795</c:v>
                </c:pt>
                <c:pt idx="17">
                  <c:v>1.0986588081839743</c:v>
                </c:pt>
                <c:pt idx="18">
                  <c:v>1.1297617393686925</c:v>
                </c:pt>
                <c:pt idx="19">
                  <c:v>0.91227651955639744</c:v>
                </c:pt>
                <c:pt idx="20">
                  <c:v>0.79485180841645575</c:v>
                </c:pt>
                <c:pt idx="21">
                  <c:v>0.67639727540883265</c:v>
                </c:pt>
                <c:pt idx="22">
                  <c:v>0.86634315333630574</c:v>
                </c:pt>
                <c:pt idx="23">
                  <c:v>0.71045720053397443</c:v>
                </c:pt>
                <c:pt idx="24">
                  <c:v>0.543206205387055</c:v>
                </c:pt>
                <c:pt idx="25">
                  <c:v>0.658281818676129</c:v>
                </c:pt>
                <c:pt idx="26">
                  <c:v>0.64944018173009699</c:v>
                </c:pt>
                <c:pt idx="27">
                  <c:v>0.74522518209169442</c:v>
                </c:pt>
                <c:pt idx="28">
                  <c:v>0.98066596116807814</c:v>
                </c:pt>
                <c:pt idx="29">
                  <c:v>0.86785922226372236</c:v>
                </c:pt>
                <c:pt idx="30">
                  <c:v>0.51803233527174597</c:v>
                </c:pt>
                <c:pt idx="31">
                  <c:v>0.48974227189870967</c:v>
                </c:pt>
                <c:pt idx="32">
                  <c:v>0.39953490683264081</c:v>
                </c:pt>
                <c:pt idx="33">
                  <c:v>0.49034169220378548</c:v>
                </c:pt>
                <c:pt idx="34">
                  <c:v>0.43184807173121026</c:v>
                </c:pt>
                <c:pt idx="35">
                  <c:v>0.57365599961257485</c:v>
                </c:pt>
                <c:pt idx="36">
                  <c:v>0.5681212221778501</c:v>
                </c:pt>
                <c:pt idx="37">
                  <c:v>0.61398469593333327</c:v>
                </c:pt>
                <c:pt idx="38">
                  <c:v>0.56911335588348899</c:v>
                </c:pt>
                <c:pt idx="39">
                  <c:v>0.65535994256025232</c:v>
                </c:pt>
                <c:pt idx="40">
                  <c:v>0.57746069369815944</c:v>
                </c:pt>
                <c:pt idx="41">
                  <c:v>0.59614309872327864</c:v>
                </c:pt>
                <c:pt idx="42">
                  <c:v>0.61937562364361365</c:v>
                </c:pt>
                <c:pt idx="43">
                  <c:v>0.67096465825610552</c:v>
                </c:pt>
                <c:pt idx="44">
                  <c:v>0.73603760385856698</c:v>
                </c:pt>
                <c:pt idx="45">
                  <c:v>0.71709031167651005</c:v>
                </c:pt>
                <c:pt idx="46">
                  <c:v>0.78137973666092719</c:v>
                </c:pt>
                <c:pt idx="47">
                  <c:v>0.81749723736440139</c:v>
                </c:pt>
                <c:pt idx="48">
                  <c:v>0.74912480907352019</c:v>
                </c:pt>
                <c:pt idx="49">
                  <c:v>0.85132292513096763</c:v>
                </c:pt>
                <c:pt idx="50">
                  <c:v>0.77074808926213023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B-47B2-83AF-040A25D28F9B}"/>
            </c:ext>
          </c:extLst>
        </c:ser>
        <c:ser>
          <c:idx val="2"/>
          <c:order val="2"/>
          <c:tx>
            <c:strRef>
              <c:f>ABC比較!$M$1</c:f>
              <c:strCache>
                <c:ptCount val="1"/>
                <c:pt idx="0">
                  <c:v>WZW-C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ABC比較!$M$2:$M$52</c:f>
              <c:numCache>
                <c:formatCode>General</c:formatCode>
                <c:ptCount val="51"/>
                <c:pt idx="0">
                  <c:v>0</c:v>
                </c:pt>
                <c:pt idx="1">
                  <c:v>0.4461355590826086</c:v>
                </c:pt>
                <c:pt idx="2">
                  <c:v>0.47975354557953792</c:v>
                </c:pt>
                <c:pt idx="3">
                  <c:v>0.47269423098528429</c:v>
                </c:pt>
                <c:pt idx="4">
                  <c:v>0.43824130373395637</c:v>
                </c:pt>
                <c:pt idx="5">
                  <c:v>0.43338678401192049</c:v>
                </c:pt>
                <c:pt idx="6">
                  <c:v>0.39317188374950157</c:v>
                </c:pt>
                <c:pt idx="7">
                  <c:v>0.38626642436381575</c:v>
                </c:pt>
                <c:pt idx="8">
                  <c:v>0.39528889800833328</c:v>
                </c:pt>
                <c:pt idx="9">
                  <c:v>0.42964460255913317</c:v>
                </c:pt>
                <c:pt idx="10">
                  <c:v>0.41798392783092109</c:v>
                </c:pt>
                <c:pt idx="11">
                  <c:v>0.4338738972561873</c:v>
                </c:pt>
                <c:pt idx="12">
                  <c:v>0.49059869214343432</c:v>
                </c:pt>
                <c:pt idx="13">
                  <c:v>0.47125918624387092</c:v>
                </c:pt>
                <c:pt idx="14">
                  <c:v>0.4701519349389936</c:v>
                </c:pt>
                <c:pt idx="15">
                  <c:v>0.44100353902810441</c:v>
                </c:pt>
                <c:pt idx="16">
                  <c:v>0.42945136485000002</c:v>
                </c:pt>
                <c:pt idx="17">
                  <c:v>0.39017267507079029</c:v>
                </c:pt>
                <c:pt idx="18">
                  <c:v>0.37449271543503182</c:v>
                </c:pt>
                <c:pt idx="19">
                  <c:v>0.39870448287039467</c:v>
                </c:pt>
                <c:pt idx="20">
                  <c:v>0.40109590221104652</c:v>
                </c:pt>
                <c:pt idx="21">
                  <c:v>0.38770399030402686</c:v>
                </c:pt>
                <c:pt idx="22">
                  <c:v>0.42949940797034702</c:v>
                </c:pt>
                <c:pt idx="23">
                  <c:v>0.46375150966644285</c:v>
                </c:pt>
                <c:pt idx="24">
                  <c:v>0.39026862702420378</c:v>
                </c:pt>
                <c:pt idx="25">
                  <c:v>0.43407564068533333</c:v>
                </c:pt>
                <c:pt idx="26">
                  <c:v>0.42567008190410099</c:v>
                </c:pt>
                <c:pt idx="27">
                  <c:v>0.40036068508909645</c:v>
                </c:pt>
                <c:pt idx="28">
                  <c:v>0.44737945702192683</c:v>
                </c:pt>
                <c:pt idx="29">
                  <c:v>0.39463346176437497</c:v>
                </c:pt>
                <c:pt idx="30">
                  <c:v>0.43134729837615893</c:v>
                </c:pt>
                <c:pt idx="31">
                  <c:v>0.43237202090617277</c:v>
                </c:pt>
                <c:pt idx="32">
                  <c:v>0.48256541572113554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B-47B2-83AF-040A25D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2992"/>
        <c:axId val="513243776"/>
      </c:lineChart>
      <c:catAx>
        <c:axId val="5132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3776"/>
        <c:crosses val="autoZero"/>
        <c:auto val="1"/>
        <c:lblAlgn val="ctr"/>
        <c:lblOffset val="100"/>
        <c:noMultiLvlLbl val="0"/>
      </c:catAx>
      <c:valAx>
        <c:axId val="5132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TC(%)</a:t>
                </a:r>
                <a:endParaRPr lang="zh-TW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65068553339588"/>
          <c:y val="0.90417899005323388"/>
          <c:w val="0.34669848296012395"/>
          <c:h val="7.59102321800498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TIC(%)</a:t>
            </a:r>
            <a:r>
              <a:rPr lang="zh-TW" altLang="en-US" sz="1600"/>
              <a:t>隨深度變化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ABC比較!$K$1:$K$2</c:f>
              <c:strCache>
                <c:ptCount val="2"/>
                <c:pt idx="0">
                  <c:v>WZW-A</c:v>
                </c:pt>
                <c:pt idx="1">
                  <c:v>TC(%)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ABC比較!$A$3:$A$52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ABC比較!$K$3:$K$52</c:f>
              <c:numCache>
                <c:formatCode>General</c:formatCode>
                <c:ptCount val="50"/>
                <c:pt idx="0">
                  <c:v>1.5406291294884018</c:v>
                </c:pt>
                <c:pt idx="1">
                  <c:v>1.4161295250234402</c:v>
                </c:pt>
                <c:pt idx="2">
                  <c:v>1.6965059523267074</c:v>
                </c:pt>
                <c:pt idx="3">
                  <c:v>1.0904870955269532</c:v>
                </c:pt>
                <c:pt idx="4">
                  <c:v>1.5211335163211774</c:v>
                </c:pt>
                <c:pt idx="5">
                  <c:v>1.6563418981873981</c:v>
                </c:pt>
                <c:pt idx="6">
                  <c:v>1.6718688810931297</c:v>
                </c:pt>
                <c:pt idx="7">
                  <c:v>1.7698091467954851</c:v>
                </c:pt>
                <c:pt idx="8">
                  <c:v>1.6167161736612357</c:v>
                </c:pt>
                <c:pt idx="9">
                  <c:v>1.5066312267591815</c:v>
                </c:pt>
                <c:pt idx="10">
                  <c:v>0.90837835803344014</c:v>
                </c:pt>
                <c:pt idx="11">
                  <c:v>1.0532713254039487</c:v>
                </c:pt>
                <c:pt idx="12">
                  <c:v>0.8925873554659024</c:v>
                </c:pt>
                <c:pt idx="13">
                  <c:v>0.86972569694128121</c:v>
                </c:pt>
                <c:pt idx="14">
                  <c:v>0.99408224654191324</c:v>
                </c:pt>
                <c:pt idx="15">
                  <c:v>1.0771451815571547</c:v>
                </c:pt>
                <c:pt idx="16">
                  <c:v>0.71390636049344003</c:v>
                </c:pt>
                <c:pt idx="17">
                  <c:v>0.74445119963440798</c:v>
                </c:pt>
                <c:pt idx="18">
                  <c:v>0.59243852892394722</c:v>
                </c:pt>
                <c:pt idx="19">
                  <c:v>0.80688961812551818</c:v>
                </c:pt>
                <c:pt idx="20">
                  <c:v>0.87362049888382742</c:v>
                </c:pt>
                <c:pt idx="21">
                  <c:v>0.81035883963221422</c:v>
                </c:pt>
                <c:pt idx="22">
                  <c:v>0.96354129690043866</c:v>
                </c:pt>
                <c:pt idx="23">
                  <c:v>0.96541393283077337</c:v>
                </c:pt>
                <c:pt idx="24">
                  <c:v>0.78921434375930444</c:v>
                </c:pt>
                <c:pt idx="25">
                  <c:v>0.93817079662101976</c:v>
                </c:pt>
                <c:pt idx="26">
                  <c:v>0.95990951408118941</c:v>
                </c:pt>
                <c:pt idx="27">
                  <c:v>1.0490724656588921</c:v>
                </c:pt>
                <c:pt idx="28">
                  <c:v>0.78677177280655508</c:v>
                </c:pt>
                <c:pt idx="29">
                  <c:v>1.0670826672429139</c:v>
                </c:pt>
                <c:pt idx="30">
                  <c:v>1.0525038082767735</c:v>
                </c:pt>
                <c:pt idx="31">
                  <c:v>1.2355898668775895</c:v>
                </c:pt>
                <c:pt idx="32">
                  <c:v>1.5038736847352054</c:v>
                </c:pt>
                <c:pt idx="33">
                  <c:v>1.2948199958539268</c:v>
                </c:pt>
                <c:pt idx="34">
                  <c:v>1.1800271579686541</c:v>
                </c:pt>
                <c:pt idx="35">
                  <c:v>1.1681884733779546</c:v>
                </c:pt>
                <c:pt idx="36">
                  <c:v>1.2288796912452027</c:v>
                </c:pt>
                <c:pt idx="37">
                  <c:v>0.9918036800866411</c:v>
                </c:pt>
                <c:pt idx="38">
                  <c:v>1.7732889208071763</c:v>
                </c:pt>
                <c:pt idx="39">
                  <c:v>1.3857817633334357</c:v>
                </c:pt>
                <c:pt idx="40">
                  <c:v>0.8005625364984349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A-4F77-A926-73D462D232CD}"/>
            </c:ext>
          </c:extLst>
        </c:ser>
        <c:ser>
          <c:idx val="1"/>
          <c:order val="1"/>
          <c:tx>
            <c:strRef>
              <c:f>ABC比較!$L$1:$L$2</c:f>
              <c:strCache>
                <c:ptCount val="2"/>
                <c:pt idx="0">
                  <c:v>WZW-B</c:v>
                </c:pt>
                <c:pt idx="1">
                  <c:v>TC(%)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ABC比較!$A$3:$A$52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ABC比較!$L$3:$L$52</c:f>
              <c:numCache>
                <c:formatCode>General</c:formatCode>
                <c:ptCount val="50"/>
                <c:pt idx="0">
                  <c:v>1.1072108183368099</c:v>
                </c:pt>
                <c:pt idx="1">
                  <c:v>0.99898493350175588</c:v>
                </c:pt>
                <c:pt idx="2">
                  <c:v>0.96894820790830172</c:v>
                </c:pt>
                <c:pt idx="3">
                  <c:v>1.1264271444984657</c:v>
                </c:pt>
                <c:pt idx="4">
                  <c:v>1.4616069454272584</c:v>
                </c:pt>
                <c:pt idx="5">
                  <c:v>1.3497698016255253</c:v>
                </c:pt>
                <c:pt idx="6">
                  <c:v>0.9415173803685265</c:v>
                </c:pt>
                <c:pt idx="7">
                  <c:v>1.3986857716511143</c:v>
                </c:pt>
                <c:pt idx="8">
                  <c:v>1.1304071325738754</c:v>
                </c:pt>
                <c:pt idx="9">
                  <c:v>1.338917708639179</c:v>
                </c:pt>
                <c:pt idx="10">
                  <c:v>1.3536449069198397</c:v>
                </c:pt>
                <c:pt idx="11">
                  <c:v>1.1042378218240267</c:v>
                </c:pt>
                <c:pt idx="12">
                  <c:v>1.502055249901096</c:v>
                </c:pt>
                <c:pt idx="13">
                  <c:v>1.5203262534851563</c:v>
                </c:pt>
                <c:pt idx="14">
                  <c:v>1.5860068750527372</c:v>
                </c:pt>
                <c:pt idx="15">
                  <c:v>1.160033016557795</c:v>
                </c:pt>
                <c:pt idx="16">
                  <c:v>1.0986588081839743</c:v>
                </c:pt>
                <c:pt idx="17">
                  <c:v>1.1297617393686925</c:v>
                </c:pt>
                <c:pt idx="18">
                  <c:v>0.91227651955639744</c:v>
                </c:pt>
                <c:pt idx="19">
                  <c:v>0.79485180841645575</c:v>
                </c:pt>
                <c:pt idx="20">
                  <c:v>0.67639727540883265</c:v>
                </c:pt>
                <c:pt idx="21">
                  <c:v>0.86634315333630574</c:v>
                </c:pt>
                <c:pt idx="22">
                  <c:v>0.71045720053397443</c:v>
                </c:pt>
                <c:pt idx="23">
                  <c:v>0.543206205387055</c:v>
                </c:pt>
                <c:pt idx="24">
                  <c:v>0.658281818676129</c:v>
                </c:pt>
                <c:pt idx="25">
                  <c:v>0.64944018173009699</c:v>
                </c:pt>
                <c:pt idx="26">
                  <c:v>0.74522518209169442</c:v>
                </c:pt>
                <c:pt idx="27">
                  <c:v>0.98066596116807814</c:v>
                </c:pt>
                <c:pt idx="28">
                  <c:v>0.86785922226372236</c:v>
                </c:pt>
                <c:pt idx="29">
                  <c:v>0.51803233527174597</c:v>
                </c:pt>
                <c:pt idx="30">
                  <c:v>0.48974227189870967</c:v>
                </c:pt>
                <c:pt idx="31">
                  <c:v>0.39953490683264081</c:v>
                </c:pt>
                <c:pt idx="32">
                  <c:v>0.49034169220378548</c:v>
                </c:pt>
                <c:pt idx="33">
                  <c:v>0.43184807173121026</c:v>
                </c:pt>
                <c:pt idx="34">
                  <c:v>0.57365599961257485</c:v>
                </c:pt>
                <c:pt idx="35">
                  <c:v>0.5681212221778501</c:v>
                </c:pt>
                <c:pt idx="36">
                  <c:v>0.61398469593333327</c:v>
                </c:pt>
                <c:pt idx="37">
                  <c:v>0.56911335588348899</c:v>
                </c:pt>
                <c:pt idx="38">
                  <c:v>0.65535994256025232</c:v>
                </c:pt>
                <c:pt idx="39">
                  <c:v>0.57746069369815944</c:v>
                </c:pt>
                <c:pt idx="40">
                  <c:v>0.59614309872327864</c:v>
                </c:pt>
                <c:pt idx="41">
                  <c:v>0.61937562364361365</c:v>
                </c:pt>
                <c:pt idx="42">
                  <c:v>0.67096465825610552</c:v>
                </c:pt>
                <c:pt idx="43">
                  <c:v>0.73603760385856698</c:v>
                </c:pt>
                <c:pt idx="44">
                  <c:v>0.71709031167651005</c:v>
                </c:pt>
                <c:pt idx="45">
                  <c:v>0.78137973666092719</c:v>
                </c:pt>
                <c:pt idx="46">
                  <c:v>0.81749723736440139</c:v>
                </c:pt>
                <c:pt idx="47">
                  <c:v>0.74912480907352019</c:v>
                </c:pt>
                <c:pt idx="48">
                  <c:v>0.85132292513096763</c:v>
                </c:pt>
                <c:pt idx="49">
                  <c:v>0.77074808926213023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A-4F77-A926-73D462D232CD}"/>
            </c:ext>
          </c:extLst>
        </c:ser>
        <c:ser>
          <c:idx val="2"/>
          <c:order val="2"/>
          <c:tx>
            <c:strRef>
              <c:f>ABC比較!$M$1:$M$2</c:f>
              <c:strCache>
                <c:ptCount val="2"/>
                <c:pt idx="0">
                  <c:v>WZW-C</c:v>
                </c:pt>
                <c:pt idx="1">
                  <c:v>TC(%)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ABC比較!$A$3:$A$52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ABC比較!$M$3:$M$52</c:f>
              <c:numCache>
                <c:formatCode>General</c:formatCode>
                <c:ptCount val="50"/>
                <c:pt idx="0">
                  <c:v>0.4461355590826086</c:v>
                </c:pt>
                <c:pt idx="1">
                  <c:v>0.47975354557953792</c:v>
                </c:pt>
                <c:pt idx="2">
                  <c:v>0.47269423098528429</c:v>
                </c:pt>
                <c:pt idx="3">
                  <c:v>0.43824130373395637</c:v>
                </c:pt>
                <c:pt idx="4">
                  <c:v>0.43338678401192049</c:v>
                </c:pt>
                <c:pt idx="5">
                  <c:v>0.39317188374950157</c:v>
                </c:pt>
                <c:pt idx="6">
                  <c:v>0.38626642436381575</c:v>
                </c:pt>
                <c:pt idx="7">
                  <c:v>0.39528889800833328</c:v>
                </c:pt>
                <c:pt idx="8">
                  <c:v>0.42964460255913317</c:v>
                </c:pt>
                <c:pt idx="9">
                  <c:v>0.41798392783092109</c:v>
                </c:pt>
                <c:pt idx="10">
                  <c:v>0.4338738972561873</c:v>
                </c:pt>
                <c:pt idx="11">
                  <c:v>0.49059869214343432</c:v>
                </c:pt>
                <c:pt idx="12">
                  <c:v>0.47125918624387092</c:v>
                </c:pt>
                <c:pt idx="13">
                  <c:v>0.4701519349389936</c:v>
                </c:pt>
                <c:pt idx="14">
                  <c:v>0.44100353902810441</c:v>
                </c:pt>
                <c:pt idx="15">
                  <c:v>0.42945136485000002</c:v>
                </c:pt>
                <c:pt idx="16">
                  <c:v>0.39017267507079029</c:v>
                </c:pt>
                <c:pt idx="17">
                  <c:v>0.37449271543503182</c:v>
                </c:pt>
                <c:pt idx="18">
                  <c:v>0.39870448287039467</c:v>
                </c:pt>
                <c:pt idx="19">
                  <c:v>0.40109590221104652</c:v>
                </c:pt>
                <c:pt idx="20">
                  <c:v>0.38770399030402686</c:v>
                </c:pt>
                <c:pt idx="21">
                  <c:v>0.42949940797034702</c:v>
                </c:pt>
                <c:pt idx="22">
                  <c:v>0.46375150966644285</c:v>
                </c:pt>
                <c:pt idx="23">
                  <c:v>0.39026862702420378</c:v>
                </c:pt>
                <c:pt idx="24">
                  <c:v>0.43407564068533333</c:v>
                </c:pt>
                <c:pt idx="25">
                  <c:v>0.42567008190410099</c:v>
                </c:pt>
                <c:pt idx="26">
                  <c:v>0.40036068508909645</c:v>
                </c:pt>
                <c:pt idx="27">
                  <c:v>0.44737945702192683</c:v>
                </c:pt>
                <c:pt idx="28">
                  <c:v>0.39463346176437497</c:v>
                </c:pt>
                <c:pt idx="29">
                  <c:v>0.43134729837615893</c:v>
                </c:pt>
                <c:pt idx="30">
                  <c:v>0.43237202090617277</c:v>
                </c:pt>
                <c:pt idx="31">
                  <c:v>0.48256541572113554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CA-4F77-A926-73D462D2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4952"/>
        <c:axId val="513246128"/>
      </c:lineChart>
      <c:catAx>
        <c:axId val="513244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600"/>
                  <a:t>距離土壤表面深度</a:t>
                </a:r>
              </a:p>
            </c:rich>
          </c:tx>
          <c:layout>
            <c:manualLayout>
              <c:xMode val="edge"/>
              <c:yMode val="edge"/>
              <c:x val="0.78683615945646357"/>
              <c:y val="0.8334824012967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6128"/>
        <c:crosses val="autoZero"/>
        <c:auto val="1"/>
        <c:lblAlgn val="ctr"/>
        <c:lblOffset val="100"/>
        <c:noMultiLvlLbl val="0"/>
      </c:catAx>
      <c:valAx>
        <c:axId val="5132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TIC(%)</a:t>
                </a:r>
                <a:endParaRPr lang="zh-TW" altLang="en-US" sz="1600"/>
              </a:p>
            </c:rich>
          </c:tx>
          <c:layout>
            <c:manualLayout>
              <c:xMode val="edge"/>
              <c:yMode val="edge"/>
              <c:x val="1.3943862230249397E-2"/>
              <c:y val="0.399748969457143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/>
              <a:t>WZW-B TOC(%)</a:t>
            </a:r>
            <a:r>
              <a:rPr lang="zh-TW" altLang="en-US" sz="1800"/>
              <a:t>、</a:t>
            </a:r>
            <a:r>
              <a:rPr lang="en-US" altLang="zh-TW" sz="1800"/>
              <a:t>TIC(%)</a:t>
            </a:r>
            <a:r>
              <a:rPr lang="zh-TW" altLang="en-US" sz="1800"/>
              <a:t>、</a:t>
            </a:r>
            <a:r>
              <a:rPr lang="en-US" altLang="zh-TW" sz="1800"/>
              <a:t>TC(%)</a:t>
            </a:r>
            <a:r>
              <a:rPr lang="zh-TW" altLang="en-US" sz="1800"/>
              <a:t>比較圖</a:t>
            </a:r>
            <a:endParaRPr lang="en-US" altLang="zh-TW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0558998955293162E-2"/>
          <c:y val="0.11307734494598025"/>
          <c:w val="0.91585580940467426"/>
          <c:h val="0.6855086092576036"/>
        </c:manualLayout>
      </c:layout>
      <c:lineChart>
        <c:grouping val="standard"/>
        <c:varyColors val="0"/>
        <c:ser>
          <c:idx val="0"/>
          <c:order val="0"/>
          <c:tx>
            <c:strRef>
              <c:f>ABC比較!$C$1:$C$2</c:f>
              <c:strCache>
                <c:ptCount val="2"/>
                <c:pt idx="0">
                  <c:v>WZW-B</c:v>
                </c:pt>
                <c:pt idx="1">
                  <c:v>TOC(%)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ABC比較!$A$3:$A$52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ABC比較!$C$3:$C$52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B-4F8F-B6B1-1FAC0B0D391B}"/>
            </c:ext>
          </c:extLst>
        </c:ser>
        <c:ser>
          <c:idx val="1"/>
          <c:order val="1"/>
          <c:tx>
            <c:strRef>
              <c:f>ABC比較!$F$1:$F$2</c:f>
              <c:strCache>
                <c:ptCount val="2"/>
                <c:pt idx="0">
                  <c:v>WZW-B</c:v>
                </c:pt>
                <c:pt idx="1">
                  <c:v>TIC(%)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ABC比較!$A$3:$A$52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ABC比較!$F$3:$F$52</c:f>
              <c:numCache>
                <c:formatCode>General</c:formatCode>
                <c:ptCount val="50"/>
                <c:pt idx="0">
                  <c:v>2.1131549673572645E-2</c:v>
                </c:pt>
                <c:pt idx="1">
                  <c:v>1.8945049671989549E-2</c:v>
                </c:pt>
                <c:pt idx="2">
                  <c:v>1.988283310600665E-2</c:v>
                </c:pt>
                <c:pt idx="3">
                  <c:v>2.6931815527291431E-2</c:v>
                </c:pt>
                <c:pt idx="4">
                  <c:v>2.6284645365575808E-2</c:v>
                </c:pt>
                <c:pt idx="5">
                  <c:v>2.8177960946913112E-2</c:v>
                </c:pt>
                <c:pt idx="6">
                  <c:v>1.8833073283866422E-2</c:v>
                </c:pt>
                <c:pt idx="7">
                  <c:v>2.7799081617284498E-2</c:v>
                </c:pt>
                <c:pt idx="8">
                  <c:v>2.3723670148376921E-2</c:v>
                </c:pt>
                <c:pt idx="9">
                  <c:v>2.4913014599260763E-2</c:v>
                </c:pt>
                <c:pt idx="10">
                  <c:v>2.5221217271222493E-2</c:v>
                </c:pt>
                <c:pt idx="11">
                  <c:v>2.2804340230339226E-2</c:v>
                </c:pt>
                <c:pt idx="12">
                  <c:v>2.4205723621493036E-2</c:v>
                </c:pt>
                <c:pt idx="13">
                  <c:v>2.6285971721049749E-2</c:v>
                </c:pt>
                <c:pt idx="14">
                  <c:v>2.5332465473574317E-2</c:v>
                </c:pt>
                <c:pt idx="15">
                  <c:v>1.9442256059733379E-2</c:v>
                </c:pt>
                <c:pt idx="16">
                  <c:v>2.5677912414098922E-2</c:v>
                </c:pt>
                <c:pt idx="17">
                  <c:v>2.0639171432202921E-2</c:v>
                </c:pt>
                <c:pt idx="18">
                  <c:v>1.965373025494092E-2</c:v>
                </c:pt>
                <c:pt idx="19">
                  <c:v>1.8926890681377609E-2</c:v>
                </c:pt>
                <c:pt idx="20">
                  <c:v>1.7028342598116447E-2</c:v>
                </c:pt>
                <c:pt idx="21">
                  <c:v>2.3603235639000984E-2</c:v>
                </c:pt>
                <c:pt idx="22">
                  <c:v>1.918787399804564E-2</c:v>
                </c:pt>
                <c:pt idx="23">
                  <c:v>1.5436956496757963E-2</c:v>
                </c:pt>
                <c:pt idx="24">
                  <c:v>1.7470472368198271E-2</c:v>
                </c:pt>
                <c:pt idx="25">
                  <c:v>1.9316128789522682E-2</c:v>
                </c:pt>
                <c:pt idx="26">
                  <c:v>1.7767501148843779E-2</c:v>
                </c:pt>
                <c:pt idx="27">
                  <c:v>2.7199663584137609E-2</c:v>
                </c:pt>
                <c:pt idx="28">
                  <c:v>1.9427279528371613E-2</c:v>
                </c:pt>
                <c:pt idx="29">
                  <c:v>1.8782734096844726E-2</c:v>
                </c:pt>
                <c:pt idx="30">
                  <c:v>2.1588598385367804E-2</c:v>
                </c:pt>
                <c:pt idx="31">
                  <c:v>2.3490167730280932E-2</c:v>
                </c:pt>
                <c:pt idx="32">
                  <c:v>1.6321652815665635E-2</c:v>
                </c:pt>
                <c:pt idx="33">
                  <c:v>2.0352950261828002E-2</c:v>
                </c:pt>
                <c:pt idx="34">
                  <c:v>1.7720176854768132E-2</c:v>
                </c:pt>
                <c:pt idx="35">
                  <c:v>2.5048256685355937E-2</c:v>
                </c:pt>
                <c:pt idx="36">
                  <c:v>1.8083966196276429E-2</c:v>
                </c:pt>
                <c:pt idx="37">
                  <c:v>2.3160201045040432E-2</c:v>
                </c:pt>
                <c:pt idx="38">
                  <c:v>2.3387550572249758E-2</c:v>
                </c:pt>
                <c:pt idx="39">
                  <c:v>2.0689045292357135E-2</c:v>
                </c:pt>
                <c:pt idx="40">
                  <c:v>1.9178252561699763E-2</c:v>
                </c:pt>
                <c:pt idx="41">
                  <c:v>2.2872242129614046E-2</c:v>
                </c:pt>
                <c:pt idx="42">
                  <c:v>2.7536542917246911E-2</c:v>
                </c:pt>
                <c:pt idx="43">
                  <c:v>2.3977804454584185E-2</c:v>
                </c:pt>
                <c:pt idx="44">
                  <c:v>2.6690860347644757E-2</c:v>
                </c:pt>
                <c:pt idx="45">
                  <c:v>2.4064400804327177E-2</c:v>
                </c:pt>
                <c:pt idx="46">
                  <c:v>4.285791776701306E-2</c:v>
                </c:pt>
                <c:pt idx="47">
                  <c:v>4.107031423131749E-2</c:v>
                </c:pt>
                <c:pt idx="48">
                  <c:v>2.4469878201119205E-2</c:v>
                </c:pt>
                <c:pt idx="49">
                  <c:v>2.3089580050386093E-2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B-4F8F-B6B1-1FAC0B0D391B}"/>
            </c:ext>
          </c:extLst>
        </c:ser>
        <c:ser>
          <c:idx val="2"/>
          <c:order val="2"/>
          <c:tx>
            <c:strRef>
              <c:f>ABC比較!$L$1:$L$2</c:f>
              <c:strCache>
                <c:ptCount val="2"/>
                <c:pt idx="0">
                  <c:v>WZW-B</c:v>
                </c:pt>
                <c:pt idx="1">
                  <c:v>TC(%)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ABC比較!$A$3:$A$52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ABC比較!$L$3:$L$52</c:f>
              <c:numCache>
                <c:formatCode>General</c:formatCode>
                <c:ptCount val="50"/>
                <c:pt idx="0">
                  <c:v>1.1072108183368099</c:v>
                </c:pt>
                <c:pt idx="1">
                  <c:v>0.99898493350175588</c:v>
                </c:pt>
                <c:pt idx="2">
                  <c:v>0.96894820790830172</c:v>
                </c:pt>
                <c:pt idx="3">
                  <c:v>1.1264271444984657</c:v>
                </c:pt>
                <c:pt idx="4">
                  <c:v>1.4616069454272584</c:v>
                </c:pt>
                <c:pt idx="5">
                  <c:v>1.3497698016255253</c:v>
                </c:pt>
                <c:pt idx="6">
                  <c:v>0.9415173803685265</c:v>
                </c:pt>
                <c:pt idx="7">
                  <c:v>1.3986857716511143</c:v>
                </c:pt>
                <c:pt idx="8">
                  <c:v>1.1304071325738754</c:v>
                </c:pt>
                <c:pt idx="9">
                  <c:v>1.338917708639179</c:v>
                </c:pt>
                <c:pt idx="10">
                  <c:v>1.3536449069198397</c:v>
                </c:pt>
                <c:pt idx="11">
                  <c:v>1.1042378218240267</c:v>
                </c:pt>
                <c:pt idx="12">
                  <c:v>1.502055249901096</c:v>
                </c:pt>
                <c:pt idx="13">
                  <c:v>1.5203262534851563</c:v>
                </c:pt>
                <c:pt idx="14">
                  <c:v>1.5860068750527372</c:v>
                </c:pt>
                <c:pt idx="15">
                  <c:v>1.160033016557795</c:v>
                </c:pt>
                <c:pt idx="16">
                  <c:v>1.0986588081839743</c:v>
                </c:pt>
                <c:pt idx="17">
                  <c:v>1.1297617393686925</c:v>
                </c:pt>
                <c:pt idx="18">
                  <c:v>0.91227651955639744</c:v>
                </c:pt>
                <c:pt idx="19">
                  <c:v>0.79485180841645575</c:v>
                </c:pt>
                <c:pt idx="20">
                  <c:v>0.67639727540883265</c:v>
                </c:pt>
                <c:pt idx="21">
                  <c:v>0.86634315333630574</c:v>
                </c:pt>
                <c:pt idx="22">
                  <c:v>0.71045720053397443</c:v>
                </c:pt>
                <c:pt idx="23">
                  <c:v>0.543206205387055</c:v>
                </c:pt>
                <c:pt idx="24">
                  <c:v>0.658281818676129</c:v>
                </c:pt>
                <c:pt idx="25">
                  <c:v>0.64944018173009699</c:v>
                </c:pt>
                <c:pt idx="26">
                  <c:v>0.74522518209169442</c:v>
                </c:pt>
                <c:pt idx="27">
                  <c:v>0.98066596116807814</c:v>
                </c:pt>
                <c:pt idx="28">
                  <c:v>0.86785922226372236</c:v>
                </c:pt>
                <c:pt idx="29">
                  <c:v>0.51803233527174597</c:v>
                </c:pt>
                <c:pt idx="30">
                  <c:v>0.48974227189870967</c:v>
                </c:pt>
                <c:pt idx="31">
                  <c:v>0.39953490683264081</c:v>
                </c:pt>
                <c:pt idx="32">
                  <c:v>0.49034169220378548</c:v>
                </c:pt>
                <c:pt idx="33">
                  <c:v>0.43184807173121026</c:v>
                </c:pt>
                <c:pt idx="34">
                  <c:v>0.57365599961257485</c:v>
                </c:pt>
                <c:pt idx="35">
                  <c:v>0.5681212221778501</c:v>
                </c:pt>
                <c:pt idx="36">
                  <c:v>0.61398469593333327</c:v>
                </c:pt>
                <c:pt idx="37">
                  <c:v>0.56911335588348899</c:v>
                </c:pt>
                <c:pt idx="38">
                  <c:v>0.65535994256025232</c:v>
                </c:pt>
                <c:pt idx="39">
                  <c:v>0.57746069369815944</c:v>
                </c:pt>
                <c:pt idx="40">
                  <c:v>0.59614309872327864</c:v>
                </c:pt>
                <c:pt idx="41">
                  <c:v>0.61937562364361365</c:v>
                </c:pt>
                <c:pt idx="42">
                  <c:v>0.67096465825610552</c:v>
                </c:pt>
                <c:pt idx="43">
                  <c:v>0.73603760385856698</c:v>
                </c:pt>
                <c:pt idx="44">
                  <c:v>0.71709031167651005</c:v>
                </c:pt>
                <c:pt idx="45">
                  <c:v>0.78137973666092719</c:v>
                </c:pt>
                <c:pt idx="46">
                  <c:v>0.81749723736440139</c:v>
                </c:pt>
                <c:pt idx="47">
                  <c:v>0.74912480907352019</c:v>
                </c:pt>
                <c:pt idx="48">
                  <c:v>0.85132292513096763</c:v>
                </c:pt>
                <c:pt idx="49">
                  <c:v>0.77074808926213023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EB-4F8F-B6B1-1FAC0B0D3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7304"/>
        <c:axId val="514765344"/>
      </c:lineChart>
      <c:catAx>
        <c:axId val="51324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400" b="0" i="0" baseline="0">
                    <a:effectLst/>
                  </a:rPr>
                  <a:t>距離土壤表面深度</a:t>
                </a:r>
                <a:r>
                  <a:rPr lang="en-US" altLang="zh-TW" sz="1400" b="0" i="0" baseline="0">
                    <a:effectLst/>
                  </a:rPr>
                  <a:t>(cm)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70081134895269137"/>
              <c:y val="0.85554986409917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4765344"/>
        <c:crosses val="autoZero"/>
        <c:auto val="1"/>
        <c:lblAlgn val="ctr"/>
        <c:lblOffset val="100"/>
        <c:noMultiLvlLbl val="0"/>
      </c:catAx>
      <c:valAx>
        <c:axId val="5147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2000925925925926"/>
          <c:w val="0.87755796150481191"/>
          <c:h val="0.7156561679790026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852580927384079"/>
                  <c:y val="-0.21097477398658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'WZW-A'!$H$2:$H$42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'WZW-A'!$K$2:$K$42</c:f>
              <c:numCache>
                <c:formatCode>General</c:formatCode>
                <c:ptCount val="41"/>
                <c:pt idx="0">
                  <c:v>1.8268267544393701E-2</c:v>
                </c:pt>
                <c:pt idx="1">
                  <c:v>2.5720524248520827E-2</c:v>
                </c:pt>
                <c:pt idx="2">
                  <c:v>2.7761808137366922E-2</c:v>
                </c:pt>
                <c:pt idx="3">
                  <c:v>1.3890174654729888E-2</c:v>
                </c:pt>
                <c:pt idx="4">
                  <c:v>3.5998047883177939E-2</c:v>
                </c:pt>
                <c:pt idx="5">
                  <c:v>1.0779298532003446E-2</c:v>
                </c:pt>
                <c:pt idx="6">
                  <c:v>4.9809356660806256E-2</c:v>
                </c:pt>
                <c:pt idx="7">
                  <c:v>9.0043015220541658E-2</c:v>
                </c:pt>
                <c:pt idx="8">
                  <c:v>3.1247460681690785E-2</c:v>
                </c:pt>
                <c:pt idx="9">
                  <c:v>2.6451027406274863E-2</c:v>
                </c:pt>
                <c:pt idx="10">
                  <c:v>5.8285936010249711E-4</c:v>
                </c:pt>
                <c:pt idx="11">
                  <c:v>3.0416405929255336E-2</c:v>
                </c:pt>
                <c:pt idx="12">
                  <c:v>6.6250704774791095E-3</c:v>
                </c:pt>
                <c:pt idx="13">
                  <c:v>7.0166933757207011E-3</c:v>
                </c:pt>
                <c:pt idx="14">
                  <c:v>1.0562331800928255E-2</c:v>
                </c:pt>
                <c:pt idx="15">
                  <c:v>5.8285936010249711E-4</c:v>
                </c:pt>
                <c:pt idx="16">
                  <c:v>2.1294295792654301E-2</c:v>
                </c:pt>
                <c:pt idx="17">
                  <c:v>7.7869189557613601E-3</c:v>
                </c:pt>
                <c:pt idx="18">
                  <c:v>2.9331068585141144E-3</c:v>
                </c:pt>
                <c:pt idx="19">
                  <c:v>9.8033463601571742E-3</c:v>
                </c:pt>
                <c:pt idx="20">
                  <c:v>5.8285936010249711E-4</c:v>
                </c:pt>
                <c:pt idx="21">
                  <c:v>1.9540488651078762E-2</c:v>
                </c:pt>
                <c:pt idx="22">
                  <c:v>9.1532803189150191E-3</c:v>
                </c:pt>
                <c:pt idx="23">
                  <c:v>1.041319649896973E-2</c:v>
                </c:pt>
                <c:pt idx="24">
                  <c:v>5.8423229209235211E-3</c:v>
                </c:pt>
                <c:pt idx="25">
                  <c:v>5.8285936010249711E-4</c:v>
                </c:pt>
                <c:pt idx="26">
                  <c:v>2.5224649786004718E-2</c:v>
                </c:pt>
                <c:pt idx="27">
                  <c:v>9.4240858752670156E-3</c:v>
                </c:pt>
                <c:pt idx="28">
                  <c:v>7.3679447579524521E-3</c:v>
                </c:pt>
                <c:pt idx="29">
                  <c:v>1.5306393840433957E-2</c:v>
                </c:pt>
                <c:pt idx="30">
                  <c:v>5.8285936010249711E-4</c:v>
                </c:pt>
                <c:pt idx="31">
                  <c:v>1.9075177486711947E-2</c:v>
                </c:pt>
                <c:pt idx="32">
                  <c:v>1.3250853277537996E-2</c:v>
                </c:pt>
                <c:pt idx="33">
                  <c:v>9.342835914236583E-3</c:v>
                </c:pt>
                <c:pt idx="34">
                  <c:v>1.3427643207057808E-2</c:v>
                </c:pt>
                <c:pt idx="35">
                  <c:v>5.8285936010249711E-4</c:v>
                </c:pt>
                <c:pt idx="36">
                  <c:v>2.125315391043061E-2</c:v>
                </c:pt>
                <c:pt idx="37">
                  <c:v>1.0928492485273306E-2</c:v>
                </c:pt>
                <c:pt idx="38">
                  <c:v>1.6151694582759765E-2</c:v>
                </c:pt>
                <c:pt idx="39">
                  <c:v>9.1532803189150191E-3</c:v>
                </c:pt>
                <c:pt idx="40">
                  <c:v>1.4416769992498344E-3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D-40AB-98AE-E35F130E8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56448"/>
        <c:axId val="442658408"/>
      </c:scatterChart>
      <c:valAx>
        <c:axId val="4426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8408"/>
        <c:crosses val="autoZero"/>
        <c:crossBetween val="midCat"/>
      </c:valAx>
      <c:valAx>
        <c:axId val="4426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519225721784779"/>
                  <c:y val="-0.213124088655584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'WZW-A'!$H$2:$H$42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'WZW-A'!$I$2:$I$42</c:f>
              <c:numCache>
                <c:formatCode>General</c:formatCode>
                <c:ptCount val="41"/>
                <c:pt idx="0">
                  <c:v>2.8101162492884017E-2</c:v>
                </c:pt>
                <c:pt idx="1">
                  <c:v>4.680520368353544E-2</c:v>
                </c:pt>
                <c:pt idx="2">
                  <c:v>2.3272529770383434E-2</c:v>
                </c:pt>
                <c:pt idx="3">
                  <c:v>2.6201287447446063E-2</c:v>
                </c:pt>
                <c:pt idx="4">
                  <c:v>5.0288128265681332E-2</c:v>
                </c:pt>
                <c:pt idx="5">
                  <c:v>3.266813246024499E-2</c:v>
                </c:pt>
                <c:pt idx="6">
                  <c:v>2.9726264854710884E-2</c:v>
                </c:pt>
                <c:pt idx="7">
                  <c:v>2.3263654844769194E-2</c:v>
                </c:pt>
                <c:pt idx="8">
                  <c:v>2.7503133218252596E-2</c:v>
                </c:pt>
                <c:pt idx="9">
                  <c:v>2.6604210623617373E-2</c:v>
                </c:pt>
                <c:pt idx="10">
                  <c:v>1.6930040494463824E-2</c:v>
                </c:pt>
                <c:pt idx="11">
                  <c:v>1.7831502202012333E-2</c:v>
                </c:pt>
                <c:pt idx="12">
                  <c:v>1.9598997399161922E-2</c:v>
                </c:pt>
                <c:pt idx="13">
                  <c:v>2.1033908624323947E-2</c:v>
                </c:pt>
                <c:pt idx="14">
                  <c:v>2.7503223924870941E-2</c:v>
                </c:pt>
                <c:pt idx="15">
                  <c:v>2.0488024615690176E-2</c:v>
                </c:pt>
                <c:pt idx="16">
                  <c:v>3.8871240026943511E-2</c:v>
                </c:pt>
                <c:pt idx="17">
                  <c:v>1.6886794076029599E-2</c:v>
                </c:pt>
                <c:pt idx="18">
                  <c:v>1.43246026653003E-2</c:v>
                </c:pt>
                <c:pt idx="19">
                  <c:v>1.9499031688686948E-2</c:v>
                </c:pt>
                <c:pt idx="20">
                  <c:v>1.8992985145979951E-2</c:v>
                </c:pt>
                <c:pt idx="21">
                  <c:v>1.7121091976229959E-2</c:v>
                </c:pt>
                <c:pt idx="22">
                  <c:v>3.0698201827933161E-2</c:v>
                </c:pt>
                <c:pt idx="23">
                  <c:v>2.1686161910397832E-2</c:v>
                </c:pt>
                <c:pt idx="24">
                  <c:v>2.4805123419054054E-2</c:v>
                </c:pt>
                <c:pt idx="25">
                  <c:v>1.96931541981809E-2</c:v>
                </c:pt>
                <c:pt idx="26">
                  <c:v>1.7606002816261585E-2</c:v>
                </c:pt>
                <c:pt idx="27">
                  <c:v>2.41673130289199E-2</c:v>
                </c:pt>
                <c:pt idx="28">
                  <c:v>3.1336591835368563E-2</c:v>
                </c:pt>
                <c:pt idx="29">
                  <c:v>2.4015944943473162E-2</c:v>
                </c:pt>
                <c:pt idx="30">
                  <c:v>2.649456479469682E-2</c:v>
                </c:pt>
                <c:pt idx="31">
                  <c:v>2.9846835780256795E-2</c:v>
                </c:pt>
                <c:pt idx="32">
                  <c:v>3.6064915370940788E-2</c:v>
                </c:pt>
                <c:pt idx="33">
                  <c:v>3.2977231315087119E-2</c:v>
                </c:pt>
                <c:pt idx="34">
                  <c:v>2.2104977586617818E-2</c:v>
                </c:pt>
                <c:pt idx="35">
                  <c:v>4.280342146854537E-2</c:v>
                </c:pt>
                <c:pt idx="36">
                  <c:v>3.764991935484506E-2</c:v>
                </c:pt>
                <c:pt idx="37">
                  <c:v>2.6092581408820391E-2</c:v>
                </c:pt>
                <c:pt idx="38">
                  <c:v>4.2974664388946836E-2</c:v>
                </c:pt>
                <c:pt idx="39">
                  <c:v>4.262193005949106E-2</c:v>
                </c:pt>
                <c:pt idx="40">
                  <c:v>3.4953483771764535E-2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4-438A-937D-DB60D08D6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53704"/>
        <c:axId val="442654880"/>
      </c:scatterChart>
      <c:valAx>
        <c:axId val="44265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4880"/>
        <c:crosses val="autoZero"/>
        <c:crossBetween val="midCat"/>
      </c:valAx>
      <c:valAx>
        <c:axId val="4426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25242378135292"/>
                  <c:y val="-0.10707941390862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strRef>
              <c:f>'WZW-A'!$H$1:$H$41</c:f>
              <c:strCache>
                <c:ptCount val="41"/>
                <c:pt idx="0">
                  <c:v>TOC(%)</c:v>
                </c:pt>
                <c:pt idx="1">
                  <c:v>1.512527967</c:v>
                </c:pt>
                <c:pt idx="2">
                  <c:v>1.369324321</c:v>
                </c:pt>
                <c:pt idx="3">
                  <c:v>1.673233423</c:v>
                </c:pt>
                <c:pt idx="4">
                  <c:v>1.064285808</c:v>
                </c:pt>
                <c:pt idx="5">
                  <c:v>1.470845388</c:v>
                </c:pt>
                <c:pt idx="6">
                  <c:v>1.623673766</c:v>
                </c:pt>
                <c:pt idx="7">
                  <c:v>1.642142616</c:v>
                </c:pt>
                <c:pt idx="8">
                  <c:v>1.746545492</c:v>
                </c:pt>
                <c:pt idx="9">
                  <c:v>1.58921304</c:v>
                </c:pt>
                <c:pt idx="10">
                  <c:v>1.480027016</c:v>
                </c:pt>
                <c:pt idx="11">
                  <c:v>0.891448318</c:v>
                </c:pt>
                <c:pt idx="12">
                  <c:v>1.035439823</c:v>
                </c:pt>
                <c:pt idx="13">
                  <c:v>0.872988358</c:v>
                </c:pt>
                <c:pt idx="14">
                  <c:v>0.848691788</c:v>
                </c:pt>
                <c:pt idx="15">
                  <c:v>0.966579023</c:v>
                </c:pt>
                <c:pt idx="16">
                  <c:v>1.056657157</c:v>
                </c:pt>
                <c:pt idx="17">
                  <c:v>0.67503512</c:v>
                </c:pt>
                <c:pt idx="18">
                  <c:v>0.727564406</c:v>
                </c:pt>
                <c:pt idx="19">
                  <c:v>0.578113926</c:v>
                </c:pt>
                <c:pt idx="20">
                  <c:v>0.787390586</c:v>
                </c:pt>
                <c:pt idx="21">
                  <c:v>0.854627514</c:v>
                </c:pt>
                <c:pt idx="22">
                  <c:v>0.793237748</c:v>
                </c:pt>
                <c:pt idx="23">
                  <c:v>0.932843095</c:v>
                </c:pt>
                <c:pt idx="24">
                  <c:v>0.943727771</c:v>
                </c:pt>
                <c:pt idx="25">
                  <c:v>0.76440922</c:v>
                </c:pt>
                <c:pt idx="26">
                  <c:v>0.918477642</c:v>
                </c:pt>
                <c:pt idx="27">
                  <c:v>0.942303511</c:v>
                </c:pt>
                <c:pt idx="28">
                  <c:v>1.024905153</c:v>
                </c:pt>
                <c:pt idx="29">
                  <c:v>0.755435181</c:v>
                </c:pt>
                <c:pt idx="30">
                  <c:v>1.043066722</c:v>
                </c:pt>
                <c:pt idx="31">
                  <c:v>1.026009243</c:v>
                </c:pt>
                <c:pt idx="32">
                  <c:v>1.205743031</c:v>
                </c:pt>
                <c:pt idx="33">
                  <c:v>1.467808769</c:v>
                </c:pt>
                <c:pt idx="34">
                  <c:v>1.261842765</c:v>
                </c:pt>
                <c:pt idx="35">
                  <c:v>1.15792218</c:v>
                </c:pt>
                <c:pt idx="36">
                  <c:v>1.125385052</c:v>
                </c:pt>
                <c:pt idx="37">
                  <c:v>1.191229772</c:v>
                </c:pt>
                <c:pt idx="38">
                  <c:v>0.965711099</c:v>
                </c:pt>
                <c:pt idx="39">
                  <c:v>1.730314256</c:v>
                </c:pt>
                <c:pt idx="40">
                  <c:v>1.343159833</c:v>
                </c:pt>
              </c:strCache>
            </c:strRef>
          </c:xVal>
          <c:yVal>
            <c:numRef>
              <c:f>'WZW-A'!$N$1:$N$41</c:f>
              <c:numCache>
                <c:formatCode>General</c:formatCode>
                <c:ptCount val="41"/>
                <c:pt idx="0">
                  <c:v>0</c:v>
                </c:pt>
                <c:pt idx="1">
                  <c:v>208747.41666666666</c:v>
                </c:pt>
                <c:pt idx="2">
                  <c:v>191016.41666666666</c:v>
                </c:pt>
                <c:pt idx="3">
                  <c:v>240280.41666666666</c:v>
                </c:pt>
                <c:pt idx="4">
                  <c:v>140366.41666666666</c:v>
                </c:pt>
                <c:pt idx="5">
                  <c:v>203577.41666666666</c:v>
                </c:pt>
                <c:pt idx="6">
                  <c:v>226297.41666666666</c:v>
                </c:pt>
                <c:pt idx="7">
                  <c:v>231473.41666666666</c:v>
                </c:pt>
                <c:pt idx="8">
                  <c:v>251904.41666666666</c:v>
                </c:pt>
                <c:pt idx="9">
                  <c:v>221089.41666666666</c:v>
                </c:pt>
                <c:pt idx="10">
                  <c:v>206447.41666666666</c:v>
                </c:pt>
                <c:pt idx="11">
                  <c:v>104141.41666666667</c:v>
                </c:pt>
                <c:pt idx="12">
                  <c:v>125925.41666666667</c:v>
                </c:pt>
                <c:pt idx="13">
                  <c:v>106864.41666666667</c:v>
                </c:pt>
                <c:pt idx="14">
                  <c:v>95116.416666666672</c:v>
                </c:pt>
                <c:pt idx="15">
                  <c:v>111460.41666666667</c:v>
                </c:pt>
                <c:pt idx="16">
                  <c:v>114292.41666666667</c:v>
                </c:pt>
                <c:pt idx="17">
                  <c:v>70059.416666666672</c:v>
                </c:pt>
                <c:pt idx="18">
                  <c:v>82711.416666666672</c:v>
                </c:pt>
                <c:pt idx="19">
                  <c:v>62980.416666666664</c:v>
                </c:pt>
                <c:pt idx="20">
                  <c:v>90982.416666666672</c:v>
                </c:pt>
                <c:pt idx="21">
                  <c:v>99523.416666666672</c:v>
                </c:pt>
                <c:pt idx="22">
                  <c:v>82048.416666666672</c:v>
                </c:pt>
                <c:pt idx="23">
                  <c:v>90603.416666666672</c:v>
                </c:pt>
                <c:pt idx="24">
                  <c:v>110544.41666666667</c:v>
                </c:pt>
                <c:pt idx="25">
                  <c:v>81481.416666666672</c:v>
                </c:pt>
                <c:pt idx="26">
                  <c:v>112038.41666666667</c:v>
                </c:pt>
                <c:pt idx="27">
                  <c:v>108433.41666666667</c:v>
                </c:pt>
                <c:pt idx="28">
                  <c:v>117575.41666666667</c:v>
                </c:pt>
                <c:pt idx="29">
                  <c:v>81998.416666666672</c:v>
                </c:pt>
                <c:pt idx="30">
                  <c:v>128399.41666666667</c:v>
                </c:pt>
                <c:pt idx="31">
                  <c:v>120857.41666666667</c:v>
                </c:pt>
                <c:pt idx="32">
                  <c:v>142299.41666666666</c:v>
                </c:pt>
                <c:pt idx="33">
                  <c:v>176935.41666666666</c:v>
                </c:pt>
                <c:pt idx="34">
                  <c:v>146572.41666666666</c:v>
                </c:pt>
                <c:pt idx="35">
                  <c:v>137833.41666666666</c:v>
                </c:pt>
                <c:pt idx="36">
                  <c:v>118267.41666666667</c:v>
                </c:pt>
                <c:pt idx="37">
                  <c:v>126020.41666666667</c:v>
                </c:pt>
                <c:pt idx="38">
                  <c:v>114829.41666666667</c:v>
                </c:pt>
                <c:pt idx="39">
                  <c:v>206443.41666666666</c:v>
                </c:pt>
                <c:pt idx="40">
                  <c:v>142425.41666666666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0-4445-86F1-9FF64449F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56840"/>
        <c:axId val="442658016"/>
      </c:scatterChart>
      <c:valAx>
        <c:axId val="4426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8016"/>
        <c:crosses val="autoZero"/>
        <c:crossBetween val="midCat"/>
      </c:valAx>
      <c:valAx>
        <c:axId val="4426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775224880476802"/>
          <c:y val="0.11159223627353217"/>
          <c:w val="0.86229789689397995"/>
          <c:h val="0.80684217583779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40650435183412"/>
                  <c:y val="-0.19999013053986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'WZW-A'!$E$2:$E$42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'WZW-A'!$I$2:$I$42</c:f>
              <c:numCache>
                <c:formatCode>General</c:formatCode>
                <c:ptCount val="41"/>
                <c:pt idx="0">
                  <c:v>2.8101162492884017E-2</c:v>
                </c:pt>
                <c:pt idx="1">
                  <c:v>4.680520368353544E-2</c:v>
                </c:pt>
                <c:pt idx="2">
                  <c:v>2.3272529770383434E-2</c:v>
                </c:pt>
                <c:pt idx="3">
                  <c:v>2.6201287447446063E-2</c:v>
                </c:pt>
                <c:pt idx="4">
                  <c:v>5.0288128265681332E-2</c:v>
                </c:pt>
                <c:pt idx="5">
                  <c:v>3.266813246024499E-2</c:v>
                </c:pt>
                <c:pt idx="6">
                  <c:v>2.9726264854710884E-2</c:v>
                </c:pt>
                <c:pt idx="7">
                  <c:v>2.3263654844769194E-2</c:v>
                </c:pt>
                <c:pt idx="8">
                  <c:v>2.7503133218252596E-2</c:v>
                </c:pt>
                <c:pt idx="9">
                  <c:v>2.6604210623617373E-2</c:v>
                </c:pt>
                <c:pt idx="10">
                  <c:v>1.6930040494463824E-2</c:v>
                </c:pt>
                <c:pt idx="11">
                  <c:v>1.7831502202012333E-2</c:v>
                </c:pt>
                <c:pt idx="12">
                  <c:v>1.9598997399161922E-2</c:v>
                </c:pt>
                <c:pt idx="13">
                  <c:v>2.1033908624323947E-2</c:v>
                </c:pt>
                <c:pt idx="14">
                  <c:v>2.7503223924870941E-2</c:v>
                </c:pt>
                <c:pt idx="15">
                  <c:v>2.0488024615690176E-2</c:v>
                </c:pt>
                <c:pt idx="16">
                  <c:v>3.8871240026943511E-2</c:v>
                </c:pt>
                <c:pt idx="17">
                  <c:v>1.6886794076029599E-2</c:v>
                </c:pt>
                <c:pt idx="18">
                  <c:v>1.43246026653003E-2</c:v>
                </c:pt>
                <c:pt idx="19">
                  <c:v>1.9499031688686948E-2</c:v>
                </c:pt>
                <c:pt idx="20">
                  <c:v>1.8992985145979951E-2</c:v>
                </c:pt>
                <c:pt idx="21">
                  <c:v>1.7121091976229959E-2</c:v>
                </c:pt>
                <c:pt idx="22">
                  <c:v>3.0698201827933161E-2</c:v>
                </c:pt>
                <c:pt idx="23">
                  <c:v>2.1686161910397832E-2</c:v>
                </c:pt>
                <c:pt idx="24">
                  <c:v>2.4805123419054054E-2</c:v>
                </c:pt>
                <c:pt idx="25">
                  <c:v>1.96931541981809E-2</c:v>
                </c:pt>
                <c:pt idx="26">
                  <c:v>1.7606002816261585E-2</c:v>
                </c:pt>
                <c:pt idx="27">
                  <c:v>2.41673130289199E-2</c:v>
                </c:pt>
                <c:pt idx="28">
                  <c:v>3.1336591835368563E-2</c:v>
                </c:pt>
                <c:pt idx="29">
                  <c:v>2.4015944943473162E-2</c:v>
                </c:pt>
                <c:pt idx="30">
                  <c:v>2.649456479469682E-2</c:v>
                </c:pt>
                <c:pt idx="31">
                  <c:v>2.9846835780256795E-2</c:v>
                </c:pt>
                <c:pt idx="32">
                  <c:v>3.6064915370940788E-2</c:v>
                </c:pt>
                <c:pt idx="33">
                  <c:v>3.2977231315087119E-2</c:v>
                </c:pt>
                <c:pt idx="34">
                  <c:v>2.2104977586617818E-2</c:v>
                </c:pt>
                <c:pt idx="35">
                  <c:v>4.280342146854537E-2</c:v>
                </c:pt>
                <c:pt idx="36">
                  <c:v>3.764991935484506E-2</c:v>
                </c:pt>
                <c:pt idx="37">
                  <c:v>2.6092581408820391E-2</c:v>
                </c:pt>
                <c:pt idx="38">
                  <c:v>4.2974664388946836E-2</c:v>
                </c:pt>
                <c:pt idx="39">
                  <c:v>4.262193005949106E-2</c:v>
                </c:pt>
                <c:pt idx="40">
                  <c:v>3.4953483771764535E-2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E-402E-BBAC-32C30B775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59192"/>
        <c:axId val="442659584"/>
      </c:scatterChart>
      <c:valAx>
        <c:axId val="44265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9584"/>
        <c:crosses val="autoZero"/>
        <c:crossBetween val="midCat"/>
      </c:valAx>
      <c:valAx>
        <c:axId val="4426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ROC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48603216071549"/>
                  <c:y val="-8.2637682194762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'WZW-A'!$H$2:$H$42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'WZW-A'!$N$2:$N$42</c:f>
              <c:numCache>
                <c:formatCode>General</c:formatCode>
                <c:ptCount val="41"/>
                <c:pt idx="0">
                  <c:v>208747.41666666666</c:v>
                </c:pt>
                <c:pt idx="1">
                  <c:v>191016.41666666666</c:v>
                </c:pt>
                <c:pt idx="2">
                  <c:v>240280.41666666666</c:v>
                </c:pt>
                <c:pt idx="3">
                  <c:v>140366.41666666666</c:v>
                </c:pt>
                <c:pt idx="4">
                  <c:v>203577.41666666666</c:v>
                </c:pt>
                <c:pt idx="5">
                  <c:v>226297.41666666666</c:v>
                </c:pt>
                <c:pt idx="6">
                  <c:v>231473.41666666666</c:v>
                </c:pt>
                <c:pt idx="7">
                  <c:v>251904.41666666666</c:v>
                </c:pt>
                <c:pt idx="8">
                  <c:v>221089.41666666666</c:v>
                </c:pt>
                <c:pt idx="9">
                  <c:v>206447.41666666666</c:v>
                </c:pt>
                <c:pt idx="10">
                  <c:v>104141.41666666667</c:v>
                </c:pt>
                <c:pt idx="11">
                  <c:v>125925.41666666667</c:v>
                </c:pt>
                <c:pt idx="12">
                  <c:v>106864.41666666667</c:v>
                </c:pt>
                <c:pt idx="13">
                  <c:v>95116.416666666672</c:v>
                </c:pt>
                <c:pt idx="14">
                  <c:v>111460.41666666667</c:v>
                </c:pt>
                <c:pt idx="15">
                  <c:v>114292.41666666667</c:v>
                </c:pt>
                <c:pt idx="16">
                  <c:v>70059.416666666672</c:v>
                </c:pt>
                <c:pt idx="17">
                  <c:v>82711.416666666672</c:v>
                </c:pt>
                <c:pt idx="18">
                  <c:v>62980.416666666664</c:v>
                </c:pt>
                <c:pt idx="19">
                  <c:v>90982.416666666672</c:v>
                </c:pt>
                <c:pt idx="20">
                  <c:v>99523.416666666672</c:v>
                </c:pt>
                <c:pt idx="21">
                  <c:v>82048.416666666672</c:v>
                </c:pt>
                <c:pt idx="22">
                  <c:v>90603.416666666672</c:v>
                </c:pt>
                <c:pt idx="23">
                  <c:v>110544.41666666667</c:v>
                </c:pt>
                <c:pt idx="24">
                  <c:v>81481.416666666672</c:v>
                </c:pt>
                <c:pt idx="25">
                  <c:v>112038.41666666667</c:v>
                </c:pt>
                <c:pt idx="26">
                  <c:v>108433.41666666667</c:v>
                </c:pt>
                <c:pt idx="27">
                  <c:v>117575.41666666667</c:v>
                </c:pt>
                <c:pt idx="28">
                  <c:v>81998.416666666672</c:v>
                </c:pt>
                <c:pt idx="29">
                  <c:v>128399.41666666667</c:v>
                </c:pt>
                <c:pt idx="30">
                  <c:v>120857.41666666667</c:v>
                </c:pt>
                <c:pt idx="31">
                  <c:v>142299.41666666666</c:v>
                </c:pt>
                <c:pt idx="32">
                  <c:v>176935.41666666666</c:v>
                </c:pt>
                <c:pt idx="33">
                  <c:v>146572.41666666666</c:v>
                </c:pt>
                <c:pt idx="34">
                  <c:v>137833.41666666666</c:v>
                </c:pt>
                <c:pt idx="35">
                  <c:v>118267.41666666667</c:v>
                </c:pt>
                <c:pt idx="36">
                  <c:v>126020.41666666667</c:v>
                </c:pt>
                <c:pt idx="37">
                  <c:v>114829.41666666667</c:v>
                </c:pt>
                <c:pt idx="38">
                  <c:v>206443.41666666666</c:v>
                </c:pt>
                <c:pt idx="39">
                  <c:v>142425.41666666666</c:v>
                </c:pt>
                <c:pt idx="40">
                  <c:v>76069.416666666672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4-4025-8260-6CFE9282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60760"/>
        <c:axId val="442659976"/>
      </c:scatterChart>
      <c:valAx>
        <c:axId val="44266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9976"/>
        <c:crosses val="autoZero"/>
        <c:crossBetween val="midCat"/>
      </c:valAx>
      <c:valAx>
        <c:axId val="44265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6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0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233265</xdr:colOff>
      <xdr:row>0</xdr:row>
      <xdr:rowOff>197757</xdr:rowOff>
    </xdr:from>
    <xdr:to>
      <xdr:col>29</xdr:col>
      <xdr:colOff>101298</xdr:colOff>
      <xdr:row>13</xdr:row>
      <xdr:rowOff>4537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138016</xdr:colOff>
      <xdr:row>14</xdr:row>
      <xdr:rowOff>200220</xdr:rowOff>
    </xdr:from>
    <xdr:to>
      <xdr:col>27</xdr:col>
      <xdr:colOff>35278</xdr:colOff>
      <xdr:row>27</xdr:row>
      <xdr:rowOff>172861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612322</xdr:colOff>
      <xdr:row>28</xdr:row>
      <xdr:rowOff>194733</xdr:rowOff>
    </xdr:from>
    <xdr:to>
      <xdr:col>20</xdr:col>
      <xdr:colOff>478267</xdr:colOff>
      <xdr:row>41</xdr:row>
      <xdr:rowOff>180420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13606</xdr:colOff>
      <xdr:row>25</xdr:row>
      <xdr:rowOff>51102</xdr:rowOff>
    </xdr:from>
    <xdr:to>
      <xdr:col>26</xdr:col>
      <xdr:colOff>217713</xdr:colOff>
      <xdr:row>43</xdr:row>
      <xdr:rowOff>27214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40392" y="5153781"/>
          <a:ext cx="4966608" cy="3650040"/>
        </a:xfrm>
        <a:prstGeom prst="rect">
          <a:avLst/>
        </a:prstGeom>
      </xdr:spPr>
    </xdr:pic>
    <xdr:clientData/>
  </xdr:twoCellAnchor>
  <xdr:twoCellAnchor>
    <xdr:from>
      <xdr:col>15</xdr:col>
      <xdr:colOff>141363</xdr:colOff>
      <xdr:row>14</xdr:row>
      <xdr:rowOff>142571</xdr:rowOff>
    </xdr:from>
    <xdr:to>
      <xdr:col>21</xdr:col>
      <xdr:colOff>578303</xdr:colOff>
      <xdr:row>27</xdr:row>
      <xdr:rowOff>134105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368146</xdr:colOff>
      <xdr:row>5</xdr:row>
      <xdr:rowOff>116869</xdr:rowOff>
    </xdr:from>
    <xdr:to>
      <xdr:col>25</xdr:col>
      <xdr:colOff>124730</xdr:colOff>
      <xdr:row>18</xdr:row>
      <xdr:rowOff>108402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290285</xdr:colOff>
      <xdr:row>0</xdr:row>
      <xdr:rowOff>54428</xdr:rowOff>
    </xdr:from>
    <xdr:to>
      <xdr:col>22</xdr:col>
      <xdr:colOff>46868</xdr:colOff>
      <xdr:row>13</xdr:row>
      <xdr:rowOff>53521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495193</xdr:colOff>
      <xdr:row>1</xdr:row>
      <xdr:rowOff>78441</xdr:rowOff>
    </xdr:from>
    <xdr:to>
      <xdr:col>23</xdr:col>
      <xdr:colOff>629932</xdr:colOff>
      <xdr:row>18</xdr:row>
      <xdr:rowOff>141674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470647</xdr:colOff>
      <xdr:row>20</xdr:row>
      <xdr:rowOff>123265</xdr:rowOff>
    </xdr:from>
    <xdr:to>
      <xdr:col>22</xdr:col>
      <xdr:colOff>104853</xdr:colOff>
      <xdr:row>36</xdr:row>
      <xdr:rowOff>100853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326198</xdr:colOff>
      <xdr:row>16</xdr:row>
      <xdr:rowOff>117431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33663</xdr:colOff>
      <xdr:row>0</xdr:row>
      <xdr:rowOff>0</xdr:rowOff>
    </xdr:from>
    <xdr:to>
      <xdr:col>16</xdr:col>
      <xdr:colOff>91335</xdr:colOff>
      <xdr:row>16</xdr:row>
      <xdr:rowOff>104384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17</xdr:row>
      <xdr:rowOff>0</xdr:rowOff>
    </xdr:from>
    <xdr:to>
      <xdr:col>7</xdr:col>
      <xdr:colOff>326199</xdr:colOff>
      <xdr:row>34</xdr:row>
      <xdr:rowOff>52192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3653</xdr:colOff>
      <xdr:row>17</xdr:row>
      <xdr:rowOff>32099</xdr:rowOff>
    </xdr:from>
    <xdr:to>
      <xdr:col>16</xdr:col>
      <xdr:colOff>156575</xdr:colOff>
      <xdr:row>34</xdr:row>
      <xdr:rowOff>39144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52193</xdr:rowOff>
    </xdr:from>
    <xdr:to>
      <xdr:col>9</xdr:col>
      <xdr:colOff>495822</xdr:colOff>
      <xdr:row>55</xdr:row>
      <xdr:rowOff>13048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39141</xdr:colOff>
      <xdr:row>35</xdr:row>
      <xdr:rowOff>52193</xdr:rowOff>
    </xdr:from>
    <xdr:to>
      <xdr:col>20</xdr:col>
      <xdr:colOff>156575</xdr:colOff>
      <xdr:row>54</xdr:row>
      <xdr:rowOff>104382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610263</xdr:colOff>
      <xdr:row>1</xdr:row>
      <xdr:rowOff>191900</xdr:rowOff>
    </xdr:from>
    <xdr:to>
      <xdr:col>20</xdr:col>
      <xdr:colOff>616541</xdr:colOff>
      <xdr:row>13</xdr:row>
      <xdr:rowOff>173517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19566</xdr:colOff>
      <xdr:row>15</xdr:row>
      <xdr:rowOff>199287</xdr:rowOff>
    </xdr:from>
    <xdr:to>
      <xdr:col>21</xdr:col>
      <xdr:colOff>25842</xdr:colOff>
      <xdr:row>27</xdr:row>
      <xdr:rowOff>44302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565962</xdr:colOff>
      <xdr:row>26</xdr:row>
      <xdr:rowOff>129139</xdr:rowOff>
    </xdr:from>
    <xdr:to>
      <xdr:col>19</xdr:col>
      <xdr:colOff>564856</xdr:colOff>
      <xdr:row>38</xdr:row>
      <xdr:rowOff>151366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660843</xdr:colOff>
      <xdr:row>40</xdr:row>
      <xdr:rowOff>95990</xdr:rowOff>
    </xdr:from>
    <xdr:to>
      <xdr:col>19</xdr:col>
      <xdr:colOff>649486</xdr:colOff>
      <xdr:row>51</xdr:row>
      <xdr:rowOff>66455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7762" y="8513432"/>
          <a:ext cx="4108759" cy="2285261"/>
        </a:xfrm>
        <a:prstGeom prst="rect">
          <a:avLst/>
        </a:prstGeom>
      </xdr:spPr>
    </xdr:pic>
    <xdr:clientData/>
  </xdr:twoCellAnchor>
  <xdr:twoCellAnchor>
    <xdr:from>
      <xdr:col>15</xdr:col>
      <xdr:colOff>338912</xdr:colOff>
      <xdr:row>6</xdr:row>
      <xdr:rowOff>151293</xdr:rowOff>
    </xdr:from>
    <xdr:to>
      <xdr:col>22</xdr:col>
      <xdr:colOff>104110</xdr:colOff>
      <xdr:row>19</xdr:row>
      <xdr:rowOff>158824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338912</xdr:colOff>
      <xdr:row>12</xdr:row>
      <xdr:rowOff>84838</xdr:rowOff>
    </xdr:from>
    <xdr:to>
      <xdr:col>22</xdr:col>
      <xdr:colOff>104110</xdr:colOff>
      <xdr:row>25</xdr:row>
      <xdr:rowOff>92370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39871</xdr:colOff>
      <xdr:row>5</xdr:row>
      <xdr:rowOff>62688</xdr:rowOff>
    </xdr:from>
    <xdr:to>
      <xdr:col>20</xdr:col>
      <xdr:colOff>491755</xdr:colOff>
      <xdr:row>18</xdr:row>
      <xdr:rowOff>70219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457200</xdr:colOff>
      <xdr:row>27</xdr:row>
      <xdr:rowOff>19050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14</xdr:col>
      <xdr:colOff>457200</xdr:colOff>
      <xdr:row>27</xdr:row>
      <xdr:rowOff>19050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6</xdr:col>
      <xdr:colOff>457200</xdr:colOff>
      <xdr:row>41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14</xdr:col>
      <xdr:colOff>457200</xdr:colOff>
      <xdr:row>41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422554</xdr:colOff>
      <xdr:row>1</xdr:row>
      <xdr:rowOff>143995</xdr:rowOff>
    </xdr:from>
    <xdr:to>
      <xdr:col>19</xdr:col>
      <xdr:colOff>86658</xdr:colOff>
      <xdr:row>12</xdr:row>
      <xdr:rowOff>4295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588962</xdr:colOff>
      <xdr:row>12</xdr:row>
      <xdr:rowOff>110378</xdr:rowOff>
    </xdr:from>
    <xdr:to>
      <xdr:col>19</xdr:col>
      <xdr:colOff>246716</xdr:colOff>
      <xdr:row>23</xdr:row>
      <xdr:rowOff>27641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500996</xdr:colOff>
      <xdr:row>23</xdr:row>
      <xdr:rowOff>43142</xdr:rowOff>
    </xdr:from>
    <xdr:to>
      <xdr:col>20</xdr:col>
      <xdr:colOff>152401</xdr:colOff>
      <xdr:row>32</xdr:row>
      <xdr:rowOff>208243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9525</xdr:colOff>
      <xdr:row>35</xdr:row>
      <xdr:rowOff>9525</xdr:rowOff>
    </xdr:from>
    <xdr:to>
      <xdr:col>16</xdr:col>
      <xdr:colOff>342900</xdr:colOff>
      <xdr:row>45</xdr:row>
      <xdr:rowOff>32653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94525" y="7232650"/>
          <a:ext cx="3508375" cy="2086878"/>
        </a:xfrm>
        <a:prstGeom prst="rect">
          <a:avLst/>
        </a:prstGeom>
      </xdr:spPr>
    </xdr:pic>
    <xdr:clientData/>
  </xdr:twoCellAnchor>
  <xdr:twoCellAnchor>
    <xdr:from>
      <xdr:col>18</xdr:col>
      <xdr:colOff>33337</xdr:colOff>
      <xdr:row>2</xdr:row>
      <xdr:rowOff>61912</xdr:rowOff>
    </xdr:from>
    <xdr:to>
      <xdr:col>24</xdr:col>
      <xdr:colOff>490537</xdr:colOff>
      <xdr:row>15</xdr:row>
      <xdr:rowOff>80962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122862</xdr:colOff>
      <xdr:row>3</xdr:row>
      <xdr:rowOff>72756</xdr:rowOff>
    </xdr:from>
    <xdr:to>
      <xdr:col>20</xdr:col>
      <xdr:colOff>612720</xdr:colOff>
      <xdr:row>16</xdr:row>
      <xdr:rowOff>162564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476410</xdr:colOff>
      <xdr:row>13</xdr:row>
      <xdr:rowOff>133511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476410</xdr:colOff>
      <xdr:row>13</xdr:row>
      <xdr:rowOff>133511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476410</xdr:colOff>
      <xdr:row>27</xdr:row>
      <xdr:rowOff>133511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13</xdr:col>
      <xdr:colOff>476410</xdr:colOff>
      <xdr:row>27</xdr:row>
      <xdr:rowOff>133511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6</xdr:col>
      <xdr:colOff>476410</xdr:colOff>
      <xdr:row>41</xdr:row>
      <xdr:rowOff>133511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13</xdr:col>
      <xdr:colOff>476410</xdr:colOff>
      <xdr:row>41</xdr:row>
      <xdr:rowOff>133511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249875</xdr:colOff>
      <xdr:row>7</xdr:row>
      <xdr:rowOff>168479</xdr:rowOff>
    </xdr:from>
    <xdr:to>
      <xdr:col>24</xdr:col>
      <xdr:colOff>197921</xdr:colOff>
      <xdr:row>27</xdr:row>
      <xdr:rowOff>37110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370485</xdr:colOff>
      <xdr:row>39</xdr:row>
      <xdr:rowOff>60861</xdr:rowOff>
    </xdr:from>
    <xdr:to>
      <xdr:col>22</xdr:col>
      <xdr:colOff>40945</xdr:colOff>
      <xdr:row>57</xdr:row>
      <xdr:rowOff>139784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618508</xdr:colOff>
      <xdr:row>27</xdr:row>
      <xdr:rowOff>86591</xdr:rowOff>
    </xdr:from>
    <xdr:to>
      <xdr:col>23</xdr:col>
      <xdr:colOff>294411</xdr:colOff>
      <xdr:row>45</xdr:row>
      <xdr:rowOff>165515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59</xdr:row>
      <xdr:rowOff>0</xdr:rowOff>
    </xdr:from>
    <xdr:to>
      <xdr:col>20</xdr:col>
      <xdr:colOff>356260</xdr:colOff>
      <xdr:row>77</xdr:row>
      <xdr:rowOff>78923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79</xdr:row>
      <xdr:rowOff>0</xdr:rowOff>
    </xdr:from>
    <xdr:to>
      <xdr:col>20</xdr:col>
      <xdr:colOff>628403</xdr:colOff>
      <xdr:row>98</xdr:row>
      <xdr:rowOff>78924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64325</xdr:colOff>
      <xdr:row>0</xdr:row>
      <xdr:rowOff>32408</xdr:rowOff>
    </xdr:from>
    <xdr:to>
      <xdr:col>19</xdr:col>
      <xdr:colOff>554182</xdr:colOff>
      <xdr:row>13</xdr:row>
      <xdr:rowOff>41809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352672</xdr:colOff>
      <xdr:row>0</xdr:row>
      <xdr:rowOff>156110</xdr:rowOff>
    </xdr:from>
    <xdr:to>
      <xdr:col>20</xdr:col>
      <xdr:colOff>162172</xdr:colOff>
      <xdr:row>13</xdr:row>
      <xdr:rowOff>165511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534588</xdr:colOff>
      <xdr:row>4</xdr:row>
      <xdr:rowOff>94260</xdr:rowOff>
    </xdr:from>
    <xdr:to>
      <xdr:col>21</xdr:col>
      <xdr:colOff>333114</xdr:colOff>
      <xdr:row>17</xdr:row>
      <xdr:rowOff>103661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490783</xdr:colOff>
      <xdr:row>24</xdr:row>
      <xdr:rowOff>2718</xdr:rowOff>
    </xdr:from>
    <xdr:to>
      <xdr:col>37</xdr:col>
      <xdr:colOff>463570</xdr:colOff>
      <xdr:row>51</xdr:row>
      <xdr:rowOff>7421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454635</xdr:colOff>
      <xdr:row>6</xdr:row>
      <xdr:rowOff>17698</xdr:rowOff>
    </xdr:from>
    <xdr:to>
      <xdr:col>31</xdr:col>
      <xdr:colOff>368044</xdr:colOff>
      <xdr:row>29</xdr:row>
      <xdr:rowOff>17697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43294</xdr:colOff>
      <xdr:row>8</xdr:row>
      <xdr:rowOff>161058</xdr:rowOff>
    </xdr:from>
    <xdr:to>
      <xdr:col>25</xdr:col>
      <xdr:colOff>554181</xdr:colOff>
      <xdr:row>33</xdr:row>
      <xdr:rowOff>103909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8576"/>
  <sheetViews>
    <sheetView topLeftCell="K1" zoomScale="75" workbookViewId="0">
      <selection activeCell="R4" sqref="R4"/>
    </sheetView>
  </sheetViews>
  <sheetFormatPr baseColWidth="10" defaultColWidth="10.83203125" defaultRowHeight="16"/>
  <cols>
    <col min="1" max="1" width="10.83203125" style="6"/>
    <col min="2" max="2" width="11" style="5" bestFit="1" customWidth="1"/>
    <col min="3" max="3" width="10.83203125" style="5"/>
    <col min="4" max="4" width="12.83203125" style="5" customWidth="1"/>
    <col min="5" max="5" width="11" style="5" customWidth="1"/>
    <col min="6" max="6" width="12.83203125" style="5" customWidth="1"/>
    <col min="7" max="7" width="16.6640625" style="5" customWidth="1"/>
    <col min="8" max="8" width="16.33203125" style="5" customWidth="1"/>
    <col min="9" max="9" width="19.5" style="5" customWidth="1"/>
    <col min="10" max="10" width="15.1640625" style="5" customWidth="1"/>
    <col min="11" max="11" width="10.83203125" style="5"/>
    <col min="12" max="12" width="17" style="5" customWidth="1"/>
    <col min="13" max="13" width="17.5" style="5" customWidth="1"/>
    <col min="14" max="15" width="13.5" style="5" customWidth="1"/>
    <col min="16" max="16" width="17.1640625" style="5" customWidth="1"/>
    <col min="17" max="19" width="13.5" style="5" customWidth="1"/>
    <col min="20" max="20" width="17.83203125" style="5" customWidth="1"/>
    <col min="21" max="21" width="13.5" style="5" customWidth="1"/>
    <col min="22" max="22" width="14" style="5" customWidth="1"/>
    <col min="23" max="24" width="13.5" style="5" customWidth="1"/>
    <col min="25" max="25" width="10.83203125" style="5"/>
    <col min="26" max="16384" width="10.83203125" style="6"/>
  </cols>
  <sheetData>
    <row r="1" spans="1:25">
      <c r="L1" s="22"/>
      <c r="M1" s="23" t="s">
        <v>26</v>
      </c>
      <c r="N1" s="23" t="s">
        <v>27</v>
      </c>
      <c r="O1" s="23" t="s">
        <v>30</v>
      </c>
      <c r="P1" s="24"/>
    </row>
    <row r="2" spans="1:25">
      <c r="L2" s="25" t="s">
        <v>28</v>
      </c>
      <c r="M2" s="26">
        <v>1.3809969999999999E-6</v>
      </c>
      <c r="N2" s="26">
        <v>3.3333599881999999E-2</v>
      </c>
      <c r="O2" s="26"/>
      <c r="P2" s="27" t="s">
        <v>31</v>
      </c>
      <c r="X2" s="8"/>
    </row>
    <row r="3" spans="1:25">
      <c r="F3" s="10" t="s">
        <v>54</v>
      </c>
      <c r="G3" s="11"/>
      <c r="H3" s="11"/>
      <c r="I3" s="11"/>
      <c r="J3" s="11"/>
      <c r="L3" s="28" t="s">
        <v>29</v>
      </c>
      <c r="M3" s="29">
        <v>1.34137240556928E-5</v>
      </c>
      <c r="N3" s="29">
        <v>6.5198900750206902E-4</v>
      </c>
      <c r="O3" s="30">
        <v>9.8739581370289001E-11</v>
      </c>
      <c r="P3" s="31" t="s">
        <v>32</v>
      </c>
    </row>
    <row r="4" spans="1:25">
      <c r="F4" s="11"/>
      <c r="G4" s="10" t="s">
        <v>39</v>
      </c>
      <c r="H4" s="11"/>
      <c r="I4" s="11"/>
      <c r="J4" s="11"/>
      <c r="O4" s="32" t="s">
        <v>51</v>
      </c>
      <c r="P4" s="33"/>
      <c r="Q4" s="33"/>
      <c r="R4" s="33"/>
      <c r="U4" s="35" t="s">
        <v>52</v>
      </c>
      <c r="V4" s="33"/>
      <c r="W4" s="33"/>
      <c r="X4" s="33"/>
      <c r="Y4" s="35"/>
    </row>
    <row r="5" spans="1:25">
      <c r="L5" s="12" t="s">
        <v>40</v>
      </c>
      <c r="M5" s="14" t="s">
        <v>45</v>
      </c>
      <c r="N5" s="16" t="s">
        <v>47</v>
      </c>
      <c r="O5" s="18"/>
      <c r="P5" s="12" t="s">
        <v>40</v>
      </c>
      <c r="T5" s="14" t="s">
        <v>45</v>
      </c>
      <c r="U5" s="16" t="s">
        <v>46</v>
      </c>
      <c r="V5" s="18"/>
      <c r="W5" s="19" t="s">
        <v>48</v>
      </c>
      <c r="X5" s="18"/>
      <c r="Y5" s="18"/>
    </row>
    <row r="6" spans="1:25">
      <c r="A6" s="3" t="s">
        <v>55</v>
      </c>
      <c r="B6" s="3" t="s">
        <v>16</v>
      </c>
      <c r="C6" s="4" t="s">
        <v>17</v>
      </c>
      <c r="D6" s="4" t="s">
        <v>18</v>
      </c>
      <c r="E6" s="4" t="s">
        <v>19</v>
      </c>
      <c r="F6" s="1" t="s">
        <v>20</v>
      </c>
      <c r="G6" s="1" t="s">
        <v>0</v>
      </c>
      <c r="H6" s="1" t="s">
        <v>1</v>
      </c>
      <c r="I6" s="1" t="s">
        <v>2</v>
      </c>
      <c r="J6" s="1" t="s">
        <v>3</v>
      </c>
      <c r="L6" s="13" t="s">
        <v>4</v>
      </c>
      <c r="M6" s="15" t="s">
        <v>5</v>
      </c>
      <c r="N6" s="17" t="s">
        <v>6</v>
      </c>
      <c r="O6" s="34" t="s">
        <v>12</v>
      </c>
      <c r="P6" s="13" t="s">
        <v>7</v>
      </c>
      <c r="Q6" s="13" t="s">
        <v>8</v>
      </c>
      <c r="R6" s="13" t="s">
        <v>9</v>
      </c>
      <c r="S6" s="2" t="s">
        <v>38</v>
      </c>
      <c r="T6" s="15" t="s">
        <v>10</v>
      </c>
      <c r="U6" s="20" t="s">
        <v>11</v>
      </c>
      <c r="V6" s="34" t="s">
        <v>211</v>
      </c>
      <c r="W6" s="21" t="s">
        <v>13</v>
      </c>
      <c r="X6" s="21" t="s">
        <v>14</v>
      </c>
    </row>
    <row r="7" spans="1:25">
      <c r="A7" s="5">
        <v>1</v>
      </c>
      <c r="B7" s="5">
        <v>100</v>
      </c>
      <c r="C7" s="5" t="s">
        <v>15</v>
      </c>
      <c r="D7" s="5" t="s">
        <v>21</v>
      </c>
      <c r="E7" s="5" t="s">
        <v>22</v>
      </c>
      <c r="F7" s="5" t="s">
        <v>23</v>
      </c>
      <c r="G7" s="5">
        <v>0</v>
      </c>
      <c r="H7" s="5">
        <v>0</v>
      </c>
      <c r="I7" s="5">
        <v>0</v>
      </c>
      <c r="J7" s="5">
        <v>0</v>
      </c>
      <c r="U7" s="9"/>
      <c r="V7" s="9"/>
      <c r="W7" s="9"/>
      <c r="X7" s="9"/>
    </row>
    <row r="8" spans="1:25">
      <c r="A8" s="5">
        <v>2</v>
      </c>
      <c r="B8" s="5">
        <v>100</v>
      </c>
      <c r="C8" s="5" t="s">
        <v>15</v>
      </c>
      <c r="D8" s="5" t="s">
        <v>21</v>
      </c>
      <c r="E8" s="5" t="s">
        <v>22</v>
      </c>
      <c r="F8" s="5" t="s">
        <v>23</v>
      </c>
      <c r="G8" s="5">
        <v>0</v>
      </c>
      <c r="H8" s="5">
        <v>0</v>
      </c>
      <c r="I8" s="5">
        <v>0</v>
      </c>
      <c r="J8" s="5">
        <v>0</v>
      </c>
      <c r="N8" s="9"/>
      <c r="U8" s="9"/>
      <c r="V8" s="9"/>
      <c r="W8" s="9"/>
      <c r="X8" s="9"/>
    </row>
    <row r="9" spans="1:25">
      <c r="A9" s="5">
        <v>3</v>
      </c>
      <c r="B9" s="7">
        <v>100</v>
      </c>
      <c r="C9" s="7" t="s">
        <v>50</v>
      </c>
      <c r="D9" s="7" t="s">
        <v>33</v>
      </c>
      <c r="E9" s="7" t="s">
        <v>25</v>
      </c>
      <c r="F9" s="7" t="s">
        <v>23</v>
      </c>
      <c r="G9" s="7">
        <v>300</v>
      </c>
      <c r="H9" s="7">
        <v>200</v>
      </c>
      <c r="I9" s="7">
        <v>320</v>
      </c>
      <c r="J9" s="7">
        <v>300</v>
      </c>
      <c r="N9" s="9"/>
      <c r="U9" s="9"/>
      <c r="V9" s="9"/>
      <c r="W9" s="9"/>
      <c r="X9" s="9"/>
    </row>
    <row r="10" spans="1:25">
      <c r="A10" s="5">
        <v>4</v>
      </c>
      <c r="B10" s="5">
        <v>50</v>
      </c>
      <c r="C10" s="5" t="s">
        <v>49</v>
      </c>
      <c r="D10" s="5" t="s">
        <v>33</v>
      </c>
      <c r="E10" s="5" t="s">
        <v>25</v>
      </c>
      <c r="F10" s="5" t="s">
        <v>23</v>
      </c>
      <c r="G10" s="5">
        <v>85000</v>
      </c>
      <c r="H10" s="5">
        <v>110</v>
      </c>
      <c r="I10" s="5">
        <v>1500</v>
      </c>
      <c r="J10" s="5">
        <v>3000</v>
      </c>
      <c r="L10" s="5">
        <f>J10-$J$32</f>
        <v>2700</v>
      </c>
      <c r="M10" s="5">
        <f>L10*$M$3+$N$3+$O$3*L10^2</f>
        <v>3.758885550606203E-2</v>
      </c>
      <c r="N10" s="9">
        <f>M10/B10*100</f>
        <v>7.517771101212406E-2</v>
      </c>
      <c r="O10" s="9">
        <f>N10*SQRT((0.2/B10)^2+(0.020798677/M10)^2)</f>
        <v>4.1598440918056589E-2</v>
      </c>
      <c r="P10" s="5">
        <f>G10-$G$32</f>
        <v>84700</v>
      </c>
      <c r="Q10" s="5">
        <f>H10-$H$32</f>
        <v>-90</v>
      </c>
      <c r="R10" s="5">
        <f>I10-$I$32</f>
        <v>1180</v>
      </c>
      <c r="S10" s="5">
        <f>SUM(P10:R10)</f>
        <v>85790</v>
      </c>
      <c r="T10" s="5">
        <f>$M$2*S10+$N$2</f>
        <v>0.15180933251199999</v>
      </c>
      <c r="U10" s="9">
        <f>T10/B10*100</f>
        <v>0.30361866502399998</v>
      </c>
      <c r="V10" s="9">
        <f>U10*SQRT((0.2/B10)^2+(0.0215046295359953/T10)^2)</f>
        <v>4.3026402529396074E-2</v>
      </c>
      <c r="W10" s="9">
        <f>U10*((P10+Q10)/S10)</f>
        <v>0.29944253698194007</v>
      </c>
      <c r="X10" s="9">
        <f>U10*(R10/S10)</f>
        <v>4.1761280420599131E-3</v>
      </c>
    </row>
    <row r="11" spans="1:25">
      <c r="A11" s="5">
        <v>5</v>
      </c>
      <c r="B11" s="5">
        <v>50</v>
      </c>
      <c r="C11" s="5" t="s">
        <v>34</v>
      </c>
      <c r="D11" s="5" t="s">
        <v>33</v>
      </c>
      <c r="E11" s="5" t="s">
        <v>25</v>
      </c>
      <c r="F11" s="5" t="s">
        <v>23</v>
      </c>
      <c r="G11" s="5">
        <v>75000</v>
      </c>
      <c r="H11" s="5">
        <v>500</v>
      </c>
      <c r="I11" s="5">
        <v>8000</v>
      </c>
      <c r="J11" s="5">
        <v>4500</v>
      </c>
      <c r="L11" s="5">
        <f>J11-$J$32</f>
        <v>4200</v>
      </c>
      <c r="M11" s="5">
        <f t="shared" ref="M11:M26" si="0">L11*$M$3+$N$3+$O$3*L11^2</f>
        <v>5.8731396256783724E-2</v>
      </c>
      <c r="N11" s="9">
        <f>M11/B11*100</f>
        <v>0.11746279251356746</v>
      </c>
      <c r="O11" s="9">
        <f t="shared" ref="O11:O26" si="1">N11*SQRT((0.2/B11)^2+(0.020798677/M11)^2)</f>
        <v>4.1600007451000745E-2</v>
      </c>
      <c r="P11" s="5">
        <f>G11-$G$32</f>
        <v>74700</v>
      </c>
      <c r="Q11" s="5">
        <f>H11-$H$32</f>
        <v>300</v>
      </c>
      <c r="R11" s="5">
        <f>I11-$I$32</f>
        <v>7680</v>
      </c>
      <c r="S11" s="5">
        <f>SUM(P11:R11)</f>
        <v>82680</v>
      </c>
      <c r="T11" s="5">
        <f>$M$2*S11+$N$2</f>
        <v>0.147514431842</v>
      </c>
      <c r="U11" s="9">
        <f>T11/B11*100</f>
        <v>0.295028863684</v>
      </c>
      <c r="V11" s="9">
        <f t="shared" ref="V11:V26" si="2">U11*SQRT((0.2/B11)^2+(0.0215046295359953/T11)^2)</f>
        <v>4.3025446405680817E-2</v>
      </c>
      <c r="W11" s="9">
        <f>U11*((P11+Q11)/S11)</f>
        <v>0.26762415065674888</v>
      </c>
      <c r="X11" s="9">
        <f>U11*(R11/S11)</f>
        <v>2.7404713027251087E-2</v>
      </c>
    </row>
    <row r="12" spans="1:25">
      <c r="A12" s="5">
        <v>6</v>
      </c>
      <c r="B12" s="5">
        <v>50</v>
      </c>
      <c r="C12" s="5" t="s">
        <v>35</v>
      </c>
      <c r="D12" s="5" t="s">
        <v>33</v>
      </c>
      <c r="E12" s="5" t="s">
        <v>24</v>
      </c>
      <c r="F12" s="5" t="s">
        <v>23</v>
      </c>
      <c r="G12" s="5">
        <v>77000</v>
      </c>
      <c r="H12" s="5">
        <v>510</v>
      </c>
      <c r="I12" s="5">
        <v>8500</v>
      </c>
      <c r="J12" s="5">
        <v>4300</v>
      </c>
      <c r="L12" s="5">
        <f>J12-$J$32</f>
        <v>4000</v>
      </c>
      <c r="M12" s="5">
        <f t="shared" si="0"/>
        <v>5.5886718532197892E-2</v>
      </c>
      <c r="N12" s="9">
        <f>M12/B12*100</f>
        <v>0.11177343706439578</v>
      </c>
      <c r="O12" s="9">
        <f t="shared" si="1"/>
        <v>4.1599756641368078E-2</v>
      </c>
      <c r="P12" s="5">
        <f>G12-$G$32</f>
        <v>76700</v>
      </c>
      <c r="Q12" s="5">
        <f>H12-$H$32</f>
        <v>310</v>
      </c>
      <c r="R12" s="5">
        <f>I12-$I$32</f>
        <v>8180</v>
      </c>
      <c r="S12" s="5">
        <f>SUM(P12:R12)</f>
        <v>85190</v>
      </c>
      <c r="T12" s="5">
        <f>$M$2*S12+$N$2</f>
        <v>0.15098073431199999</v>
      </c>
      <c r="U12" s="9">
        <f>T12/B12*100</f>
        <v>0.30196146862399997</v>
      </c>
      <c r="V12" s="9">
        <f t="shared" si="2"/>
        <v>4.302621593375535E-2</v>
      </c>
      <c r="W12" s="9">
        <f>U12*((P12+Q12)/S12)</f>
        <v>0.27296692920218613</v>
      </c>
      <c r="X12" s="9">
        <f>U12*(R12/S12)</f>
        <v>2.8994539421813827E-2</v>
      </c>
    </row>
    <row r="13" spans="1:25">
      <c r="A13" s="5">
        <v>7</v>
      </c>
      <c r="B13" s="5">
        <v>50</v>
      </c>
      <c r="C13" s="5" t="s">
        <v>36</v>
      </c>
      <c r="D13" s="5" t="s">
        <v>33</v>
      </c>
      <c r="E13" s="5" t="s">
        <v>24</v>
      </c>
      <c r="F13" s="5" t="s">
        <v>23</v>
      </c>
      <c r="G13" s="5">
        <v>70000</v>
      </c>
      <c r="H13" s="5">
        <v>530</v>
      </c>
      <c r="I13" s="5">
        <v>8700</v>
      </c>
      <c r="J13" s="5">
        <v>3800</v>
      </c>
      <c r="L13" s="5">
        <f>J13-$J$32</f>
        <v>3500</v>
      </c>
      <c r="M13" s="5">
        <f t="shared" si="0"/>
        <v>4.8809583074212903E-2</v>
      </c>
      <c r="N13" s="9">
        <f>M13/B13*100</f>
        <v>9.7619166148425807E-2</v>
      </c>
      <c r="O13" s="9">
        <f t="shared" si="1"/>
        <v>4.1599186672661138E-2</v>
      </c>
      <c r="P13" s="5">
        <f>G13-$G$32</f>
        <v>69700</v>
      </c>
      <c r="Q13" s="5">
        <f>H13-$H$32</f>
        <v>330</v>
      </c>
      <c r="R13" s="5">
        <f>I13-$I$32</f>
        <v>8380</v>
      </c>
      <c r="S13" s="5">
        <f>SUM(P13:R13)</f>
        <v>78410</v>
      </c>
      <c r="T13" s="5">
        <f>$M$2*S13+$N$2</f>
        <v>0.14161757465200001</v>
      </c>
      <c r="U13" s="9">
        <f>T13/B13*100</f>
        <v>0.28323514930400001</v>
      </c>
      <c r="V13" s="9">
        <f t="shared" si="2"/>
        <v>4.3024178322408735E-2</v>
      </c>
      <c r="W13" s="9">
        <f>U13*((P13+Q13)/S13)</f>
        <v>0.2529646410631185</v>
      </c>
      <c r="X13" s="9">
        <f>U13*(R13/S13)</f>
        <v>3.0270508240881521E-2</v>
      </c>
    </row>
    <row r="14" spans="1:25">
      <c r="A14" s="5">
        <v>8</v>
      </c>
      <c r="B14" s="5">
        <v>50</v>
      </c>
      <c r="C14" s="5" t="s">
        <v>37</v>
      </c>
      <c r="D14" s="5" t="s">
        <v>33</v>
      </c>
      <c r="E14" s="5" t="s">
        <v>24</v>
      </c>
      <c r="F14" s="5" t="s">
        <v>23</v>
      </c>
      <c r="G14" s="5">
        <v>76000</v>
      </c>
      <c r="H14" s="5">
        <v>520</v>
      </c>
      <c r="I14" s="5">
        <v>8200</v>
      </c>
      <c r="J14" s="5">
        <v>4000</v>
      </c>
      <c r="L14" s="5">
        <f>J14-$J$32</f>
        <v>3700</v>
      </c>
      <c r="M14" s="5">
        <f t="shared" si="0"/>
        <v>5.1634512882524679E-2</v>
      </c>
      <c r="N14" s="9">
        <f>M14/B14*100</f>
        <v>0.10326902576504936</v>
      </c>
      <c r="O14" s="9">
        <f t="shared" si="1"/>
        <v>4.1599404943679606E-2</v>
      </c>
      <c r="P14" s="5">
        <f>G14-$G$32</f>
        <v>75700</v>
      </c>
      <c r="Q14" s="5">
        <f>H14-$H$32</f>
        <v>320</v>
      </c>
      <c r="R14" s="5">
        <f>I14-$I$32</f>
        <v>7880</v>
      </c>
      <c r="S14" s="5">
        <f>SUM(P14:R14)</f>
        <v>83900</v>
      </c>
      <c r="T14" s="5">
        <f>$M$2*S14+$N$2</f>
        <v>0.149199248182</v>
      </c>
      <c r="U14" s="9">
        <f>T14/B14*100</f>
        <v>0.29839849636400001</v>
      </c>
      <c r="V14" s="9">
        <f t="shared" si="2"/>
        <v>4.3025818208649119E-2</v>
      </c>
      <c r="W14" s="9">
        <f>U14*((P14+Q14)/S14)</f>
        <v>0.27037251124661837</v>
      </c>
      <c r="X14" s="9">
        <f>U14*(R14/S14)</f>
        <v>2.8025985117381646E-2</v>
      </c>
    </row>
    <row r="15" spans="1:25">
      <c r="A15" s="5">
        <v>9</v>
      </c>
      <c r="B15" s="7">
        <v>100</v>
      </c>
      <c r="C15" s="7" t="s">
        <v>50</v>
      </c>
      <c r="D15" s="7" t="s">
        <v>33</v>
      </c>
      <c r="E15" s="7" t="s">
        <v>25</v>
      </c>
      <c r="F15" s="7" t="s">
        <v>23</v>
      </c>
      <c r="G15" s="7">
        <v>300</v>
      </c>
      <c r="H15" s="7">
        <v>200</v>
      </c>
      <c r="I15" s="7">
        <v>320</v>
      </c>
      <c r="J15" s="7">
        <v>300</v>
      </c>
      <c r="N15" s="9"/>
      <c r="O15" s="9"/>
      <c r="U15" s="9"/>
      <c r="V15" s="9"/>
      <c r="W15" s="9"/>
      <c r="X15" s="9"/>
    </row>
    <row r="16" spans="1:25">
      <c r="A16" s="5">
        <v>10</v>
      </c>
      <c r="B16" s="5">
        <v>50</v>
      </c>
      <c r="C16" s="5" t="s">
        <v>49</v>
      </c>
      <c r="D16" s="5" t="s">
        <v>33</v>
      </c>
      <c r="E16" s="5" t="s">
        <v>25</v>
      </c>
      <c r="F16" s="5" t="s">
        <v>23</v>
      </c>
      <c r="G16" s="5">
        <v>85000</v>
      </c>
      <c r="H16" s="5">
        <v>110</v>
      </c>
      <c r="I16" s="5">
        <v>1500</v>
      </c>
      <c r="J16" s="5">
        <v>3000</v>
      </c>
      <c r="L16" s="5">
        <f>J16-$J$32</f>
        <v>2700</v>
      </c>
      <c r="M16" s="5">
        <f t="shared" si="0"/>
        <v>3.758885550606203E-2</v>
      </c>
      <c r="N16" s="9">
        <f t="shared" ref="N16:N26" si="3">M16/B16*100</f>
        <v>7.517771101212406E-2</v>
      </c>
      <c r="O16" s="9">
        <f t="shared" si="1"/>
        <v>4.1598440918056589E-2</v>
      </c>
      <c r="P16" s="5">
        <f>G16-$G$32</f>
        <v>84700</v>
      </c>
      <c r="Q16" s="5">
        <f>H16-$H$32</f>
        <v>-90</v>
      </c>
      <c r="R16" s="5">
        <f>I16-$I$32</f>
        <v>1180</v>
      </c>
      <c r="S16" s="5">
        <f t="shared" ref="S16:S26" si="4">SUM(P16:R16)</f>
        <v>85790</v>
      </c>
      <c r="T16" s="5">
        <f t="shared" ref="T16:T26" si="5">$M$2*S16+$N$2</f>
        <v>0.15180933251199999</v>
      </c>
      <c r="U16" s="9">
        <f t="shared" ref="U16:U26" si="6">T16/B16*100</f>
        <v>0.30361866502399998</v>
      </c>
      <c r="V16" s="9">
        <f t="shared" si="2"/>
        <v>4.3026402529396074E-2</v>
      </c>
      <c r="W16" s="9">
        <f t="shared" ref="W16:W26" si="7">U16*((P16+Q16)/S16)</f>
        <v>0.29944253698194007</v>
      </c>
      <c r="X16" s="9">
        <f t="shared" ref="X16:X26" si="8">U16*(R16/S16)</f>
        <v>4.1761280420599131E-3</v>
      </c>
    </row>
    <row r="17" spans="1:24">
      <c r="A17" s="5">
        <v>11</v>
      </c>
      <c r="B17" s="5">
        <v>50</v>
      </c>
      <c r="C17" s="5" t="s">
        <v>34</v>
      </c>
      <c r="D17" s="5" t="s">
        <v>33</v>
      </c>
      <c r="E17" s="5" t="s">
        <v>25</v>
      </c>
      <c r="F17" s="5" t="s">
        <v>23</v>
      </c>
      <c r="G17" s="5">
        <v>75000</v>
      </c>
      <c r="H17" s="5">
        <v>500</v>
      </c>
      <c r="I17" s="5">
        <v>8000</v>
      </c>
      <c r="J17" s="5">
        <v>4500</v>
      </c>
      <c r="L17" s="5">
        <f>J17-$J$32</f>
        <v>4200</v>
      </c>
      <c r="M17" s="5">
        <f t="shared" si="0"/>
        <v>5.8731396256783724E-2</v>
      </c>
      <c r="N17" s="9">
        <f t="shared" si="3"/>
        <v>0.11746279251356746</v>
      </c>
      <c r="O17" s="9">
        <f t="shared" si="1"/>
        <v>4.1600007451000745E-2</v>
      </c>
      <c r="P17" s="5">
        <f>G17-$G$32</f>
        <v>74700</v>
      </c>
      <c r="Q17" s="5">
        <f>H17-$H$32</f>
        <v>300</v>
      </c>
      <c r="R17" s="5">
        <f>I17-$I$32</f>
        <v>7680</v>
      </c>
      <c r="S17" s="5">
        <f t="shared" si="4"/>
        <v>82680</v>
      </c>
      <c r="T17" s="5">
        <f t="shared" si="5"/>
        <v>0.147514431842</v>
      </c>
      <c r="U17" s="9">
        <f t="shared" si="6"/>
        <v>0.295028863684</v>
      </c>
      <c r="V17" s="9">
        <f t="shared" si="2"/>
        <v>4.3025446405680817E-2</v>
      </c>
      <c r="W17" s="9">
        <f t="shared" si="7"/>
        <v>0.26762415065674888</v>
      </c>
      <c r="X17" s="9">
        <f t="shared" si="8"/>
        <v>2.7404713027251087E-2</v>
      </c>
    </row>
    <row r="18" spans="1:24">
      <c r="A18" s="5">
        <v>12</v>
      </c>
      <c r="B18" s="5">
        <v>50</v>
      </c>
      <c r="C18" s="5" t="s">
        <v>35</v>
      </c>
      <c r="D18" s="5" t="s">
        <v>33</v>
      </c>
      <c r="E18" s="5" t="s">
        <v>24</v>
      </c>
      <c r="F18" s="5" t="s">
        <v>23</v>
      </c>
      <c r="G18" s="5">
        <v>77000</v>
      </c>
      <c r="H18" s="5">
        <v>510</v>
      </c>
      <c r="I18" s="5">
        <v>8500</v>
      </c>
      <c r="J18" s="5">
        <v>4300</v>
      </c>
      <c r="L18" s="5">
        <f>J18-$J$32</f>
        <v>4000</v>
      </c>
      <c r="M18" s="5">
        <f t="shared" si="0"/>
        <v>5.5886718532197892E-2</v>
      </c>
      <c r="N18" s="9">
        <f t="shared" si="3"/>
        <v>0.11177343706439578</v>
      </c>
      <c r="O18" s="9">
        <f t="shared" si="1"/>
        <v>4.1599756641368078E-2</v>
      </c>
      <c r="P18" s="5">
        <f>G18-$G$32</f>
        <v>76700</v>
      </c>
      <c r="Q18" s="5">
        <f>H18-$H$32</f>
        <v>310</v>
      </c>
      <c r="R18" s="5">
        <f>I18-$I$32</f>
        <v>8180</v>
      </c>
      <c r="S18" s="5">
        <f t="shared" si="4"/>
        <v>85190</v>
      </c>
      <c r="T18" s="5">
        <f t="shared" si="5"/>
        <v>0.15098073431199999</v>
      </c>
      <c r="U18" s="9">
        <f t="shared" si="6"/>
        <v>0.30196146862399997</v>
      </c>
      <c r="V18" s="9">
        <f t="shared" si="2"/>
        <v>4.302621593375535E-2</v>
      </c>
      <c r="W18" s="9">
        <f t="shared" si="7"/>
        <v>0.27296692920218613</v>
      </c>
      <c r="X18" s="9">
        <f t="shared" si="8"/>
        <v>2.8994539421813827E-2</v>
      </c>
    </row>
    <row r="19" spans="1:24">
      <c r="A19" s="5">
        <v>13</v>
      </c>
      <c r="B19" s="5">
        <v>50</v>
      </c>
      <c r="C19" s="5" t="s">
        <v>36</v>
      </c>
      <c r="D19" s="5" t="s">
        <v>33</v>
      </c>
      <c r="E19" s="5" t="s">
        <v>24</v>
      </c>
      <c r="F19" s="5" t="s">
        <v>23</v>
      </c>
      <c r="G19" s="5">
        <v>70000</v>
      </c>
      <c r="H19" s="5">
        <v>530</v>
      </c>
      <c r="I19" s="5">
        <v>8700</v>
      </c>
      <c r="J19" s="5">
        <v>3800</v>
      </c>
      <c r="L19" s="5">
        <f>J19-$J$32</f>
        <v>3500</v>
      </c>
      <c r="M19" s="5">
        <f t="shared" si="0"/>
        <v>4.8809583074212903E-2</v>
      </c>
      <c r="N19" s="9">
        <f t="shared" si="3"/>
        <v>9.7619166148425807E-2</v>
      </c>
      <c r="O19" s="9">
        <f t="shared" si="1"/>
        <v>4.1599186672661138E-2</v>
      </c>
      <c r="P19" s="5">
        <f>G19-$G$32</f>
        <v>69700</v>
      </c>
      <c r="Q19" s="5">
        <f>H19-$H$32</f>
        <v>330</v>
      </c>
      <c r="R19" s="5">
        <f>I19-$I$32</f>
        <v>8380</v>
      </c>
      <c r="S19" s="5">
        <f t="shared" si="4"/>
        <v>78410</v>
      </c>
      <c r="T19" s="5">
        <f t="shared" si="5"/>
        <v>0.14161757465200001</v>
      </c>
      <c r="U19" s="9">
        <f t="shared" si="6"/>
        <v>0.28323514930400001</v>
      </c>
      <c r="V19" s="9">
        <f t="shared" si="2"/>
        <v>4.3024178322408735E-2</v>
      </c>
      <c r="W19" s="9">
        <f t="shared" si="7"/>
        <v>0.2529646410631185</v>
      </c>
      <c r="X19" s="9">
        <f t="shared" si="8"/>
        <v>3.0270508240881521E-2</v>
      </c>
    </row>
    <row r="20" spans="1:24">
      <c r="A20" s="5">
        <v>14</v>
      </c>
      <c r="B20" s="5">
        <v>50</v>
      </c>
      <c r="C20" s="5" t="s">
        <v>37</v>
      </c>
      <c r="D20" s="5" t="s">
        <v>33</v>
      </c>
      <c r="E20" s="5" t="s">
        <v>24</v>
      </c>
      <c r="F20" s="5" t="s">
        <v>23</v>
      </c>
      <c r="G20" s="5">
        <v>76000</v>
      </c>
      <c r="H20" s="5">
        <v>520</v>
      </c>
      <c r="I20" s="5">
        <v>8200</v>
      </c>
      <c r="J20" s="5">
        <v>4000</v>
      </c>
      <c r="L20" s="5">
        <f>J20-$J$32</f>
        <v>3700</v>
      </c>
      <c r="M20" s="5">
        <f t="shared" si="0"/>
        <v>5.1634512882524679E-2</v>
      </c>
      <c r="N20" s="9">
        <f t="shared" si="3"/>
        <v>0.10326902576504936</v>
      </c>
      <c r="O20" s="9">
        <f t="shared" si="1"/>
        <v>4.1599404943679606E-2</v>
      </c>
      <c r="P20" s="5">
        <f>G20-$G$32</f>
        <v>75700</v>
      </c>
      <c r="Q20" s="5">
        <f>H20-$H$32</f>
        <v>320</v>
      </c>
      <c r="R20" s="5">
        <f>I20-$I$32</f>
        <v>7880</v>
      </c>
      <c r="S20" s="5">
        <f t="shared" si="4"/>
        <v>83900</v>
      </c>
      <c r="T20" s="5">
        <f t="shared" si="5"/>
        <v>0.149199248182</v>
      </c>
      <c r="U20" s="9">
        <f t="shared" si="6"/>
        <v>0.29839849636400001</v>
      </c>
      <c r="V20" s="9">
        <f t="shared" si="2"/>
        <v>4.3025818208649119E-2</v>
      </c>
      <c r="W20" s="9">
        <f t="shared" si="7"/>
        <v>0.27037251124661837</v>
      </c>
      <c r="X20" s="9">
        <f t="shared" si="8"/>
        <v>2.8025985117381646E-2</v>
      </c>
    </row>
    <row r="21" spans="1:24">
      <c r="A21" s="5">
        <v>15</v>
      </c>
      <c r="B21" s="7">
        <v>100</v>
      </c>
      <c r="C21" s="7" t="s">
        <v>50</v>
      </c>
      <c r="D21" s="7" t="s">
        <v>33</v>
      </c>
      <c r="E21" s="7" t="s">
        <v>25</v>
      </c>
      <c r="F21" s="7" t="s">
        <v>23</v>
      </c>
      <c r="G21" s="7">
        <v>300</v>
      </c>
      <c r="H21" s="7">
        <v>200</v>
      </c>
      <c r="I21" s="7">
        <v>320</v>
      </c>
      <c r="J21" s="7">
        <v>300</v>
      </c>
      <c r="N21" s="9"/>
      <c r="O21" s="9"/>
      <c r="U21" s="9"/>
      <c r="V21" s="9"/>
      <c r="W21" s="9"/>
      <c r="X21" s="9"/>
    </row>
    <row r="22" spans="1:24">
      <c r="A22" s="5">
        <v>16</v>
      </c>
      <c r="B22" s="5">
        <v>50</v>
      </c>
      <c r="C22" s="5" t="s">
        <v>49</v>
      </c>
      <c r="D22" s="5" t="s">
        <v>33</v>
      </c>
      <c r="E22" s="5" t="s">
        <v>25</v>
      </c>
      <c r="F22" s="5" t="s">
        <v>23</v>
      </c>
      <c r="G22" s="5">
        <v>85000</v>
      </c>
      <c r="H22" s="5">
        <v>110</v>
      </c>
      <c r="I22" s="5">
        <v>1500</v>
      </c>
      <c r="J22" s="5">
        <v>3000</v>
      </c>
      <c r="L22" s="5">
        <f>J22-$J$32</f>
        <v>2700</v>
      </c>
      <c r="M22" s="5">
        <f t="shared" si="0"/>
        <v>3.758885550606203E-2</v>
      </c>
      <c r="N22" s="9">
        <f t="shared" si="3"/>
        <v>7.517771101212406E-2</v>
      </c>
      <c r="O22" s="9">
        <f t="shared" si="1"/>
        <v>4.1598440918056589E-2</v>
      </c>
      <c r="P22" s="5">
        <f>G22-$G$32</f>
        <v>84700</v>
      </c>
      <c r="Q22" s="5">
        <f>H22-$H$32</f>
        <v>-90</v>
      </c>
      <c r="R22" s="5">
        <f>I22-$I$32</f>
        <v>1180</v>
      </c>
      <c r="S22" s="5">
        <f t="shared" si="4"/>
        <v>85790</v>
      </c>
      <c r="T22" s="5">
        <f t="shared" si="5"/>
        <v>0.15180933251199999</v>
      </c>
      <c r="U22" s="9">
        <f t="shared" si="6"/>
        <v>0.30361866502399998</v>
      </c>
      <c r="V22" s="9">
        <f t="shared" si="2"/>
        <v>4.3026402529396074E-2</v>
      </c>
      <c r="W22" s="9">
        <f t="shared" si="7"/>
        <v>0.29944253698194007</v>
      </c>
      <c r="X22" s="9">
        <f t="shared" si="8"/>
        <v>4.1761280420599131E-3</v>
      </c>
    </row>
    <row r="23" spans="1:24">
      <c r="A23" s="5">
        <v>17</v>
      </c>
      <c r="B23" s="5">
        <v>50</v>
      </c>
      <c r="C23" s="5" t="s">
        <v>34</v>
      </c>
      <c r="D23" s="5" t="s">
        <v>33</v>
      </c>
      <c r="E23" s="5" t="s">
        <v>25</v>
      </c>
      <c r="F23" s="5" t="s">
        <v>23</v>
      </c>
      <c r="G23" s="5">
        <v>75000</v>
      </c>
      <c r="H23" s="5">
        <v>500</v>
      </c>
      <c r="I23" s="5">
        <v>8000</v>
      </c>
      <c r="J23" s="5">
        <v>4500</v>
      </c>
      <c r="L23" s="5">
        <f>J23-$J$32</f>
        <v>4200</v>
      </c>
      <c r="M23" s="5">
        <f t="shared" si="0"/>
        <v>5.8731396256783724E-2</v>
      </c>
      <c r="N23" s="9">
        <f t="shared" si="3"/>
        <v>0.11746279251356746</v>
      </c>
      <c r="O23" s="9">
        <f t="shared" si="1"/>
        <v>4.1600007451000745E-2</v>
      </c>
      <c r="P23" s="5">
        <f>G23-$G$32</f>
        <v>74700</v>
      </c>
      <c r="Q23" s="5">
        <f>H23-$H$32</f>
        <v>300</v>
      </c>
      <c r="R23" s="5">
        <f>I23-$I$32</f>
        <v>7680</v>
      </c>
      <c r="S23" s="5">
        <f t="shared" si="4"/>
        <v>82680</v>
      </c>
      <c r="T23" s="5">
        <f t="shared" si="5"/>
        <v>0.147514431842</v>
      </c>
      <c r="U23" s="9">
        <f t="shared" si="6"/>
        <v>0.295028863684</v>
      </c>
      <c r="V23" s="9">
        <f t="shared" si="2"/>
        <v>4.3025446405680817E-2</v>
      </c>
      <c r="W23" s="9">
        <f t="shared" si="7"/>
        <v>0.26762415065674888</v>
      </c>
      <c r="X23" s="9">
        <f t="shared" si="8"/>
        <v>2.7404713027251087E-2</v>
      </c>
    </row>
    <row r="24" spans="1:24">
      <c r="A24" s="5">
        <v>18</v>
      </c>
      <c r="B24" s="5">
        <v>50</v>
      </c>
      <c r="C24" s="5" t="s">
        <v>35</v>
      </c>
      <c r="D24" s="5" t="s">
        <v>33</v>
      </c>
      <c r="E24" s="5" t="s">
        <v>24</v>
      </c>
      <c r="F24" s="5" t="s">
        <v>23</v>
      </c>
      <c r="G24" s="5">
        <v>77000</v>
      </c>
      <c r="H24" s="5">
        <v>510</v>
      </c>
      <c r="I24" s="5">
        <v>8500</v>
      </c>
      <c r="J24" s="5">
        <v>4300</v>
      </c>
      <c r="L24" s="5">
        <f>J24-$J$32</f>
        <v>4000</v>
      </c>
      <c r="M24" s="5">
        <f t="shared" si="0"/>
        <v>5.5886718532197892E-2</v>
      </c>
      <c r="N24" s="9">
        <f t="shared" si="3"/>
        <v>0.11177343706439578</v>
      </c>
      <c r="O24" s="9">
        <f t="shared" si="1"/>
        <v>4.1599756641368078E-2</v>
      </c>
      <c r="P24" s="5">
        <f>G24-$G$32</f>
        <v>76700</v>
      </c>
      <c r="Q24" s="5">
        <f>H24-$H$32</f>
        <v>310</v>
      </c>
      <c r="R24" s="5">
        <f>I24-$I$32</f>
        <v>8180</v>
      </c>
      <c r="S24" s="5">
        <f t="shared" si="4"/>
        <v>85190</v>
      </c>
      <c r="T24" s="5">
        <f t="shared" si="5"/>
        <v>0.15098073431199999</v>
      </c>
      <c r="U24" s="9">
        <f t="shared" si="6"/>
        <v>0.30196146862399997</v>
      </c>
      <c r="V24" s="9">
        <f t="shared" si="2"/>
        <v>4.302621593375535E-2</v>
      </c>
      <c r="W24" s="9">
        <f t="shared" si="7"/>
        <v>0.27296692920218613</v>
      </c>
      <c r="X24" s="9">
        <f t="shared" si="8"/>
        <v>2.8994539421813827E-2</v>
      </c>
    </row>
    <row r="25" spans="1:24">
      <c r="A25" s="5">
        <v>19</v>
      </c>
      <c r="B25" s="5">
        <v>50</v>
      </c>
      <c r="C25" s="5" t="s">
        <v>36</v>
      </c>
      <c r="D25" s="5" t="s">
        <v>33</v>
      </c>
      <c r="E25" s="5" t="s">
        <v>24</v>
      </c>
      <c r="F25" s="5" t="s">
        <v>23</v>
      </c>
      <c r="G25" s="5">
        <v>70000</v>
      </c>
      <c r="H25" s="5">
        <v>530</v>
      </c>
      <c r="I25" s="5">
        <v>8700</v>
      </c>
      <c r="J25" s="5">
        <v>3800</v>
      </c>
      <c r="L25" s="5">
        <f>J25-$J$32</f>
        <v>3500</v>
      </c>
      <c r="M25" s="5">
        <f t="shared" si="0"/>
        <v>4.8809583074212903E-2</v>
      </c>
      <c r="N25" s="9">
        <f t="shared" si="3"/>
        <v>9.7619166148425807E-2</v>
      </c>
      <c r="O25" s="9">
        <f t="shared" si="1"/>
        <v>4.1599186672661138E-2</v>
      </c>
      <c r="P25" s="5">
        <f>G25-$G$32</f>
        <v>69700</v>
      </c>
      <c r="Q25" s="5">
        <f>H25-$H$32</f>
        <v>330</v>
      </c>
      <c r="R25" s="5">
        <f>I25-$I$32</f>
        <v>8380</v>
      </c>
      <c r="S25" s="5">
        <f t="shared" si="4"/>
        <v>78410</v>
      </c>
      <c r="T25" s="5">
        <f t="shared" si="5"/>
        <v>0.14161757465200001</v>
      </c>
      <c r="U25" s="9">
        <f t="shared" si="6"/>
        <v>0.28323514930400001</v>
      </c>
      <c r="V25" s="9">
        <f t="shared" si="2"/>
        <v>4.3024178322408735E-2</v>
      </c>
      <c r="W25" s="9">
        <f t="shared" si="7"/>
        <v>0.2529646410631185</v>
      </c>
      <c r="X25" s="9">
        <f t="shared" si="8"/>
        <v>3.0270508240881521E-2</v>
      </c>
    </row>
    <row r="26" spans="1:24">
      <c r="A26" s="5">
        <v>20</v>
      </c>
      <c r="B26" s="5">
        <v>50</v>
      </c>
      <c r="C26" s="5" t="s">
        <v>37</v>
      </c>
      <c r="D26" s="5" t="s">
        <v>33</v>
      </c>
      <c r="E26" s="5" t="s">
        <v>24</v>
      </c>
      <c r="F26" s="5" t="s">
        <v>23</v>
      </c>
      <c r="G26" s="5">
        <v>76000</v>
      </c>
      <c r="H26" s="5">
        <v>520</v>
      </c>
      <c r="I26" s="5">
        <v>8200</v>
      </c>
      <c r="J26" s="5">
        <v>4000</v>
      </c>
      <c r="L26" s="5">
        <f>J26-$J$32</f>
        <v>3700</v>
      </c>
      <c r="M26" s="5">
        <f t="shared" si="0"/>
        <v>5.1634512882524679E-2</v>
      </c>
      <c r="N26" s="9">
        <f t="shared" si="3"/>
        <v>0.10326902576504936</v>
      </c>
      <c r="O26" s="9">
        <f t="shared" si="1"/>
        <v>4.1599404943679606E-2</v>
      </c>
      <c r="P26" s="5">
        <f>G26-$G$32</f>
        <v>75700</v>
      </c>
      <c r="Q26" s="5">
        <f>H26-$H$32</f>
        <v>320</v>
      </c>
      <c r="R26" s="5">
        <f>I26-$I$32</f>
        <v>7880</v>
      </c>
      <c r="S26" s="5">
        <f t="shared" si="4"/>
        <v>83900</v>
      </c>
      <c r="T26" s="5">
        <f t="shared" si="5"/>
        <v>0.149199248182</v>
      </c>
      <c r="U26" s="9">
        <f t="shared" si="6"/>
        <v>0.29839849636400001</v>
      </c>
      <c r="V26" s="9">
        <f t="shared" si="2"/>
        <v>4.3025818208649119E-2</v>
      </c>
      <c r="W26" s="9">
        <f t="shared" si="7"/>
        <v>0.27037251124661837</v>
      </c>
      <c r="X26" s="9">
        <f t="shared" si="8"/>
        <v>2.8025985117381646E-2</v>
      </c>
    </row>
    <row r="27" spans="1:24">
      <c r="A27" s="5">
        <v>21</v>
      </c>
      <c r="B27" s="7">
        <v>100</v>
      </c>
      <c r="C27" s="7" t="s">
        <v>50</v>
      </c>
      <c r="D27" s="7" t="s">
        <v>33</v>
      </c>
      <c r="E27" s="7" t="s">
        <v>25</v>
      </c>
      <c r="F27" s="7" t="s">
        <v>23</v>
      </c>
      <c r="G27" s="7">
        <v>300</v>
      </c>
      <c r="H27" s="7">
        <v>200</v>
      </c>
      <c r="I27" s="7">
        <v>320</v>
      </c>
      <c r="J27" s="7">
        <v>300</v>
      </c>
    </row>
    <row r="28" spans="1:24">
      <c r="A28" s="5">
        <v>22</v>
      </c>
      <c r="B28" s="5">
        <v>100</v>
      </c>
      <c r="C28" s="5" t="s">
        <v>15</v>
      </c>
      <c r="D28" s="5" t="s">
        <v>21</v>
      </c>
      <c r="E28" s="5" t="s">
        <v>22</v>
      </c>
      <c r="F28" s="5" t="s">
        <v>23</v>
      </c>
      <c r="G28" s="5">
        <v>0</v>
      </c>
      <c r="H28" s="5">
        <v>0</v>
      </c>
      <c r="I28" s="5">
        <v>0</v>
      </c>
      <c r="J28" s="5">
        <v>0</v>
      </c>
    </row>
    <row r="29" spans="1:24">
      <c r="A29" s="5">
        <v>23</v>
      </c>
      <c r="B29" s="5">
        <v>100</v>
      </c>
      <c r="C29" s="5" t="s">
        <v>15</v>
      </c>
      <c r="D29" s="5" t="s">
        <v>21</v>
      </c>
      <c r="E29" s="5" t="s">
        <v>22</v>
      </c>
      <c r="F29" s="5" t="s">
        <v>23</v>
      </c>
      <c r="G29" s="5">
        <v>0</v>
      </c>
      <c r="H29" s="5">
        <v>0</v>
      </c>
      <c r="I29" s="5">
        <v>0</v>
      </c>
      <c r="J29" s="5">
        <v>0</v>
      </c>
    </row>
    <row r="31" spans="1:24">
      <c r="G31" s="5" t="s">
        <v>44</v>
      </c>
      <c r="H31" s="5" t="s">
        <v>43</v>
      </c>
      <c r="I31" s="5" t="s">
        <v>42</v>
      </c>
      <c r="J31" s="5" t="s">
        <v>41</v>
      </c>
    </row>
    <row r="32" spans="1:24">
      <c r="F32" s="11" t="s">
        <v>53</v>
      </c>
      <c r="G32" s="7">
        <f>AVERAGE(G9,G15,G21,G27)</f>
        <v>300</v>
      </c>
      <c r="H32" s="7">
        <f>AVERAGE(H9,H15,H21,H27)</f>
        <v>200</v>
      </c>
      <c r="I32" s="7">
        <f>AVERAGE(I9,I15,I21,I27)</f>
        <v>320</v>
      </c>
      <c r="J32" s="7">
        <f>AVERAGE(J9,J15,J21,J27)</f>
        <v>300</v>
      </c>
    </row>
    <row r="1048576" spans="4:5">
      <c r="D1048576" s="5" t="s">
        <v>21</v>
      </c>
      <c r="E1048576" s="5" t="s">
        <v>22</v>
      </c>
    </row>
  </sheetData>
  <phoneticPr fontId="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>
      <selection activeCell="H29" sqref="H29"/>
    </sheetView>
  </sheetViews>
  <sheetFormatPr baseColWidth="10" defaultColWidth="8.83203125" defaultRowHeight="1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2"/>
  <sheetViews>
    <sheetView zoomScale="80" zoomScaleNormal="80" workbookViewId="0">
      <selection activeCell="B2" sqref="B2"/>
    </sheetView>
  </sheetViews>
  <sheetFormatPr baseColWidth="10" defaultColWidth="8.83203125" defaultRowHeight="15"/>
  <sheetData>
    <row r="1" spans="1:13">
      <c r="B1" t="s">
        <v>225</v>
      </c>
      <c r="C1" t="s">
        <v>226</v>
      </c>
      <c r="D1" t="s">
        <v>215</v>
      </c>
      <c r="E1" t="s">
        <v>225</v>
      </c>
      <c r="F1" t="s">
        <v>226</v>
      </c>
      <c r="G1" t="s">
        <v>215</v>
      </c>
      <c r="H1" t="s">
        <v>225</v>
      </c>
      <c r="I1" t="s">
        <v>226</v>
      </c>
      <c r="J1" t="s">
        <v>215</v>
      </c>
      <c r="K1" t="s">
        <v>225</v>
      </c>
      <c r="L1" t="s">
        <v>226</v>
      </c>
      <c r="M1" t="s">
        <v>215</v>
      </c>
    </row>
    <row r="2" spans="1:13">
      <c r="B2" t="s">
        <v>221</v>
      </c>
      <c r="C2" t="s">
        <v>221</v>
      </c>
      <c r="D2" t="s">
        <v>221</v>
      </c>
      <c r="E2" t="s">
        <v>222</v>
      </c>
      <c r="F2" t="s">
        <v>222</v>
      </c>
      <c r="G2" t="s">
        <v>222</v>
      </c>
      <c r="H2" t="s">
        <v>223</v>
      </c>
      <c r="I2" t="s">
        <v>223</v>
      </c>
      <c r="J2" t="s">
        <v>223</v>
      </c>
      <c r="K2" t="s">
        <v>230</v>
      </c>
      <c r="L2" t="s">
        <v>230</v>
      </c>
      <c r="M2" t="s">
        <v>230</v>
      </c>
    </row>
    <row r="3" spans="1:13">
      <c r="A3">
        <v>0</v>
      </c>
      <c r="B3">
        <v>1.5125279669955201</v>
      </c>
      <c r="C3">
        <v>1.0860792686632355</v>
      </c>
      <c r="D3">
        <v>0.36714547622407395</v>
      </c>
      <c r="E3">
        <v>2.8101162492884017E-2</v>
      </c>
      <c r="F3">
        <v>2.1131549673572645E-2</v>
      </c>
      <c r="G3">
        <v>7.8990082858534594E-2</v>
      </c>
      <c r="H3">
        <v>1.8268267544393701E-2</v>
      </c>
      <c r="I3">
        <v>3.2301150607088699E-2</v>
      </c>
      <c r="J3">
        <v>1.1157629002435687E-4</v>
      </c>
      <c r="K3">
        <v>1.5406291294884018</v>
      </c>
      <c r="L3">
        <v>1.1072108183368099</v>
      </c>
      <c r="M3">
        <v>0.4461355590826086</v>
      </c>
    </row>
    <row r="4" spans="1:13">
      <c r="A4">
        <v>1</v>
      </c>
      <c r="B4">
        <v>1.3693243213399049</v>
      </c>
      <c r="C4">
        <v>0.98003988382976626</v>
      </c>
      <c r="D4">
        <v>0.37365266844364137</v>
      </c>
      <c r="E4">
        <v>4.680520368353544E-2</v>
      </c>
      <c r="F4">
        <v>1.8945049671989549E-2</v>
      </c>
      <c r="G4">
        <v>0.1061008771358966</v>
      </c>
      <c r="H4">
        <v>2.5720524248520827E-2</v>
      </c>
      <c r="I4">
        <v>1.687489219636738E-2</v>
      </c>
      <c r="J4">
        <v>8.0012617355331214E-3</v>
      </c>
      <c r="K4">
        <v>1.4161295250234402</v>
      </c>
      <c r="L4">
        <v>0.99898493350175588</v>
      </c>
      <c r="M4">
        <v>0.47975354557953792</v>
      </c>
    </row>
    <row r="5" spans="1:13">
      <c r="A5">
        <f t="shared" ref="A5:A10" si="0">A4+1</f>
        <v>2</v>
      </c>
      <c r="B5">
        <v>1.6732334225563241</v>
      </c>
      <c r="C5">
        <v>0.94906537480229503</v>
      </c>
      <c r="D5">
        <v>0.40181288310331736</v>
      </c>
      <c r="E5">
        <v>2.3272529770383434E-2</v>
      </c>
      <c r="F5">
        <v>1.988283310600665E-2</v>
      </c>
      <c r="G5">
        <v>7.08813478819669E-2</v>
      </c>
      <c r="H5">
        <v>2.7761808137366922E-2</v>
      </c>
      <c r="I5">
        <v>2.1980255489606443E-2</v>
      </c>
      <c r="J5">
        <v>2.8235699202803295E-3</v>
      </c>
      <c r="K5">
        <v>1.6965059523267074</v>
      </c>
      <c r="L5">
        <v>0.96894820790830172</v>
      </c>
      <c r="M5">
        <v>0.47269423098528429</v>
      </c>
    </row>
    <row r="6" spans="1:13">
      <c r="A6">
        <f t="shared" si="0"/>
        <v>3</v>
      </c>
      <c r="B6">
        <v>1.064285808079507</v>
      </c>
      <c r="C6">
        <v>1.0994953289711742</v>
      </c>
      <c r="D6">
        <v>0.34817686848715157</v>
      </c>
      <c r="E6">
        <v>2.6201287447446063E-2</v>
      </c>
      <c r="F6">
        <v>2.6931815527291431E-2</v>
      </c>
      <c r="G6">
        <v>9.0064435246804769E-2</v>
      </c>
      <c r="H6">
        <v>1.3890174654729888E-2</v>
      </c>
      <c r="I6">
        <v>2.3312425229384353E-2</v>
      </c>
      <c r="J6">
        <v>1.5202702866795716E-3</v>
      </c>
      <c r="K6">
        <v>1.0904870955269532</v>
      </c>
      <c r="L6">
        <v>1.1264271444984657</v>
      </c>
      <c r="M6">
        <v>0.43824130373395637</v>
      </c>
    </row>
    <row r="7" spans="1:13">
      <c r="A7">
        <f t="shared" si="0"/>
        <v>4</v>
      </c>
      <c r="B7">
        <v>1.4708453880554961</v>
      </c>
      <c r="C7">
        <v>1.4353223000616828</v>
      </c>
      <c r="D7">
        <v>0.33667960265214353</v>
      </c>
      <c r="E7">
        <v>5.0288128265681332E-2</v>
      </c>
      <c r="F7">
        <v>2.6284645365575808E-2</v>
      </c>
      <c r="G7">
        <v>9.6707181359776934E-2</v>
      </c>
      <c r="H7">
        <v>3.5998047883177939E-2</v>
      </c>
      <c r="I7">
        <v>1.1552653366856893E-2</v>
      </c>
      <c r="J7">
        <v>2.5009310398078077E-3</v>
      </c>
      <c r="K7">
        <v>1.5211335163211774</v>
      </c>
      <c r="L7">
        <v>1.4616069454272584</v>
      </c>
      <c r="M7">
        <v>0.43338678401192049</v>
      </c>
    </row>
    <row r="8" spans="1:13">
      <c r="A8">
        <f t="shared" si="0"/>
        <v>5</v>
      </c>
      <c r="B8">
        <v>1.6236737657271532</v>
      </c>
      <c r="C8">
        <v>1.3215918406786122</v>
      </c>
      <c r="D8">
        <v>0.34604130651353887</v>
      </c>
      <c r="E8">
        <v>3.266813246024499E-2</v>
      </c>
      <c r="F8">
        <v>2.8177960946913112E-2</v>
      </c>
      <c r="G8">
        <v>4.7130577235962742E-2</v>
      </c>
      <c r="H8">
        <v>1.0779298532003446E-2</v>
      </c>
      <c r="I8">
        <v>4.1765656582743491E-2</v>
      </c>
      <c r="J8">
        <v>2.7160109881230739E-3</v>
      </c>
      <c r="K8">
        <v>1.6563418981873981</v>
      </c>
      <c r="L8">
        <v>1.3497698016255253</v>
      </c>
      <c r="M8">
        <v>0.39317188374950157</v>
      </c>
    </row>
    <row r="9" spans="1:13">
      <c r="A9">
        <f t="shared" si="0"/>
        <v>6</v>
      </c>
      <c r="B9">
        <v>1.6421426162384187</v>
      </c>
      <c r="C9">
        <v>0.92268430708466009</v>
      </c>
      <c r="D9">
        <v>0.3222917099301561</v>
      </c>
      <c r="E9">
        <v>2.9726264854710884E-2</v>
      </c>
      <c r="F9">
        <v>1.8833073283866422E-2</v>
      </c>
      <c r="G9">
        <v>6.3974714433659693E-2</v>
      </c>
      <c r="H9">
        <v>4.9809356660806256E-2</v>
      </c>
      <c r="I9">
        <v>1.6369959936809141E-2</v>
      </c>
      <c r="J9">
        <v>1.3838821627355113E-4</v>
      </c>
      <c r="K9">
        <v>1.6718688810931297</v>
      </c>
      <c r="L9">
        <v>0.9415173803685265</v>
      </c>
      <c r="M9">
        <v>0.38626642436381575</v>
      </c>
    </row>
    <row r="10" spans="1:13">
      <c r="A10">
        <f t="shared" si="0"/>
        <v>7</v>
      </c>
      <c r="B10">
        <v>1.746545491950716</v>
      </c>
      <c r="C10">
        <v>1.3708866900338299</v>
      </c>
      <c r="D10">
        <v>0.33430365515119242</v>
      </c>
      <c r="E10">
        <v>2.3263654844769194E-2</v>
      </c>
      <c r="F10">
        <v>2.7799081617284498E-2</v>
      </c>
      <c r="G10">
        <v>6.098524285714086E-2</v>
      </c>
      <c r="H10">
        <v>9.0043015220541658E-2</v>
      </c>
      <c r="I10">
        <v>3.8326172221147529E-2</v>
      </c>
      <c r="J10">
        <v>3.6172073625052484E-3</v>
      </c>
      <c r="K10">
        <v>1.7698091467954851</v>
      </c>
      <c r="L10">
        <v>1.3986857716511143</v>
      </c>
      <c r="M10">
        <v>0.39528889800833328</v>
      </c>
    </row>
    <row r="11" spans="1:13">
      <c r="A11">
        <f t="shared" ref="A11:A52" si="1">A10+1</f>
        <v>8</v>
      </c>
      <c r="B11">
        <v>1.5892130404429832</v>
      </c>
      <c r="C11">
        <v>1.1066834624254984</v>
      </c>
      <c r="D11">
        <v>0.34820762723312865</v>
      </c>
      <c r="E11">
        <v>2.7503133218252596E-2</v>
      </c>
      <c r="F11">
        <v>2.3723670148376921E-2</v>
      </c>
      <c r="G11">
        <v>8.143697532600451E-2</v>
      </c>
      <c r="H11">
        <v>3.1247460681690785E-2</v>
      </c>
      <c r="I11">
        <v>2.521087914874378E-2</v>
      </c>
      <c r="J11">
        <v>6.5285926211061445E-3</v>
      </c>
      <c r="K11">
        <v>1.6167161736612357</v>
      </c>
      <c r="L11">
        <v>1.1304071325738754</v>
      </c>
      <c r="M11">
        <v>0.42964460255913317</v>
      </c>
    </row>
    <row r="12" spans="1:13">
      <c r="A12">
        <f t="shared" si="1"/>
        <v>9</v>
      </c>
      <c r="B12">
        <v>1.4800270161355642</v>
      </c>
      <c r="C12">
        <v>1.3140046940399184</v>
      </c>
      <c r="D12">
        <v>0.3333319874598703</v>
      </c>
      <c r="E12">
        <v>2.6604210623617373E-2</v>
      </c>
      <c r="F12">
        <v>2.4913014599260763E-2</v>
      </c>
      <c r="G12">
        <v>8.4651940371050741E-2</v>
      </c>
      <c r="H12">
        <v>2.6451027406274863E-2</v>
      </c>
      <c r="I12">
        <v>8.1114164128930858E-3</v>
      </c>
      <c r="J12">
        <v>9.1627769124335125E-4</v>
      </c>
      <c r="K12">
        <v>1.5066312267591815</v>
      </c>
      <c r="L12">
        <v>1.338917708639179</v>
      </c>
      <c r="M12">
        <v>0.41798392783092109</v>
      </c>
    </row>
    <row r="13" spans="1:13">
      <c r="A13">
        <f t="shared" si="1"/>
        <v>10</v>
      </c>
      <c r="B13">
        <v>0.89144831753897646</v>
      </c>
      <c r="C13">
        <v>1.3284236896486172</v>
      </c>
      <c r="D13">
        <v>0.36761191842298357</v>
      </c>
      <c r="E13">
        <v>1.6930040494463824E-2</v>
      </c>
      <c r="F13">
        <v>2.5221217271222493E-2</v>
      </c>
      <c r="G13">
        <v>6.6261978833203672E-2</v>
      </c>
      <c r="H13">
        <v>5.8285936010249711E-4</v>
      </c>
      <c r="I13">
        <v>4.1485577404909199E-2</v>
      </c>
      <c r="J13">
        <v>3.3346474448155304E-3</v>
      </c>
      <c r="K13">
        <v>0.90837835803344014</v>
      </c>
      <c r="L13">
        <v>1.3536449069198397</v>
      </c>
      <c r="M13">
        <v>0.4338738972561873</v>
      </c>
    </row>
    <row r="14" spans="1:13">
      <c r="A14">
        <f t="shared" si="1"/>
        <v>11</v>
      </c>
      <c r="B14">
        <v>1.0354398232019366</v>
      </c>
      <c r="C14">
        <v>1.0814334815936875</v>
      </c>
      <c r="D14">
        <v>0.35350239194460908</v>
      </c>
      <c r="E14">
        <v>1.7831502202012333E-2</v>
      </c>
      <c r="F14">
        <v>2.2804340230339226E-2</v>
      </c>
      <c r="G14">
        <v>0.13709630019882527</v>
      </c>
      <c r="H14">
        <v>3.0416405929255336E-2</v>
      </c>
      <c r="I14">
        <v>1.9923857492470574E-2</v>
      </c>
      <c r="J14">
        <v>6.5015930896523463E-3</v>
      </c>
      <c r="K14">
        <v>1.0532713254039487</v>
      </c>
      <c r="L14">
        <v>1.1042378218240267</v>
      </c>
      <c r="M14">
        <v>0.49059869214343432</v>
      </c>
    </row>
    <row r="15" spans="1:13">
      <c r="A15">
        <f t="shared" si="1"/>
        <v>12</v>
      </c>
      <c r="B15">
        <v>0.87298835806674047</v>
      </c>
      <c r="C15">
        <v>1.477849526279603</v>
      </c>
      <c r="D15">
        <v>0.36880945419946454</v>
      </c>
      <c r="E15">
        <v>1.9598997399161922E-2</v>
      </c>
      <c r="F15">
        <v>2.4205723621493036E-2</v>
      </c>
      <c r="G15">
        <v>0.10244973204440645</v>
      </c>
      <c r="H15">
        <v>6.6250704774791095E-3</v>
      </c>
      <c r="I15">
        <v>3.8647243592000162E-2</v>
      </c>
      <c r="J15">
        <v>1.1157629002435687E-4</v>
      </c>
      <c r="K15">
        <v>0.8925873554659024</v>
      </c>
      <c r="L15">
        <v>1.502055249901096</v>
      </c>
      <c r="M15">
        <v>0.47125918624387092</v>
      </c>
    </row>
    <row r="16" spans="1:13">
      <c r="A16">
        <f t="shared" si="1"/>
        <v>13</v>
      </c>
      <c r="B16">
        <v>0.84869178831695735</v>
      </c>
      <c r="C16">
        <v>1.4940402817641065</v>
      </c>
      <c r="D16">
        <v>0.36554003041992084</v>
      </c>
      <c r="E16">
        <v>2.1033908624323947E-2</v>
      </c>
      <c r="F16">
        <v>2.6285971721049749E-2</v>
      </c>
      <c r="G16">
        <v>0.1046119045190728</v>
      </c>
      <c r="H16">
        <v>7.0166933757207011E-3</v>
      </c>
      <c r="I16">
        <v>3.6778122518696416E-2</v>
      </c>
      <c r="J16">
        <v>1.1102860589489037E-2</v>
      </c>
      <c r="K16">
        <v>0.86972569694128121</v>
      </c>
      <c r="L16">
        <v>1.5203262534851563</v>
      </c>
      <c r="M16">
        <v>0.4701519349389936</v>
      </c>
    </row>
    <row r="17" spans="1:13">
      <c r="A17">
        <f t="shared" si="1"/>
        <v>14</v>
      </c>
      <c r="B17">
        <v>0.96657902261704232</v>
      </c>
      <c r="C17">
        <v>1.5606744095791629</v>
      </c>
      <c r="D17">
        <v>0.32026905224591645</v>
      </c>
      <c r="E17">
        <v>2.7503223924870941E-2</v>
      </c>
      <c r="F17">
        <v>2.5332465473574317E-2</v>
      </c>
      <c r="G17">
        <v>0.12073448678218804</v>
      </c>
      <c r="H17">
        <v>1.0562331800928255E-2</v>
      </c>
      <c r="I17">
        <v>1.236740423961648E-2</v>
      </c>
      <c r="J17">
        <v>1.788839801662562E-3</v>
      </c>
      <c r="K17">
        <v>0.99408224654191324</v>
      </c>
      <c r="L17">
        <v>1.5860068750527372</v>
      </c>
      <c r="M17">
        <v>0.44100353902810441</v>
      </c>
    </row>
    <row r="18" spans="1:13">
      <c r="A18">
        <f t="shared" si="1"/>
        <v>15</v>
      </c>
      <c r="B18">
        <v>1.0566571569414644</v>
      </c>
      <c r="C18">
        <v>1.1405907604980616</v>
      </c>
      <c r="D18">
        <v>0.34284771290059324</v>
      </c>
      <c r="E18">
        <v>2.0488024615690176E-2</v>
      </c>
      <c r="F18">
        <v>1.9442256059733379E-2</v>
      </c>
      <c r="G18">
        <v>8.6603651949406793E-2</v>
      </c>
      <c r="H18">
        <v>5.8285936010249711E-4</v>
      </c>
      <c r="I18">
        <v>3.4620502525691058E-2</v>
      </c>
      <c r="J18">
        <v>3.563379711510912E-3</v>
      </c>
      <c r="K18">
        <v>1.0771451815571547</v>
      </c>
      <c r="L18">
        <v>1.160033016557795</v>
      </c>
      <c r="M18">
        <v>0.42945136485000002</v>
      </c>
    </row>
    <row r="19" spans="1:13">
      <c r="A19">
        <f t="shared" si="1"/>
        <v>16</v>
      </c>
      <c r="B19">
        <v>0.67503512046649661</v>
      </c>
      <c r="C19">
        <v>1.0729808957698752</v>
      </c>
      <c r="D19">
        <v>0.31006671567060279</v>
      </c>
      <c r="E19">
        <v>3.8871240026943511E-2</v>
      </c>
      <c r="F19">
        <v>2.5677912414098922E-2</v>
      </c>
      <c r="G19">
        <v>8.0105959400187512E-2</v>
      </c>
      <c r="H19">
        <v>2.1294295792654301E-2</v>
      </c>
      <c r="I19">
        <v>2.8397142389978373E-2</v>
      </c>
      <c r="J19">
        <v>2.4202890928143243E-3</v>
      </c>
      <c r="K19">
        <v>0.71390636049344003</v>
      </c>
      <c r="L19">
        <v>1.0986588081839743</v>
      </c>
      <c r="M19">
        <v>0.39017267507079029</v>
      </c>
    </row>
    <row r="20" spans="1:13">
      <c r="A20">
        <f t="shared" si="1"/>
        <v>17</v>
      </c>
      <c r="B20">
        <v>0.72756440555837854</v>
      </c>
      <c r="C20">
        <v>1.1091225679364896</v>
      </c>
      <c r="D20">
        <v>0.29279482270425161</v>
      </c>
      <c r="E20">
        <v>1.6886794076029599E-2</v>
      </c>
      <c r="F20">
        <v>2.0639171432202921E-2</v>
      </c>
      <c r="G20">
        <v>8.1697892730780236E-2</v>
      </c>
      <c r="H20">
        <v>7.7869189557613601E-3</v>
      </c>
      <c r="I20">
        <v>2.3532343089067542E-2</v>
      </c>
      <c r="J20">
        <v>5.0089709886454982E-2</v>
      </c>
      <c r="K20">
        <v>0.74445119963440798</v>
      </c>
      <c r="L20">
        <v>1.1297617393686925</v>
      </c>
      <c r="M20">
        <v>0.37449271543503182</v>
      </c>
    </row>
    <row r="21" spans="1:13">
      <c r="A21">
        <f t="shared" si="1"/>
        <v>18</v>
      </c>
      <c r="B21">
        <v>0.57811392625864688</v>
      </c>
      <c r="C21">
        <v>0.89262278930145667</v>
      </c>
      <c r="D21">
        <v>0.26780079902896026</v>
      </c>
      <c r="E21">
        <v>1.43246026653003E-2</v>
      </c>
      <c r="F21">
        <v>1.965373025494092E-2</v>
      </c>
      <c r="G21">
        <v>0.13090368384143439</v>
      </c>
      <c r="H21">
        <v>2.9331068585141144E-3</v>
      </c>
      <c r="I21">
        <v>1.5878933982696599E-2</v>
      </c>
      <c r="J21">
        <v>1.1157629002435687E-4</v>
      </c>
      <c r="K21">
        <v>0.59243852892394722</v>
      </c>
      <c r="L21">
        <v>0.91227651955639744</v>
      </c>
      <c r="M21">
        <v>0.39870448287039467</v>
      </c>
    </row>
    <row r="22" spans="1:13">
      <c r="A22">
        <f t="shared" si="1"/>
        <v>19</v>
      </c>
      <c r="B22">
        <v>0.78739058643683135</v>
      </c>
      <c r="C22">
        <v>0.7759249177350781</v>
      </c>
      <c r="D22">
        <v>0.28111140987981842</v>
      </c>
      <c r="E22">
        <v>1.9499031688686948E-2</v>
      </c>
      <c r="F22">
        <v>1.8926890681377609E-2</v>
      </c>
      <c r="G22">
        <v>0.11998449233122811</v>
      </c>
      <c r="H22">
        <v>9.8033463601571742E-3</v>
      </c>
      <c r="I22">
        <v>1.0858691780178177E-2</v>
      </c>
      <c r="J22">
        <v>1.060102745094242E-2</v>
      </c>
      <c r="K22">
        <v>0.80688961812551818</v>
      </c>
      <c r="L22">
        <v>0.79485180841645575</v>
      </c>
      <c r="M22">
        <v>0.40109590221104652</v>
      </c>
    </row>
    <row r="23" spans="1:13">
      <c r="A23">
        <f t="shared" si="1"/>
        <v>20</v>
      </c>
      <c r="B23">
        <v>0.85462751373784751</v>
      </c>
      <c r="C23">
        <v>0.65936893281071618</v>
      </c>
      <c r="D23">
        <v>0.32347442467167409</v>
      </c>
      <c r="E23">
        <v>1.8992985145979951E-2</v>
      </c>
      <c r="F23">
        <v>1.7028342598116447E-2</v>
      </c>
      <c r="G23">
        <v>6.422956563235277E-2</v>
      </c>
      <c r="H23">
        <v>5.8285936010249711E-4</v>
      </c>
      <c r="I23">
        <v>1.0872255035455898E-2</v>
      </c>
      <c r="J23">
        <v>4.8701513992831312E-4</v>
      </c>
      <c r="K23">
        <v>0.87362049888382742</v>
      </c>
      <c r="L23">
        <v>0.67639727540883265</v>
      </c>
      <c r="M23">
        <v>0.38770399030402686</v>
      </c>
    </row>
    <row r="24" spans="1:13">
      <c r="A24">
        <f t="shared" si="1"/>
        <v>21</v>
      </c>
      <c r="B24">
        <v>0.79323774765598432</v>
      </c>
      <c r="C24">
        <v>0.84273991769730472</v>
      </c>
      <c r="D24">
        <v>0.3505236163164871</v>
      </c>
      <c r="E24">
        <v>1.7121091976229959E-2</v>
      </c>
      <c r="F24">
        <v>2.3603235639000984E-2</v>
      </c>
      <c r="G24">
        <v>7.8975791653859914E-2</v>
      </c>
      <c r="H24">
        <v>1.9540488651078762E-2</v>
      </c>
      <c r="I24">
        <v>1.6449828306177795E-2</v>
      </c>
      <c r="J24">
        <v>4.4250012874127598E-3</v>
      </c>
      <c r="K24">
        <v>0.81035883963221422</v>
      </c>
      <c r="L24">
        <v>0.86634315333630574</v>
      </c>
      <c r="M24">
        <v>0.42949940797034702</v>
      </c>
    </row>
    <row r="25" spans="1:13">
      <c r="A25">
        <f t="shared" si="1"/>
        <v>22</v>
      </c>
      <c r="B25">
        <v>0.93284309507250551</v>
      </c>
      <c r="C25">
        <v>0.69126932653592876</v>
      </c>
      <c r="D25">
        <v>0.34987393440494591</v>
      </c>
      <c r="E25">
        <v>3.0698201827933161E-2</v>
      </c>
      <c r="F25">
        <v>1.918787399804564E-2</v>
      </c>
      <c r="G25">
        <v>0.113877575261497</v>
      </c>
      <c r="H25">
        <v>9.1532803189150191E-3</v>
      </c>
      <c r="I25">
        <v>1.3575272671060708E-2</v>
      </c>
      <c r="J25">
        <v>4.8701513992831312E-4</v>
      </c>
      <c r="K25">
        <v>0.96354129690043866</v>
      </c>
      <c r="L25">
        <v>0.71045720053397443</v>
      </c>
      <c r="M25">
        <v>0.46375150966644285</v>
      </c>
    </row>
    <row r="26" spans="1:13">
      <c r="A26">
        <f t="shared" si="1"/>
        <v>23</v>
      </c>
      <c r="B26">
        <v>0.94372777092037563</v>
      </c>
      <c r="C26">
        <v>0.52776924889029697</v>
      </c>
      <c r="D26">
        <v>0.32088832987303911</v>
      </c>
      <c r="E26">
        <v>2.1686161910397832E-2</v>
      </c>
      <c r="F26">
        <v>1.5436956496757963E-2</v>
      </c>
      <c r="G26">
        <v>6.9380297151164713E-2</v>
      </c>
      <c r="H26">
        <v>1.041319649896973E-2</v>
      </c>
      <c r="I26">
        <v>3.7652496947706009E-3</v>
      </c>
      <c r="J26">
        <v>1.6679737447016605E-3</v>
      </c>
      <c r="K26">
        <v>0.96541393283077337</v>
      </c>
      <c r="L26">
        <v>0.543206205387055</v>
      </c>
      <c r="M26">
        <v>0.39026862702420378</v>
      </c>
    </row>
    <row r="27" spans="1:13">
      <c r="A27">
        <f t="shared" si="1"/>
        <v>24</v>
      </c>
      <c r="B27">
        <v>0.76440922034025038</v>
      </c>
      <c r="C27">
        <v>0.64081134630793068</v>
      </c>
      <c r="D27">
        <v>0.35528919313989205</v>
      </c>
      <c r="E27">
        <v>2.4805123419054054E-2</v>
      </c>
      <c r="F27">
        <v>1.7470472368198271E-2</v>
      </c>
      <c r="G27">
        <v>7.8786447545441243E-2</v>
      </c>
      <c r="H27">
        <v>5.8423229209235211E-3</v>
      </c>
      <c r="I27">
        <v>1.2677927724211835E-2</v>
      </c>
      <c r="J27">
        <v>1.1157629002435687E-4</v>
      </c>
      <c r="K27">
        <v>0.78921434375930444</v>
      </c>
      <c r="L27">
        <v>0.658281818676129</v>
      </c>
      <c r="M27">
        <v>0.43407564068533333</v>
      </c>
    </row>
    <row r="28" spans="1:13">
      <c r="A28">
        <f t="shared" si="1"/>
        <v>25</v>
      </c>
      <c r="B28">
        <v>0.91847764242283891</v>
      </c>
      <c r="C28">
        <v>0.63012405294057428</v>
      </c>
      <c r="D28">
        <v>0.3422975794677891</v>
      </c>
      <c r="E28">
        <v>1.96931541981809E-2</v>
      </c>
      <c r="F28">
        <v>1.9316128789522682E-2</v>
      </c>
      <c r="G28">
        <v>8.3372502436311877E-2</v>
      </c>
      <c r="H28">
        <v>5.8285936010249711E-4</v>
      </c>
      <c r="I28">
        <v>7.5821904827920077E-3</v>
      </c>
      <c r="J28">
        <v>6.6636021271248977E-3</v>
      </c>
      <c r="K28">
        <v>0.93817079662101976</v>
      </c>
      <c r="L28">
        <v>0.64944018173009699</v>
      </c>
      <c r="M28">
        <v>0.42567008190410099</v>
      </c>
    </row>
    <row r="29" spans="1:13">
      <c r="A29">
        <f t="shared" si="1"/>
        <v>26</v>
      </c>
      <c r="B29">
        <v>0.94230351126492784</v>
      </c>
      <c r="C29">
        <v>0.72745768094285068</v>
      </c>
      <c r="D29">
        <v>0.30234775068166042</v>
      </c>
      <c r="E29">
        <v>1.7606002816261585E-2</v>
      </c>
      <c r="F29">
        <v>1.7767501148843779E-2</v>
      </c>
      <c r="G29">
        <v>9.8012934407436053E-2</v>
      </c>
      <c r="H29">
        <v>2.5224649786004718E-2</v>
      </c>
      <c r="I29">
        <v>3.7973109876559213E-4</v>
      </c>
      <c r="J29">
        <v>1.5605506782083703E-3</v>
      </c>
      <c r="K29">
        <v>0.95990951408118941</v>
      </c>
      <c r="L29">
        <v>0.74522518209169442</v>
      </c>
      <c r="M29">
        <v>0.40036068508909645</v>
      </c>
    </row>
    <row r="30" spans="1:13">
      <c r="A30">
        <f t="shared" si="1"/>
        <v>27</v>
      </c>
      <c r="B30">
        <v>1.0249051526299722</v>
      </c>
      <c r="C30">
        <v>0.95346629758394053</v>
      </c>
      <c r="D30">
        <v>0.33124266987679485</v>
      </c>
      <c r="E30">
        <v>2.41673130289199E-2</v>
      </c>
      <c r="F30">
        <v>2.7199663584137609E-2</v>
      </c>
      <c r="G30">
        <v>0.11613678714513202</v>
      </c>
      <c r="H30">
        <v>9.4240858752670156E-3</v>
      </c>
      <c r="I30">
        <v>2.8519476251735263E-2</v>
      </c>
      <c r="J30">
        <v>2.6487930735975781E-3</v>
      </c>
      <c r="K30">
        <v>1.0490724656588921</v>
      </c>
      <c r="L30">
        <v>0.98066596116807814</v>
      </c>
      <c r="M30">
        <v>0.44737945702192683</v>
      </c>
    </row>
    <row r="31" spans="1:13">
      <c r="A31">
        <f t="shared" si="1"/>
        <v>28</v>
      </c>
      <c r="B31">
        <v>0.75543518097118667</v>
      </c>
      <c r="C31">
        <v>0.84843194273535072</v>
      </c>
      <c r="D31">
        <v>0.29500384224203913</v>
      </c>
      <c r="E31">
        <v>3.1336591835368563E-2</v>
      </c>
      <c r="F31">
        <v>1.9427279528371613E-2</v>
      </c>
      <c r="G31">
        <v>9.9629619522335913E-2</v>
      </c>
      <c r="H31">
        <v>7.3679447579524521E-3</v>
      </c>
      <c r="I31">
        <v>1.2542041410710513E-2</v>
      </c>
      <c r="J31">
        <v>7.9552715959265309E-4</v>
      </c>
      <c r="K31">
        <v>0.78677177280655508</v>
      </c>
      <c r="L31">
        <v>0.86785922226372236</v>
      </c>
      <c r="M31">
        <v>0.39463346176437497</v>
      </c>
    </row>
    <row r="32" spans="1:13">
      <c r="A32">
        <f t="shared" si="1"/>
        <v>29</v>
      </c>
      <c r="B32">
        <v>1.0430667222994408</v>
      </c>
      <c r="C32">
        <v>0.49924960117490125</v>
      </c>
      <c r="D32">
        <v>0.34687265072705792</v>
      </c>
      <c r="E32">
        <v>2.4015944943473162E-2</v>
      </c>
      <c r="F32">
        <v>1.8782734096844726E-2</v>
      </c>
      <c r="G32">
        <v>8.4474647649100995E-2</v>
      </c>
      <c r="H32">
        <v>1.5306393840433957E-2</v>
      </c>
      <c r="I32">
        <v>1.5471236835529413E-3</v>
      </c>
      <c r="J32">
        <v>1.8291320419411251E-3</v>
      </c>
      <c r="K32">
        <v>1.0670826672429139</v>
      </c>
      <c r="L32">
        <v>0.51803233527174597</v>
      </c>
      <c r="M32">
        <v>0.43134729837615893</v>
      </c>
    </row>
    <row r="33" spans="1:13">
      <c r="A33">
        <f t="shared" si="1"/>
        <v>30</v>
      </c>
      <c r="B33">
        <v>1.0260092434820767</v>
      </c>
      <c r="C33">
        <v>0.46815367351334186</v>
      </c>
      <c r="D33">
        <v>0.29756353162657795</v>
      </c>
      <c r="E33">
        <v>2.649456479469682E-2</v>
      </c>
      <c r="F33">
        <v>2.1588598385367804E-2</v>
      </c>
      <c r="G33">
        <v>0.13480848927959491</v>
      </c>
      <c r="H33">
        <v>5.8285936010249711E-4</v>
      </c>
      <c r="I33">
        <v>4.6809509050784424E-3</v>
      </c>
      <c r="J33">
        <v>1.1157629002435687E-4</v>
      </c>
      <c r="K33">
        <v>1.0525038082767735</v>
      </c>
      <c r="L33">
        <v>0.48974227189870967</v>
      </c>
      <c r="M33">
        <v>0.43237202090617277</v>
      </c>
    </row>
    <row r="34" spans="1:13">
      <c r="A34">
        <f t="shared" si="1"/>
        <v>31</v>
      </c>
      <c r="B34">
        <v>1.2057430310973327</v>
      </c>
      <c r="C34">
        <v>0.37604473910235986</v>
      </c>
      <c r="D34">
        <v>0.28336196560107918</v>
      </c>
      <c r="E34">
        <v>2.9846835780256795E-2</v>
      </c>
      <c r="F34">
        <v>2.3490167730280932E-2</v>
      </c>
      <c r="G34">
        <v>0.19920345012005641</v>
      </c>
      <c r="H34">
        <v>1.9075177486711947E-2</v>
      </c>
      <c r="I34">
        <v>4.7752661032432926E-3</v>
      </c>
      <c r="J34">
        <v>5.0043575845356986E-3</v>
      </c>
      <c r="K34">
        <v>1.2355898668775895</v>
      </c>
      <c r="L34">
        <v>0.39953490683264081</v>
      </c>
      <c r="M34">
        <v>0.48256541572113554</v>
      </c>
    </row>
    <row r="35" spans="1:13">
      <c r="A35">
        <f t="shared" si="1"/>
        <v>32</v>
      </c>
      <c r="B35">
        <v>1.4678087693642647</v>
      </c>
      <c r="C35">
        <v>0.47402003938811982</v>
      </c>
      <c r="E35">
        <v>3.6064915370940788E-2</v>
      </c>
      <c r="F35">
        <v>1.6321652815665635E-2</v>
      </c>
      <c r="H35">
        <v>1.3250853277537996E-2</v>
      </c>
      <c r="I35">
        <v>6.0697080150561135E-3</v>
      </c>
      <c r="K35">
        <v>1.5038736847352054</v>
      </c>
      <c r="L35">
        <v>0.49034169220378548</v>
      </c>
    </row>
    <row r="36" spans="1:13">
      <c r="A36">
        <f t="shared" si="1"/>
        <v>33</v>
      </c>
      <c r="B36">
        <v>1.2618427645388397</v>
      </c>
      <c r="C36">
        <v>0.41149512146938222</v>
      </c>
      <c r="E36">
        <v>3.2977231315087119E-2</v>
      </c>
      <c r="F36">
        <v>2.0352950261828002E-2</v>
      </c>
      <c r="H36">
        <v>9.342835914236583E-3</v>
      </c>
      <c r="I36">
        <v>6.609595954967443E-3</v>
      </c>
      <c r="K36">
        <v>1.2948199958539268</v>
      </c>
      <c r="L36">
        <v>0.43184807173121026</v>
      </c>
    </row>
    <row r="37" spans="1:13">
      <c r="A37">
        <f t="shared" si="1"/>
        <v>34</v>
      </c>
      <c r="B37">
        <v>1.1579221803820363</v>
      </c>
      <c r="C37">
        <v>0.55593582275780673</v>
      </c>
      <c r="E37">
        <v>2.2104977586617818E-2</v>
      </c>
      <c r="F37">
        <v>1.7720176854768132E-2</v>
      </c>
      <c r="H37">
        <v>1.3427643207057808E-2</v>
      </c>
      <c r="I37">
        <v>2.2678435683692339E-2</v>
      </c>
      <c r="K37">
        <v>1.1800271579686541</v>
      </c>
      <c r="L37">
        <v>0.57365599961257485</v>
      </c>
    </row>
    <row r="38" spans="1:13">
      <c r="A38">
        <f t="shared" si="1"/>
        <v>35</v>
      </c>
      <c r="B38">
        <v>1.1253850519094093</v>
      </c>
      <c r="C38">
        <v>0.54307296549249418</v>
      </c>
      <c r="E38">
        <v>4.280342146854537E-2</v>
      </c>
      <c r="F38">
        <v>2.5048256685355937E-2</v>
      </c>
      <c r="H38">
        <v>5.8285936010249711E-4</v>
      </c>
      <c r="I38">
        <v>3.913315922014644E-3</v>
      </c>
      <c r="K38">
        <v>1.1681884733779546</v>
      </c>
      <c r="L38">
        <v>0.5681212221778501</v>
      </c>
    </row>
    <row r="39" spans="1:13">
      <c r="A39">
        <f t="shared" si="1"/>
        <v>36</v>
      </c>
      <c r="B39">
        <v>1.1912297718903577</v>
      </c>
      <c r="C39">
        <v>0.59590072973705677</v>
      </c>
      <c r="E39">
        <v>3.764991935484506E-2</v>
      </c>
      <c r="F39">
        <v>1.8083966196276429E-2</v>
      </c>
      <c r="H39">
        <v>2.125315391043061E-2</v>
      </c>
      <c r="I39">
        <v>8.3664139044275498E-3</v>
      </c>
      <c r="K39">
        <v>1.2288796912452027</v>
      </c>
      <c r="L39">
        <v>0.61398469593333327</v>
      </c>
    </row>
    <row r="40" spans="1:13">
      <c r="A40">
        <f t="shared" si="1"/>
        <v>37</v>
      </c>
      <c r="B40">
        <v>0.96571109867782079</v>
      </c>
      <c r="C40">
        <v>0.54595315483844853</v>
      </c>
      <c r="E40">
        <v>2.6092581408820391E-2</v>
      </c>
      <c r="F40">
        <v>2.3160201045040432E-2</v>
      </c>
      <c r="H40">
        <v>1.0928492485273306E-2</v>
      </c>
      <c r="I40">
        <v>4.0344787901571448E-3</v>
      </c>
      <c r="K40">
        <v>0.9918036800866411</v>
      </c>
      <c r="L40">
        <v>0.56911335588348899</v>
      </c>
    </row>
    <row r="41" spans="1:13">
      <c r="A41">
        <f t="shared" si="1"/>
        <v>38</v>
      </c>
      <c r="B41">
        <v>1.7303142564182297</v>
      </c>
      <c r="C41">
        <v>0.63197239198800248</v>
      </c>
      <c r="E41">
        <v>4.2974664388946836E-2</v>
      </c>
      <c r="F41">
        <v>2.3387550572249758E-2</v>
      </c>
      <c r="H41">
        <v>1.6151694582759765E-2</v>
      </c>
      <c r="I41">
        <v>1.1157629002435687E-4</v>
      </c>
      <c r="K41">
        <v>1.7732889208071763</v>
      </c>
      <c r="L41">
        <v>0.65535994256025232</v>
      </c>
    </row>
    <row r="42" spans="1:13">
      <c r="A42">
        <f t="shared" si="1"/>
        <v>39</v>
      </c>
      <c r="B42">
        <v>1.3431598332739449</v>
      </c>
      <c r="C42">
        <v>0.55677164840580229</v>
      </c>
      <c r="E42">
        <v>4.262193005949106E-2</v>
      </c>
      <c r="F42">
        <v>2.0689045292357135E-2</v>
      </c>
      <c r="H42">
        <v>9.1532803189150191E-3</v>
      </c>
      <c r="I42">
        <v>1.545431909480309E-2</v>
      </c>
      <c r="K42">
        <v>1.3857817633334357</v>
      </c>
      <c r="L42">
        <v>0.57746069369815944</v>
      </c>
    </row>
    <row r="43" spans="1:13">
      <c r="A43">
        <f t="shared" si="1"/>
        <v>40</v>
      </c>
      <c r="B43">
        <v>0.76560905272667046</v>
      </c>
      <c r="C43">
        <v>0.57696484616157884</v>
      </c>
      <c r="E43">
        <v>3.4953483771764535E-2</v>
      </c>
      <c r="F43">
        <v>1.9178252561699763E-2</v>
      </c>
      <c r="H43">
        <v>1.4416769992498344E-3</v>
      </c>
      <c r="I43">
        <v>5.9212942244856468E-3</v>
      </c>
      <c r="K43">
        <v>0.8005625364984349</v>
      </c>
      <c r="L43">
        <v>0.59614309872327864</v>
      </c>
    </row>
    <row r="44" spans="1:13">
      <c r="A44">
        <f t="shared" si="1"/>
        <v>41</v>
      </c>
      <c r="C44">
        <v>0.59650338151399951</v>
      </c>
      <c r="F44">
        <v>2.2872242129614046E-2</v>
      </c>
      <c r="I44">
        <v>1.2202412024090909E-2</v>
      </c>
      <c r="L44">
        <v>0.61937562364361365</v>
      </c>
    </row>
    <row r="45" spans="1:13">
      <c r="A45">
        <f t="shared" si="1"/>
        <v>42</v>
      </c>
      <c r="C45">
        <v>0.64342811533885858</v>
      </c>
      <c r="F45">
        <v>2.7536542917246911E-2</v>
      </c>
      <c r="I45">
        <v>4.7213705194169729E-3</v>
      </c>
      <c r="L45">
        <v>0.67096465825610552</v>
      </c>
    </row>
    <row r="46" spans="1:13">
      <c r="A46">
        <f t="shared" si="1"/>
        <v>43</v>
      </c>
      <c r="C46">
        <v>0.71205979940398278</v>
      </c>
      <c r="F46">
        <v>2.3977804454584185E-2</v>
      </c>
      <c r="I46">
        <v>1.2895386901479797E-2</v>
      </c>
      <c r="L46">
        <v>0.73603760385856698</v>
      </c>
    </row>
    <row r="47" spans="1:13">
      <c r="A47">
        <f t="shared" si="1"/>
        <v>44</v>
      </c>
      <c r="C47">
        <v>0.69039945132886527</v>
      </c>
      <c r="F47">
        <v>2.6690860347644757E-2</v>
      </c>
      <c r="I47">
        <v>7.0687491326788011E-3</v>
      </c>
      <c r="L47">
        <v>0.71709031167651005</v>
      </c>
    </row>
    <row r="48" spans="1:13">
      <c r="A48">
        <f t="shared" si="1"/>
        <v>45</v>
      </c>
      <c r="C48">
        <v>0.75731533585659994</v>
      </c>
      <c r="F48">
        <v>2.4064400804327177E-2</v>
      </c>
      <c r="I48">
        <v>1.3289660515431671E-2</v>
      </c>
      <c r="L48">
        <v>0.78137973666092719</v>
      </c>
    </row>
    <row r="49" spans="1:12">
      <c r="A49">
        <f t="shared" si="1"/>
        <v>46</v>
      </c>
      <c r="C49">
        <v>0.7746393195973883</v>
      </c>
      <c r="F49">
        <v>4.285791776701306E-2</v>
      </c>
      <c r="I49">
        <v>7.338945875962774E-3</v>
      </c>
      <c r="L49">
        <v>0.81749723736440139</v>
      </c>
    </row>
    <row r="50" spans="1:12">
      <c r="A50">
        <f t="shared" si="1"/>
        <v>47</v>
      </c>
      <c r="C50">
        <v>0.70805449484220262</v>
      </c>
      <c r="F50">
        <v>4.107031423131749E-2</v>
      </c>
      <c r="I50">
        <v>6.1506710631682128E-3</v>
      </c>
      <c r="L50">
        <v>0.74912480907352019</v>
      </c>
    </row>
    <row r="51" spans="1:12">
      <c r="A51">
        <f t="shared" si="1"/>
        <v>48</v>
      </c>
      <c r="C51">
        <v>0.8268530469298484</v>
      </c>
      <c r="F51">
        <v>2.4469878201119205E-2</v>
      </c>
      <c r="I51">
        <v>1.0004604815673905E-2</v>
      </c>
      <c r="L51">
        <v>0.85132292513096763</v>
      </c>
    </row>
    <row r="52" spans="1:12">
      <c r="A52">
        <f t="shared" si="1"/>
        <v>49</v>
      </c>
      <c r="C52">
        <v>0.74765850921174404</v>
      </c>
      <c r="F52">
        <v>2.3089580050386093E-2</v>
      </c>
      <c r="I52">
        <v>9.6929905958420704E-3</v>
      </c>
      <c r="L52">
        <v>0.77074808926213023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23"/>
  <sheetViews>
    <sheetView zoomScale="77" zoomScaleNormal="100" workbookViewId="0">
      <selection activeCell="D15" sqref="D15"/>
    </sheetView>
  </sheetViews>
  <sheetFormatPr baseColWidth="10" defaultColWidth="11" defaultRowHeight="15"/>
  <cols>
    <col min="12" max="12" width="11.6640625" bestFit="1" customWidth="1"/>
    <col min="13" max="14" width="12.6640625" customWidth="1"/>
    <col min="15" max="15" width="0" hidden="1" customWidth="1"/>
    <col min="28" max="30" width="11" hidden="1" customWidth="1"/>
    <col min="31" max="35" width="0" hidden="1" customWidth="1"/>
  </cols>
  <sheetData>
    <row r="1" spans="1:35" ht="16">
      <c r="A1" s="6"/>
      <c r="B1" s="5"/>
      <c r="C1" s="5"/>
      <c r="D1" s="5"/>
      <c r="E1" s="5"/>
      <c r="F1" s="5"/>
      <c r="G1" s="5"/>
      <c r="H1" s="5"/>
      <c r="I1" s="5"/>
      <c r="J1" s="5"/>
      <c r="K1" s="5"/>
      <c r="L1" s="22"/>
      <c r="M1" s="23" t="s">
        <v>26</v>
      </c>
      <c r="N1" s="23" t="s">
        <v>27</v>
      </c>
      <c r="O1" s="23" t="s">
        <v>27</v>
      </c>
      <c r="P1" s="23" t="s">
        <v>30</v>
      </c>
      <c r="Q1" s="24"/>
      <c r="R1" s="5"/>
      <c r="S1" s="5"/>
      <c r="T1" s="5"/>
      <c r="U1" s="5"/>
      <c r="V1" s="5"/>
      <c r="W1" s="5"/>
      <c r="X1" s="5"/>
      <c r="Y1" s="5"/>
      <c r="Z1" s="5"/>
    </row>
    <row r="2" spans="1:35" ht="16">
      <c r="A2" s="6"/>
      <c r="B2" s="5"/>
      <c r="C2" s="5"/>
      <c r="D2" s="5"/>
      <c r="E2" s="5"/>
      <c r="F2" s="5"/>
      <c r="G2" s="5"/>
      <c r="H2" s="5"/>
      <c r="I2" s="5"/>
      <c r="J2" s="5"/>
      <c r="K2" s="5"/>
      <c r="L2" s="25" t="s">
        <v>28</v>
      </c>
      <c r="M2" s="26">
        <v>1.3809969999999999E-6</v>
      </c>
      <c r="N2" s="26">
        <v>3.3333599881999999E-2</v>
      </c>
      <c r="O2" s="26">
        <v>3.3333599881999999E-2</v>
      </c>
      <c r="P2" s="26"/>
      <c r="Q2" s="27" t="s">
        <v>31</v>
      </c>
      <c r="R2" s="5"/>
      <c r="S2" s="5"/>
      <c r="T2" s="5"/>
      <c r="U2" s="5"/>
      <c r="V2" s="5"/>
      <c r="W2" s="5"/>
      <c r="X2" s="5"/>
      <c r="Y2" s="8"/>
      <c r="Z2" s="5"/>
    </row>
    <row r="3" spans="1:35" ht="16">
      <c r="A3" s="6"/>
      <c r="B3" s="5"/>
      <c r="C3" s="5"/>
      <c r="D3" s="5"/>
      <c r="E3" s="5"/>
      <c r="F3" s="10" t="s">
        <v>54</v>
      </c>
      <c r="G3" s="11"/>
      <c r="H3" s="11"/>
      <c r="I3" s="11"/>
      <c r="J3" s="11"/>
      <c r="K3" s="5"/>
      <c r="L3" s="28" t="s">
        <v>29</v>
      </c>
      <c r="M3" s="29">
        <v>1.34137240556928E-5</v>
      </c>
      <c r="N3" s="29">
        <v>6.5198900750206902E-4</v>
      </c>
      <c r="O3" s="29">
        <v>6.5198900750206902E-4</v>
      </c>
      <c r="P3" s="30">
        <v>9.8739581370289001E-11</v>
      </c>
      <c r="Q3" s="31" t="s">
        <v>32</v>
      </c>
      <c r="R3" s="5"/>
      <c r="S3" s="5"/>
      <c r="T3" s="5"/>
      <c r="U3" s="5"/>
      <c r="V3" s="5"/>
      <c r="W3" s="5"/>
      <c r="X3" s="5"/>
      <c r="Y3" s="5"/>
      <c r="Z3" s="5"/>
    </row>
    <row r="4" spans="1:35" ht="16">
      <c r="A4" s="6"/>
      <c r="B4" s="5"/>
      <c r="C4" s="5"/>
      <c r="D4" s="5"/>
      <c r="E4" s="5"/>
      <c r="F4" s="11"/>
      <c r="G4" s="10" t="s">
        <v>39</v>
      </c>
      <c r="H4" s="11"/>
      <c r="I4" s="11"/>
      <c r="J4" s="11"/>
      <c r="K4" s="5"/>
      <c r="L4" s="5"/>
      <c r="M4" s="5"/>
      <c r="N4" s="5"/>
      <c r="O4" s="5"/>
      <c r="P4" s="32" t="s">
        <v>126</v>
      </c>
      <c r="Q4" s="33"/>
      <c r="R4" s="33"/>
      <c r="S4" s="33"/>
      <c r="T4" s="5"/>
      <c r="U4" s="5"/>
      <c r="V4" s="35" t="s">
        <v>127</v>
      </c>
      <c r="W4" s="33"/>
      <c r="X4" s="33"/>
      <c r="Y4" s="33"/>
      <c r="Z4" s="35"/>
    </row>
    <row r="5" spans="1:35" ht="16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12" t="s">
        <v>40</v>
      </c>
      <c r="M5" s="14" t="s">
        <v>45</v>
      </c>
      <c r="N5" s="16" t="s">
        <v>47</v>
      </c>
      <c r="O5" s="18"/>
      <c r="P5" s="18"/>
      <c r="Q5" s="12" t="s">
        <v>40</v>
      </c>
      <c r="R5" s="5"/>
      <c r="S5" s="5"/>
      <c r="T5" s="5"/>
      <c r="U5" s="14" t="s">
        <v>45</v>
      </c>
      <c r="V5" s="16" t="s">
        <v>128</v>
      </c>
      <c r="W5" s="18"/>
      <c r="X5" s="19" t="s">
        <v>129</v>
      </c>
      <c r="Y5" s="18"/>
      <c r="Z5" s="18"/>
    </row>
    <row r="6" spans="1:35" ht="16">
      <c r="A6" s="3" t="s">
        <v>56</v>
      </c>
      <c r="B6" s="3" t="s">
        <v>55</v>
      </c>
      <c r="C6" s="3" t="s">
        <v>16</v>
      </c>
      <c r="D6" s="4" t="s">
        <v>17</v>
      </c>
      <c r="E6" s="4" t="s">
        <v>18</v>
      </c>
      <c r="F6" s="4" t="s">
        <v>19</v>
      </c>
      <c r="G6" s="1" t="s">
        <v>20</v>
      </c>
      <c r="H6" s="1" t="s">
        <v>0</v>
      </c>
      <c r="I6" s="1" t="s">
        <v>1</v>
      </c>
      <c r="J6" s="1" t="s">
        <v>2</v>
      </c>
      <c r="K6" s="1" t="s">
        <v>3</v>
      </c>
      <c r="L6" s="13" t="s">
        <v>4</v>
      </c>
      <c r="M6" s="15" t="s">
        <v>5</v>
      </c>
      <c r="N6" s="17" t="s">
        <v>6</v>
      </c>
      <c r="O6" s="34" t="s">
        <v>12</v>
      </c>
      <c r="P6" s="34" t="s">
        <v>12</v>
      </c>
      <c r="Q6" s="13" t="s">
        <v>7</v>
      </c>
      <c r="R6" s="13" t="s">
        <v>8</v>
      </c>
      <c r="S6" s="13" t="s">
        <v>9</v>
      </c>
      <c r="T6" s="2" t="s">
        <v>38</v>
      </c>
      <c r="U6" s="15" t="s">
        <v>10</v>
      </c>
      <c r="V6" s="20" t="s">
        <v>11</v>
      </c>
      <c r="W6" s="34" t="s">
        <v>12</v>
      </c>
      <c r="X6" s="21" t="s">
        <v>13</v>
      </c>
      <c r="Y6" s="21" t="s">
        <v>130</v>
      </c>
    </row>
    <row r="7" spans="1:35">
      <c r="B7">
        <v>1</v>
      </c>
      <c r="C7" s="36">
        <v>100</v>
      </c>
      <c r="D7" s="36" t="s">
        <v>57</v>
      </c>
      <c r="E7" s="36" t="s">
        <v>122</v>
      </c>
      <c r="F7" s="36" t="s">
        <v>124</v>
      </c>
      <c r="H7" s="36">
        <v>0</v>
      </c>
      <c r="I7" s="36">
        <v>0</v>
      </c>
      <c r="J7" s="36">
        <v>43</v>
      </c>
      <c r="K7" s="36">
        <v>67</v>
      </c>
    </row>
    <row r="8" spans="1:35">
      <c r="B8">
        <f>B7+1</f>
        <v>2</v>
      </c>
      <c r="C8" s="36">
        <v>100</v>
      </c>
      <c r="D8" s="36" t="s">
        <v>57</v>
      </c>
      <c r="E8" s="36" t="s">
        <v>122</v>
      </c>
      <c r="F8" s="36" t="s">
        <v>124</v>
      </c>
      <c r="H8" s="36">
        <v>0</v>
      </c>
      <c r="I8" s="36">
        <v>0</v>
      </c>
      <c r="J8" s="36">
        <v>502</v>
      </c>
      <c r="K8" s="36">
        <v>32</v>
      </c>
    </row>
    <row r="9" spans="1:35">
      <c r="B9">
        <f t="shared" ref="B9:B72" si="0">B8+1</f>
        <v>3</v>
      </c>
      <c r="C9" s="36">
        <v>100</v>
      </c>
      <c r="D9" s="36" t="s">
        <v>58</v>
      </c>
      <c r="E9" s="36" t="s">
        <v>123</v>
      </c>
      <c r="F9" s="36" t="s">
        <v>125</v>
      </c>
      <c r="H9" s="36">
        <v>369</v>
      </c>
      <c r="I9" s="36">
        <v>1027</v>
      </c>
      <c r="J9" s="36">
        <v>1424</v>
      </c>
      <c r="K9" s="36">
        <v>25</v>
      </c>
    </row>
    <row r="10" spans="1:35" ht="16">
      <c r="B10">
        <f t="shared" si="0"/>
        <v>4</v>
      </c>
      <c r="C10" s="36">
        <v>57.3</v>
      </c>
      <c r="D10" s="36" t="s">
        <v>59</v>
      </c>
      <c r="E10" s="36" t="s">
        <v>123</v>
      </c>
      <c r="F10" s="36" t="s">
        <v>125</v>
      </c>
      <c r="H10" s="36">
        <v>223364</v>
      </c>
      <c r="I10" s="36">
        <v>41344</v>
      </c>
      <c r="J10" s="36">
        <v>5262</v>
      </c>
      <c r="K10" s="36">
        <v>6577</v>
      </c>
      <c r="L10" s="38">
        <f>K10-K96</f>
        <v>6571.8461538461543</v>
      </c>
      <c r="M10" s="37">
        <f t="shared" ref="M10:M15" si="1">L10*AB10+AC10+AD10*L10^2</f>
        <v>9.3069399614420359E-2</v>
      </c>
      <c r="N10" s="37">
        <f>M10/C10*100</f>
        <v>0.16242478117699888</v>
      </c>
      <c r="O10">
        <v>5.1538461538461542</v>
      </c>
      <c r="P10">
        <f>N10*SQRT((0.2/C10)^2+(0.020798677/M10)^2)</f>
        <v>3.6302292703524655E-2</v>
      </c>
      <c r="Q10">
        <f>H10-AE10</f>
        <v>223030.41666666666</v>
      </c>
      <c r="R10">
        <f>I10-AF10</f>
        <v>40475.307692307695</v>
      </c>
      <c r="S10">
        <f>J10-AG10</f>
        <v>5091.9230769230771</v>
      </c>
      <c r="T10">
        <f>S10+R10+Q10</f>
        <v>268597.64743589744</v>
      </c>
      <c r="U10">
        <f>第一次EA數據!T10*第一次EA數據!M2+第一次EA數據!N2</f>
        <v>0.40426614519803206</v>
      </c>
      <c r="V10">
        <f>U10 / C10*100</f>
        <v>0.70552555880982915</v>
      </c>
      <c r="W10">
        <f>V10*SQRT((0.2/C10)^2+(0.0258413446374805/U10)^2)</f>
        <v>4.5165516166176478E-2</v>
      </c>
      <c r="X10">
        <f>V10 * ((Q10+R10)/T10)</f>
        <v>0.69215060222120084</v>
      </c>
      <c r="Y10">
        <f>V10*(S10/T10)</f>
        <v>1.3374956588628304E-2</v>
      </c>
      <c r="AB10">
        <f>M3</f>
        <v>1.34137240556928E-5</v>
      </c>
      <c r="AC10">
        <f>O3</f>
        <v>6.5198900750206902E-4</v>
      </c>
      <c r="AD10">
        <f>P3</f>
        <v>9.8739581370289001E-11</v>
      </c>
      <c r="AE10">
        <v>333.58333333333331</v>
      </c>
      <c r="AF10">
        <v>868.69230769230774</v>
      </c>
      <c r="AG10">
        <v>170.07692307692307</v>
      </c>
      <c r="AH10" s="26">
        <v>1.3809969999999999E-6</v>
      </c>
      <c r="AI10" s="26">
        <v>3.3333599881999999E-2</v>
      </c>
    </row>
    <row r="11" spans="1:35" ht="16">
      <c r="B11">
        <f t="shared" si="0"/>
        <v>5</v>
      </c>
      <c r="C11" s="36">
        <v>29.9</v>
      </c>
      <c r="D11" s="36" t="s">
        <v>60</v>
      </c>
      <c r="E11" s="36" t="s">
        <v>123</v>
      </c>
      <c r="F11" s="36" t="s">
        <v>125</v>
      </c>
      <c r="H11" s="36">
        <v>209081</v>
      </c>
      <c r="I11" s="36">
        <v>95902</v>
      </c>
      <c r="J11" s="36">
        <v>5814</v>
      </c>
      <c r="K11" s="36">
        <v>1306</v>
      </c>
      <c r="L11" s="38">
        <f>K11-K96</f>
        <v>1300.8461538461538</v>
      </c>
      <c r="M11" s="37">
        <f>L11*AB11+AC11+AD11*L11^2</f>
        <v>1.8268267544393688E-2</v>
      </c>
      <c r="N11" s="37">
        <f t="shared" ref="N11:N74" si="2">M11/C11*100</f>
        <v>6.1097884763858495E-2</v>
      </c>
      <c r="O11">
        <v>5.1538461538461542</v>
      </c>
      <c r="P11">
        <f t="shared" ref="P11:P74" si="3">N11*SQRT((0.2/C11)^2+(0.020798677/M11)^2)</f>
        <v>6.9561993168497677E-2</v>
      </c>
      <c r="Q11">
        <f t="shared" ref="Q11:Q74" si="4">H11-AE11</f>
        <v>208747.41666666666</v>
      </c>
      <c r="R11">
        <f>I11-AF11</f>
        <v>95033.307692307688</v>
      </c>
      <c r="S11">
        <f t="shared" ref="S11:S74" si="5">J11-AG11</f>
        <v>5643.9230769230771</v>
      </c>
      <c r="T11">
        <f t="shared" ref="T11:T74" si="6">S11+R11+Q11</f>
        <v>309424.64743589744</v>
      </c>
      <c r="U11">
        <f>T11*AH11+AI11</f>
        <v>0.46064810971703207</v>
      </c>
      <c r="V11">
        <f t="shared" ref="V11:V74" si="7">U11 / C11*100</f>
        <v>1.5406291294884018</v>
      </c>
      <c r="W11">
        <f t="shared" ref="W11:W74" si="8">V11*SQRT((0.2/C11)^2+(0.0258413446374805/U11)^2)</f>
        <v>8.7038117437123641E-2</v>
      </c>
      <c r="X11">
        <f>V11 * ((Q11+R11)/T11)</f>
        <v>1.5125279669955178</v>
      </c>
      <c r="Y11">
        <f t="shared" ref="Y11:Y74" si="9">V11*(S11/T11)</f>
        <v>2.8101162492884017E-2</v>
      </c>
      <c r="AB11">
        <f t="shared" ref="AB11:AD12" si="10">AB10</f>
        <v>1.34137240556928E-5</v>
      </c>
      <c r="AC11">
        <f t="shared" si="10"/>
        <v>6.5198900750206902E-4</v>
      </c>
      <c r="AD11">
        <f t="shared" si="10"/>
        <v>9.8739581370289001E-11</v>
      </c>
      <c r="AE11">
        <v>333.58333333333331</v>
      </c>
      <c r="AF11">
        <v>868.69230769230774</v>
      </c>
      <c r="AG11">
        <v>170.07692307692307</v>
      </c>
      <c r="AH11" s="26">
        <v>1.3809969999999999E-6</v>
      </c>
      <c r="AI11" s="26">
        <v>3.3333599881999999E-2</v>
      </c>
    </row>
    <row r="12" spans="1:35" ht="16">
      <c r="B12">
        <f t="shared" si="0"/>
        <v>6</v>
      </c>
      <c r="C12" s="36">
        <v>30</v>
      </c>
      <c r="D12" s="36" t="s">
        <v>61</v>
      </c>
      <c r="E12" s="36" t="s">
        <v>123</v>
      </c>
      <c r="F12" s="36" t="s">
        <v>125</v>
      </c>
      <c r="H12" s="36">
        <v>191350</v>
      </c>
      <c r="I12" s="36">
        <v>83977</v>
      </c>
      <c r="J12" s="36">
        <v>9540</v>
      </c>
      <c r="K12" s="36">
        <v>1849</v>
      </c>
      <c r="L12" s="38">
        <f>K12-K96</f>
        <v>1843.8461538461538</v>
      </c>
      <c r="M12" s="37">
        <f t="shared" si="1"/>
        <v>2.5720524248520827E-2</v>
      </c>
      <c r="N12" s="37">
        <f t="shared" si="2"/>
        <v>8.5735080828402754E-2</v>
      </c>
      <c r="O12">
        <v>5.1538461538461497</v>
      </c>
      <c r="P12">
        <f t="shared" si="3"/>
        <v>6.933127937395675E-2</v>
      </c>
      <c r="Q12">
        <f t="shared" si="4"/>
        <v>191016.41666666666</v>
      </c>
      <c r="R12">
        <f t="shared" ref="R12:R74" si="11">I12-AF12</f>
        <v>83108.307692307688</v>
      </c>
      <c r="S12">
        <f t="shared" si="5"/>
        <v>9369.9230769230762</v>
      </c>
      <c r="T12">
        <f t="shared" si="6"/>
        <v>283494.64743589744</v>
      </c>
      <c r="U12">
        <f t="shared" ref="U12:U75" si="12">T12*AH12+AI12</f>
        <v>0.42483885750703204</v>
      </c>
      <c r="V12">
        <f t="shared" si="7"/>
        <v>1.4161295250234402</v>
      </c>
      <c r="W12">
        <f t="shared" si="8"/>
        <v>8.6653639020824028E-2</v>
      </c>
      <c r="X12">
        <f t="shared" ref="X12:X74" si="13">V12 * ((Q12+R12)/T12)</f>
        <v>1.3693243213399049</v>
      </c>
      <c r="Y12">
        <f t="shared" si="9"/>
        <v>4.680520368353544E-2</v>
      </c>
      <c r="AB12">
        <f t="shared" si="10"/>
        <v>1.34137240556928E-5</v>
      </c>
      <c r="AC12">
        <f t="shared" si="10"/>
        <v>6.5198900750206902E-4</v>
      </c>
      <c r="AD12">
        <f t="shared" si="10"/>
        <v>9.8739581370289001E-11</v>
      </c>
      <c r="AE12">
        <v>333.58333333333331</v>
      </c>
      <c r="AF12">
        <v>868.69230769230774</v>
      </c>
      <c r="AG12">
        <v>170.07692307692307</v>
      </c>
      <c r="AH12" s="26">
        <v>1.3809969999999999E-6</v>
      </c>
      <c r="AI12" s="26">
        <v>3.3333599881999999E-2</v>
      </c>
    </row>
    <row r="13" spans="1:35" ht="16">
      <c r="B13">
        <f t="shared" si="0"/>
        <v>7</v>
      </c>
      <c r="C13" s="36">
        <v>29.7</v>
      </c>
      <c r="D13" s="36" t="s">
        <v>62</v>
      </c>
      <c r="E13" s="36" t="s">
        <v>123</v>
      </c>
      <c r="F13" s="36" t="s">
        <v>125</v>
      </c>
      <c r="H13" s="36">
        <v>240614</v>
      </c>
      <c r="I13" s="36">
        <v>96631</v>
      </c>
      <c r="J13" s="36">
        <v>4844</v>
      </c>
      <c r="K13" s="36">
        <v>1997</v>
      </c>
      <c r="L13" s="38">
        <f>K13-O13</f>
        <v>1991.8461538461538</v>
      </c>
      <c r="M13" s="37">
        <f t="shared" si="1"/>
        <v>2.7761808137366922E-2</v>
      </c>
      <c r="N13" s="37">
        <f t="shared" si="2"/>
        <v>9.3474101472615895E-2</v>
      </c>
      <c r="O13">
        <v>5.1538461538461497</v>
      </c>
      <c r="P13">
        <f t="shared" si="3"/>
        <v>7.003204434956864E-2</v>
      </c>
      <c r="Q13">
        <f t="shared" si="4"/>
        <v>240280.41666666666</v>
      </c>
      <c r="R13">
        <f t="shared" si="11"/>
        <v>95762.307692307688</v>
      </c>
      <c r="S13">
        <f t="shared" si="5"/>
        <v>4673.9230769230771</v>
      </c>
      <c r="T13">
        <f t="shared" si="6"/>
        <v>340716.64743589744</v>
      </c>
      <c r="U13">
        <f t="shared" si="12"/>
        <v>0.50386226784103205</v>
      </c>
      <c r="V13">
        <f t="shared" si="7"/>
        <v>1.6965059523267074</v>
      </c>
      <c r="W13">
        <f t="shared" si="8"/>
        <v>8.7754703116845745E-2</v>
      </c>
      <c r="X13">
        <f t="shared" si="13"/>
        <v>1.6732334225563241</v>
      </c>
      <c r="Y13">
        <f t="shared" si="9"/>
        <v>2.3272529770383434E-2</v>
      </c>
      <c r="AB13">
        <f t="shared" ref="AB13:AB76" si="14">AB12</f>
        <v>1.34137240556928E-5</v>
      </c>
      <c r="AC13">
        <f t="shared" ref="AC13:AC76" si="15">AC12</f>
        <v>6.5198900750206902E-4</v>
      </c>
      <c r="AD13">
        <f t="shared" ref="AD13:AD76" si="16">AD12</f>
        <v>9.8739581370289001E-11</v>
      </c>
      <c r="AE13">
        <v>333.58333333333331</v>
      </c>
      <c r="AF13">
        <v>868.69230769230774</v>
      </c>
      <c r="AG13">
        <v>170.07692307692307</v>
      </c>
      <c r="AH13" s="26">
        <v>1.3809969999999999E-6</v>
      </c>
      <c r="AI13" s="26">
        <v>3.3333599881999999E-2</v>
      </c>
    </row>
    <row r="14" spans="1:35" ht="16">
      <c r="B14">
        <f t="shared" si="0"/>
        <v>8</v>
      </c>
      <c r="C14" s="36">
        <v>29.8</v>
      </c>
      <c r="D14" s="36" t="s">
        <v>63</v>
      </c>
      <c r="E14" s="36" t="s">
        <v>123</v>
      </c>
      <c r="F14" s="36" t="s">
        <v>125</v>
      </c>
      <c r="H14" s="36">
        <v>140700</v>
      </c>
      <c r="I14" s="36">
        <v>66603</v>
      </c>
      <c r="J14" s="36">
        <v>5244</v>
      </c>
      <c r="K14" s="36">
        <v>985</v>
      </c>
      <c r="L14" s="38">
        <f>K14-O14</f>
        <v>979.84615384615381</v>
      </c>
      <c r="M14" s="37">
        <f t="shared" si="1"/>
        <v>1.3890174654729888E-2</v>
      </c>
      <c r="N14" s="37">
        <f t="shared" si="2"/>
        <v>4.661132434473117E-2</v>
      </c>
      <c r="O14">
        <v>5.1538461538461497</v>
      </c>
      <c r="P14">
        <f t="shared" si="3"/>
        <v>6.9794919186514107E-2</v>
      </c>
      <c r="Q14">
        <f t="shared" si="4"/>
        <v>140366.41666666666</v>
      </c>
      <c r="R14">
        <f t="shared" si="11"/>
        <v>65734.307692307688</v>
      </c>
      <c r="S14">
        <f t="shared" si="5"/>
        <v>5073.9230769230771</v>
      </c>
      <c r="T14">
        <f t="shared" si="6"/>
        <v>211174.64743589744</v>
      </c>
      <c r="U14">
        <f t="shared" si="12"/>
        <v>0.32496515446703206</v>
      </c>
      <c r="V14">
        <f t="shared" si="7"/>
        <v>1.0904870955269532</v>
      </c>
      <c r="W14">
        <f t="shared" si="8"/>
        <v>8.7024217934860315E-2</v>
      </c>
      <c r="X14">
        <f t="shared" si="13"/>
        <v>1.064285808079507</v>
      </c>
      <c r="Y14">
        <f t="shared" si="9"/>
        <v>2.6201287447446063E-2</v>
      </c>
      <c r="AB14">
        <f t="shared" si="14"/>
        <v>1.34137240556928E-5</v>
      </c>
      <c r="AC14">
        <f t="shared" si="15"/>
        <v>6.5198900750206902E-4</v>
      </c>
      <c r="AD14">
        <f t="shared" si="16"/>
        <v>9.8739581370289001E-11</v>
      </c>
      <c r="AE14">
        <v>333.58333333333331</v>
      </c>
      <c r="AF14">
        <v>868.69230769230774</v>
      </c>
      <c r="AG14">
        <v>170.07692307692307</v>
      </c>
      <c r="AH14" s="26">
        <v>1.3809969999999999E-6</v>
      </c>
      <c r="AI14" s="26">
        <v>3.3333599881999999E-2</v>
      </c>
    </row>
    <row r="15" spans="1:35" ht="16">
      <c r="B15">
        <f t="shared" si="0"/>
        <v>9</v>
      </c>
      <c r="C15" s="36">
        <v>29.9</v>
      </c>
      <c r="D15" s="36" t="s">
        <v>64</v>
      </c>
      <c r="E15" s="36" t="s">
        <v>123</v>
      </c>
      <c r="F15" s="36" t="s">
        <v>125</v>
      </c>
      <c r="H15" s="36">
        <v>203911</v>
      </c>
      <c r="I15" s="36">
        <v>92405</v>
      </c>
      <c r="J15" s="36">
        <v>10260</v>
      </c>
      <c r="K15" s="36">
        <v>2591</v>
      </c>
      <c r="L15" s="38">
        <f>K15-O15</f>
        <v>2585.8461538461538</v>
      </c>
      <c r="M15" s="37">
        <f t="shared" si="1"/>
        <v>3.5998047883177939E-2</v>
      </c>
      <c r="N15" s="37">
        <f t="shared" si="2"/>
        <v>0.12039480897383928</v>
      </c>
      <c r="O15">
        <v>5.1538461538461497</v>
      </c>
      <c r="P15">
        <f t="shared" si="3"/>
        <v>6.9565454124761242E-2</v>
      </c>
      <c r="Q15">
        <f t="shared" si="4"/>
        <v>203577.41666666666</v>
      </c>
      <c r="R15">
        <f t="shared" si="11"/>
        <v>91536.307692307688</v>
      </c>
      <c r="S15">
        <f t="shared" si="5"/>
        <v>10089.923076923076</v>
      </c>
      <c r="T15">
        <f t="shared" si="6"/>
        <v>305203.64743589744</v>
      </c>
      <c r="U15">
        <f t="shared" si="12"/>
        <v>0.45481892138003205</v>
      </c>
      <c r="V15">
        <f t="shared" si="7"/>
        <v>1.5211335163211774</v>
      </c>
      <c r="W15">
        <f t="shared" si="8"/>
        <v>8.7022773923237443E-2</v>
      </c>
      <c r="X15">
        <f t="shared" si="13"/>
        <v>1.4708453880554961</v>
      </c>
      <c r="Y15">
        <f t="shared" si="9"/>
        <v>5.0288128265681332E-2</v>
      </c>
      <c r="AB15">
        <f t="shared" si="14"/>
        <v>1.34137240556928E-5</v>
      </c>
      <c r="AC15">
        <f t="shared" si="15"/>
        <v>6.5198900750206902E-4</v>
      </c>
      <c r="AD15">
        <f t="shared" si="16"/>
        <v>9.8739581370289001E-11</v>
      </c>
      <c r="AE15">
        <v>333.58333333333331</v>
      </c>
      <c r="AF15">
        <v>868.69230769230774</v>
      </c>
      <c r="AG15">
        <v>170.07692307692307</v>
      </c>
      <c r="AH15" s="26">
        <v>1.3809969999999999E-6</v>
      </c>
      <c r="AI15" s="26">
        <v>3.3333599881999999E-2</v>
      </c>
    </row>
    <row r="16" spans="1:35" ht="16">
      <c r="B16">
        <f t="shared" si="0"/>
        <v>10</v>
      </c>
      <c r="C16" s="36">
        <v>100</v>
      </c>
      <c r="D16" s="36" t="s">
        <v>58</v>
      </c>
      <c r="E16" s="36" t="s">
        <v>123</v>
      </c>
      <c r="F16" s="36" t="s">
        <v>125</v>
      </c>
      <c r="H16" s="36">
        <v>316</v>
      </c>
      <c r="I16" s="36">
        <v>1015</v>
      </c>
      <c r="J16" s="36">
        <v>366</v>
      </c>
      <c r="K16" s="36">
        <v>2</v>
      </c>
      <c r="M16" s="37"/>
      <c r="N16" s="37"/>
      <c r="O16">
        <v>5.1538461538461497</v>
      </c>
      <c r="AB16">
        <f t="shared" si="14"/>
        <v>1.34137240556928E-5</v>
      </c>
      <c r="AC16">
        <f t="shared" si="15"/>
        <v>6.5198900750206902E-4</v>
      </c>
      <c r="AD16">
        <f t="shared" si="16"/>
        <v>9.8739581370289001E-11</v>
      </c>
      <c r="AE16">
        <v>333.58333333333331</v>
      </c>
      <c r="AF16">
        <v>868.69230769230774</v>
      </c>
      <c r="AG16">
        <v>170.07692307692307</v>
      </c>
      <c r="AH16" s="26">
        <v>1.3809969999999999E-6</v>
      </c>
      <c r="AI16" s="26">
        <v>3.3333599881999999E-2</v>
      </c>
    </row>
    <row r="17" spans="2:35" ht="16">
      <c r="B17">
        <f t="shared" si="0"/>
        <v>11</v>
      </c>
      <c r="C17" s="36">
        <v>54.6</v>
      </c>
      <c r="D17" s="36" t="s">
        <v>65</v>
      </c>
      <c r="E17" s="36" t="s">
        <v>123</v>
      </c>
      <c r="F17" s="36" t="s">
        <v>125</v>
      </c>
      <c r="H17" s="36">
        <v>83660</v>
      </c>
      <c r="I17" s="36">
        <v>84289</v>
      </c>
      <c r="J17" s="36">
        <v>10666</v>
      </c>
      <c r="K17" s="36">
        <v>7148</v>
      </c>
      <c r="L17" s="36">
        <f t="shared" ref="L17:L22" si="17">K17-O17</f>
        <v>7142.8461538461543</v>
      </c>
      <c r="M17" s="37">
        <f t="shared" ref="M17:M22" si="18">L17*AB17+AC17+AD17*L17^2</f>
        <v>0.10150187453013583</v>
      </c>
      <c r="N17" s="37">
        <f t="shared" si="2"/>
        <v>0.18590086910281287</v>
      </c>
      <c r="O17">
        <v>5.1538461538461497</v>
      </c>
      <c r="P17">
        <f t="shared" si="3"/>
        <v>3.8098900988091003E-2</v>
      </c>
      <c r="Q17">
        <f t="shared" si="4"/>
        <v>83326.416666666672</v>
      </c>
      <c r="R17">
        <f t="shared" si="11"/>
        <v>83420.307692307688</v>
      </c>
      <c r="S17">
        <f t="shared" si="5"/>
        <v>10495.923076923076</v>
      </c>
      <c r="T17">
        <f t="shared" si="6"/>
        <v>177242.64743589744</v>
      </c>
      <c r="U17">
        <f t="shared" si="12"/>
        <v>0.27810516426303206</v>
      </c>
      <c r="V17">
        <f t="shared" si="7"/>
        <v>0.50935011769786087</v>
      </c>
      <c r="W17">
        <f t="shared" si="8"/>
        <v>4.7365230957525956E-2</v>
      </c>
      <c r="X17">
        <f t="shared" si="13"/>
        <v>0.47918751444227614</v>
      </c>
      <c r="Y17">
        <f t="shared" si="9"/>
        <v>3.0162603255584768E-2</v>
      </c>
      <c r="AB17">
        <f t="shared" si="14"/>
        <v>1.34137240556928E-5</v>
      </c>
      <c r="AC17">
        <f t="shared" si="15"/>
        <v>6.5198900750206902E-4</v>
      </c>
      <c r="AD17">
        <f t="shared" si="16"/>
        <v>9.8739581370289001E-11</v>
      </c>
      <c r="AE17">
        <v>333.58333333333331</v>
      </c>
      <c r="AF17">
        <v>868.69230769230774</v>
      </c>
      <c r="AG17">
        <v>170.07692307692307</v>
      </c>
      <c r="AH17" s="26">
        <v>1.3809969999999999E-6</v>
      </c>
      <c r="AI17" s="26">
        <v>3.3333599881999999E-2</v>
      </c>
    </row>
    <row r="18" spans="2:35" ht="16">
      <c r="B18">
        <f t="shared" si="0"/>
        <v>12</v>
      </c>
      <c r="C18" s="36">
        <v>29.9</v>
      </c>
      <c r="D18" s="36" t="s">
        <v>66</v>
      </c>
      <c r="E18" s="36" t="s">
        <v>123</v>
      </c>
      <c r="F18" s="36" t="s">
        <v>125</v>
      </c>
      <c r="H18" s="36">
        <v>226631</v>
      </c>
      <c r="I18" s="36">
        <v>102452</v>
      </c>
      <c r="J18" s="36">
        <v>6767</v>
      </c>
      <c r="K18" s="36">
        <v>756</v>
      </c>
      <c r="L18" s="36">
        <f t="shared" si="17"/>
        <v>750.84615384615381</v>
      </c>
      <c r="M18" s="37">
        <f t="shared" si="18"/>
        <v>1.0779298532003446E-2</v>
      </c>
      <c r="N18" s="37">
        <f t="shared" si="2"/>
        <v>3.6051165658874403E-2</v>
      </c>
      <c r="O18">
        <v>5.1538461538461497</v>
      </c>
      <c r="P18">
        <f t="shared" si="3"/>
        <v>6.9561210626869416E-2</v>
      </c>
      <c r="Q18">
        <f t="shared" si="4"/>
        <v>226297.41666666666</v>
      </c>
      <c r="R18">
        <f t="shared" si="11"/>
        <v>101583.30769230769</v>
      </c>
      <c r="S18">
        <f t="shared" si="5"/>
        <v>6596.9230769230771</v>
      </c>
      <c r="T18">
        <f t="shared" si="6"/>
        <v>334477.64743589744</v>
      </c>
      <c r="U18">
        <f t="shared" si="12"/>
        <v>0.49524622755803205</v>
      </c>
      <c r="V18">
        <f t="shared" si="7"/>
        <v>1.6563418981873981</v>
      </c>
      <c r="W18">
        <f t="shared" si="8"/>
        <v>8.7133147517026083E-2</v>
      </c>
      <c r="X18">
        <f t="shared" si="13"/>
        <v>1.6236737657271532</v>
      </c>
      <c r="Y18">
        <f t="shared" si="9"/>
        <v>3.266813246024499E-2</v>
      </c>
      <c r="AB18">
        <f t="shared" si="14"/>
        <v>1.34137240556928E-5</v>
      </c>
      <c r="AC18">
        <f t="shared" si="15"/>
        <v>6.5198900750206902E-4</v>
      </c>
      <c r="AD18">
        <f t="shared" si="16"/>
        <v>9.8739581370289001E-11</v>
      </c>
      <c r="AE18">
        <v>333.58333333333297</v>
      </c>
      <c r="AF18">
        <v>868.69230769230774</v>
      </c>
      <c r="AG18">
        <v>170.07692307692307</v>
      </c>
      <c r="AH18" s="26">
        <v>1.3809969999999999E-6</v>
      </c>
      <c r="AI18" s="26">
        <v>3.3333599881999999E-2</v>
      </c>
    </row>
    <row r="19" spans="2:35" ht="16">
      <c r="B19">
        <f t="shared" si="0"/>
        <v>13</v>
      </c>
      <c r="C19" s="36">
        <v>30.1</v>
      </c>
      <c r="D19" s="36" t="s">
        <v>67</v>
      </c>
      <c r="E19" s="36" t="s">
        <v>123</v>
      </c>
      <c r="F19" s="36" t="s">
        <v>125</v>
      </c>
      <c r="H19" s="36">
        <v>231807</v>
      </c>
      <c r="I19" s="36">
        <v>103606</v>
      </c>
      <c r="J19" s="36">
        <v>6220</v>
      </c>
      <c r="K19" s="36">
        <v>3576</v>
      </c>
      <c r="L19" s="36">
        <f t="shared" si="17"/>
        <v>3570.8461538461538</v>
      </c>
      <c r="M19" s="37">
        <f t="shared" si="18"/>
        <v>4.9809356660806256E-2</v>
      </c>
      <c r="N19" s="37">
        <f t="shared" si="2"/>
        <v>0.16547959023523673</v>
      </c>
      <c r="O19">
        <v>5.1538461538461497</v>
      </c>
      <c r="P19">
        <f t="shared" si="3"/>
        <v>6.9107342289586829E-2</v>
      </c>
      <c r="Q19">
        <f t="shared" si="4"/>
        <v>231473.41666666666</v>
      </c>
      <c r="R19">
        <f t="shared" si="11"/>
        <v>102737.30769230769</v>
      </c>
      <c r="S19">
        <f t="shared" si="5"/>
        <v>6049.9230769230771</v>
      </c>
      <c r="T19">
        <f t="shared" si="6"/>
        <v>340260.64743589744</v>
      </c>
      <c r="U19">
        <f t="shared" si="12"/>
        <v>0.50323253320903205</v>
      </c>
      <c r="V19">
        <f t="shared" si="7"/>
        <v>1.6718688810931297</v>
      </c>
      <c r="W19">
        <f t="shared" si="8"/>
        <v>8.6567368461831593E-2</v>
      </c>
      <c r="X19">
        <f t="shared" si="13"/>
        <v>1.6421426162384187</v>
      </c>
      <c r="Y19">
        <f t="shared" si="9"/>
        <v>2.9726264854710884E-2</v>
      </c>
      <c r="AB19">
        <f t="shared" si="14"/>
        <v>1.34137240556928E-5</v>
      </c>
      <c r="AC19">
        <f t="shared" si="15"/>
        <v>6.5198900750206902E-4</v>
      </c>
      <c r="AD19">
        <f t="shared" si="16"/>
        <v>9.8739581370289001E-11</v>
      </c>
      <c r="AE19">
        <v>333.58333333333297</v>
      </c>
      <c r="AF19">
        <v>868.69230769230774</v>
      </c>
      <c r="AG19">
        <v>170.07692307692307</v>
      </c>
      <c r="AH19" s="26">
        <v>1.3809969999999999E-6</v>
      </c>
      <c r="AI19" s="26">
        <v>3.3333599881999999E-2</v>
      </c>
    </row>
    <row r="20" spans="2:35" ht="16">
      <c r="B20">
        <f t="shared" si="0"/>
        <v>14</v>
      </c>
      <c r="C20" s="36">
        <v>30.3</v>
      </c>
      <c r="D20" s="36" t="s">
        <v>68</v>
      </c>
      <c r="E20" s="36" t="s">
        <v>123</v>
      </c>
      <c r="F20" s="36" t="s">
        <v>125</v>
      </c>
      <c r="H20" s="36">
        <v>252238</v>
      </c>
      <c r="I20" s="36">
        <v>108348</v>
      </c>
      <c r="J20" s="36">
        <v>4957</v>
      </c>
      <c r="K20" s="36">
        <v>6371</v>
      </c>
      <c r="L20" s="36">
        <f t="shared" si="17"/>
        <v>6365.8461538461543</v>
      </c>
      <c r="M20" s="37">
        <f t="shared" si="18"/>
        <v>9.0043015220541658E-2</v>
      </c>
      <c r="N20" s="37">
        <f t="shared" si="2"/>
        <v>0.29717166739452688</v>
      </c>
      <c r="O20">
        <v>5.1538461538461497</v>
      </c>
      <c r="P20">
        <f t="shared" si="3"/>
        <v>6.8670518975348385E-2</v>
      </c>
      <c r="Q20">
        <f t="shared" si="4"/>
        <v>251904.41666666666</v>
      </c>
      <c r="R20">
        <f t="shared" si="11"/>
        <v>107479.30769230769</v>
      </c>
      <c r="S20">
        <f t="shared" si="5"/>
        <v>4786.9230769230771</v>
      </c>
      <c r="T20">
        <f t="shared" si="6"/>
        <v>364170.64743589744</v>
      </c>
      <c r="U20">
        <f t="shared" si="12"/>
        <v>0.53625217147903204</v>
      </c>
      <c r="V20">
        <f t="shared" si="7"/>
        <v>1.7698091467954851</v>
      </c>
      <c r="W20">
        <f t="shared" si="8"/>
        <v>8.6081312601225021E-2</v>
      </c>
      <c r="X20">
        <f t="shared" si="13"/>
        <v>1.746545491950716</v>
      </c>
      <c r="Y20">
        <f t="shared" si="9"/>
        <v>2.3263654844769194E-2</v>
      </c>
      <c r="AB20">
        <f t="shared" si="14"/>
        <v>1.34137240556928E-5</v>
      </c>
      <c r="AC20">
        <f t="shared" si="15"/>
        <v>6.5198900750206902E-4</v>
      </c>
      <c r="AD20">
        <f t="shared" si="16"/>
        <v>9.8739581370289001E-11</v>
      </c>
      <c r="AE20">
        <v>333.58333333333297</v>
      </c>
      <c r="AF20">
        <v>868.69230769230774</v>
      </c>
      <c r="AG20">
        <v>170.07692307692307</v>
      </c>
      <c r="AH20" s="26">
        <v>1.3809969999999999E-6</v>
      </c>
      <c r="AI20" s="26">
        <v>3.3333599881999999E-2</v>
      </c>
    </row>
    <row r="21" spans="2:35" ht="16">
      <c r="B21">
        <f t="shared" si="0"/>
        <v>15</v>
      </c>
      <c r="C21" s="36">
        <v>30.1</v>
      </c>
      <c r="D21" s="36" t="s">
        <v>69</v>
      </c>
      <c r="E21" s="36" t="s">
        <v>123</v>
      </c>
      <c r="F21" s="36" t="s">
        <v>125</v>
      </c>
      <c r="H21" s="36">
        <v>221423</v>
      </c>
      <c r="I21" s="36">
        <v>102435</v>
      </c>
      <c r="J21" s="36">
        <v>5754</v>
      </c>
      <c r="K21" s="36">
        <v>2249</v>
      </c>
      <c r="L21" s="36">
        <f t="shared" si="17"/>
        <v>2243.8461538461538</v>
      </c>
      <c r="M21" s="37">
        <f t="shared" si="18"/>
        <v>3.1247460681690785E-2</v>
      </c>
      <c r="N21" s="37">
        <f t="shared" si="2"/>
        <v>0.10381216173319197</v>
      </c>
      <c r="O21">
        <v>5.1538461538461497</v>
      </c>
      <c r="P21">
        <f t="shared" si="3"/>
        <v>6.9102037497429991E-2</v>
      </c>
      <c r="Q21">
        <f t="shared" si="4"/>
        <v>221089.41666666666</v>
      </c>
      <c r="R21">
        <f t="shared" si="11"/>
        <v>101566.30769230769</v>
      </c>
      <c r="S21">
        <f t="shared" si="5"/>
        <v>5583.9230769230771</v>
      </c>
      <c r="T21">
        <f t="shared" si="6"/>
        <v>328239.64743589744</v>
      </c>
      <c r="U21">
        <f t="shared" si="12"/>
        <v>0.48663156827203202</v>
      </c>
      <c r="V21">
        <f t="shared" si="7"/>
        <v>1.6167161736612357</v>
      </c>
      <c r="W21">
        <f t="shared" si="8"/>
        <v>8.6521105357958317E-2</v>
      </c>
      <c r="X21">
        <f t="shared" si="13"/>
        <v>1.5892130404429832</v>
      </c>
      <c r="Y21">
        <f t="shared" si="9"/>
        <v>2.7503133218252596E-2</v>
      </c>
      <c r="AB21">
        <f t="shared" si="14"/>
        <v>1.34137240556928E-5</v>
      </c>
      <c r="AC21">
        <f t="shared" si="15"/>
        <v>6.5198900750206902E-4</v>
      </c>
      <c r="AD21">
        <f t="shared" si="16"/>
        <v>9.8739581370289001E-11</v>
      </c>
      <c r="AE21">
        <v>333.58333333333297</v>
      </c>
      <c r="AF21">
        <v>868.69230769230774</v>
      </c>
      <c r="AG21">
        <v>170.07692307692307</v>
      </c>
      <c r="AH21" s="26">
        <v>1.3809969999999999E-6</v>
      </c>
      <c r="AI21" s="26">
        <v>3.3333599881999999E-2</v>
      </c>
    </row>
    <row r="22" spans="2:35" ht="16">
      <c r="B22">
        <f t="shared" si="0"/>
        <v>16</v>
      </c>
      <c r="C22" s="36">
        <v>30.3</v>
      </c>
      <c r="D22" s="36" t="s">
        <v>70</v>
      </c>
      <c r="E22" s="36" t="s">
        <v>123</v>
      </c>
      <c r="F22" s="36" t="s">
        <v>125</v>
      </c>
      <c r="H22" s="36">
        <v>206781</v>
      </c>
      <c r="I22" s="36">
        <v>95438</v>
      </c>
      <c r="J22" s="36">
        <v>5581</v>
      </c>
      <c r="K22" s="36">
        <v>1902</v>
      </c>
      <c r="L22" s="36">
        <f t="shared" si="17"/>
        <v>1896.8461538461538</v>
      </c>
      <c r="M22" s="37">
        <f t="shared" si="18"/>
        <v>2.6451027406274863E-2</v>
      </c>
      <c r="N22" s="37">
        <f t="shared" si="2"/>
        <v>8.7297120152722313E-2</v>
      </c>
      <c r="O22">
        <v>5.1538461538461497</v>
      </c>
      <c r="P22">
        <f t="shared" si="3"/>
        <v>6.8644916837295539E-2</v>
      </c>
      <c r="Q22">
        <f t="shared" si="4"/>
        <v>206447.41666666666</v>
      </c>
      <c r="R22">
        <f t="shared" si="11"/>
        <v>94569.307692307688</v>
      </c>
      <c r="S22">
        <f t="shared" si="5"/>
        <v>5410.9230769230771</v>
      </c>
      <c r="T22">
        <f t="shared" si="6"/>
        <v>306427.64743589744</v>
      </c>
      <c r="U22">
        <f t="shared" si="12"/>
        <v>0.45650926170803202</v>
      </c>
      <c r="V22">
        <f t="shared" si="7"/>
        <v>1.5066312267591815</v>
      </c>
      <c r="W22">
        <f t="shared" si="8"/>
        <v>8.5862818812336789E-2</v>
      </c>
      <c r="X22">
        <f t="shared" si="13"/>
        <v>1.4800270161355642</v>
      </c>
      <c r="Y22">
        <f t="shared" si="9"/>
        <v>2.6604210623617373E-2</v>
      </c>
      <c r="AB22">
        <f t="shared" si="14"/>
        <v>1.34137240556928E-5</v>
      </c>
      <c r="AC22">
        <f t="shared" si="15"/>
        <v>6.5198900750206902E-4</v>
      </c>
      <c r="AD22">
        <f t="shared" si="16"/>
        <v>9.8739581370289001E-11</v>
      </c>
      <c r="AE22">
        <v>333.58333333333297</v>
      </c>
      <c r="AF22">
        <v>868.69230769230774</v>
      </c>
      <c r="AG22">
        <v>170.07692307692307</v>
      </c>
      <c r="AH22" s="26">
        <v>1.3809969999999999E-6</v>
      </c>
      <c r="AI22" s="26">
        <v>3.3333599881999999E-2</v>
      </c>
    </row>
    <row r="23" spans="2:35" ht="16">
      <c r="B23">
        <f t="shared" si="0"/>
        <v>17</v>
      </c>
      <c r="C23" s="36">
        <v>100</v>
      </c>
      <c r="D23" s="36" t="s">
        <v>58</v>
      </c>
      <c r="E23" s="36" t="s">
        <v>123</v>
      </c>
      <c r="F23" s="36" t="s">
        <v>125</v>
      </c>
      <c r="H23" s="36">
        <v>317</v>
      </c>
      <c r="I23" s="36">
        <v>502</v>
      </c>
      <c r="J23" s="36">
        <v>38</v>
      </c>
      <c r="K23" s="36">
        <v>4</v>
      </c>
      <c r="L23" s="36"/>
      <c r="M23" s="37"/>
      <c r="N23" s="37"/>
      <c r="O23">
        <v>5.1538461538461497</v>
      </c>
      <c r="AB23">
        <f t="shared" si="14"/>
        <v>1.34137240556928E-5</v>
      </c>
      <c r="AC23">
        <f t="shared" si="15"/>
        <v>6.5198900750206902E-4</v>
      </c>
      <c r="AD23">
        <f t="shared" si="16"/>
        <v>9.8739581370289001E-11</v>
      </c>
      <c r="AE23">
        <v>333.58333333333297</v>
      </c>
      <c r="AF23">
        <v>868.69230769230774</v>
      </c>
      <c r="AG23">
        <v>170.07692307692307</v>
      </c>
      <c r="AH23" s="26">
        <v>1.3809969999999999E-6</v>
      </c>
      <c r="AI23" s="26">
        <v>3.3333599881999999E-2</v>
      </c>
    </row>
    <row r="24" spans="2:35" ht="16">
      <c r="B24">
        <f t="shared" si="0"/>
        <v>18</v>
      </c>
      <c r="C24" s="36">
        <v>55</v>
      </c>
      <c r="D24" s="36" t="s">
        <v>65</v>
      </c>
      <c r="E24" s="36" t="s">
        <v>123</v>
      </c>
      <c r="F24" s="36" t="s">
        <v>125</v>
      </c>
      <c r="H24" s="36">
        <v>80279</v>
      </c>
      <c r="I24" s="36">
        <v>82484</v>
      </c>
      <c r="J24" s="36">
        <v>10336</v>
      </c>
      <c r="K24" s="36">
        <v>6800</v>
      </c>
      <c r="L24" s="36">
        <f t="shared" ref="L24:L29" si="19">K24-O24</f>
        <v>6794.8461538461543</v>
      </c>
      <c r="M24" s="37">
        <f t="shared" ref="M24:M29" si="20">L24*AB24+AC24+AD24*L24^2</f>
        <v>9.6354980296256887E-2</v>
      </c>
      <c r="N24" s="37">
        <f t="shared" si="2"/>
        <v>0.17519087326592162</v>
      </c>
      <c r="O24">
        <v>5.1538461538461497</v>
      </c>
      <c r="P24">
        <f t="shared" si="3"/>
        <v>3.7821142030938226E-2</v>
      </c>
      <c r="Q24">
        <f t="shared" si="4"/>
        <v>79945.416666666672</v>
      </c>
      <c r="R24">
        <f t="shared" si="11"/>
        <v>81615.307692307688</v>
      </c>
      <c r="S24">
        <f t="shared" si="5"/>
        <v>10165.923076923076</v>
      </c>
      <c r="T24">
        <f t="shared" si="6"/>
        <v>171726.64743589744</v>
      </c>
      <c r="U24">
        <f t="shared" si="12"/>
        <v>0.27048758481103202</v>
      </c>
      <c r="V24">
        <f t="shared" si="7"/>
        <v>0.49179560874733091</v>
      </c>
      <c r="W24">
        <f t="shared" si="8"/>
        <v>4.7018285324929125E-2</v>
      </c>
      <c r="X24">
        <f t="shared" si="13"/>
        <v>0.46268215196736223</v>
      </c>
      <c r="Y24">
        <f t="shared" si="9"/>
        <v>2.9113456779968704E-2</v>
      </c>
      <c r="AB24">
        <f t="shared" si="14"/>
        <v>1.34137240556928E-5</v>
      </c>
      <c r="AC24">
        <f t="shared" si="15"/>
        <v>6.5198900750206902E-4</v>
      </c>
      <c r="AD24">
        <f t="shared" si="16"/>
        <v>9.8739581370289001E-11</v>
      </c>
      <c r="AE24">
        <v>333.58333333333297</v>
      </c>
      <c r="AF24">
        <v>868.69230769230774</v>
      </c>
      <c r="AG24">
        <v>170.07692307692307</v>
      </c>
      <c r="AH24" s="26">
        <v>1.3809969999999999E-6</v>
      </c>
      <c r="AI24" s="26">
        <v>3.3333599881999999E-2</v>
      </c>
    </row>
    <row r="25" spans="2:35" ht="16">
      <c r="B25">
        <f t="shared" si="0"/>
        <v>19</v>
      </c>
      <c r="C25" s="36">
        <v>30</v>
      </c>
      <c r="D25" s="36" t="s">
        <v>71</v>
      </c>
      <c r="E25" s="36" t="s">
        <v>123</v>
      </c>
      <c r="F25" s="36" t="s">
        <v>125</v>
      </c>
      <c r="H25" s="36">
        <v>104475</v>
      </c>
      <c r="I25" s="36">
        <v>66693</v>
      </c>
      <c r="J25" s="36">
        <v>3398</v>
      </c>
      <c r="K25" s="36">
        <v>0</v>
      </c>
      <c r="L25" s="36">
        <f t="shared" si="19"/>
        <v>-5.1538461538461497</v>
      </c>
      <c r="M25" s="37">
        <f t="shared" si="20"/>
        <v>5.8285936010249711E-4</v>
      </c>
      <c r="N25" s="37">
        <f t="shared" si="2"/>
        <v>1.9428645336749904E-3</v>
      </c>
      <c r="O25">
        <v>5.1538461538461497</v>
      </c>
      <c r="P25">
        <f t="shared" si="3"/>
        <v>6.9328924543257273E-2</v>
      </c>
      <c r="Q25">
        <f t="shared" si="4"/>
        <v>104141.41666666667</v>
      </c>
      <c r="R25">
        <f t="shared" si="11"/>
        <v>65824.307692307688</v>
      </c>
      <c r="S25">
        <f t="shared" si="5"/>
        <v>3227.9230769230771</v>
      </c>
      <c r="T25">
        <f t="shared" si="6"/>
        <v>173193.64743589744</v>
      </c>
      <c r="U25">
        <f t="shared" si="12"/>
        <v>0.27251350741003205</v>
      </c>
      <c r="V25">
        <f t="shared" si="7"/>
        <v>0.90837835803344014</v>
      </c>
      <c r="W25">
        <f t="shared" si="8"/>
        <v>8.6350429300767501E-2</v>
      </c>
      <c r="X25">
        <f t="shared" si="13"/>
        <v>0.89144831753897646</v>
      </c>
      <c r="Y25">
        <f t="shared" si="9"/>
        <v>1.6930040494463824E-2</v>
      </c>
      <c r="AB25">
        <f t="shared" si="14"/>
        <v>1.34137240556928E-5</v>
      </c>
      <c r="AC25">
        <f t="shared" si="15"/>
        <v>6.5198900750206902E-4</v>
      </c>
      <c r="AD25">
        <f t="shared" si="16"/>
        <v>9.8739581370289001E-11</v>
      </c>
      <c r="AE25">
        <v>333.58333333333297</v>
      </c>
      <c r="AF25">
        <v>868.69230769230774</v>
      </c>
      <c r="AG25">
        <v>170.07692307692307</v>
      </c>
      <c r="AH25" s="26">
        <v>1.3809969999999999E-6</v>
      </c>
      <c r="AI25" s="26">
        <v>3.3333599881999999E-2</v>
      </c>
    </row>
    <row r="26" spans="2:35" ht="16">
      <c r="B26">
        <f t="shared" si="0"/>
        <v>20</v>
      </c>
      <c r="C26" s="36">
        <v>31.2</v>
      </c>
      <c r="D26" s="36" t="s">
        <v>72</v>
      </c>
      <c r="E26" s="36" t="s">
        <v>123</v>
      </c>
      <c r="F26" s="36" t="s">
        <v>125</v>
      </c>
      <c r="H26" s="36">
        <v>126259</v>
      </c>
      <c r="I26" s="36">
        <v>85145</v>
      </c>
      <c r="J26" s="36">
        <v>3790</v>
      </c>
      <c r="K26" s="36">
        <v>2189</v>
      </c>
      <c r="L26" s="36">
        <f t="shared" si="19"/>
        <v>2183.8461538461538</v>
      </c>
      <c r="M26" s="37">
        <f t="shared" si="20"/>
        <v>3.0416405929255336E-2</v>
      </c>
      <c r="N26" s="37">
        <f t="shared" si="2"/>
        <v>9.7488480542485059E-2</v>
      </c>
      <c r="O26">
        <v>5.1538461538461497</v>
      </c>
      <c r="P26">
        <f t="shared" si="3"/>
        <v>6.6665355399277898E-2</v>
      </c>
      <c r="Q26">
        <f t="shared" si="4"/>
        <v>125925.41666666667</v>
      </c>
      <c r="R26">
        <f t="shared" si="11"/>
        <v>84276.307692307688</v>
      </c>
      <c r="S26">
        <f t="shared" si="5"/>
        <v>3619.9230769230771</v>
      </c>
      <c r="T26">
        <f t="shared" si="6"/>
        <v>213821.64743589744</v>
      </c>
      <c r="U26">
        <f t="shared" si="12"/>
        <v>0.32862065352603204</v>
      </c>
      <c r="V26">
        <f t="shared" si="7"/>
        <v>1.0532713254039487</v>
      </c>
      <c r="W26">
        <f t="shared" si="8"/>
        <v>8.3099562059889803E-2</v>
      </c>
      <c r="X26">
        <f t="shared" si="13"/>
        <v>1.0354398232019366</v>
      </c>
      <c r="Y26">
        <f t="shared" si="9"/>
        <v>1.7831502202012333E-2</v>
      </c>
      <c r="AB26">
        <f t="shared" si="14"/>
        <v>1.34137240556928E-5</v>
      </c>
      <c r="AC26">
        <f t="shared" si="15"/>
        <v>6.5198900750206902E-4</v>
      </c>
      <c r="AD26">
        <f t="shared" si="16"/>
        <v>9.8739581370289001E-11</v>
      </c>
      <c r="AE26">
        <v>333.58333333333297</v>
      </c>
      <c r="AF26">
        <v>868.69230769230774</v>
      </c>
      <c r="AG26">
        <v>170.07692307692307</v>
      </c>
      <c r="AH26" s="26">
        <v>1.3809969999999999E-6</v>
      </c>
      <c r="AI26" s="26">
        <v>3.3333599881999999E-2</v>
      </c>
    </row>
    <row r="27" spans="2:35" ht="16">
      <c r="B27">
        <f t="shared" si="0"/>
        <v>21</v>
      </c>
      <c r="C27" s="36">
        <v>30.7</v>
      </c>
      <c r="D27" s="36" t="s">
        <v>73</v>
      </c>
      <c r="E27" s="36" t="s">
        <v>123</v>
      </c>
      <c r="F27" s="36" t="s">
        <v>125</v>
      </c>
      <c r="H27" s="36">
        <v>107198</v>
      </c>
      <c r="I27" s="36">
        <v>64465</v>
      </c>
      <c r="J27" s="36">
        <v>3997</v>
      </c>
      <c r="K27" s="36">
        <v>449</v>
      </c>
      <c r="L27" s="36">
        <f t="shared" si="19"/>
        <v>443.84615384615387</v>
      </c>
      <c r="M27" s="37">
        <f t="shared" si="20"/>
        <v>6.6250704774791095E-3</v>
      </c>
      <c r="N27" s="37">
        <f t="shared" si="2"/>
        <v>2.1580034128596447E-2</v>
      </c>
      <c r="O27">
        <v>5.1538461538461497</v>
      </c>
      <c r="P27">
        <f t="shared" si="3"/>
        <v>6.7748279418377161E-2</v>
      </c>
      <c r="Q27">
        <f t="shared" si="4"/>
        <v>106864.41666666667</v>
      </c>
      <c r="R27">
        <f t="shared" si="11"/>
        <v>63596.307692307695</v>
      </c>
      <c r="S27">
        <f t="shared" si="5"/>
        <v>3826.9230769230771</v>
      </c>
      <c r="T27">
        <f t="shared" si="6"/>
        <v>174287.64743589744</v>
      </c>
      <c r="U27">
        <f t="shared" si="12"/>
        <v>0.27402431812803202</v>
      </c>
      <c r="V27">
        <f t="shared" si="7"/>
        <v>0.8925873554659024</v>
      </c>
      <c r="W27">
        <f t="shared" si="8"/>
        <v>8.4374374807812347E-2</v>
      </c>
      <c r="X27">
        <f t="shared" si="13"/>
        <v>0.87298835806674047</v>
      </c>
      <c r="Y27">
        <f t="shared" si="9"/>
        <v>1.9598997399161922E-2</v>
      </c>
      <c r="AB27">
        <f t="shared" si="14"/>
        <v>1.34137240556928E-5</v>
      </c>
      <c r="AC27">
        <f t="shared" si="15"/>
        <v>6.5198900750206902E-4</v>
      </c>
      <c r="AD27">
        <f t="shared" si="16"/>
        <v>9.8739581370289001E-11</v>
      </c>
      <c r="AE27">
        <v>333.58333333333297</v>
      </c>
      <c r="AF27">
        <v>868.69230769230774</v>
      </c>
      <c r="AG27">
        <v>170.07692307692307</v>
      </c>
      <c r="AH27" s="26">
        <v>1.3809969999999999E-6</v>
      </c>
      <c r="AI27" s="26">
        <v>3.3333599881999999E-2</v>
      </c>
    </row>
    <row r="28" spans="2:35" ht="16">
      <c r="B28">
        <f t="shared" si="0"/>
        <v>22</v>
      </c>
      <c r="C28" s="36">
        <v>30.6</v>
      </c>
      <c r="D28" s="36" t="s">
        <v>74</v>
      </c>
      <c r="E28" s="36" t="s">
        <v>123</v>
      </c>
      <c r="F28" s="36" t="s">
        <v>125</v>
      </c>
      <c r="H28" s="36">
        <v>95450</v>
      </c>
      <c r="I28" s="36">
        <v>70251</v>
      </c>
      <c r="J28" s="36">
        <v>4247</v>
      </c>
      <c r="K28" s="36">
        <v>478</v>
      </c>
      <c r="L28" s="36">
        <f t="shared" si="19"/>
        <v>472.84615384615387</v>
      </c>
      <c r="M28" s="37">
        <f t="shared" si="20"/>
        <v>7.0166933757207011E-3</v>
      </c>
      <c r="N28" s="37">
        <f t="shared" si="2"/>
        <v>2.2930370508891181E-2</v>
      </c>
      <c r="O28">
        <v>5.1538461538461497</v>
      </c>
      <c r="P28">
        <f t="shared" si="3"/>
        <v>6.796969791185857E-2</v>
      </c>
      <c r="Q28">
        <f t="shared" si="4"/>
        <v>95116.416666666672</v>
      </c>
      <c r="R28">
        <f t="shared" si="11"/>
        <v>69382.307692307688</v>
      </c>
      <c r="S28">
        <f t="shared" si="5"/>
        <v>4076.9230769230771</v>
      </c>
      <c r="T28">
        <f t="shared" si="6"/>
        <v>168575.64743589744</v>
      </c>
      <c r="U28">
        <f t="shared" si="12"/>
        <v>0.26613606326403205</v>
      </c>
      <c r="V28">
        <f t="shared" si="7"/>
        <v>0.86972569694128121</v>
      </c>
      <c r="W28">
        <f t="shared" si="8"/>
        <v>8.4639941441004049E-2</v>
      </c>
      <c r="X28">
        <f t="shared" si="13"/>
        <v>0.84869178831695735</v>
      </c>
      <c r="Y28">
        <f t="shared" si="9"/>
        <v>2.1033908624323947E-2</v>
      </c>
      <c r="AB28">
        <f t="shared" si="14"/>
        <v>1.34137240556928E-5</v>
      </c>
      <c r="AC28">
        <f t="shared" si="15"/>
        <v>6.5198900750206902E-4</v>
      </c>
      <c r="AD28">
        <f t="shared" si="16"/>
        <v>9.8739581370289001E-11</v>
      </c>
      <c r="AE28">
        <v>333.58333333333297</v>
      </c>
      <c r="AF28">
        <v>868.69230769230774</v>
      </c>
      <c r="AG28">
        <v>170.07692307692307</v>
      </c>
      <c r="AH28" s="26">
        <v>1.3809969999999999E-6</v>
      </c>
      <c r="AI28" s="26">
        <v>3.3333599881999999E-2</v>
      </c>
    </row>
    <row r="29" spans="2:35" ht="16">
      <c r="B29">
        <f t="shared" si="0"/>
        <v>23</v>
      </c>
      <c r="C29" s="36">
        <v>29.9</v>
      </c>
      <c r="D29" s="36" t="s">
        <v>75</v>
      </c>
      <c r="E29" s="36" t="s">
        <v>123</v>
      </c>
      <c r="F29" s="36" t="s">
        <v>125</v>
      </c>
      <c r="H29" s="36">
        <v>111794</v>
      </c>
      <c r="I29" s="36">
        <v>75213</v>
      </c>
      <c r="J29" s="36">
        <v>5457</v>
      </c>
      <c r="K29" s="36">
        <v>740</v>
      </c>
      <c r="L29" s="36">
        <f t="shared" si="19"/>
        <v>734.84615384615381</v>
      </c>
      <c r="M29" s="37">
        <f t="shared" si="20"/>
        <v>1.0562331800928255E-2</v>
      </c>
      <c r="N29" s="37">
        <f t="shared" si="2"/>
        <v>3.5325524417820255E-2</v>
      </c>
      <c r="O29">
        <v>5.1538461538461497</v>
      </c>
      <c r="P29">
        <f t="shared" si="3"/>
        <v>6.9561193969788271E-2</v>
      </c>
      <c r="Q29">
        <f t="shared" si="4"/>
        <v>111460.41666666667</v>
      </c>
      <c r="R29">
        <f t="shared" si="11"/>
        <v>74344.307692307688</v>
      </c>
      <c r="S29">
        <f t="shared" si="5"/>
        <v>5286.9230769230771</v>
      </c>
      <c r="T29">
        <f t="shared" si="6"/>
        <v>191091.64743589744</v>
      </c>
      <c r="U29">
        <f t="shared" si="12"/>
        <v>0.29723059171603206</v>
      </c>
      <c r="V29">
        <f t="shared" si="7"/>
        <v>0.99408224654191324</v>
      </c>
      <c r="W29">
        <f t="shared" si="8"/>
        <v>8.66813171927307E-2</v>
      </c>
      <c r="X29">
        <f t="shared" si="13"/>
        <v>0.96657902261704232</v>
      </c>
      <c r="Y29">
        <f t="shared" si="9"/>
        <v>2.7503223924870941E-2</v>
      </c>
      <c r="AB29">
        <f t="shared" si="14"/>
        <v>1.34137240556928E-5</v>
      </c>
      <c r="AC29">
        <f t="shared" si="15"/>
        <v>6.5198900750206902E-4</v>
      </c>
      <c r="AD29">
        <f t="shared" si="16"/>
        <v>9.8739581370289001E-11</v>
      </c>
      <c r="AE29">
        <v>333.58333333333297</v>
      </c>
      <c r="AF29">
        <v>868.69230769230774</v>
      </c>
      <c r="AG29">
        <v>170.07692307692307</v>
      </c>
      <c r="AH29" s="26">
        <v>1.3809969999999999E-6</v>
      </c>
      <c r="AI29" s="26">
        <v>3.3333599881999999E-2</v>
      </c>
    </row>
    <row r="30" spans="2:35" ht="16">
      <c r="B30">
        <f t="shared" si="0"/>
        <v>24</v>
      </c>
      <c r="C30" s="36">
        <v>100</v>
      </c>
      <c r="D30" s="36" t="s">
        <v>58</v>
      </c>
      <c r="E30" s="36" t="s">
        <v>123</v>
      </c>
      <c r="F30" s="36" t="s">
        <v>125</v>
      </c>
      <c r="H30" s="36">
        <v>349</v>
      </c>
      <c r="I30" s="36">
        <v>909</v>
      </c>
      <c r="J30" s="36">
        <v>19</v>
      </c>
      <c r="K30" s="36">
        <v>3</v>
      </c>
      <c r="L30" s="36"/>
      <c r="M30" s="37"/>
      <c r="N30" s="37"/>
      <c r="O30">
        <v>5.1538461538461497</v>
      </c>
      <c r="AB30">
        <f t="shared" si="14"/>
        <v>1.34137240556928E-5</v>
      </c>
      <c r="AC30">
        <f t="shared" si="15"/>
        <v>6.5198900750206902E-4</v>
      </c>
      <c r="AD30">
        <f t="shared" si="16"/>
        <v>9.8739581370289001E-11</v>
      </c>
      <c r="AE30">
        <v>333.58333333333297</v>
      </c>
      <c r="AF30">
        <v>868.69230769230774</v>
      </c>
      <c r="AG30">
        <v>170.07692307692307</v>
      </c>
      <c r="AH30" s="26">
        <v>1.3809969999999999E-6</v>
      </c>
      <c r="AI30" s="26">
        <v>3.3333599881999999E-2</v>
      </c>
    </row>
    <row r="31" spans="2:35" ht="16">
      <c r="B31">
        <f t="shared" si="0"/>
        <v>25</v>
      </c>
      <c r="C31" s="36">
        <v>52.1</v>
      </c>
      <c r="D31" s="36" t="s">
        <v>65</v>
      </c>
      <c r="E31" s="36" t="s">
        <v>123</v>
      </c>
      <c r="F31" s="36" t="s">
        <v>125</v>
      </c>
      <c r="H31" s="36">
        <v>81616</v>
      </c>
      <c r="I31" s="36">
        <v>80123</v>
      </c>
      <c r="J31" s="36">
        <v>10228</v>
      </c>
      <c r="K31" s="36">
        <v>6430</v>
      </c>
      <c r="L31" s="36">
        <f t="shared" ref="L31:L36" si="21">K31-O31</f>
        <v>6424.8461538461543</v>
      </c>
      <c r="M31" s="37">
        <f t="shared" ref="M31:M36" si="22">L31*AB31+AC31+AD31*L31^2</f>
        <v>9.0908938848457493E-2</v>
      </c>
      <c r="N31" s="37">
        <f t="shared" si="2"/>
        <v>0.17448932600471687</v>
      </c>
      <c r="O31">
        <v>5.1538461538461497</v>
      </c>
      <c r="P31">
        <f t="shared" si="3"/>
        <v>3.9926304281493089E-2</v>
      </c>
      <c r="Q31">
        <f t="shared" si="4"/>
        <v>81282.416666666672</v>
      </c>
      <c r="R31">
        <f t="shared" si="11"/>
        <v>79254.307692307688</v>
      </c>
      <c r="S31">
        <f t="shared" si="5"/>
        <v>10057.923076923076</v>
      </c>
      <c r="T31">
        <f t="shared" si="6"/>
        <v>170594.64743589744</v>
      </c>
      <c r="U31">
        <f t="shared" si="12"/>
        <v>0.26892429620703207</v>
      </c>
      <c r="V31">
        <f t="shared" si="7"/>
        <v>0.51616947448566608</v>
      </c>
      <c r="W31">
        <f t="shared" si="8"/>
        <v>4.9639072807106194E-2</v>
      </c>
      <c r="X31">
        <f t="shared" si="13"/>
        <v>0.48573714294968734</v>
      </c>
      <c r="Y31">
        <f t="shared" si="9"/>
        <v>3.0432331535978751E-2</v>
      </c>
      <c r="AB31">
        <f t="shared" si="14"/>
        <v>1.34137240556928E-5</v>
      </c>
      <c r="AC31">
        <f t="shared" si="15"/>
        <v>6.5198900750206902E-4</v>
      </c>
      <c r="AD31">
        <f t="shared" si="16"/>
        <v>9.8739581370289001E-11</v>
      </c>
      <c r="AE31">
        <v>333.58333333333297</v>
      </c>
      <c r="AF31">
        <v>868.69230769230774</v>
      </c>
      <c r="AG31">
        <v>170.07692307692307</v>
      </c>
      <c r="AH31" s="26">
        <v>1.3809969999999999E-6</v>
      </c>
      <c r="AI31" s="26">
        <v>3.3333599881999999E-2</v>
      </c>
    </row>
    <row r="32" spans="2:35" ht="16">
      <c r="B32">
        <f t="shared" si="0"/>
        <v>26</v>
      </c>
      <c r="C32" s="36">
        <v>29.8</v>
      </c>
      <c r="D32" s="36" t="s">
        <v>76</v>
      </c>
      <c r="E32" s="36" t="s">
        <v>123</v>
      </c>
      <c r="F32" s="36" t="s">
        <v>125</v>
      </c>
      <c r="H32" s="36">
        <v>114626</v>
      </c>
      <c r="I32" s="36">
        <v>90910</v>
      </c>
      <c r="J32" s="36">
        <v>4132</v>
      </c>
      <c r="K32" s="36">
        <v>0</v>
      </c>
      <c r="L32" s="36">
        <f t="shared" si="21"/>
        <v>-5.1538461538461497</v>
      </c>
      <c r="M32" s="37">
        <f t="shared" si="22"/>
        <v>5.8285936010249711E-4</v>
      </c>
      <c r="N32" s="37">
        <f t="shared" si="2"/>
        <v>1.9559038929613994E-3</v>
      </c>
      <c r="O32">
        <v>5.1538461538461497</v>
      </c>
      <c r="P32">
        <f t="shared" si="3"/>
        <v>6.9794219355254039E-2</v>
      </c>
      <c r="Q32">
        <f t="shared" si="4"/>
        <v>114292.41666666667</v>
      </c>
      <c r="R32">
        <f t="shared" si="11"/>
        <v>90041.307692307688</v>
      </c>
      <c r="S32">
        <f t="shared" si="5"/>
        <v>3961.9230769230771</v>
      </c>
      <c r="T32">
        <f t="shared" si="6"/>
        <v>208295.64743589744</v>
      </c>
      <c r="U32">
        <f t="shared" si="12"/>
        <v>0.32098926410403206</v>
      </c>
      <c r="V32">
        <f t="shared" si="7"/>
        <v>1.0771451815571547</v>
      </c>
      <c r="W32">
        <f t="shared" si="8"/>
        <v>8.701673314243781E-2</v>
      </c>
      <c r="X32">
        <f t="shared" si="13"/>
        <v>1.0566571569414644</v>
      </c>
      <c r="Y32">
        <f t="shared" si="9"/>
        <v>2.0488024615690176E-2</v>
      </c>
      <c r="AB32">
        <f t="shared" si="14"/>
        <v>1.34137240556928E-5</v>
      </c>
      <c r="AC32">
        <f t="shared" si="15"/>
        <v>6.5198900750206902E-4</v>
      </c>
      <c r="AD32">
        <f t="shared" si="16"/>
        <v>9.8739581370289001E-11</v>
      </c>
      <c r="AE32">
        <v>333.58333333333297</v>
      </c>
      <c r="AF32">
        <v>868.69230769230774</v>
      </c>
      <c r="AG32">
        <v>170.07692307692307</v>
      </c>
      <c r="AH32" s="26">
        <v>1.3809969999999999E-6</v>
      </c>
      <c r="AI32" s="26">
        <v>3.3333599881999999E-2</v>
      </c>
    </row>
    <row r="33" spans="2:35" ht="16">
      <c r="B33">
        <f t="shared" si="0"/>
        <v>27</v>
      </c>
      <c r="C33" s="36">
        <v>30</v>
      </c>
      <c r="D33" s="36" t="s">
        <v>77</v>
      </c>
      <c r="E33" s="36" t="s">
        <v>123</v>
      </c>
      <c r="F33" s="36" t="s">
        <v>125</v>
      </c>
      <c r="H33" s="36">
        <v>70393</v>
      </c>
      <c r="I33" s="36">
        <v>54627</v>
      </c>
      <c r="J33" s="36">
        <v>7300</v>
      </c>
      <c r="K33" s="36">
        <v>1527</v>
      </c>
      <c r="L33" s="36">
        <f t="shared" si="21"/>
        <v>1521.8461538461538</v>
      </c>
      <c r="M33" s="37">
        <f t="shared" si="22"/>
        <v>2.1294295792654301E-2</v>
      </c>
      <c r="N33" s="37">
        <f t="shared" si="2"/>
        <v>7.0980985975514332E-2</v>
      </c>
      <c r="O33">
        <v>5.1538461538461497</v>
      </c>
      <c r="P33">
        <f t="shared" si="3"/>
        <v>6.9330538257106458E-2</v>
      </c>
      <c r="Q33">
        <f t="shared" si="4"/>
        <v>70059.416666666672</v>
      </c>
      <c r="R33">
        <f t="shared" si="11"/>
        <v>53758.307692307695</v>
      </c>
      <c r="S33">
        <f t="shared" si="5"/>
        <v>7129.9230769230771</v>
      </c>
      <c r="T33">
        <f t="shared" si="6"/>
        <v>130947.64743589744</v>
      </c>
      <c r="U33">
        <f t="shared" si="12"/>
        <v>0.21417190814803203</v>
      </c>
      <c r="V33">
        <f t="shared" si="7"/>
        <v>0.71390636049344003</v>
      </c>
      <c r="W33">
        <f t="shared" si="8"/>
        <v>8.626920023580284E-2</v>
      </c>
      <c r="X33">
        <f t="shared" si="13"/>
        <v>0.67503512046649661</v>
      </c>
      <c r="Y33">
        <f t="shared" si="9"/>
        <v>3.8871240026943511E-2</v>
      </c>
      <c r="AB33">
        <f t="shared" si="14"/>
        <v>1.34137240556928E-5</v>
      </c>
      <c r="AC33">
        <f t="shared" si="15"/>
        <v>6.5198900750206902E-4</v>
      </c>
      <c r="AD33">
        <f t="shared" si="16"/>
        <v>9.8739581370289001E-11</v>
      </c>
      <c r="AE33">
        <v>333.58333333333297</v>
      </c>
      <c r="AF33">
        <v>868.69230769230774</v>
      </c>
      <c r="AG33">
        <v>170.07692307692307</v>
      </c>
      <c r="AH33" s="26">
        <v>1.3809969999999999E-6</v>
      </c>
      <c r="AI33" s="26">
        <v>3.3333599881999999E-2</v>
      </c>
    </row>
    <row r="34" spans="2:35" ht="16">
      <c r="B34">
        <f t="shared" si="0"/>
        <v>28</v>
      </c>
      <c r="C34" s="36">
        <v>30.9</v>
      </c>
      <c r="D34" s="36" t="s">
        <v>78</v>
      </c>
      <c r="E34" s="36" t="s">
        <v>123</v>
      </c>
      <c r="F34" s="36" t="s">
        <v>125</v>
      </c>
      <c r="H34" s="36">
        <v>83045</v>
      </c>
      <c r="I34" s="36">
        <v>57361</v>
      </c>
      <c r="J34" s="36">
        <v>3401</v>
      </c>
      <c r="K34" s="36">
        <v>535</v>
      </c>
      <c r="L34" s="36">
        <f t="shared" si="21"/>
        <v>529.84615384615381</v>
      </c>
      <c r="M34" s="37">
        <f t="shared" si="22"/>
        <v>7.7869189557613601E-3</v>
      </c>
      <c r="N34" s="37">
        <f t="shared" si="2"/>
        <v>2.5200384970101488E-2</v>
      </c>
      <c r="O34">
        <v>5.1538461538461497</v>
      </c>
      <c r="P34">
        <f t="shared" si="3"/>
        <v>6.7309831932681821E-2</v>
      </c>
      <c r="Q34">
        <f t="shared" si="4"/>
        <v>82711.416666666672</v>
      </c>
      <c r="R34">
        <f t="shared" si="11"/>
        <v>56492.307692307695</v>
      </c>
      <c r="S34">
        <f t="shared" si="5"/>
        <v>3230.9230769230771</v>
      </c>
      <c r="T34">
        <f t="shared" si="6"/>
        <v>142434.64743589744</v>
      </c>
      <c r="U34">
        <f t="shared" si="12"/>
        <v>0.23003542068703203</v>
      </c>
      <c r="V34">
        <f t="shared" si="7"/>
        <v>0.74445119963440798</v>
      </c>
      <c r="W34">
        <f t="shared" si="8"/>
        <v>8.3767644628756299E-2</v>
      </c>
      <c r="X34">
        <f t="shared" si="13"/>
        <v>0.72756440555837854</v>
      </c>
      <c r="Y34">
        <f t="shared" si="9"/>
        <v>1.6886794076029599E-2</v>
      </c>
      <c r="AB34">
        <f t="shared" si="14"/>
        <v>1.34137240556928E-5</v>
      </c>
      <c r="AC34">
        <f t="shared" si="15"/>
        <v>6.5198900750206902E-4</v>
      </c>
      <c r="AD34">
        <f t="shared" si="16"/>
        <v>9.8739581370289001E-11</v>
      </c>
      <c r="AE34">
        <v>333.58333333333297</v>
      </c>
      <c r="AF34">
        <v>868.69230769230774</v>
      </c>
      <c r="AG34">
        <v>170.07692307692307</v>
      </c>
      <c r="AH34" s="26">
        <v>1.3809969999999999E-6</v>
      </c>
      <c r="AI34" s="26">
        <v>3.3333599881999999E-2</v>
      </c>
    </row>
    <row r="35" spans="2:35" ht="16">
      <c r="B35">
        <f t="shared" si="0"/>
        <v>29</v>
      </c>
      <c r="C35" s="36">
        <v>30.2</v>
      </c>
      <c r="D35" s="36" t="s">
        <v>79</v>
      </c>
      <c r="E35" s="36" t="s">
        <v>123</v>
      </c>
      <c r="F35" s="36" t="s">
        <v>125</v>
      </c>
      <c r="H35" s="36">
        <v>63314</v>
      </c>
      <c r="I35" s="36">
        <v>40758</v>
      </c>
      <c r="J35" s="36">
        <v>2719</v>
      </c>
      <c r="K35" s="36">
        <v>175</v>
      </c>
      <c r="L35" s="36">
        <f t="shared" si="21"/>
        <v>169.84615384615384</v>
      </c>
      <c r="M35" s="37">
        <f t="shared" si="22"/>
        <v>2.9331068585141144E-3</v>
      </c>
      <c r="N35" s="37">
        <f t="shared" si="2"/>
        <v>9.7122743659407759E-3</v>
      </c>
      <c r="O35">
        <v>5.1538461538461497</v>
      </c>
      <c r="P35">
        <f t="shared" si="3"/>
        <v>6.8869821425831951E-2</v>
      </c>
      <c r="Q35">
        <f t="shared" si="4"/>
        <v>62980.416666666664</v>
      </c>
      <c r="R35">
        <f t="shared" si="11"/>
        <v>39889.307692307695</v>
      </c>
      <c r="S35">
        <f t="shared" si="5"/>
        <v>2548.9230769230771</v>
      </c>
      <c r="T35">
        <f t="shared" si="6"/>
        <v>105418.64743589744</v>
      </c>
      <c r="U35">
        <f t="shared" si="12"/>
        <v>0.17891643573503205</v>
      </c>
      <c r="V35">
        <f t="shared" si="7"/>
        <v>0.59243852892394722</v>
      </c>
      <c r="W35">
        <f t="shared" si="8"/>
        <v>8.5657267747922594E-2</v>
      </c>
      <c r="X35">
        <f t="shared" si="13"/>
        <v>0.57811392625864688</v>
      </c>
      <c r="Y35">
        <f t="shared" si="9"/>
        <v>1.43246026653003E-2</v>
      </c>
      <c r="AB35">
        <f t="shared" si="14"/>
        <v>1.34137240556928E-5</v>
      </c>
      <c r="AC35">
        <f t="shared" si="15"/>
        <v>6.5198900750206902E-4</v>
      </c>
      <c r="AD35">
        <f t="shared" si="16"/>
        <v>9.8739581370289001E-11</v>
      </c>
      <c r="AE35">
        <v>333.58333333333297</v>
      </c>
      <c r="AF35">
        <v>868.69230769230774</v>
      </c>
      <c r="AG35">
        <v>170.07692307692307</v>
      </c>
      <c r="AH35" s="26">
        <v>1.3809969999999999E-6</v>
      </c>
      <c r="AI35" s="26">
        <v>3.3333599881999999E-2</v>
      </c>
    </row>
    <row r="36" spans="2:35" ht="16">
      <c r="B36">
        <f t="shared" si="0"/>
        <v>30</v>
      </c>
      <c r="C36" s="36">
        <v>30.3</v>
      </c>
      <c r="D36" s="36" t="s">
        <v>80</v>
      </c>
      <c r="E36" s="36" t="s">
        <v>123</v>
      </c>
      <c r="F36" s="36" t="s">
        <v>125</v>
      </c>
      <c r="H36" s="36">
        <v>91316</v>
      </c>
      <c r="I36" s="36">
        <v>59091</v>
      </c>
      <c r="J36" s="36">
        <v>3865</v>
      </c>
      <c r="K36" s="36">
        <v>684</v>
      </c>
      <c r="L36" s="36">
        <f t="shared" si="21"/>
        <v>678.84615384615381</v>
      </c>
      <c r="M36" s="37">
        <f t="shared" si="22"/>
        <v>9.8033463601571742E-3</v>
      </c>
      <c r="N36" s="37">
        <f t="shared" si="2"/>
        <v>3.2354278416360308E-2</v>
      </c>
      <c r="O36">
        <v>5.1538461538461497</v>
      </c>
      <c r="P36">
        <f t="shared" si="3"/>
        <v>6.8642830560861026E-2</v>
      </c>
      <c r="Q36">
        <f t="shared" si="4"/>
        <v>90982.416666666672</v>
      </c>
      <c r="R36">
        <f t="shared" si="11"/>
        <v>58222.307692307695</v>
      </c>
      <c r="S36">
        <f t="shared" si="5"/>
        <v>3694.9230769230771</v>
      </c>
      <c r="T36">
        <f t="shared" si="6"/>
        <v>152899.64743589744</v>
      </c>
      <c r="U36">
        <f t="shared" si="12"/>
        <v>0.24448755429203203</v>
      </c>
      <c r="V36">
        <f t="shared" si="7"/>
        <v>0.80688961812551818</v>
      </c>
      <c r="W36">
        <f t="shared" si="8"/>
        <v>8.5451107137432994E-2</v>
      </c>
      <c r="X36">
        <f t="shared" si="13"/>
        <v>0.78739058643683135</v>
      </c>
      <c r="Y36">
        <f t="shared" si="9"/>
        <v>1.9499031688686948E-2</v>
      </c>
      <c r="AB36">
        <f t="shared" si="14"/>
        <v>1.34137240556928E-5</v>
      </c>
      <c r="AC36">
        <f t="shared" si="15"/>
        <v>6.5198900750206902E-4</v>
      </c>
      <c r="AD36">
        <f t="shared" si="16"/>
        <v>9.8739581370289001E-11</v>
      </c>
      <c r="AE36">
        <v>333.58333333333297</v>
      </c>
      <c r="AF36">
        <v>868.69230769230774</v>
      </c>
      <c r="AG36">
        <v>170.07692307692307</v>
      </c>
      <c r="AH36" s="26">
        <v>1.3809969999999999E-6</v>
      </c>
      <c r="AI36" s="26">
        <v>3.3333599881999999E-2</v>
      </c>
    </row>
    <row r="37" spans="2:35" ht="16">
      <c r="B37">
        <f t="shared" si="0"/>
        <v>31</v>
      </c>
      <c r="C37" s="36">
        <v>100</v>
      </c>
      <c r="D37" s="36" t="s">
        <v>58</v>
      </c>
      <c r="E37" s="36" t="s">
        <v>123</v>
      </c>
      <c r="F37" s="36" t="s">
        <v>125</v>
      </c>
      <c r="H37" s="36">
        <v>333</v>
      </c>
      <c r="I37" s="36">
        <v>515</v>
      </c>
      <c r="J37" s="36">
        <v>12</v>
      </c>
      <c r="K37" s="36">
        <v>2</v>
      </c>
      <c r="L37" s="36"/>
      <c r="M37" s="37"/>
      <c r="N37" s="37"/>
      <c r="O37">
        <v>5.1538461538461497</v>
      </c>
      <c r="AB37">
        <f t="shared" si="14"/>
        <v>1.34137240556928E-5</v>
      </c>
      <c r="AC37">
        <f t="shared" si="15"/>
        <v>6.5198900750206902E-4</v>
      </c>
      <c r="AD37">
        <f t="shared" si="16"/>
        <v>9.8739581370289001E-11</v>
      </c>
      <c r="AE37">
        <v>333.58333333333297</v>
      </c>
      <c r="AF37">
        <v>868.69230769230774</v>
      </c>
      <c r="AG37">
        <v>170.07692307692307</v>
      </c>
      <c r="AH37" s="26">
        <v>1.3809969999999999E-6</v>
      </c>
      <c r="AI37" s="26">
        <v>3.3333599881999999E-2</v>
      </c>
    </row>
    <row r="38" spans="2:35" ht="16">
      <c r="B38">
        <f t="shared" si="0"/>
        <v>32</v>
      </c>
      <c r="C38" s="36">
        <v>53.7</v>
      </c>
      <c r="D38" s="36" t="s">
        <v>65</v>
      </c>
      <c r="E38" s="36" t="s">
        <v>123</v>
      </c>
      <c r="F38" s="36" t="s">
        <v>125</v>
      </c>
      <c r="H38" s="36">
        <v>78773</v>
      </c>
      <c r="I38" s="36">
        <v>81619</v>
      </c>
      <c r="J38" s="36">
        <v>10062</v>
      </c>
      <c r="K38" s="36">
        <v>6330</v>
      </c>
      <c r="L38" s="36">
        <f t="shared" ref="L38:L43" si="23">K38-O38</f>
        <v>6324.8461538461543</v>
      </c>
      <c r="M38" s="37">
        <f t="shared" ref="M38:M43" si="24">L38*AB38+AC38+AD38*L38^2</f>
        <v>8.9441676514782062E-2</v>
      </c>
      <c r="N38" s="37">
        <f t="shared" si="2"/>
        <v>0.16655805682454758</v>
      </c>
      <c r="O38">
        <v>5.1538461538461497</v>
      </c>
      <c r="P38">
        <f t="shared" si="3"/>
        <v>3.8736209420567075E-2</v>
      </c>
      <c r="Q38">
        <f t="shared" si="4"/>
        <v>78439.416666666672</v>
      </c>
      <c r="R38">
        <f t="shared" si="11"/>
        <v>80750.307692307688</v>
      </c>
      <c r="S38">
        <f t="shared" si="5"/>
        <v>9891.9230769230762</v>
      </c>
      <c r="T38">
        <f t="shared" si="6"/>
        <v>169081.64743589744</v>
      </c>
      <c r="U38">
        <f t="shared" si="12"/>
        <v>0.26683484774603206</v>
      </c>
      <c r="V38">
        <f t="shared" si="7"/>
        <v>0.49689915781383992</v>
      </c>
      <c r="W38">
        <f t="shared" si="8"/>
        <v>4.8157257297395187E-2</v>
      </c>
      <c r="X38">
        <f t="shared" si="13"/>
        <v>0.46782865654642208</v>
      </c>
      <c r="Y38">
        <f t="shared" si="9"/>
        <v>2.9070501267417909E-2</v>
      </c>
      <c r="AB38">
        <f t="shared" si="14"/>
        <v>1.34137240556928E-5</v>
      </c>
      <c r="AC38">
        <f t="shared" si="15"/>
        <v>6.5198900750206902E-4</v>
      </c>
      <c r="AD38">
        <f t="shared" si="16"/>
        <v>9.8739581370289001E-11</v>
      </c>
      <c r="AE38">
        <v>333.58333333333297</v>
      </c>
      <c r="AF38">
        <v>868.69230769230774</v>
      </c>
      <c r="AG38">
        <v>170.07692307692307</v>
      </c>
      <c r="AH38" s="26">
        <v>1.3809969999999999E-6</v>
      </c>
      <c r="AI38" s="26">
        <v>3.3333599881999999E-2</v>
      </c>
    </row>
    <row r="39" spans="2:35" ht="16">
      <c r="B39">
        <f t="shared" si="0"/>
        <v>33</v>
      </c>
      <c r="C39" s="36">
        <v>30.1</v>
      </c>
      <c r="D39" s="36" t="s">
        <v>81</v>
      </c>
      <c r="E39" s="36" t="s">
        <v>123</v>
      </c>
      <c r="F39" s="36" t="s">
        <v>125</v>
      </c>
      <c r="H39" s="36">
        <v>99857</v>
      </c>
      <c r="I39" s="36">
        <v>64006</v>
      </c>
      <c r="J39" s="36">
        <v>3785</v>
      </c>
      <c r="K39" s="36">
        <v>0</v>
      </c>
      <c r="L39" s="36">
        <f t="shared" si="23"/>
        <v>-5.1538461538461497</v>
      </c>
      <c r="M39" s="37">
        <f t="shared" si="24"/>
        <v>5.8285936010249711E-4</v>
      </c>
      <c r="N39" s="37">
        <f t="shared" si="2"/>
        <v>1.9364098342275651E-3</v>
      </c>
      <c r="O39">
        <v>5.1538461538461497</v>
      </c>
      <c r="P39">
        <f t="shared" si="3"/>
        <v>6.9098595882290295E-2</v>
      </c>
      <c r="Q39">
        <f t="shared" si="4"/>
        <v>99523.416666666672</v>
      </c>
      <c r="R39">
        <f t="shared" si="11"/>
        <v>63137.307692307695</v>
      </c>
      <c r="S39">
        <f t="shared" si="5"/>
        <v>3614.9230769230771</v>
      </c>
      <c r="T39">
        <f t="shared" si="6"/>
        <v>166275.64743589744</v>
      </c>
      <c r="U39">
        <f t="shared" si="12"/>
        <v>0.26295977016403205</v>
      </c>
      <c r="V39">
        <f t="shared" si="7"/>
        <v>0.87362049888382742</v>
      </c>
      <c r="W39">
        <f t="shared" si="8"/>
        <v>8.6047662467279448E-2</v>
      </c>
      <c r="X39">
        <f t="shared" si="13"/>
        <v>0.85462751373784751</v>
      </c>
      <c r="Y39">
        <f t="shared" si="9"/>
        <v>1.8992985145979951E-2</v>
      </c>
      <c r="AB39">
        <f t="shared" si="14"/>
        <v>1.34137240556928E-5</v>
      </c>
      <c r="AC39">
        <f t="shared" si="15"/>
        <v>6.5198900750206902E-4</v>
      </c>
      <c r="AD39">
        <f t="shared" si="16"/>
        <v>9.8739581370289001E-11</v>
      </c>
      <c r="AE39">
        <v>333.58333333333297</v>
      </c>
      <c r="AF39">
        <v>868.69230769230774</v>
      </c>
      <c r="AG39">
        <v>170.07692307692307</v>
      </c>
      <c r="AH39" s="26">
        <v>1.3809969999999999E-6</v>
      </c>
      <c r="AI39" s="26">
        <v>3.3333599881999999E-2</v>
      </c>
    </row>
    <row r="40" spans="2:35" ht="16">
      <c r="B40">
        <f t="shared" si="0"/>
        <v>34</v>
      </c>
      <c r="C40" s="36">
        <v>29.9</v>
      </c>
      <c r="D40" s="36" t="s">
        <v>82</v>
      </c>
      <c r="E40" s="36" t="s">
        <v>123</v>
      </c>
      <c r="F40" s="36" t="s">
        <v>125</v>
      </c>
      <c r="H40" s="36">
        <v>82382</v>
      </c>
      <c r="I40" s="36">
        <v>66937</v>
      </c>
      <c r="J40" s="36">
        <v>3367</v>
      </c>
      <c r="K40" s="36">
        <v>1399</v>
      </c>
      <c r="L40" s="36">
        <f t="shared" si="23"/>
        <v>1393.8461538461538</v>
      </c>
      <c r="M40" s="37">
        <f t="shared" si="24"/>
        <v>1.9540488651078762E-2</v>
      </c>
      <c r="N40" s="37">
        <f t="shared" si="2"/>
        <v>6.5352804853106225E-2</v>
      </c>
      <c r="O40">
        <v>5.1538461538461497</v>
      </c>
      <c r="P40">
        <f t="shared" si="3"/>
        <v>6.9562166200993356E-2</v>
      </c>
      <c r="Q40">
        <f t="shared" si="4"/>
        <v>82048.416666666672</v>
      </c>
      <c r="R40">
        <f t="shared" si="11"/>
        <v>66068.307692307688</v>
      </c>
      <c r="S40">
        <f t="shared" si="5"/>
        <v>3196.9230769230771</v>
      </c>
      <c r="T40">
        <f t="shared" si="6"/>
        <v>151313.64743589744</v>
      </c>
      <c r="U40">
        <f t="shared" si="12"/>
        <v>0.24229729305003203</v>
      </c>
      <c r="V40">
        <f t="shared" si="7"/>
        <v>0.81035883963221422</v>
      </c>
      <c r="W40">
        <f t="shared" si="8"/>
        <v>8.6595715212637689E-2</v>
      </c>
      <c r="X40">
        <f t="shared" si="13"/>
        <v>0.79323774765598432</v>
      </c>
      <c r="Y40">
        <f t="shared" si="9"/>
        <v>1.7121091976229959E-2</v>
      </c>
      <c r="AB40">
        <f t="shared" si="14"/>
        <v>1.34137240556928E-5</v>
      </c>
      <c r="AC40">
        <f t="shared" si="15"/>
        <v>6.5198900750206902E-4</v>
      </c>
      <c r="AD40">
        <f t="shared" si="16"/>
        <v>9.8739581370289001E-11</v>
      </c>
      <c r="AE40">
        <v>333.58333333333297</v>
      </c>
      <c r="AF40">
        <v>868.69230769230774</v>
      </c>
      <c r="AG40">
        <v>170.07692307692307</v>
      </c>
      <c r="AH40" s="26">
        <v>1.3809969999999999E-6</v>
      </c>
      <c r="AI40" s="26">
        <v>3.3333599881999999E-2</v>
      </c>
    </row>
    <row r="41" spans="2:35" ht="16">
      <c r="B41">
        <f t="shared" si="0"/>
        <v>35</v>
      </c>
      <c r="C41" s="36">
        <v>30.1</v>
      </c>
      <c r="D41" s="36" t="s">
        <v>83</v>
      </c>
      <c r="E41" s="36" t="s">
        <v>123</v>
      </c>
      <c r="F41" s="36" t="s">
        <v>125</v>
      </c>
      <c r="H41" s="36">
        <v>90937</v>
      </c>
      <c r="I41" s="36">
        <v>90218</v>
      </c>
      <c r="J41" s="36">
        <v>6092</v>
      </c>
      <c r="K41" s="36">
        <v>636</v>
      </c>
      <c r="L41" s="36">
        <f t="shared" si="23"/>
        <v>630.84615384615381</v>
      </c>
      <c r="M41" s="37">
        <f t="shared" si="24"/>
        <v>9.1532803189150191E-3</v>
      </c>
      <c r="N41" s="37">
        <f t="shared" si="2"/>
        <v>3.0409569165830624E-2</v>
      </c>
      <c r="O41">
        <v>5.1538461538461497</v>
      </c>
      <c r="P41">
        <f t="shared" si="3"/>
        <v>6.9098890109488414E-2</v>
      </c>
      <c r="Q41">
        <f t="shared" si="4"/>
        <v>90603.416666666672</v>
      </c>
      <c r="R41">
        <f t="shared" si="11"/>
        <v>89349.307692307688</v>
      </c>
      <c r="S41">
        <f t="shared" si="5"/>
        <v>5921.9230769230771</v>
      </c>
      <c r="T41">
        <f t="shared" si="6"/>
        <v>185874.64743589744</v>
      </c>
      <c r="U41">
        <f t="shared" si="12"/>
        <v>0.29002593036703206</v>
      </c>
      <c r="V41">
        <f t="shared" si="7"/>
        <v>0.96354129690043866</v>
      </c>
      <c r="W41">
        <f t="shared" si="8"/>
        <v>8.6090032478113088E-2</v>
      </c>
      <c r="X41">
        <f t="shared" si="13"/>
        <v>0.93284309507250551</v>
      </c>
      <c r="Y41">
        <f t="shared" si="9"/>
        <v>3.0698201827933161E-2</v>
      </c>
      <c r="AB41">
        <f t="shared" si="14"/>
        <v>1.34137240556928E-5</v>
      </c>
      <c r="AC41">
        <f t="shared" si="15"/>
        <v>6.5198900750206902E-4</v>
      </c>
      <c r="AD41">
        <f t="shared" si="16"/>
        <v>9.8739581370289001E-11</v>
      </c>
      <c r="AE41">
        <v>333.58333333333297</v>
      </c>
      <c r="AF41">
        <v>868.69230769230774</v>
      </c>
      <c r="AG41">
        <v>170.07692307692307</v>
      </c>
      <c r="AH41" s="26">
        <v>1.3809969999999999E-6</v>
      </c>
      <c r="AI41" s="26">
        <v>3.3333599881999999E-2</v>
      </c>
    </row>
    <row r="42" spans="2:35" ht="16">
      <c r="B42">
        <f t="shared" si="0"/>
        <v>36</v>
      </c>
      <c r="C42" s="36">
        <v>31.3</v>
      </c>
      <c r="D42" s="36" t="s">
        <v>84</v>
      </c>
      <c r="E42" s="36" t="s">
        <v>123</v>
      </c>
      <c r="F42" s="36" t="s">
        <v>125</v>
      </c>
      <c r="H42" s="36">
        <v>110878</v>
      </c>
      <c r="I42" s="36">
        <v>80623</v>
      </c>
      <c r="J42" s="36">
        <v>4543</v>
      </c>
      <c r="K42" s="36">
        <v>729</v>
      </c>
      <c r="L42" s="36">
        <f t="shared" si="23"/>
        <v>723.84615384615381</v>
      </c>
      <c r="M42" s="37">
        <f t="shared" si="24"/>
        <v>1.041319649896973E-2</v>
      </c>
      <c r="N42" s="37">
        <f t="shared" si="2"/>
        <v>3.326899839926431E-2</v>
      </c>
      <c r="O42">
        <v>5.1538461538461497</v>
      </c>
      <c r="P42">
        <f t="shared" si="3"/>
        <v>6.6449787322999318E-2</v>
      </c>
      <c r="Q42">
        <f t="shared" si="4"/>
        <v>110544.41666666667</v>
      </c>
      <c r="R42">
        <f t="shared" si="11"/>
        <v>79754.307692307688</v>
      </c>
      <c r="S42">
        <f t="shared" si="5"/>
        <v>4372.9230769230771</v>
      </c>
      <c r="T42">
        <f t="shared" si="6"/>
        <v>194671.64743589744</v>
      </c>
      <c r="U42">
        <f t="shared" si="12"/>
        <v>0.30217456097603207</v>
      </c>
      <c r="V42">
        <f t="shared" si="7"/>
        <v>0.96541393283077337</v>
      </c>
      <c r="W42">
        <f t="shared" si="8"/>
        <v>8.2790346869485609E-2</v>
      </c>
      <c r="X42">
        <f t="shared" si="13"/>
        <v>0.94372777092037563</v>
      </c>
      <c r="Y42">
        <f t="shared" si="9"/>
        <v>2.1686161910397832E-2</v>
      </c>
      <c r="AB42">
        <f t="shared" si="14"/>
        <v>1.34137240556928E-5</v>
      </c>
      <c r="AC42">
        <f t="shared" si="15"/>
        <v>6.5198900750206902E-4</v>
      </c>
      <c r="AD42">
        <f t="shared" si="16"/>
        <v>9.8739581370289001E-11</v>
      </c>
      <c r="AE42">
        <v>333.58333333333297</v>
      </c>
      <c r="AF42">
        <v>868.69230769230774</v>
      </c>
      <c r="AG42">
        <v>170.07692307692307</v>
      </c>
      <c r="AH42" s="26">
        <v>1.3809969999999999E-6</v>
      </c>
      <c r="AI42" s="26">
        <v>3.3333599881999999E-2</v>
      </c>
    </row>
    <row r="43" spans="2:35" ht="16">
      <c r="B43">
        <f t="shared" si="0"/>
        <v>37</v>
      </c>
      <c r="C43" s="36">
        <v>29.9</v>
      </c>
      <c r="D43" s="36" t="s">
        <v>85</v>
      </c>
      <c r="E43" s="36" t="s">
        <v>123</v>
      </c>
      <c r="F43" s="36" t="s">
        <v>125</v>
      </c>
      <c r="H43" s="36">
        <v>81815</v>
      </c>
      <c r="I43" s="36">
        <v>61511</v>
      </c>
      <c r="J43" s="36">
        <v>4782</v>
      </c>
      <c r="K43" s="36">
        <v>391</v>
      </c>
      <c r="L43" s="36">
        <f t="shared" si="23"/>
        <v>385.84615384615387</v>
      </c>
      <c r="M43" s="37">
        <f t="shared" si="24"/>
        <v>5.8423229209235211E-3</v>
      </c>
      <c r="N43" s="37">
        <f t="shared" si="2"/>
        <v>1.9539541541550239E-2</v>
      </c>
      <c r="O43">
        <v>5.1538461538461497</v>
      </c>
      <c r="P43">
        <f t="shared" si="3"/>
        <v>6.9560915428875908E-2</v>
      </c>
      <c r="Q43">
        <f t="shared" si="4"/>
        <v>81481.416666666672</v>
      </c>
      <c r="R43">
        <f t="shared" si="11"/>
        <v>60642.307692307695</v>
      </c>
      <c r="S43">
        <f t="shared" si="5"/>
        <v>4611.9230769230771</v>
      </c>
      <c r="T43">
        <f t="shared" si="6"/>
        <v>146735.64743589744</v>
      </c>
      <c r="U43">
        <f t="shared" si="12"/>
        <v>0.23597508878403203</v>
      </c>
      <c r="V43">
        <f t="shared" si="7"/>
        <v>0.78921434375930444</v>
      </c>
      <c r="W43">
        <f t="shared" si="8"/>
        <v>8.6586977161592915E-2</v>
      </c>
      <c r="X43">
        <f t="shared" si="13"/>
        <v>0.76440922034025038</v>
      </c>
      <c r="Y43">
        <f t="shared" si="9"/>
        <v>2.4805123419054054E-2</v>
      </c>
      <c r="AB43">
        <f t="shared" si="14"/>
        <v>1.34137240556928E-5</v>
      </c>
      <c r="AC43">
        <f t="shared" si="15"/>
        <v>6.5198900750206902E-4</v>
      </c>
      <c r="AD43">
        <f t="shared" si="16"/>
        <v>9.8739581370289001E-11</v>
      </c>
      <c r="AE43">
        <v>333.58333333333297</v>
      </c>
      <c r="AF43">
        <v>868.69230769230774</v>
      </c>
      <c r="AG43">
        <v>170.07692307692307</v>
      </c>
      <c r="AH43" s="26">
        <v>1.3809969999999999E-6</v>
      </c>
      <c r="AI43" s="26">
        <v>3.3333599881999999E-2</v>
      </c>
    </row>
    <row r="44" spans="2:35" ht="16">
      <c r="B44">
        <f t="shared" si="0"/>
        <v>38</v>
      </c>
      <c r="C44" s="36">
        <v>100</v>
      </c>
      <c r="D44" s="36" t="s">
        <v>58</v>
      </c>
      <c r="E44" s="36" t="s">
        <v>123</v>
      </c>
      <c r="F44" s="36" t="s">
        <v>125</v>
      </c>
      <c r="H44" s="36">
        <v>339</v>
      </c>
      <c r="I44" s="36">
        <v>661</v>
      </c>
      <c r="J44" s="36">
        <v>79</v>
      </c>
      <c r="K44" s="36">
        <v>3</v>
      </c>
      <c r="L44" s="36"/>
      <c r="M44" s="37"/>
      <c r="N44" s="37"/>
      <c r="O44">
        <v>5.1538461538461497</v>
      </c>
      <c r="AB44">
        <f t="shared" si="14"/>
        <v>1.34137240556928E-5</v>
      </c>
      <c r="AC44">
        <f t="shared" si="15"/>
        <v>6.5198900750206902E-4</v>
      </c>
      <c r="AD44">
        <f t="shared" si="16"/>
        <v>9.8739581370289001E-11</v>
      </c>
      <c r="AE44">
        <v>333.58333333333297</v>
      </c>
      <c r="AF44">
        <v>868.69230769230774</v>
      </c>
      <c r="AG44">
        <v>170.07692307692307</v>
      </c>
      <c r="AH44" s="26">
        <v>1.3809969999999999E-6</v>
      </c>
      <c r="AI44" s="26">
        <v>3.3333599881999999E-2</v>
      </c>
    </row>
    <row r="45" spans="2:35" ht="16">
      <c r="B45">
        <f t="shared" si="0"/>
        <v>39</v>
      </c>
      <c r="C45" s="36">
        <v>60.4</v>
      </c>
      <c r="D45" s="36" t="s">
        <v>65</v>
      </c>
      <c r="E45" s="36" t="s">
        <v>123</v>
      </c>
      <c r="F45" s="36" t="s">
        <v>125</v>
      </c>
      <c r="H45" s="36">
        <v>87108</v>
      </c>
      <c r="I45" s="36">
        <v>90140</v>
      </c>
      <c r="J45" s="36">
        <v>11170</v>
      </c>
      <c r="K45" s="36">
        <v>7195</v>
      </c>
      <c r="L45" s="36">
        <f t="shared" ref="L45:L50" si="25">K45-O45</f>
        <v>7189.8461538461543</v>
      </c>
      <c r="M45" s="37">
        <f t="shared" ref="M45:M50" si="26">L45*AB45+AC45+AD45*L45^2</f>
        <v>0.10219883415055682</v>
      </c>
      <c r="N45" s="37">
        <f t="shared" si="2"/>
        <v>0.16920336779893513</v>
      </c>
      <c r="O45">
        <v>5.1538461538461497</v>
      </c>
      <c r="P45">
        <f t="shared" si="3"/>
        <v>3.443945340456802E-2</v>
      </c>
      <c r="Q45">
        <f t="shared" si="4"/>
        <v>86774.416666666672</v>
      </c>
      <c r="R45">
        <f t="shared" si="11"/>
        <v>89271.307692307688</v>
      </c>
      <c r="S45">
        <f t="shared" si="5"/>
        <v>10999.923076923076</v>
      </c>
      <c r="T45">
        <f t="shared" si="6"/>
        <v>187045.64743589744</v>
      </c>
      <c r="U45">
        <f t="shared" si="12"/>
        <v>0.29164307785403204</v>
      </c>
      <c r="V45">
        <f t="shared" si="7"/>
        <v>0.48285277790402653</v>
      </c>
      <c r="W45">
        <f t="shared" si="8"/>
        <v>4.281354771722453E-2</v>
      </c>
      <c r="X45">
        <f t="shared" si="13"/>
        <v>0.45445680351364059</v>
      </c>
      <c r="Y45">
        <f t="shared" si="9"/>
        <v>2.8395974390386009E-2</v>
      </c>
      <c r="AB45">
        <f t="shared" si="14"/>
        <v>1.34137240556928E-5</v>
      </c>
      <c r="AC45">
        <f t="shared" si="15"/>
        <v>6.5198900750206902E-4</v>
      </c>
      <c r="AD45">
        <f t="shared" si="16"/>
        <v>9.8739581370289001E-11</v>
      </c>
      <c r="AE45">
        <v>333.58333333333297</v>
      </c>
      <c r="AF45">
        <v>868.69230769230774</v>
      </c>
      <c r="AG45">
        <v>170.07692307692307</v>
      </c>
      <c r="AH45" s="26">
        <v>1.3809969999999999E-6</v>
      </c>
      <c r="AI45" s="26">
        <v>3.3333599881999999E-2</v>
      </c>
    </row>
    <row r="46" spans="2:35" ht="16">
      <c r="B46">
        <f t="shared" si="0"/>
        <v>40</v>
      </c>
      <c r="C46" s="36">
        <v>30.6</v>
      </c>
      <c r="D46" s="36" t="s">
        <v>86</v>
      </c>
      <c r="E46" s="36" t="s">
        <v>123</v>
      </c>
      <c r="F46" s="36" t="s">
        <v>125</v>
      </c>
      <c r="H46" s="36">
        <v>112372</v>
      </c>
      <c r="I46" s="36">
        <v>68715</v>
      </c>
      <c r="J46" s="36">
        <v>4027</v>
      </c>
      <c r="K46" s="36">
        <v>0</v>
      </c>
      <c r="L46" s="36">
        <f t="shared" si="25"/>
        <v>-5.1538461538461497</v>
      </c>
      <c r="M46" s="37">
        <f t="shared" si="26"/>
        <v>5.8285936010249711E-4</v>
      </c>
      <c r="N46" s="37">
        <f t="shared" si="2"/>
        <v>1.9047691506617552E-3</v>
      </c>
      <c r="O46">
        <v>5.1538461538461497</v>
      </c>
      <c r="P46">
        <f t="shared" si="3"/>
        <v>6.7969533819876915E-2</v>
      </c>
      <c r="Q46">
        <f t="shared" si="4"/>
        <v>112038.41666666667</v>
      </c>
      <c r="R46">
        <f t="shared" si="11"/>
        <v>67846.307692307688</v>
      </c>
      <c r="S46">
        <f t="shared" si="5"/>
        <v>3856.9230769230771</v>
      </c>
      <c r="T46">
        <f t="shared" si="6"/>
        <v>183741.64743589744</v>
      </c>
      <c r="U46">
        <f t="shared" si="12"/>
        <v>0.28708026376603207</v>
      </c>
      <c r="V46">
        <f t="shared" si="7"/>
        <v>0.93817079662101976</v>
      </c>
      <c r="W46">
        <f t="shared" si="8"/>
        <v>8.467116249926547E-2</v>
      </c>
      <c r="X46">
        <f t="shared" si="13"/>
        <v>0.91847764242283891</v>
      </c>
      <c r="Y46">
        <f t="shared" si="9"/>
        <v>1.96931541981809E-2</v>
      </c>
      <c r="AB46">
        <f t="shared" si="14"/>
        <v>1.34137240556928E-5</v>
      </c>
      <c r="AC46">
        <f t="shared" si="15"/>
        <v>6.5198900750206902E-4</v>
      </c>
      <c r="AD46">
        <f t="shared" si="16"/>
        <v>9.8739581370289001E-11</v>
      </c>
      <c r="AE46">
        <v>333.58333333333297</v>
      </c>
      <c r="AF46">
        <v>868.69230769230774</v>
      </c>
      <c r="AG46">
        <v>170.07692307692307</v>
      </c>
      <c r="AH46" s="26">
        <v>1.3809969999999999E-6</v>
      </c>
      <c r="AI46" s="26">
        <v>3.3333599881999999E-2</v>
      </c>
    </row>
    <row r="47" spans="2:35" ht="16">
      <c r="B47">
        <f t="shared" si="0"/>
        <v>41</v>
      </c>
      <c r="C47" s="36">
        <v>29.6</v>
      </c>
      <c r="D47" s="36" t="s">
        <v>87</v>
      </c>
      <c r="E47" s="36" t="s">
        <v>123</v>
      </c>
      <c r="F47" s="36" t="s">
        <v>125</v>
      </c>
      <c r="H47" s="36">
        <v>108767</v>
      </c>
      <c r="I47" s="36">
        <v>70712</v>
      </c>
      <c r="J47" s="36">
        <v>3501</v>
      </c>
      <c r="K47" s="36">
        <v>1813</v>
      </c>
      <c r="L47" s="36">
        <f t="shared" si="25"/>
        <v>1807.8461538461538</v>
      </c>
      <c r="M47" s="37">
        <f t="shared" si="26"/>
        <v>2.5224649786004718E-2</v>
      </c>
      <c r="N47" s="37">
        <f t="shared" si="2"/>
        <v>8.5218411439205125E-2</v>
      </c>
      <c r="O47">
        <v>5.1538461538461497</v>
      </c>
      <c r="P47">
        <f t="shared" si="3"/>
        <v>7.0268159861510499E-2</v>
      </c>
      <c r="Q47">
        <f t="shared" si="4"/>
        <v>108433.41666666667</v>
      </c>
      <c r="R47">
        <f t="shared" si="11"/>
        <v>69843.307692307688</v>
      </c>
      <c r="S47">
        <f t="shared" si="5"/>
        <v>3330.9230769230771</v>
      </c>
      <c r="T47">
        <f t="shared" si="6"/>
        <v>181607.64743589744</v>
      </c>
      <c r="U47">
        <f t="shared" si="12"/>
        <v>0.28413321616803205</v>
      </c>
      <c r="V47">
        <f t="shared" si="7"/>
        <v>0.95990951408118941</v>
      </c>
      <c r="W47">
        <f t="shared" si="8"/>
        <v>8.7542434519775641E-2</v>
      </c>
      <c r="X47">
        <f t="shared" si="13"/>
        <v>0.94230351126492784</v>
      </c>
      <c r="Y47">
        <f t="shared" si="9"/>
        <v>1.7606002816261585E-2</v>
      </c>
      <c r="AB47">
        <f t="shared" si="14"/>
        <v>1.34137240556928E-5</v>
      </c>
      <c r="AC47">
        <f t="shared" si="15"/>
        <v>6.5198900750206902E-4</v>
      </c>
      <c r="AD47">
        <f t="shared" si="16"/>
        <v>9.8739581370289001E-11</v>
      </c>
      <c r="AE47">
        <v>333.58333333333297</v>
      </c>
      <c r="AF47">
        <v>868.69230769230774</v>
      </c>
      <c r="AG47">
        <v>170.07692307692307</v>
      </c>
      <c r="AH47" s="26">
        <v>1.3809969999999999E-6</v>
      </c>
      <c r="AI47" s="26">
        <v>3.3333599881999999E-2</v>
      </c>
    </row>
    <row r="48" spans="2:35" ht="16">
      <c r="B48">
        <f t="shared" si="0"/>
        <v>42</v>
      </c>
      <c r="C48" s="36">
        <v>29.6</v>
      </c>
      <c r="D48" s="36" t="s">
        <v>88</v>
      </c>
      <c r="E48" s="36" t="s">
        <v>123</v>
      </c>
      <c r="F48" s="36" t="s">
        <v>125</v>
      </c>
      <c r="H48" s="36">
        <v>117909</v>
      </c>
      <c r="I48" s="36">
        <v>79388</v>
      </c>
      <c r="J48" s="36">
        <v>4794</v>
      </c>
      <c r="K48" s="36">
        <v>656</v>
      </c>
      <c r="L48" s="36">
        <f t="shared" si="25"/>
        <v>650.84615384615381</v>
      </c>
      <c r="M48" s="37">
        <f t="shared" si="26"/>
        <v>9.4240858752670156E-3</v>
      </c>
      <c r="N48" s="37">
        <f t="shared" si="2"/>
        <v>3.183812795698316E-2</v>
      </c>
      <c r="O48">
        <v>5.1538461538461497</v>
      </c>
      <c r="P48">
        <f t="shared" si="3"/>
        <v>7.0266129979370942E-2</v>
      </c>
      <c r="Q48">
        <f t="shared" si="4"/>
        <v>117575.41666666667</v>
      </c>
      <c r="R48">
        <f t="shared" si="11"/>
        <v>78519.307692307688</v>
      </c>
      <c r="S48">
        <f t="shared" si="5"/>
        <v>4623.9230769230771</v>
      </c>
      <c r="T48">
        <f t="shared" si="6"/>
        <v>200718.64743589744</v>
      </c>
      <c r="U48">
        <f t="shared" si="12"/>
        <v>0.31052544983503205</v>
      </c>
      <c r="V48">
        <f t="shared" si="7"/>
        <v>1.0490724656588921</v>
      </c>
      <c r="W48">
        <f t="shared" si="8"/>
        <v>8.7589129760666268E-2</v>
      </c>
      <c r="X48">
        <f t="shared" si="13"/>
        <v>1.0249051526299722</v>
      </c>
      <c r="Y48">
        <f t="shared" si="9"/>
        <v>2.41673130289199E-2</v>
      </c>
      <c r="AB48">
        <f t="shared" si="14"/>
        <v>1.34137240556928E-5</v>
      </c>
      <c r="AC48">
        <f t="shared" si="15"/>
        <v>6.5198900750206902E-4</v>
      </c>
      <c r="AD48">
        <f t="shared" si="16"/>
        <v>9.8739581370289001E-11</v>
      </c>
      <c r="AE48">
        <v>333.58333333333297</v>
      </c>
      <c r="AF48">
        <v>868.69230769230774</v>
      </c>
      <c r="AG48">
        <v>170.07692307692307</v>
      </c>
      <c r="AH48" s="26">
        <v>1.3809969999999999E-6</v>
      </c>
      <c r="AI48" s="26">
        <v>3.3333599881999999E-2</v>
      </c>
    </row>
    <row r="49" spans="2:35" ht="16">
      <c r="B49">
        <f t="shared" si="0"/>
        <v>43</v>
      </c>
      <c r="C49" s="36">
        <v>31</v>
      </c>
      <c r="D49" s="36" t="s">
        <v>89</v>
      </c>
      <c r="E49" s="36" t="s">
        <v>123</v>
      </c>
      <c r="F49" s="36" t="s">
        <v>125</v>
      </c>
      <c r="H49" s="36">
        <v>82332</v>
      </c>
      <c r="I49" s="36">
        <v>65271</v>
      </c>
      <c r="J49" s="36">
        <v>6243</v>
      </c>
      <c r="K49" s="36">
        <v>504</v>
      </c>
      <c r="L49" s="36">
        <f t="shared" si="25"/>
        <v>498.84615384615387</v>
      </c>
      <c r="M49" s="37">
        <f t="shared" si="26"/>
        <v>7.3679447579524521E-3</v>
      </c>
      <c r="N49" s="37">
        <f t="shared" si="2"/>
        <v>2.3767563735330493E-2</v>
      </c>
      <c r="O49">
        <v>5.1538461538461497</v>
      </c>
      <c r="P49">
        <f t="shared" si="3"/>
        <v>6.7092681678747282E-2</v>
      </c>
      <c r="Q49">
        <f t="shared" si="4"/>
        <v>81998.416666666672</v>
      </c>
      <c r="R49">
        <f t="shared" si="11"/>
        <v>64402.307692307695</v>
      </c>
      <c r="S49">
        <f t="shared" si="5"/>
        <v>6072.9230769230771</v>
      </c>
      <c r="T49">
        <f t="shared" si="6"/>
        <v>152473.64743589744</v>
      </c>
      <c r="U49">
        <f t="shared" si="12"/>
        <v>0.24389924957003203</v>
      </c>
      <c r="V49">
        <f t="shared" si="7"/>
        <v>0.78677177280655508</v>
      </c>
      <c r="W49">
        <f t="shared" si="8"/>
        <v>8.3513576753820484E-2</v>
      </c>
      <c r="X49">
        <f t="shared" si="13"/>
        <v>0.75543518097118667</v>
      </c>
      <c r="Y49">
        <f t="shared" si="9"/>
        <v>3.1336591835368563E-2</v>
      </c>
      <c r="AB49">
        <f t="shared" si="14"/>
        <v>1.34137240556928E-5</v>
      </c>
      <c r="AC49">
        <f t="shared" si="15"/>
        <v>6.5198900750206902E-4</v>
      </c>
      <c r="AD49">
        <f t="shared" si="16"/>
        <v>9.8739581370289001E-11</v>
      </c>
      <c r="AE49">
        <v>333.58333333333297</v>
      </c>
      <c r="AF49">
        <v>868.69230769230774</v>
      </c>
      <c r="AG49">
        <v>170.07692307692307</v>
      </c>
      <c r="AH49" s="26">
        <v>1.3809969999999999E-6</v>
      </c>
      <c r="AI49" s="26">
        <v>3.3333599881999999E-2</v>
      </c>
    </row>
    <row r="50" spans="2:35" ht="16">
      <c r="B50">
        <f t="shared" si="0"/>
        <v>44</v>
      </c>
      <c r="C50" s="36">
        <v>31.3</v>
      </c>
      <c r="D50" s="36" t="s">
        <v>90</v>
      </c>
      <c r="E50" s="36" t="s">
        <v>123</v>
      </c>
      <c r="F50" s="36" t="s">
        <v>125</v>
      </c>
      <c r="H50" s="36">
        <v>128733</v>
      </c>
      <c r="I50" s="36">
        <v>85284</v>
      </c>
      <c r="J50" s="36">
        <v>5070</v>
      </c>
      <c r="K50" s="36">
        <v>1089</v>
      </c>
      <c r="L50" s="36">
        <f t="shared" si="25"/>
        <v>1083.8461538461538</v>
      </c>
      <c r="M50" s="37">
        <f t="shared" si="26"/>
        <v>1.5306393840433957E-2</v>
      </c>
      <c r="N50" s="37">
        <f t="shared" si="2"/>
        <v>4.89022167426005E-2</v>
      </c>
      <c r="O50">
        <v>5.1538461538461497</v>
      </c>
      <c r="P50">
        <f t="shared" si="3"/>
        <v>6.6450181975208744E-2</v>
      </c>
      <c r="Q50">
        <f t="shared" si="4"/>
        <v>128399.41666666667</v>
      </c>
      <c r="R50">
        <f t="shared" si="11"/>
        <v>84415.307692307688</v>
      </c>
      <c r="S50">
        <f t="shared" si="5"/>
        <v>4899.9230769230771</v>
      </c>
      <c r="T50">
        <f t="shared" si="6"/>
        <v>217714.64743589744</v>
      </c>
      <c r="U50">
        <f t="shared" si="12"/>
        <v>0.33399687484703205</v>
      </c>
      <c r="V50">
        <f t="shared" si="7"/>
        <v>1.0670826672429139</v>
      </c>
      <c r="W50">
        <f t="shared" si="8"/>
        <v>8.2841285267208131E-2</v>
      </c>
      <c r="X50">
        <f t="shared" si="13"/>
        <v>1.0430667222994408</v>
      </c>
      <c r="Y50">
        <f t="shared" si="9"/>
        <v>2.4015944943473162E-2</v>
      </c>
      <c r="AB50">
        <f t="shared" si="14"/>
        <v>1.34137240556928E-5</v>
      </c>
      <c r="AC50">
        <f t="shared" si="15"/>
        <v>6.5198900750206902E-4</v>
      </c>
      <c r="AD50">
        <f t="shared" si="16"/>
        <v>9.8739581370289001E-11</v>
      </c>
      <c r="AE50">
        <v>333.58333333333297</v>
      </c>
      <c r="AF50">
        <v>868.69230769230774</v>
      </c>
      <c r="AG50">
        <v>170.07692307692307</v>
      </c>
      <c r="AH50" s="26">
        <v>1.3809969999999999E-6</v>
      </c>
      <c r="AI50" s="26">
        <v>3.3333599881999999E-2</v>
      </c>
    </row>
    <row r="51" spans="2:35" ht="16">
      <c r="B51">
        <f t="shared" si="0"/>
        <v>45</v>
      </c>
      <c r="C51" s="36">
        <v>100</v>
      </c>
      <c r="D51" s="36" t="s">
        <v>58</v>
      </c>
      <c r="E51" s="36" t="s">
        <v>123</v>
      </c>
      <c r="F51" s="36" t="s">
        <v>125</v>
      </c>
      <c r="H51" s="36">
        <v>304</v>
      </c>
      <c r="I51" s="36">
        <v>318</v>
      </c>
      <c r="J51" s="36">
        <v>38</v>
      </c>
      <c r="K51" s="36">
        <v>4</v>
      </c>
      <c r="L51" s="36"/>
      <c r="M51" s="37"/>
      <c r="N51" s="37"/>
      <c r="O51">
        <v>5.1538461538461497</v>
      </c>
      <c r="AB51">
        <f t="shared" si="14"/>
        <v>1.34137240556928E-5</v>
      </c>
      <c r="AC51">
        <f t="shared" si="15"/>
        <v>6.5198900750206902E-4</v>
      </c>
      <c r="AD51">
        <f t="shared" si="16"/>
        <v>9.8739581370289001E-11</v>
      </c>
      <c r="AE51">
        <v>333.58333333333297</v>
      </c>
      <c r="AF51">
        <v>868.69230769230774</v>
      </c>
      <c r="AG51">
        <v>170.07692307692307</v>
      </c>
      <c r="AH51" s="26">
        <v>1.3809969999999999E-6</v>
      </c>
      <c r="AI51" s="26">
        <v>3.3333599881999999E-2</v>
      </c>
    </row>
    <row r="52" spans="2:35" ht="16">
      <c r="B52">
        <f t="shared" si="0"/>
        <v>46</v>
      </c>
      <c r="C52" s="36">
        <v>58.9</v>
      </c>
      <c r="D52" s="36" t="s">
        <v>65</v>
      </c>
      <c r="E52" s="36" t="s">
        <v>123</v>
      </c>
      <c r="F52" s="36" t="s">
        <v>125</v>
      </c>
      <c r="H52" s="36">
        <v>91185</v>
      </c>
      <c r="I52" s="36">
        <v>89229</v>
      </c>
      <c r="J52" s="36">
        <v>11117</v>
      </c>
      <c r="K52" s="36">
        <v>7275</v>
      </c>
      <c r="L52" s="36">
        <f t="shared" ref="L52:L57" si="27">K52-O52</f>
        <v>7269.8461538461543</v>
      </c>
      <c r="M52" s="37">
        <f t="shared" ref="M52:M57" si="28">L52*AB52+AC52+AD52*L52^2</f>
        <v>0.10338615159222862</v>
      </c>
      <c r="N52" s="37">
        <f t="shared" si="2"/>
        <v>0.17552827095454773</v>
      </c>
      <c r="O52">
        <v>5.1538461538461497</v>
      </c>
      <c r="P52">
        <f t="shared" si="3"/>
        <v>3.5316875202347726E-2</v>
      </c>
      <c r="Q52">
        <f t="shared" si="4"/>
        <v>90851.416666666672</v>
      </c>
      <c r="R52">
        <f t="shared" si="11"/>
        <v>88360.307692307688</v>
      </c>
      <c r="S52">
        <f t="shared" si="5"/>
        <v>10946.923076923076</v>
      </c>
      <c r="T52">
        <f t="shared" si="6"/>
        <v>190158.64743589744</v>
      </c>
      <c r="U52">
        <f t="shared" si="12"/>
        <v>0.29594212151503207</v>
      </c>
      <c r="V52">
        <f t="shared" si="7"/>
        <v>0.50244842362484232</v>
      </c>
      <c r="W52">
        <f t="shared" si="8"/>
        <v>4.3906410959731648E-2</v>
      </c>
      <c r="X52">
        <f t="shared" si="13"/>
        <v>0.47352381610523669</v>
      </c>
      <c r="Y52">
        <f t="shared" si="9"/>
        <v>2.89246075196057E-2</v>
      </c>
      <c r="AB52">
        <f t="shared" si="14"/>
        <v>1.34137240556928E-5</v>
      </c>
      <c r="AC52">
        <f t="shared" si="15"/>
        <v>6.5198900750206902E-4</v>
      </c>
      <c r="AD52">
        <f t="shared" si="16"/>
        <v>9.8739581370289001E-11</v>
      </c>
      <c r="AE52">
        <v>333.58333333333297</v>
      </c>
      <c r="AF52">
        <v>868.69230769230774</v>
      </c>
      <c r="AG52">
        <v>170.07692307692307</v>
      </c>
      <c r="AH52" s="26">
        <v>1.3809969999999999E-6</v>
      </c>
      <c r="AI52" s="26">
        <v>3.3333599881999999E-2</v>
      </c>
    </row>
    <row r="53" spans="2:35" ht="16">
      <c r="B53">
        <f t="shared" si="0"/>
        <v>47</v>
      </c>
      <c r="C53" s="36">
        <v>30</v>
      </c>
      <c r="D53" s="36" t="s">
        <v>91</v>
      </c>
      <c r="E53" s="36" t="s">
        <v>123</v>
      </c>
      <c r="F53" s="36" t="s">
        <v>125</v>
      </c>
      <c r="H53" s="36">
        <v>121191</v>
      </c>
      <c r="I53" s="36">
        <v>79366</v>
      </c>
      <c r="J53" s="36">
        <v>5318</v>
      </c>
      <c r="K53" s="36">
        <v>0</v>
      </c>
      <c r="L53" s="36">
        <f t="shared" si="27"/>
        <v>-5.1538461538461497</v>
      </c>
      <c r="M53" s="37">
        <f t="shared" si="28"/>
        <v>5.8285936010249711E-4</v>
      </c>
      <c r="N53" s="37">
        <f t="shared" si="2"/>
        <v>1.9428645336749904E-3</v>
      </c>
      <c r="O53">
        <v>5.1538461538461497</v>
      </c>
      <c r="P53">
        <f t="shared" si="3"/>
        <v>6.9328924543257273E-2</v>
      </c>
      <c r="Q53">
        <f t="shared" si="4"/>
        <v>120857.41666666667</v>
      </c>
      <c r="R53">
        <f t="shared" si="11"/>
        <v>78497.307692307688</v>
      </c>
      <c r="S53">
        <f t="shared" si="5"/>
        <v>5147.9230769230771</v>
      </c>
      <c r="T53">
        <f t="shared" si="6"/>
        <v>204502.64743589744</v>
      </c>
      <c r="U53">
        <f t="shared" si="12"/>
        <v>0.31575114248303204</v>
      </c>
      <c r="V53">
        <f t="shared" si="7"/>
        <v>1.0525038082767735</v>
      </c>
      <c r="W53">
        <f t="shared" si="8"/>
        <v>8.6423128960480808E-2</v>
      </c>
      <c r="X53">
        <f t="shared" si="13"/>
        <v>1.0260092434820767</v>
      </c>
      <c r="Y53">
        <f t="shared" si="9"/>
        <v>2.649456479469682E-2</v>
      </c>
      <c r="AB53">
        <f t="shared" si="14"/>
        <v>1.34137240556928E-5</v>
      </c>
      <c r="AC53">
        <f t="shared" si="15"/>
        <v>6.5198900750206902E-4</v>
      </c>
      <c r="AD53">
        <f t="shared" si="16"/>
        <v>9.8739581370289001E-11</v>
      </c>
      <c r="AE53">
        <v>333.58333333333297</v>
      </c>
      <c r="AF53">
        <v>868.69230769230774</v>
      </c>
      <c r="AG53">
        <v>170.07692307692307</v>
      </c>
      <c r="AH53" s="26">
        <v>1.3809969999999999E-6</v>
      </c>
      <c r="AI53" s="26">
        <v>3.3333599881999999E-2</v>
      </c>
    </row>
    <row r="54" spans="2:35" ht="16">
      <c r="B54">
        <f t="shared" si="0"/>
        <v>48</v>
      </c>
      <c r="C54" s="36">
        <v>30.2</v>
      </c>
      <c r="D54" s="36" t="s">
        <v>92</v>
      </c>
      <c r="E54" s="36" t="s">
        <v>123</v>
      </c>
      <c r="F54" s="36" t="s">
        <v>125</v>
      </c>
      <c r="H54" s="36">
        <v>142633</v>
      </c>
      <c r="I54" s="36">
        <v>98690</v>
      </c>
      <c r="J54" s="36">
        <v>6114</v>
      </c>
      <c r="K54" s="36">
        <v>1365</v>
      </c>
      <c r="L54" s="36">
        <f t="shared" si="27"/>
        <v>1359.8461538461538</v>
      </c>
      <c r="M54" s="37">
        <f t="shared" si="28"/>
        <v>1.9075177486711947E-2</v>
      </c>
      <c r="N54" s="37">
        <f t="shared" si="2"/>
        <v>6.3162839359973341E-2</v>
      </c>
      <c r="O54">
        <v>5.1538461538461497</v>
      </c>
      <c r="P54">
        <f t="shared" si="3"/>
        <v>6.8871061691688343E-2</v>
      </c>
      <c r="Q54">
        <f t="shared" si="4"/>
        <v>142299.41666666666</v>
      </c>
      <c r="R54">
        <f t="shared" si="11"/>
        <v>97821.307692307688</v>
      </c>
      <c r="S54">
        <f t="shared" si="5"/>
        <v>5943.9230769230771</v>
      </c>
      <c r="T54">
        <f t="shared" si="6"/>
        <v>246064.64743589744</v>
      </c>
      <c r="U54">
        <f t="shared" si="12"/>
        <v>0.37314813979703204</v>
      </c>
      <c r="V54">
        <f t="shared" si="7"/>
        <v>1.2355898668775895</v>
      </c>
      <c r="W54">
        <f t="shared" si="8"/>
        <v>8.5957727971878201E-2</v>
      </c>
      <c r="X54">
        <f t="shared" si="13"/>
        <v>1.2057430310973327</v>
      </c>
      <c r="Y54">
        <f t="shared" si="9"/>
        <v>2.9846835780256795E-2</v>
      </c>
      <c r="AB54">
        <f t="shared" si="14"/>
        <v>1.34137240556928E-5</v>
      </c>
      <c r="AC54">
        <f t="shared" si="15"/>
        <v>6.5198900750206902E-4</v>
      </c>
      <c r="AD54">
        <f t="shared" si="16"/>
        <v>9.8739581370289001E-11</v>
      </c>
      <c r="AE54">
        <v>333.58333333333297</v>
      </c>
      <c r="AF54">
        <v>868.69230769230774</v>
      </c>
      <c r="AG54">
        <v>170.07692307692307</v>
      </c>
      <c r="AH54" s="26">
        <v>1.3809969999999999E-6</v>
      </c>
      <c r="AI54" s="26">
        <v>3.3333599881999999E-2</v>
      </c>
    </row>
    <row r="55" spans="2:35" ht="16">
      <c r="B55">
        <f t="shared" si="0"/>
        <v>49</v>
      </c>
      <c r="C55" s="36">
        <v>30.2</v>
      </c>
      <c r="D55" s="36" t="s">
        <v>93</v>
      </c>
      <c r="E55" s="36" t="s">
        <v>123</v>
      </c>
      <c r="F55" s="36" t="s">
        <v>125</v>
      </c>
      <c r="H55" s="36">
        <v>177269</v>
      </c>
      <c r="I55" s="36">
        <v>121359</v>
      </c>
      <c r="J55" s="36">
        <v>7478</v>
      </c>
      <c r="K55" s="36">
        <v>938</v>
      </c>
      <c r="L55" s="36">
        <f t="shared" si="27"/>
        <v>932.84615384615381</v>
      </c>
      <c r="M55" s="37">
        <f t="shared" si="28"/>
        <v>1.3250853277537996E-2</v>
      </c>
      <c r="N55" s="37">
        <f t="shared" si="2"/>
        <v>4.3876997607741712E-2</v>
      </c>
      <c r="O55">
        <v>5.1538461538461497</v>
      </c>
      <c r="P55">
        <f t="shared" si="3"/>
        <v>6.887040438894923E-2</v>
      </c>
      <c r="Q55">
        <f t="shared" si="4"/>
        <v>176935.41666666666</v>
      </c>
      <c r="R55">
        <f t="shared" si="11"/>
        <v>120490.30769230769</v>
      </c>
      <c r="S55">
        <f t="shared" si="5"/>
        <v>7307.9230769230771</v>
      </c>
      <c r="T55">
        <f t="shared" si="6"/>
        <v>304733.64743589744</v>
      </c>
      <c r="U55">
        <f t="shared" si="12"/>
        <v>0.45416985279003202</v>
      </c>
      <c r="V55">
        <f t="shared" si="7"/>
        <v>1.5038736847352054</v>
      </c>
      <c r="W55">
        <f t="shared" si="8"/>
        <v>8.614501957468014E-2</v>
      </c>
      <c r="X55">
        <f t="shared" si="13"/>
        <v>1.4678087693642647</v>
      </c>
      <c r="Y55">
        <f t="shared" si="9"/>
        <v>3.6064915370940788E-2</v>
      </c>
      <c r="AB55">
        <f t="shared" si="14"/>
        <v>1.34137240556928E-5</v>
      </c>
      <c r="AC55">
        <f t="shared" si="15"/>
        <v>6.5198900750206902E-4</v>
      </c>
      <c r="AD55">
        <f t="shared" si="16"/>
        <v>9.8739581370289001E-11</v>
      </c>
      <c r="AE55">
        <v>333.58333333333297</v>
      </c>
      <c r="AF55">
        <v>868.69230769230774</v>
      </c>
      <c r="AG55">
        <v>170.07692307692307</v>
      </c>
      <c r="AH55" s="26">
        <v>1.3809969999999999E-6</v>
      </c>
      <c r="AI55" s="26">
        <v>3.3333599881999999E-2</v>
      </c>
    </row>
    <row r="56" spans="2:35" ht="16">
      <c r="B56">
        <f t="shared" si="0"/>
        <v>50</v>
      </c>
      <c r="C56" s="36">
        <v>30.1</v>
      </c>
      <c r="D56" s="36" t="s">
        <v>94</v>
      </c>
      <c r="E56" s="36" t="s">
        <v>123</v>
      </c>
      <c r="F56" s="36" t="s">
        <v>125</v>
      </c>
      <c r="H56" s="36">
        <v>146906</v>
      </c>
      <c r="I56" s="36">
        <v>105803</v>
      </c>
      <c r="J56" s="36">
        <v>6743</v>
      </c>
      <c r="K56" s="36">
        <v>650</v>
      </c>
      <c r="L56" s="36">
        <f t="shared" si="27"/>
        <v>644.84615384615381</v>
      </c>
      <c r="M56" s="37">
        <f t="shared" si="28"/>
        <v>9.342835914236583E-3</v>
      </c>
      <c r="N56" s="37">
        <f t="shared" si="2"/>
        <v>3.1039321974207914E-2</v>
      </c>
      <c r="O56">
        <v>5.1538461538461497</v>
      </c>
      <c r="P56">
        <f t="shared" si="3"/>
        <v>6.9098902472095242E-2</v>
      </c>
      <c r="Q56">
        <f t="shared" si="4"/>
        <v>146572.41666666666</v>
      </c>
      <c r="R56">
        <f t="shared" si="11"/>
        <v>104934.30769230769</v>
      </c>
      <c r="S56">
        <f t="shared" si="5"/>
        <v>6572.9230769230771</v>
      </c>
      <c r="T56">
        <f t="shared" si="6"/>
        <v>258079.64743589744</v>
      </c>
      <c r="U56">
        <f t="shared" si="12"/>
        <v>0.38974081875203204</v>
      </c>
      <c r="V56">
        <f t="shared" si="7"/>
        <v>1.2948199958539268</v>
      </c>
      <c r="W56">
        <f t="shared" si="8"/>
        <v>8.6281655638557539E-2</v>
      </c>
      <c r="X56">
        <f t="shared" si="13"/>
        <v>1.2618427645388397</v>
      </c>
      <c r="Y56">
        <f t="shared" si="9"/>
        <v>3.2977231315087119E-2</v>
      </c>
      <c r="AB56">
        <f t="shared" si="14"/>
        <v>1.34137240556928E-5</v>
      </c>
      <c r="AC56">
        <f t="shared" si="15"/>
        <v>6.5198900750206902E-4</v>
      </c>
      <c r="AD56">
        <f t="shared" si="16"/>
        <v>9.8739581370289001E-11</v>
      </c>
      <c r="AE56">
        <v>333.58333333333297</v>
      </c>
      <c r="AF56">
        <v>868.69230769230774</v>
      </c>
      <c r="AG56">
        <v>170.07692307692307</v>
      </c>
      <c r="AH56" s="26">
        <v>1.3809969999999999E-6</v>
      </c>
      <c r="AI56" s="26">
        <v>3.3333599881999999E-2</v>
      </c>
    </row>
    <row r="57" spans="2:35" ht="16">
      <c r="B57">
        <f t="shared" si="0"/>
        <v>51</v>
      </c>
      <c r="C57" s="36">
        <v>31.8</v>
      </c>
      <c r="D57" s="36" t="s">
        <v>95</v>
      </c>
      <c r="E57" s="36" t="s">
        <v>123</v>
      </c>
      <c r="F57" s="36" t="s">
        <v>125</v>
      </c>
      <c r="H57" s="36">
        <v>138167</v>
      </c>
      <c r="I57" s="36">
        <v>105983</v>
      </c>
      <c r="J57" s="36">
        <v>4808</v>
      </c>
      <c r="K57" s="36">
        <v>951</v>
      </c>
      <c r="L57" s="36">
        <f t="shared" si="27"/>
        <v>945.84615384615381</v>
      </c>
      <c r="M57" s="37">
        <f t="shared" si="28"/>
        <v>1.3427643207057808E-2</v>
      </c>
      <c r="N57" s="37">
        <f t="shared" si="2"/>
        <v>4.2225293103955369E-2</v>
      </c>
      <c r="O57">
        <v>5.1538461538461497</v>
      </c>
      <c r="P57">
        <f t="shared" si="3"/>
        <v>6.5405183805467823E-2</v>
      </c>
      <c r="Q57">
        <f t="shared" si="4"/>
        <v>137833.41666666666</v>
      </c>
      <c r="R57">
        <f t="shared" si="11"/>
        <v>105114.30769230769</v>
      </c>
      <c r="S57">
        <f t="shared" si="5"/>
        <v>4637.9230769230771</v>
      </c>
      <c r="T57">
        <f t="shared" si="6"/>
        <v>247585.64743589744</v>
      </c>
      <c r="U57">
        <f t="shared" si="12"/>
        <v>0.37524863623403204</v>
      </c>
      <c r="V57">
        <f t="shared" si="7"/>
        <v>1.1800271579686541</v>
      </c>
      <c r="W57">
        <f t="shared" si="8"/>
        <v>8.1600286461479224E-2</v>
      </c>
      <c r="X57">
        <f t="shared" si="13"/>
        <v>1.1579221803820363</v>
      </c>
      <c r="Y57">
        <f t="shared" si="9"/>
        <v>2.2104977586617818E-2</v>
      </c>
      <c r="AB57">
        <f t="shared" si="14"/>
        <v>1.34137240556928E-5</v>
      </c>
      <c r="AC57">
        <f t="shared" si="15"/>
        <v>6.5198900750206902E-4</v>
      </c>
      <c r="AD57">
        <f t="shared" si="16"/>
        <v>9.8739581370289001E-11</v>
      </c>
      <c r="AE57">
        <v>333.58333333333297</v>
      </c>
      <c r="AF57">
        <v>868.69230769230774</v>
      </c>
      <c r="AG57">
        <v>170.07692307692307</v>
      </c>
      <c r="AH57" s="26">
        <v>1.3809969999999999E-6</v>
      </c>
      <c r="AI57" s="26">
        <v>3.3333599881999999E-2</v>
      </c>
    </row>
    <row r="58" spans="2:35" ht="16">
      <c r="B58">
        <f t="shared" si="0"/>
        <v>52</v>
      </c>
      <c r="C58" s="36">
        <v>100</v>
      </c>
      <c r="D58" s="36" t="s">
        <v>58</v>
      </c>
      <c r="E58" s="36" t="s">
        <v>123</v>
      </c>
      <c r="F58" s="36" t="s">
        <v>125</v>
      </c>
      <c r="H58" s="36">
        <v>319</v>
      </c>
      <c r="I58" s="36">
        <v>510</v>
      </c>
      <c r="J58" s="36">
        <v>43</v>
      </c>
      <c r="K58" s="36">
        <v>3</v>
      </c>
      <c r="L58" s="36"/>
      <c r="M58" s="37"/>
      <c r="N58" s="37"/>
      <c r="O58">
        <v>5.1538461538461497</v>
      </c>
      <c r="AB58">
        <f t="shared" si="14"/>
        <v>1.34137240556928E-5</v>
      </c>
      <c r="AC58">
        <f t="shared" si="15"/>
        <v>6.5198900750206902E-4</v>
      </c>
      <c r="AD58">
        <f t="shared" si="16"/>
        <v>9.8739581370289001E-11</v>
      </c>
      <c r="AE58">
        <v>333.58333333333297</v>
      </c>
      <c r="AF58">
        <v>868.69230769230774</v>
      </c>
      <c r="AG58">
        <v>170.07692307692307</v>
      </c>
      <c r="AH58" s="26">
        <v>1.3809969999999999E-6</v>
      </c>
      <c r="AI58" s="26">
        <v>3.3333599881999999E-2</v>
      </c>
    </row>
    <row r="59" spans="2:35" ht="16">
      <c r="B59">
        <f t="shared" si="0"/>
        <v>53</v>
      </c>
      <c r="C59" s="36">
        <v>52.2</v>
      </c>
      <c r="D59" s="36" t="s">
        <v>65</v>
      </c>
      <c r="E59" s="36" t="s">
        <v>123</v>
      </c>
      <c r="F59" s="36" t="s">
        <v>125</v>
      </c>
      <c r="H59" s="36">
        <v>74806</v>
      </c>
      <c r="I59" s="36">
        <v>78303</v>
      </c>
      <c r="J59" s="36">
        <v>10119</v>
      </c>
      <c r="K59" s="36">
        <v>6669</v>
      </c>
      <c r="L59" s="36">
        <f t="shared" ref="L59:L64" si="29">K59-O59</f>
        <v>6663.8461538461543</v>
      </c>
      <c r="M59" s="37">
        <f t="shared" ref="M59:M64" si="30">L59*AB59+AC59+AD59*L59^2</f>
        <v>9.4423695805563979E-2</v>
      </c>
      <c r="N59" s="37">
        <f>M59/C59*100</f>
        <v>0.18088830614092716</v>
      </c>
      <c r="O59">
        <v>5.1538461538461497</v>
      </c>
      <c r="P59">
        <f t="shared" si="3"/>
        <v>3.9850235961150164E-2</v>
      </c>
      <c r="Q59">
        <f t="shared" si="4"/>
        <v>74472.416666666672</v>
      </c>
      <c r="R59">
        <f t="shared" si="11"/>
        <v>77434.307692307688</v>
      </c>
      <c r="S59">
        <f t="shared" si="5"/>
        <v>9948.9230769230762</v>
      </c>
      <c r="T59">
        <f t="shared" si="6"/>
        <v>161855.64743589744</v>
      </c>
      <c r="U59">
        <f t="shared" si="12"/>
        <v>0.25685576342403205</v>
      </c>
      <c r="V59">
        <f t="shared" si="7"/>
        <v>0.49206084947132572</v>
      </c>
      <c r="W59">
        <f t="shared" si="8"/>
        <v>4.954037760744659E-2</v>
      </c>
      <c r="X59">
        <f t="shared" si="13"/>
        <v>0.46181491355182386</v>
      </c>
      <c r="Y59">
        <f t="shared" si="9"/>
        <v>3.0245935919501893E-2</v>
      </c>
      <c r="AB59">
        <f t="shared" si="14"/>
        <v>1.34137240556928E-5</v>
      </c>
      <c r="AC59">
        <f t="shared" si="15"/>
        <v>6.5198900750206902E-4</v>
      </c>
      <c r="AD59">
        <f t="shared" si="16"/>
        <v>9.8739581370289001E-11</v>
      </c>
      <c r="AE59">
        <v>333.58333333333297</v>
      </c>
      <c r="AF59">
        <v>868.69230769230774</v>
      </c>
      <c r="AG59">
        <v>170.07692307692307</v>
      </c>
      <c r="AH59" s="26">
        <v>1.3809969999999999E-6</v>
      </c>
      <c r="AI59" s="26">
        <v>3.3333599881999999E-2</v>
      </c>
    </row>
    <row r="60" spans="2:35" ht="16">
      <c r="B60">
        <f t="shared" si="0"/>
        <v>54</v>
      </c>
      <c r="C60" s="36">
        <v>30.7</v>
      </c>
      <c r="D60" s="36" t="s">
        <v>96</v>
      </c>
      <c r="E60" s="36" t="s">
        <v>123</v>
      </c>
      <c r="F60" s="36" t="s">
        <v>125</v>
      </c>
      <c r="H60" s="36">
        <v>118601</v>
      </c>
      <c r="I60" s="36">
        <v>109525</v>
      </c>
      <c r="J60" s="36">
        <v>8801</v>
      </c>
      <c r="K60" s="36">
        <v>0</v>
      </c>
      <c r="L60" s="36">
        <f t="shared" si="29"/>
        <v>-5.1538461538461497</v>
      </c>
      <c r="M60" s="37">
        <f t="shared" si="30"/>
        <v>5.8285936010249711E-4</v>
      </c>
      <c r="N60" s="37">
        <f t="shared" si="2"/>
        <v>1.8985646908876127E-3</v>
      </c>
      <c r="O60">
        <v>5.1538461538461497</v>
      </c>
      <c r="P60">
        <f t="shared" si="3"/>
        <v>6.7748134679521774E-2</v>
      </c>
      <c r="Q60">
        <f t="shared" si="4"/>
        <v>118267.41666666667</v>
      </c>
      <c r="R60">
        <f t="shared" si="11"/>
        <v>108656.30769230769</v>
      </c>
      <c r="S60">
        <f t="shared" si="5"/>
        <v>8630.9230769230762</v>
      </c>
      <c r="T60">
        <f t="shared" si="6"/>
        <v>235554.64743589744</v>
      </c>
      <c r="U60">
        <f t="shared" si="12"/>
        <v>0.35863386132703207</v>
      </c>
      <c r="V60">
        <f t="shared" si="7"/>
        <v>1.1681884733779546</v>
      </c>
      <c r="W60">
        <f t="shared" si="8"/>
        <v>8.4517095600857545E-2</v>
      </c>
      <c r="X60">
        <f t="shared" si="13"/>
        <v>1.1253850519094093</v>
      </c>
      <c r="Y60">
        <f t="shared" si="9"/>
        <v>4.280342146854537E-2</v>
      </c>
      <c r="AB60">
        <f t="shared" si="14"/>
        <v>1.34137240556928E-5</v>
      </c>
      <c r="AC60">
        <f t="shared" si="15"/>
        <v>6.5198900750206902E-4</v>
      </c>
      <c r="AD60">
        <f t="shared" si="16"/>
        <v>9.8739581370289001E-11</v>
      </c>
      <c r="AE60">
        <v>333.58333333333297</v>
      </c>
      <c r="AF60">
        <v>868.69230769230774</v>
      </c>
      <c r="AG60">
        <v>170.07692307692307</v>
      </c>
      <c r="AH60" s="26">
        <v>1.3809969999999999E-6</v>
      </c>
      <c r="AI60" s="26">
        <v>3.3333599881999999E-2</v>
      </c>
    </row>
    <row r="61" spans="2:35" ht="16">
      <c r="B61">
        <f t="shared" si="0"/>
        <v>55</v>
      </c>
      <c r="C61" s="36">
        <v>30.6</v>
      </c>
      <c r="D61" s="36" t="s">
        <v>97</v>
      </c>
      <c r="E61" s="36" t="s">
        <v>123</v>
      </c>
      <c r="F61" s="36" t="s">
        <v>125</v>
      </c>
      <c r="H61" s="36">
        <v>126354</v>
      </c>
      <c r="I61" s="36">
        <v>115402</v>
      </c>
      <c r="J61" s="36">
        <v>7773</v>
      </c>
      <c r="K61" s="36">
        <v>1524</v>
      </c>
      <c r="L61" s="36">
        <f t="shared" si="29"/>
        <v>1518.8461538461538</v>
      </c>
      <c r="M61" s="37">
        <f t="shared" si="30"/>
        <v>2.125315391043061E-2</v>
      </c>
      <c r="N61" s="37">
        <f t="shared" si="2"/>
        <v>6.9454751341276502E-2</v>
      </c>
      <c r="O61">
        <v>5.1538461538461497</v>
      </c>
      <c r="P61">
        <f t="shared" si="3"/>
        <v>6.7971048584570981E-2</v>
      </c>
      <c r="Q61">
        <f t="shared" si="4"/>
        <v>126020.41666666667</v>
      </c>
      <c r="R61">
        <f t="shared" si="11"/>
        <v>114533.30769230769</v>
      </c>
      <c r="S61">
        <f t="shared" si="5"/>
        <v>7602.9230769230771</v>
      </c>
      <c r="T61">
        <f t="shared" si="6"/>
        <v>248156.64743589744</v>
      </c>
      <c r="U61">
        <f t="shared" si="12"/>
        <v>0.37603718552103205</v>
      </c>
      <c r="V61">
        <f t="shared" si="7"/>
        <v>1.2288796912452027</v>
      </c>
      <c r="W61">
        <f t="shared" si="8"/>
        <v>8.4829933790333559E-2</v>
      </c>
      <c r="X61">
        <f t="shared" si="13"/>
        <v>1.1912297718903577</v>
      </c>
      <c r="Y61">
        <f t="shared" si="9"/>
        <v>3.764991935484506E-2</v>
      </c>
      <c r="AB61">
        <f t="shared" si="14"/>
        <v>1.34137240556928E-5</v>
      </c>
      <c r="AC61">
        <f t="shared" si="15"/>
        <v>6.5198900750206902E-4</v>
      </c>
      <c r="AD61">
        <f t="shared" si="16"/>
        <v>9.8739581370289001E-11</v>
      </c>
      <c r="AE61">
        <v>333.58333333333297</v>
      </c>
      <c r="AF61">
        <v>868.69230769230774</v>
      </c>
      <c r="AG61">
        <v>170.07692307692307</v>
      </c>
      <c r="AH61" s="26">
        <v>1.3809969999999999E-6</v>
      </c>
      <c r="AI61" s="26">
        <v>3.3333599881999999E-2</v>
      </c>
    </row>
    <row r="62" spans="2:35" ht="16">
      <c r="B62">
        <f t="shared" si="0"/>
        <v>56</v>
      </c>
      <c r="C62" s="36">
        <v>31.2</v>
      </c>
      <c r="D62" s="36" t="s">
        <v>98</v>
      </c>
      <c r="E62" s="36" t="s">
        <v>123</v>
      </c>
      <c r="F62" s="36" t="s">
        <v>125</v>
      </c>
      <c r="H62" s="36">
        <v>115163</v>
      </c>
      <c r="I62" s="36">
        <v>80714</v>
      </c>
      <c r="J62" s="36">
        <v>5430</v>
      </c>
      <c r="K62" s="36">
        <v>767</v>
      </c>
      <c r="L62" s="36">
        <f t="shared" si="29"/>
        <v>761.84615384615381</v>
      </c>
      <c r="M62" s="37">
        <f t="shared" si="30"/>
        <v>1.0928492485273306E-2</v>
      </c>
      <c r="N62" s="37">
        <f t="shared" si="2"/>
        <v>3.5027219504081109E-2</v>
      </c>
      <c r="O62">
        <v>5.1538461538461497</v>
      </c>
      <c r="P62">
        <f t="shared" si="3"/>
        <v>6.6662804419585026E-2</v>
      </c>
      <c r="Q62">
        <f t="shared" si="4"/>
        <v>114829.41666666667</v>
      </c>
      <c r="R62">
        <f t="shared" si="11"/>
        <v>79845.307692307688</v>
      </c>
      <c r="S62">
        <f t="shared" si="5"/>
        <v>5259.9230769230771</v>
      </c>
      <c r="T62">
        <f t="shared" si="6"/>
        <v>199934.64743589744</v>
      </c>
      <c r="U62">
        <f t="shared" si="12"/>
        <v>0.30944274818703205</v>
      </c>
      <c r="V62">
        <f t="shared" si="7"/>
        <v>0.9918036800866411</v>
      </c>
      <c r="W62">
        <f t="shared" si="8"/>
        <v>8.3068476468976901E-2</v>
      </c>
      <c r="X62">
        <f t="shared" si="13"/>
        <v>0.96571109867782079</v>
      </c>
      <c r="Y62">
        <f t="shared" si="9"/>
        <v>2.6092581408820391E-2</v>
      </c>
      <c r="AB62">
        <f t="shared" si="14"/>
        <v>1.34137240556928E-5</v>
      </c>
      <c r="AC62">
        <f t="shared" si="15"/>
        <v>6.5198900750206902E-4</v>
      </c>
      <c r="AD62">
        <f t="shared" si="16"/>
        <v>9.8739581370289001E-11</v>
      </c>
      <c r="AE62">
        <v>333.58333333333297</v>
      </c>
      <c r="AF62">
        <v>868.69230769230774</v>
      </c>
      <c r="AG62">
        <v>170.07692307692307</v>
      </c>
      <c r="AH62" s="26">
        <v>1.3809969999999999E-6</v>
      </c>
      <c r="AI62" s="26">
        <v>3.3333599881999999E-2</v>
      </c>
    </row>
    <row r="63" spans="2:35" ht="16">
      <c r="B63">
        <f t="shared" si="0"/>
        <v>57</v>
      </c>
      <c r="C63" s="36">
        <v>31.1</v>
      </c>
      <c r="D63" s="36" t="s">
        <v>99</v>
      </c>
      <c r="E63" s="36" t="s">
        <v>123</v>
      </c>
      <c r="F63" s="36" t="s">
        <v>125</v>
      </c>
      <c r="H63" s="36">
        <v>206777</v>
      </c>
      <c r="I63" s="36">
        <v>160539</v>
      </c>
      <c r="J63" s="36">
        <v>9263</v>
      </c>
      <c r="K63" s="36">
        <v>1151</v>
      </c>
      <c r="L63" s="36">
        <f t="shared" si="29"/>
        <v>1145.8461538461538</v>
      </c>
      <c r="M63" s="37">
        <f t="shared" si="30"/>
        <v>1.6151694582759765E-2</v>
      </c>
      <c r="N63" s="37">
        <f t="shared" si="2"/>
        <v>5.1934709269323996E-2</v>
      </c>
      <c r="O63">
        <v>5.1538461538461497</v>
      </c>
      <c r="P63">
        <f t="shared" si="3"/>
        <v>6.6877608882258813E-2</v>
      </c>
      <c r="Q63">
        <f t="shared" si="4"/>
        <v>206443.41666666666</v>
      </c>
      <c r="R63">
        <f t="shared" si="11"/>
        <v>159670.30769230769</v>
      </c>
      <c r="S63">
        <f t="shared" si="5"/>
        <v>9092.9230769230762</v>
      </c>
      <c r="T63">
        <f t="shared" si="6"/>
        <v>375206.64743589738</v>
      </c>
      <c r="U63">
        <f t="shared" si="12"/>
        <v>0.5514928543710319</v>
      </c>
      <c r="V63">
        <f t="shared" si="7"/>
        <v>1.7732889208071763</v>
      </c>
      <c r="W63">
        <f t="shared" si="8"/>
        <v>8.3870042105240378E-2</v>
      </c>
      <c r="X63">
        <f t="shared" si="13"/>
        <v>1.7303142564182297</v>
      </c>
      <c r="Y63">
        <f t="shared" si="9"/>
        <v>4.2974664388946836E-2</v>
      </c>
      <c r="AB63">
        <f t="shared" si="14"/>
        <v>1.34137240556928E-5</v>
      </c>
      <c r="AC63">
        <f t="shared" si="15"/>
        <v>6.5198900750206902E-4</v>
      </c>
      <c r="AD63">
        <f t="shared" si="16"/>
        <v>9.8739581370289001E-11</v>
      </c>
      <c r="AE63">
        <v>333.58333333333297</v>
      </c>
      <c r="AF63">
        <v>868.69230769230774</v>
      </c>
      <c r="AG63">
        <v>170.07692307692307</v>
      </c>
      <c r="AH63" s="26">
        <v>1.3809969999999999E-6</v>
      </c>
      <c r="AI63" s="26">
        <v>3.3333599881999999E-2</v>
      </c>
    </row>
    <row r="64" spans="2:35" ht="16">
      <c r="B64">
        <f t="shared" si="0"/>
        <v>58</v>
      </c>
      <c r="C64" s="36">
        <v>31.2</v>
      </c>
      <c r="D64" s="36" t="s">
        <v>100</v>
      </c>
      <c r="E64" s="36" t="s">
        <v>123</v>
      </c>
      <c r="F64" s="36" t="s">
        <v>125</v>
      </c>
      <c r="H64" s="36">
        <v>142759</v>
      </c>
      <c r="I64" s="36">
        <v>138500</v>
      </c>
      <c r="J64" s="36">
        <v>9057</v>
      </c>
      <c r="K64" s="36">
        <v>636</v>
      </c>
      <c r="L64" s="36">
        <f t="shared" si="29"/>
        <v>630.84615384615381</v>
      </c>
      <c r="M64" s="37">
        <f t="shared" si="30"/>
        <v>9.1532803189150191E-3</v>
      </c>
      <c r="N64" s="37">
        <f t="shared" si="2"/>
        <v>2.9337436919599419E-2</v>
      </c>
      <c r="O64">
        <v>5.1538461538461497</v>
      </c>
      <c r="P64">
        <f t="shared" si="3"/>
        <v>6.6662691549013955E-2</v>
      </c>
      <c r="Q64">
        <f t="shared" si="4"/>
        <v>142425.41666666666</v>
      </c>
      <c r="R64">
        <f t="shared" si="11"/>
        <v>137631.30769230769</v>
      </c>
      <c r="S64">
        <f t="shared" si="5"/>
        <v>8886.9230769230762</v>
      </c>
      <c r="T64">
        <f t="shared" si="6"/>
        <v>288943.64743589738</v>
      </c>
      <c r="U64">
        <f t="shared" si="12"/>
        <v>0.43236391016003195</v>
      </c>
      <c r="V64">
        <f t="shared" si="7"/>
        <v>1.3857817633334357</v>
      </c>
      <c r="W64">
        <f t="shared" si="8"/>
        <v>8.3299836528101814E-2</v>
      </c>
      <c r="X64">
        <f t="shared" si="13"/>
        <v>1.3431598332739449</v>
      </c>
      <c r="Y64">
        <f t="shared" si="9"/>
        <v>4.262193005949106E-2</v>
      </c>
      <c r="AB64">
        <f t="shared" si="14"/>
        <v>1.34137240556928E-5</v>
      </c>
      <c r="AC64">
        <f t="shared" si="15"/>
        <v>6.5198900750206902E-4</v>
      </c>
      <c r="AD64">
        <f t="shared" si="16"/>
        <v>9.8739581370289001E-11</v>
      </c>
      <c r="AE64">
        <v>333.58333333333297</v>
      </c>
      <c r="AF64">
        <v>868.69230769230774</v>
      </c>
      <c r="AG64">
        <v>170.07692307692307</v>
      </c>
      <c r="AH64" s="26">
        <v>1.3809969999999999E-6</v>
      </c>
      <c r="AI64" s="26">
        <v>3.3333599881999999E-2</v>
      </c>
    </row>
    <row r="65" spans="2:35" ht="16">
      <c r="B65">
        <f t="shared" si="0"/>
        <v>59</v>
      </c>
      <c r="C65" s="36">
        <v>100</v>
      </c>
      <c r="D65" s="36" t="s">
        <v>58</v>
      </c>
      <c r="E65" s="36" t="s">
        <v>123</v>
      </c>
      <c r="F65" s="36" t="s">
        <v>125</v>
      </c>
      <c r="H65" s="36">
        <v>318</v>
      </c>
      <c r="I65" s="36">
        <v>1360</v>
      </c>
      <c r="J65" s="36">
        <v>38</v>
      </c>
      <c r="K65" s="36">
        <v>3</v>
      </c>
      <c r="L65" s="36"/>
      <c r="M65" s="37"/>
      <c r="N65" s="37"/>
      <c r="O65">
        <v>5.1538461538461497</v>
      </c>
      <c r="AB65">
        <f t="shared" si="14"/>
        <v>1.34137240556928E-5</v>
      </c>
      <c r="AC65">
        <f t="shared" si="15"/>
        <v>6.5198900750206902E-4</v>
      </c>
      <c r="AD65">
        <f t="shared" si="16"/>
        <v>9.8739581370289001E-11</v>
      </c>
      <c r="AE65">
        <v>333.58333333333297</v>
      </c>
      <c r="AF65">
        <v>868.69230769230774</v>
      </c>
      <c r="AG65">
        <v>170.07692307692307</v>
      </c>
      <c r="AH65" s="26">
        <v>1.3809969999999999E-6</v>
      </c>
      <c r="AI65" s="26">
        <v>3.3333599881999999E-2</v>
      </c>
    </row>
    <row r="66" spans="2:35" ht="16">
      <c r="B66">
        <f t="shared" si="0"/>
        <v>60</v>
      </c>
      <c r="C66" s="36">
        <v>50.4</v>
      </c>
      <c r="D66" s="36" t="s">
        <v>59</v>
      </c>
      <c r="E66" s="36" t="s">
        <v>123</v>
      </c>
      <c r="F66" s="36" t="s">
        <v>125</v>
      </c>
      <c r="H66" s="36">
        <v>201417</v>
      </c>
      <c r="I66" s="36">
        <v>35147</v>
      </c>
      <c r="J66" s="36">
        <v>3809</v>
      </c>
      <c r="K66" s="36">
        <v>7203</v>
      </c>
      <c r="L66" s="36">
        <f t="shared" ref="L66:L71" si="31">K66-O66</f>
        <v>7197.8461538461543</v>
      </c>
      <c r="M66" s="37">
        <f t="shared" ref="M66:M71" si="32">L66*AB66+AC66+AD66*L66^2</f>
        <v>0.10231750902072513</v>
      </c>
      <c r="N66" s="37">
        <f t="shared" si="2"/>
        <v>0.20301093059667685</v>
      </c>
      <c r="O66">
        <v>5.1538461538461497</v>
      </c>
      <c r="P66">
        <f t="shared" si="3"/>
        <v>4.1275078780050593E-2</v>
      </c>
      <c r="Q66">
        <f t="shared" si="4"/>
        <v>201083.41666666666</v>
      </c>
      <c r="R66">
        <f t="shared" si="11"/>
        <v>34278.307692307695</v>
      </c>
      <c r="S66">
        <f t="shared" si="5"/>
        <v>3638.9230769230771</v>
      </c>
      <c r="T66">
        <f t="shared" si="6"/>
        <v>239000.64743589744</v>
      </c>
      <c r="U66">
        <f t="shared" si="12"/>
        <v>0.36339277698903205</v>
      </c>
      <c r="V66">
        <f t="shared" si="7"/>
        <v>0.72101741466077784</v>
      </c>
      <c r="W66">
        <f t="shared" si="8"/>
        <v>5.1352278937123769E-2</v>
      </c>
      <c r="X66">
        <f t="shared" si="13"/>
        <v>0.7100395075411905</v>
      </c>
      <c r="Y66">
        <f t="shared" si="9"/>
        <v>1.097790711958733E-2</v>
      </c>
      <c r="AB66">
        <f t="shared" si="14"/>
        <v>1.34137240556928E-5</v>
      </c>
      <c r="AC66">
        <f t="shared" si="15"/>
        <v>6.5198900750206902E-4</v>
      </c>
      <c r="AD66">
        <f t="shared" si="16"/>
        <v>9.8739581370289001E-11</v>
      </c>
      <c r="AE66">
        <v>333.58333333333297</v>
      </c>
      <c r="AF66">
        <v>868.69230769230774</v>
      </c>
      <c r="AG66">
        <v>170.07692307692307</v>
      </c>
      <c r="AH66" s="26">
        <v>1.3809969999999999E-6</v>
      </c>
      <c r="AI66" s="26">
        <v>3.3333599881999999E-2</v>
      </c>
    </row>
    <row r="67" spans="2:35" ht="16">
      <c r="B67">
        <f t="shared" si="0"/>
        <v>61</v>
      </c>
      <c r="C67" s="36">
        <v>29.9</v>
      </c>
      <c r="D67" s="36" t="s">
        <v>101</v>
      </c>
      <c r="E67" s="36" t="s">
        <v>123</v>
      </c>
      <c r="F67" s="36" t="s">
        <v>125</v>
      </c>
      <c r="H67" s="36">
        <v>76403</v>
      </c>
      <c r="I67" s="36">
        <v>67478</v>
      </c>
      <c r="J67" s="36">
        <v>6684</v>
      </c>
      <c r="K67" s="36">
        <v>64</v>
      </c>
      <c r="L67" s="36">
        <f t="shared" si="31"/>
        <v>58.846153846153854</v>
      </c>
      <c r="M67" s="37">
        <f t="shared" si="32"/>
        <v>1.4416769992498344E-3</v>
      </c>
      <c r="N67" s="37">
        <f t="shared" si="2"/>
        <v>4.8216622048489442E-3</v>
      </c>
      <c r="O67">
        <v>5.1538461538461497</v>
      </c>
      <c r="P67">
        <f t="shared" si="3"/>
        <v>6.956080011895549E-2</v>
      </c>
      <c r="Q67">
        <f t="shared" si="4"/>
        <v>76069.416666666672</v>
      </c>
      <c r="R67">
        <f t="shared" si="11"/>
        <v>66609.307692307688</v>
      </c>
      <c r="S67">
        <f t="shared" si="5"/>
        <v>6513.9230769230771</v>
      </c>
      <c r="T67">
        <f t="shared" si="6"/>
        <v>149192.64743589744</v>
      </c>
      <c r="U67">
        <f t="shared" si="12"/>
        <v>0.23936819841303203</v>
      </c>
      <c r="V67">
        <f t="shared" si="7"/>
        <v>0.8005625364984349</v>
      </c>
      <c r="W67">
        <f t="shared" si="8"/>
        <v>8.6591638238102911E-2</v>
      </c>
      <c r="X67">
        <f t="shared" si="13"/>
        <v>0.76560905272667046</v>
      </c>
      <c r="Y67">
        <f t="shared" si="9"/>
        <v>3.4953483771764535E-2</v>
      </c>
      <c r="AB67">
        <f t="shared" si="14"/>
        <v>1.34137240556928E-5</v>
      </c>
      <c r="AC67">
        <f t="shared" si="15"/>
        <v>6.5198900750206902E-4</v>
      </c>
      <c r="AD67">
        <f t="shared" si="16"/>
        <v>9.8739581370289001E-11</v>
      </c>
      <c r="AE67">
        <v>333.58333333333297</v>
      </c>
      <c r="AF67">
        <v>868.69230769230774</v>
      </c>
      <c r="AG67">
        <v>170.07692307692307</v>
      </c>
      <c r="AH67" s="26">
        <v>1.3809969999999999E-6</v>
      </c>
      <c r="AI67" s="26">
        <v>3.3333599881999999E-2</v>
      </c>
    </row>
    <row r="68" spans="2:35" ht="16">
      <c r="B68">
        <f t="shared" si="0"/>
        <v>62</v>
      </c>
      <c r="C68" s="36">
        <v>29.7</v>
      </c>
      <c r="D68" s="36" t="s">
        <v>102</v>
      </c>
      <c r="E68" s="36" t="s">
        <v>123</v>
      </c>
      <c r="F68" s="36" t="s">
        <v>125</v>
      </c>
      <c r="H68" s="36">
        <v>150147</v>
      </c>
      <c r="I68" s="36">
        <v>60953</v>
      </c>
      <c r="J68" s="36">
        <v>4254</v>
      </c>
      <c r="K68" s="36">
        <v>2325</v>
      </c>
      <c r="L68" s="36">
        <f t="shared" si="31"/>
        <v>2319.8461538461538</v>
      </c>
      <c r="M68" s="37">
        <f t="shared" si="32"/>
        <v>3.230115060708872E-2</v>
      </c>
      <c r="N68" s="37">
        <f t="shared" si="2"/>
        <v>0.10875808285215058</v>
      </c>
      <c r="O68">
        <v>5.1538461538461497</v>
      </c>
      <c r="P68">
        <f t="shared" si="3"/>
        <v>7.0033045049713236E-2</v>
      </c>
      <c r="Q68">
        <f t="shared" si="4"/>
        <v>149813.41666666666</v>
      </c>
      <c r="R68">
        <f t="shared" si="11"/>
        <v>60084.307692307695</v>
      </c>
      <c r="S68">
        <f t="shared" si="5"/>
        <v>4083.9230769230771</v>
      </c>
      <c r="T68">
        <f t="shared" si="6"/>
        <v>213981.64743589744</v>
      </c>
      <c r="U68">
        <f t="shared" si="12"/>
        <v>0.32884161304603204</v>
      </c>
      <c r="V68">
        <f t="shared" si="7"/>
        <v>1.1072108183368081</v>
      </c>
      <c r="W68">
        <f t="shared" si="8"/>
        <v>8.7326771977394052E-2</v>
      </c>
      <c r="X68">
        <f t="shared" si="13"/>
        <v>1.0860792686632355</v>
      </c>
      <c r="Y68">
        <f t="shared" si="9"/>
        <v>2.1131549673572645E-2</v>
      </c>
      <c r="AB68">
        <f t="shared" si="14"/>
        <v>1.34137240556928E-5</v>
      </c>
      <c r="AC68">
        <f t="shared" si="15"/>
        <v>6.5198900750206902E-4</v>
      </c>
      <c r="AD68">
        <f t="shared" si="16"/>
        <v>9.8739581370289001E-11</v>
      </c>
      <c r="AE68">
        <v>333.58333333333297</v>
      </c>
      <c r="AF68">
        <v>868.69230769230774</v>
      </c>
      <c r="AG68">
        <v>170.07692307692307</v>
      </c>
      <c r="AH68" s="26">
        <v>1.3809969999999999E-6</v>
      </c>
      <c r="AI68" s="26">
        <v>3.3333599881999999E-2</v>
      </c>
    </row>
    <row r="69" spans="2:35" ht="16">
      <c r="B69">
        <f t="shared" si="0"/>
        <v>63</v>
      </c>
      <c r="C69" s="36">
        <v>30.3</v>
      </c>
      <c r="D69" s="36" t="s">
        <v>103</v>
      </c>
      <c r="E69" s="36" t="s">
        <v>123</v>
      </c>
      <c r="F69" s="36" t="s">
        <v>125</v>
      </c>
      <c r="H69" s="36">
        <v>140328</v>
      </c>
      <c r="I69" s="36">
        <v>52222</v>
      </c>
      <c r="J69" s="36">
        <v>3869</v>
      </c>
      <c r="K69" s="36">
        <v>1204</v>
      </c>
      <c r="L69" s="36">
        <f t="shared" si="31"/>
        <v>1198.8461538461538</v>
      </c>
      <c r="M69" s="37">
        <f t="shared" si="32"/>
        <v>1.687489219636738E-2</v>
      </c>
      <c r="N69" s="37">
        <f t="shared" si="2"/>
        <v>5.5692713519364286E-2</v>
      </c>
      <c r="O69">
        <v>5.1538461538461497</v>
      </c>
      <c r="P69">
        <f t="shared" si="3"/>
        <v>6.8643482690211949E-2</v>
      </c>
      <c r="Q69">
        <f t="shared" si="4"/>
        <v>139994.41666666666</v>
      </c>
      <c r="R69">
        <f t="shared" si="11"/>
        <v>51353.307692307695</v>
      </c>
      <c r="S69">
        <f t="shared" si="5"/>
        <v>3698.9230769230771</v>
      </c>
      <c r="T69">
        <f t="shared" si="6"/>
        <v>195046.64743589744</v>
      </c>
      <c r="U69">
        <f t="shared" si="12"/>
        <v>0.30269243485103203</v>
      </c>
      <c r="V69">
        <f t="shared" si="7"/>
        <v>0.99898493350175588</v>
      </c>
      <c r="W69">
        <f t="shared" si="8"/>
        <v>8.5539497891140445E-2</v>
      </c>
      <c r="X69">
        <f t="shared" si="13"/>
        <v>0.98003988382976626</v>
      </c>
      <c r="Y69">
        <f t="shared" si="9"/>
        <v>1.8945049671989549E-2</v>
      </c>
      <c r="AB69">
        <f t="shared" si="14"/>
        <v>1.34137240556928E-5</v>
      </c>
      <c r="AC69">
        <f t="shared" si="15"/>
        <v>6.5198900750206902E-4</v>
      </c>
      <c r="AD69">
        <f t="shared" si="16"/>
        <v>9.8739581370289001E-11</v>
      </c>
      <c r="AE69">
        <v>333.58333333333297</v>
      </c>
      <c r="AF69">
        <v>868.69230769230774</v>
      </c>
      <c r="AG69">
        <v>170.07692307692307</v>
      </c>
      <c r="AH69" s="26">
        <v>1.3809969999999999E-6</v>
      </c>
      <c r="AI69" s="26">
        <v>3.3333599881999999E-2</v>
      </c>
    </row>
    <row r="70" spans="2:35" ht="16">
      <c r="B70">
        <f t="shared" si="0"/>
        <v>64</v>
      </c>
      <c r="C70" s="36">
        <v>30.5</v>
      </c>
      <c r="D70" s="36" t="s">
        <v>104</v>
      </c>
      <c r="E70" s="36" t="s">
        <v>123</v>
      </c>
      <c r="F70" s="36" t="s">
        <v>125</v>
      </c>
      <c r="H70" s="36">
        <v>134537</v>
      </c>
      <c r="I70" s="36">
        <v>52629</v>
      </c>
      <c r="J70" s="36">
        <v>4066</v>
      </c>
      <c r="K70" s="36">
        <v>1577</v>
      </c>
      <c r="L70" s="36">
        <f t="shared" si="31"/>
        <v>1571.8461538461538</v>
      </c>
      <c r="M70" s="37">
        <f t="shared" si="32"/>
        <v>2.1980255489606443E-2</v>
      </c>
      <c r="N70" s="37">
        <f t="shared" si="2"/>
        <v>7.2066411441332606E-2</v>
      </c>
      <c r="O70">
        <v>5.1538461538461497</v>
      </c>
      <c r="P70">
        <f t="shared" si="3"/>
        <v>6.8194021007460304E-2</v>
      </c>
      <c r="Q70">
        <f t="shared" si="4"/>
        <v>134203.41666666666</v>
      </c>
      <c r="R70">
        <f t="shared" si="11"/>
        <v>51760.307692307695</v>
      </c>
      <c r="S70">
        <f t="shared" si="5"/>
        <v>3895.9230769230771</v>
      </c>
      <c r="T70">
        <f t="shared" si="6"/>
        <v>189859.64743589744</v>
      </c>
      <c r="U70">
        <f t="shared" si="12"/>
        <v>0.29552920341203204</v>
      </c>
      <c r="V70">
        <f t="shared" si="7"/>
        <v>0.96894820790830172</v>
      </c>
      <c r="W70">
        <f t="shared" si="8"/>
        <v>8.4963626926307378E-2</v>
      </c>
      <c r="X70">
        <f t="shared" si="13"/>
        <v>0.94906537480229503</v>
      </c>
      <c r="Y70">
        <f t="shared" si="9"/>
        <v>1.988283310600665E-2</v>
      </c>
      <c r="AB70">
        <f t="shared" si="14"/>
        <v>1.34137240556928E-5</v>
      </c>
      <c r="AC70">
        <f t="shared" si="15"/>
        <v>6.5198900750206902E-4</v>
      </c>
      <c r="AD70">
        <f t="shared" si="16"/>
        <v>9.8739581370289001E-11</v>
      </c>
      <c r="AE70">
        <v>333.58333333333297</v>
      </c>
      <c r="AF70">
        <v>868.69230769230774</v>
      </c>
      <c r="AG70">
        <v>170.07692307692307</v>
      </c>
      <c r="AH70" s="26">
        <v>1.3809969999999999E-6</v>
      </c>
      <c r="AI70" s="26">
        <v>3.3333599881999999E-2</v>
      </c>
    </row>
    <row r="71" spans="2:35" ht="16">
      <c r="B71">
        <f t="shared" si="0"/>
        <v>65</v>
      </c>
      <c r="C71" s="36">
        <v>30.5</v>
      </c>
      <c r="D71" s="36" t="s">
        <v>105</v>
      </c>
      <c r="E71" s="36" t="s">
        <v>123</v>
      </c>
      <c r="F71" s="36" t="s">
        <v>125</v>
      </c>
      <c r="H71" s="36">
        <v>160801</v>
      </c>
      <c r="I71" s="36">
        <v>59670</v>
      </c>
      <c r="J71" s="36">
        <v>5541</v>
      </c>
      <c r="K71" s="36">
        <v>1674</v>
      </c>
      <c r="L71" s="36">
        <f t="shared" si="31"/>
        <v>1668.8461538461538</v>
      </c>
      <c r="M71" s="37">
        <f t="shared" si="32"/>
        <v>2.3312425229384353E-2</v>
      </c>
      <c r="N71" s="37">
        <f t="shared" si="2"/>
        <v>7.6434181079948704E-2</v>
      </c>
      <c r="O71">
        <v>5.1538461538461497</v>
      </c>
      <c r="P71">
        <f t="shared" si="3"/>
        <v>6.8194225497085245E-2</v>
      </c>
      <c r="Q71">
        <f t="shared" si="4"/>
        <v>160467.41666666666</v>
      </c>
      <c r="R71">
        <f t="shared" si="11"/>
        <v>58801.307692307695</v>
      </c>
      <c r="S71">
        <f t="shared" si="5"/>
        <v>5370.9230769230771</v>
      </c>
      <c r="T71">
        <f t="shared" si="6"/>
        <v>224639.64743589744</v>
      </c>
      <c r="U71">
        <f t="shared" si="12"/>
        <v>0.34356027907203207</v>
      </c>
      <c r="V71">
        <f t="shared" si="7"/>
        <v>1.1264271444984657</v>
      </c>
      <c r="W71">
        <f t="shared" si="8"/>
        <v>8.5047084995138536E-2</v>
      </c>
      <c r="X71">
        <f t="shared" si="13"/>
        <v>1.0994953289711742</v>
      </c>
      <c r="Y71">
        <f t="shared" si="9"/>
        <v>2.6931815527291431E-2</v>
      </c>
      <c r="AB71">
        <f t="shared" si="14"/>
        <v>1.34137240556928E-5</v>
      </c>
      <c r="AC71">
        <f t="shared" si="15"/>
        <v>6.5198900750206902E-4</v>
      </c>
      <c r="AD71">
        <f t="shared" si="16"/>
        <v>9.8739581370289001E-11</v>
      </c>
      <c r="AE71">
        <v>333.58333333333297</v>
      </c>
      <c r="AF71">
        <v>868.69230769230774</v>
      </c>
      <c r="AG71">
        <v>170.07692307692307</v>
      </c>
      <c r="AH71" s="26">
        <v>1.3809969999999999E-6</v>
      </c>
      <c r="AI71" s="26">
        <v>3.3333599881999999E-2</v>
      </c>
    </row>
    <row r="72" spans="2:35" ht="16">
      <c r="B72">
        <f t="shared" si="0"/>
        <v>66</v>
      </c>
      <c r="C72" s="36">
        <v>100</v>
      </c>
      <c r="D72" s="36" t="s">
        <v>58</v>
      </c>
      <c r="E72" s="36" t="s">
        <v>123</v>
      </c>
      <c r="F72" s="36" t="s">
        <v>125</v>
      </c>
      <c r="H72" s="36">
        <v>328</v>
      </c>
      <c r="I72" s="36">
        <v>452</v>
      </c>
      <c r="J72" s="36">
        <v>1</v>
      </c>
      <c r="K72" s="36">
        <v>3</v>
      </c>
      <c r="L72" s="36"/>
      <c r="M72" s="37"/>
      <c r="N72" s="37"/>
      <c r="O72">
        <v>5.1538461538461497</v>
      </c>
      <c r="AB72">
        <f t="shared" si="14"/>
        <v>1.34137240556928E-5</v>
      </c>
      <c r="AC72">
        <f t="shared" si="15"/>
        <v>6.5198900750206902E-4</v>
      </c>
      <c r="AD72">
        <f t="shared" si="16"/>
        <v>9.8739581370289001E-11</v>
      </c>
      <c r="AE72">
        <v>333.58333333333297</v>
      </c>
      <c r="AF72">
        <v>868.69230769230774</v>
      </c>
      <c r="AG72">
        <v>170.07692307692307</v>
      </c>
      <c r="AH72" s="26">
        <v>1.3809969999999999E-6</v>
      </c>
      <c r="AI72" s="26">
        <v>3.3333599881999999E-2</v>
      </c>
    </row>
    <row r="73" spans="2:35" ht="16">
      <c r="B73">
        <f t="shared" ref="B73:B95" si="33">B72+1</f>
        <v>67</v>
      </c>
      <c r="C73" s="36">
        <v>52.8</v>
      </c>
      <c r="D73" s="36" t="s">
        <v>65</v>
      </c>
      <c r="E73" s="36" t="s">
        <v>123</v>
      </c>
      <c r="F73" s="36" t="s">
        <v>125</v>
      </c>
      <c r="H73" s="36">
        <v>79745</v>
      </c>
      <c r="I73" s="36">
        <v>80492</v>
      </c>
      <c r="J73" s="36">
        <v>10388</v>
      </c>
      <c r="K73" s="36">
        <v>6958</v>
      </c>
      <c r="L73" s="36">
        <f t="shared" ref="L73:L78" si="34">K73-O73</f>
        <v>6952.8461538461543</v>
      </c>
      <c r="M73" s="37">
        <f t="shared" ref="M73:M78" si="35">L73*AB73+AC73+AD73*L73^2</f>
        <v>9.8688824435612874E-2</v>
      </c>
      <c r="N73" s="37">
        <f t="shared" si="2"/>
        <v>0.18691065234017593</v>
      </c>
      <c r="O73">
        <v>5.1538461538461497</v>
      </c>
      <c r="P73">
        <f t="shared" si="3"/>
        <v>3.9397795708238662E-2</v>
      </c>
      <c r="Q73">
        <f t="shared" si="4"/>
        <v>79411.416666666672</v>
      </c>
      <c r="R73">
        <f t="shared" si="11"/>
        <v>79623.307692307688</v>
      </c>
      <c r="S73">
        <f t="shared" si="5"/>
        <v>10217.923076923076</v>
      </c>
      <c r="T73">
        <f t="shared" si="6"/>
        <v>169252.64743589744</v>
      </c>
      <c r="U73">
        <f t="shared" si="12"/>
        <v>0.26707099823303204</v>
      </c>
      <c r="V73">
        <f t="shared" si="7"/>
        <v>0.50581628453225769</v>
      </c>
      <c r="W73">
        <f t="shared" si="8"/>
        <v>4.8979429292609719E-2</v>
      </c>
      <c r="X73">
        <f t="shared" si="13"/>
        <v>0.47527973479608232</v>
      </c>
      <c r="Y73">
        <f t="shared" si="9"/>
        <v>3.0536549736175415E-2</v>
      </c>
      <c r="AB73">
        <f t="shared" si="14"/>
        <v>1.34137240556928E-5</v>
      </c>
      <c r="AC73">
        <f t="shared" si="15"/>
        <v>6.5198900750206902E-4</v>
      </c>
      <c r="AD73">
        <f t="shared" si="16"/>
        <v>9.8739581370289001E-11</v>
      </c>
      <c r="AE73">
        <v>333.58333333333297</v>
      </c>
      <c r="AF73">
        <v>868.69230769230774</v>
      </c>
      <c r="AG73">
        <v>170.07692307692307</v>
      </c>
      <c r="AH73" s="26">
        <v>1.3809969999999999E-6</v>
      </c>
      <c r="AI73" s="26">
        <v>3.3333599881999999E-2</v>
      </c>
    </row>
    <row r="74" spans="2:35" ht="16">
      <c r="B74">
        <f t="shared" si="33"/>
        <v>68</v>
      </c>
      <c r="C74" s="36">
        <v>30.2</v>
      </c>
      <c r="D74" s="36" t="s">
        <v>106</v>
      </c>
      <c r="E74" s="36" t="s">
        <v>123</v>
      </c>
      <c r="F74" s="36" t="s">
        <v>125</v>
      </c>
      <c r="H74" s="36">
        <v>212277</v>
      </c>
      <c r="I74" s="36">
        <v>79102</v>
      </c>
      <c r="J74" s="36">
        <v>5484</v>
      </c>
      <c r="K74" s="36">
        <v>813</v>
      </c>
      <c r="L74" s="36">
        <f t="shared" si="34"/>
        <v>807.84615384615381</v>
      </c>
      <c r="M74" s="37">
        <f t="shared" si="35"/>
        <v>1.1552653366856893E-2</v>
      </c>
      <c r="N74" s="37">
        <f t="shared" si="2"/>
        <v>3.825381909555263E-2</v>
      </c>
      <c r="O74">
        <v>5.1538461538461497</v>
      </c>
      <c r="P74">
        <f t="shared" si="3"/>
        <v>6.8870257336604887E-2</v>
      </c>
      <c r="Q74">
        <f t="shared" si="4"/>
        <v>211943.41666666666</v>
      </c>
      <c r="R74">
        <f t="shared" si="11"/>
        <v>78233.307692307688</v>
      </c>
      <c r="S74">
        <f t="shared" si="5"/>
        <v>5313.9230769230771</v>
      </c>
      <c r="T74">
        <f t="shared" si="6"/>
        <v>295490.64743589744</v>
      </c>
      <c r="U74">
        <f t="shared" si="12"/>
        <v>0.44140529751903207</v>
      </c>
      <c r="V74">
        <f t="shared" si="7"/>
        <v>1.4616069454272584</v>
      </c>
      <c r="W74">
        <f t="shared" si="8"/>
        <v>8.6113107119170446E-2</v>
      </c>
      <c r="X74">
        <f t="shared" si="13"/>
        <v>1.4353223000616828</v>
      </c>
      <c r="Y74">
        <f t="shared" si="9"/>
        <v>2.6284645365575808E-2</v>
      </c>
      <c r="AB74">
        <f t="shared" si="14"/>
        <v>1.34137240556928E-5</v>
      </c>
      <c r="AC74">
        <f t="shared" si="15"/>
        <v>6.5198900750206902E-4</v>
      </c>
      <c r="AD74">
        <f t="shared" si="16"/>
        <v>9.8739581370289001E-11</v>
      </c>
      <c r="AE74">
        <v>333.58333333333297</v>
      </c>
      <c r="AF74">
        <v>868.69230769230774</v>
      </c>
      <c r="AG74">
        <v>170.07692307692307</v>
      </c>
      <c r="AH74" s="26">
        <v>1.3809969999999999E-6</v>
      </c>
      <c r="AI74" s="26">
        <v>3.3333599881999999E-2</v>
      </c>
    </row>
    <row r="75" spans="2:35" ht="16">
      <c r="B75">
        <f t="shared" si="33"/>
        <v>69</v>
      </c>
      <c r="C75" s="36">
        <v>29.9</v>
      </c>
      <c r="D75" s="36" t="s">
        <v>107</v>
      </c>
      <c r="E75" s="36" t="s">
        <v>123</v>
      </c>
      <c r="F75" s="36" t="s">
        <v>125</v>
      </c>
      <c r="H75" s="36">
        <v>190946</v>
      </c>
      <c r="I75" s="36">
        <v>72761</v>
      </c>
      <c r="J75" s="36">
        <v>5767</v>
      </c>
      <c r="K75" s="36">
        <v>3004</v>
      </c>
      <c r="L75" s="36">
        <f t="shared" si="34"/>
        <v>2998.8461538461538</v>
      </c>
      <c r="M75" s="37">
        <f t="shared" si="35"/>
        <v>4.1765656582743491E-2</v>
      </c>
      <c r="N75" s="37">
        <f t="shared" ref="N75:N92" si="36">M75/C75*100</f>
        <v>0.13968447017639965</v>
      </c>
      <c r="O75">
        <v>5.1538461538461497</v>
      </c>
      <c r="P75">
        <f t="shared" ref="P75:P92" si="37">N75*SQRT((0.2/C75)^2+(0.020798677/M75)^2)</f>
        <v>6.9567067440279448E-2</v>
      </c>
      <c r="Q75">
        <f t="shared" ref="Q75:Q92" si="38">H75-AE75</f>
        <v>190612.41666666666</v>
      </c>
      <c r="R75">
        <f t="shared" ref="R75:S92" si="39">I75-AF75</f>
        <v>71892.307692307688</v>
      </c>
      <c r="S75">
        <f t="shared" si="39"/>
        <v>5596.9230769230771</v>
      </c>
      <c r="T75">
        <f t="shared" ref="T75:T92" si="40">S75+R75+Q75</f>
        <v>268101.64743589744</v>
      </c>
      <c r="U75">
        <f t="shared" si="12"/>
        <v>0.40358117068603205</v>
      </c>
      <c r="V75">
        <f t="shared" ref="V75:V92" si="41">U75 / C75*100</f>
        <v>1.3497698016255253</v>
      </c>
      <c r="W75">
        <f t="shared" ref="W75:W92" si="42">V75*SQRT((0.2/C75)^2+(0.0258413446374805/U75)^2)</f>
        <v>8.6896210544878824E-2</v>
      </c>
      <c r="X75">
        <f t="shared" ref="X75:X92" si="43">V75 * ((Q75+R75)/T75)</f>
        <v>1.3215918406786122</v>
      </c>
      <c r="Y75">
        <f t="shared" ref="Y75:Y92" si="44">V75*(S75/T75)</f>
        <v>2.8177960946913112E-2</v>
      </c>
      <c r="AB75">
        <f t="shared" si="14"/>
        <v>1.34137240556928E-5</v>
      </c>
      <c r="AC75">
        <f t="shared" si="15"/>
        <v>6.5198900750206902E-4</v>
      </c>
      <c r="AD75">
        <f t="shared" si="16"/>
        <v>9.8739581370289001E-11</v>
      </c>
      <c r="AE75">
        <v>333.58333333333297</v>
      </c>
      <c r="AF75">
        <v>868.69230769230774</v>
      </c>
      <c r="AG75">
        <v>170.07692307692307</v>
      </c>
      <c r="AH75" s="26">
        <v>1.3809969999999999E-6</v>
      </c>
      <c r="AI75" s="26">
        <v>3.3333599881999999E-2</v>
      </c>
    </row>
    <row r="76" spans="2:35" ht="16">
      <c r="B76">
        <f t="shared" si="33"/>
        <v>70</v>
      </c>
      <c r="C76" s="36">
        <v>30.4</v>
      </c>
      <c r="D76" s="36" t="s">
        <v>108</v>
      </c>
      <c r="E76" s="36" t="s">
        <v>123</v>
      </c>
      <c r="F76" s="36" t="s">
        <v>125</v>
      </c>
      <c r="H76" s="36">
        <v>131205</v>
      </c>
      <c r="I76" s="36">
        <v>49454</v>
      </c>
      <c r="J76" s="36">
        <v>3833</v>
      </c>
      <c r="K76" s="36">
        <v>1167</v>
      </c>
      <c r="L76" s="36">
        <f t="shared" si="34"/>
        <v>1161.8461538461538</v>
      </c>
      <c r="M76" s="37">
        <f t="shared" si="35"/>
        <v>1.6369959936809141E-2</v>
      </c>
      <c r="N76" s="37">
        <f t="shared" si="36"/>
        <v>5.3848552423714287E-2</v>
      </c>
      <c r="O76">
        <v>5.1538461538461497</v>
      </c>
      <c r="P76">
        <f t="shared" si="37"/>
        <v>6.8417617861718016E-2</v>
      </c>
      <c r="Q76">
        <f t="shared" si="38"/>
        <v>130871.41666666667</v>
      </c>
      <c r="R76">
        <f t="shared" si="39"/>
        <v>48585.307692307695</v>
      </c>
      <c r="S76">
        <f t="shared" si="39"/>
        <v>3662.9230769230771</v>
      </c>
      <c r="T76">
        <f t="shared" si="40"/>
        <v>183119.64743589744</v>
      </c>
      <c r="U76">
        <f t="shared" ref="U76:U92" si="45">T76*AH76+AI76</f>
        <v>0.28622128363203203</v>
      </c>
      <c r="V76">
        <f t="shared" si="41"/>
        <v>0.9415173803685265</v>
      </c>
      <c r="W76">
        <f t="shared" si="42"/>
        <v>8.5229806907764522E-2</v>
      </c>
      <c r="X76">
        <f t="shared" si="43"/>
        <v>0.92268430708466009</v>
      </c>
      <c r="Y76">
        <f t="shared" si="44"/>
        <v>1.8833073283866422E-2</v>
      </c>
      <c r="AB76">
        <f t="shared" si="14"/>
        <v>1.34137240556928E-5</v>
      </c>
      <c r="AC76">
        <f t="shared" si="15"/>
        <v>6.5198900750206902E-4</v>
      </c>
      <c r="AD76">
        <f t="shared" si="16"/>
        <v>9.8739581370289001E-11</v>
      </c>
      <c r="AE76">
        <v>333.58333333333297</v>
      </c>
      <c r="AF76">
        <v>868.69230769230774</v>
      </c>
      <c r="AG76">
        <v>170.07692307692307</v>
      </c>
      <c r="AH76" s="26">
        <v>1.3809969999999999E-6</v>
      </c>
      <c r="AI76" s="26">
        <v>3.3333599881999999E-2</v>
      </c>
    </row>
    <row r="77" spans="2:35" ht="16">
      <c r="B77">
        <f t="shared" si="33"/>
        <v>71</v>
      </c>
      <c r="C77" s="36">
        <v>29.8</v>
      </c>
      <c r="D77" s="36" t="s">
        <v>109</v>
      </c>
      <c r="E77" s="36" t="s">
        <v>123</v>
      </c>
      <c r="F77" s="36" t="s">
        <v>125</v>
      </c>
      <c r="H77" s="36">
        <v>200114</v>
      </c>
      <c r="I77" s="36">
        <v>73249</v>
      </c>
      <c r="J77" s="36">
        <v>5689</v>
      </c>
      <c r="K77" s="36">
        <v>2758</v>
      </c>
      <c r="L77" s="36">
        <f t="shared" si="34"/>
        <v>2752.8461538461538</v>
      </c>
      <c r="M77" s="37">
        <f t="shared" si="35"/>
        <v>3.8326172221147529E-2</v>
      </c>
      <c r="N77" s="37">
        <f t="shared" si="36"/>
        <v>0.12861131617834742</v>
      </c>
      <c r="O77">
        <v>5.1538461538461497</v>
      </c>
      <c r="P77">
        <f t="shared" si="37"/>
        <v>6.9799555398277369E-2</v>
      </c>
      <c r="Q77">
        <f t="shared" si="38"/>
        <v>199780.41666666666</v>
      </c>
      <c r="R77">
        <f t="shared" si="39"/>
        <v>72380.307692307688</v>
      </c>
      <c r="S77">
        <f t="shared" si="39"/>
        <v>5518.9230769230771</v>
      </c>
      <c r="T77">
        <f t="shared" si="40"/>
        <v>277679.64743589744</v>
      </c>
      <c r="U77">
        <f t="shared" si="45"/>
        <v>0.41680835995203203</v>
      </c>
      <c r="V77">
        <f t="shared" si="41"/>
        <v>1.3986857716511143</v>
      </c>
      <c r="W77">
        <f t="shared" si="42"/>
        <v>8.7222529759144143E-2</v>
      </c>
      <c r="X77">
        <f t="shared" si="43"/>
        <v>1.3708866900338299</v>
      </c>
      <c r="Y77">
        <f t="shared" si="44"/>
        <v>2.7799081617284498E-2</v>
      </c>
      <c r="AB77">
        <f t="shared" ref="AB77:AB123" si="46">AB76</f>
        <v>1.34137240556928E-5</v>
      </c>
      <c r="AC77">
        <f t="shared" ref="AC77:AC123" si="47">AC76</f>
        <v>6.5198900750206902E-4</v>
      </c>
      <c r="AD77">
        <f t="shared" ref="AD77:AD123" si="48">AD76</f>
        <v>9.8739581370289001E-11</v>
      </c>
      <c r="AE77">
        <v>333.58333333333297</v>
      </c>
      <c r="AF77">
        <v>868.69230769230774</v>
      </c>
      <c r="AG77">
        <v>170.07692307692307</v>
      </c>
      <c r="AH77" s="26">
        <v>1.3809969999999999E-6</v>
      </c>
      <c r="AI77" s="26">
        <v>3.3333599881999999E-2</v>
      </c>
    </row>
    <row r="78" spans="2:35" ht="16">
      <c r="B78">
        <f t="shared" si="33"/>
        <v>72</v>
      </c>
      <c r="C78" s="36">
        <v>30.5</v>
      </c>
      <c r="D78" s="36" t="s">
        <v>110</v>
      </c>
      <c r="E78" s="36" t="s">
        <v>123</v>
      </c>
      <c r="F78" s="36" t="s">
        <v>125</v>
      </c>
      <c r="H78" s="36">
        <v>159225</v>
      </c>
      <c r="I78" s="36">
        <v>62763</v>
      </c>
      <c r="J78" s="36">
        <v>4903</v>
      </c>
      <c r="K78" s="36">
        <v>1812</v>
      </c>
      <c r="L78" s="36">
        <f t="shared" si="34"/>
        <v>1806.8461538461538</v>
      </c>
      <c r="M78" s="37">
        <f t="shared" si="35"/>
        <v>2.521087914874378E-2</v>
      </c>
      <c r="N78" s="37">
        <f t="shared" si="36"/>
        <v>8.2658620159815677E-2</v>
      </c>
      <c r="O78">
        <v>5.1538461538461497</v>
      </c>
      <c r="P78">
        <f t="shared" si="37"/>
        <v>6.8194537696777802E-2</v>
      </c>
      <c r="Q78">
        <f t="shared" si="38"/>
        <v>158891.41666666666</v>
      </c>
      <c r="R78">
        <f t="shared" si="39"/>
        <v>61894.307692307695</v>
      </c>
      <c r="S78">
        <f t="shared" si="39"/>
        <v>4732.9230769230771</v>
      </c>
      <c r="T78">
        <f t="shared" si="40"/>
        <v>225518.64743589744</v>
      </c>
      <c r="U78">
        <f t="shared" si="45"/>
        <v>0.34477417543503203</v>
      </c>
      <c r="V78">
        <f t="shared" si="41"/>
        <v>1.1304071325738754</v>
      </c>
      <c r="W78">
        <f t="shared" si="42"/>
        <v>8.5049355625951381E-2</v>
      </c>
      <c r="X78">
        <f t="shared" si="43"/>
        <v>1.1066834624254984</v>
      </c>
      <c r="Y78">
        <f t="shared" si="44"/>
        <v>2.3723670148376921E-2</v>
      </c>
      <c r="AB78">
        <f t="shared" si="46"/>
        <v>1.34137240556928E-5</v>
      </c>
      <c r="AC78">
        <f t="shared" si="47"/>
        <v>6.5198900750206902E-4</v>
      </c>
      <c r="AD78">
        <f t="shared" si="48"/>
        <v>9.8739581370289001E-11</v>
      </c>
      <c r="AE78">
        <v>333.58333333333297</v>
      </c>
      <c r="AF78">
        <v>868.69230769230774</v>
      </c>
      <c r="AG78">
        <v>170.07692307692307</v>
      </c>
      <c r="AH78" s="26">
        <v>1.3809969999999999E-6</v>
      </c>
      <c r="AI78" s="26">
        <v>3.3333599881999999E-2</v>
      </c>
    </row>
    <row r="79" spans="2:35" ht="16">
      <c r="B79">
        <f t="shared" si="33"/>
        <v>73</v>
      </c>
      <c r="C79" s="36">
        <v>100</v>
      </c>
      <c r="D79" s="36" t="s">
        <v>58</v>
      </c>
      <c r="E79" s="36" t="s">
        <v>123</v>
      </c>
      <c r="F79" s="36" t="s">
        <v>125</v>
      </c>
      <c r="H79" s="36">
        <v>14810</v>
      </c>
      <c r="I79" s="36">
        <v>1849</v>
      </c>
      <c r="J79" s="36">
        <v>26</v>
      </c>
      <c r="K79" s="36">
        <v>8</v>
      </c>
      <c r="L79" s="36"/>
      <c r="M79" s="37"/>
      <c r="N79" s="37"/>
      <c r="O79">
        <v>5.1538461538461497</v>
      </c>
      <c r="AB79">
        <f t="shared" si="46"/>
        <v>1.34137240556928E-5</v>
      </c>
      <c r="AC79">
        <f t="shared" si="47"/>
        <v>6.5198900750206902E-4</v>
      </c>
      <c r="AD79">
        <f t="shared" si="48"/>
        <v>9.8739581370289001E-11</v>
      </c>
      <c r="AE79">
        <v>333.58333333333297</v>
      </c>
      <c r="AF79">
        <v>868.69230769230774</v>
      </c>
      <c r="AG79">
        <v>170.07692307692307</v>
      </c>
      <c r="AH79" s="26">
        <v>1.3809969999999999E-6</v>
      </c>
      <c r="AI79" s="26">
        <v>3.3333599881999999E-2</v>
      </c>
    </row>
    <row r="80" spans="2:35" ht="16">
      <c r="B80">
        <f t="shared" si="33"/>
        <v>74</v>
      </c>
      <c r="C80" s="36">
        <v>54</v>
      </c>
      <c r="D80" s="36" t="s">
        <v>111</v>
      </c>
      <c r="E80" s="36" t="s">
        <v>123</v>
      </c>
      <c r="F80" s="36" t="s">
        <v>125</v>
      </c>
      <c r="H80" s="36">
        <v>80721</v>
      </c>
      <c r="I80" s="36">
        <v>81041</v>
      </c>
      <c r="J80" s="36">
        <v>10040</v>
      </c>
      <c r="K80" s="36">
        <v>6721</v>
      </c>
      <c r="L80" s="36">
        <f t="shared" ref="L80:L85" si="49">K80-O80</f>
        <v>6715.8461538461543</v>
      </c>
      <c r="M80" s="37">
        <f t="shared" ref="M80:M85" si="50">L80*AB80+AC80+AD80*L80^2</f>
        <v>9.5189906927760901E-2</v>
      </c>
      <c r="N80" s="37">
        <f t="shared" si="36"/>
        <v>0.17627760542177945</v>
      </c>
      <c r="O80">
        <v>5.1538461538461497</v>
      </c>
      <c r="P80">
        <f t="shared" si="37"/>
        <v>3.8521601556059867E-2</v>
      </c>
      <c r="Q80">
        <f t="shared" si="38"/>
        <v>80387.416666666672</v>
      </c>
      <c r="R80">
        <f t="shared" si="39"/>
        <v>80172.307692307688</v>
      </c>
      <c r="S80">
        <f t="shared" si="39"/>
        <v>9869.9230769230762</v>
      </c>
      <c r="T80">
        <f t="shared" si="40"/>
        <v>170429.64743589744</v>
      </c>
      <c r="U80">
        <f t="shared" si="45"/>
        <v>0.26869643170203206</v>
      </c>
      <c r="V80">
        <f t="shared" si="41"/>
        <v>0.49758598463339265</v>
      </c>
      <c r="W80">
        <f t="shared" si="42"/>
        <v>4.7889814803051427E-2</v>
      </c>
      <c r="X80">
        <f t="shared" si="43"/>
        <v>0.46876978119476381</v>
      </c>
      <c r="Y80">
        <f t="shared" si="44"/>
        <v>2.8816203438628868E-2</v>
      </c>
      <c r="AB80">
        <f t="shared" si="46"/>
        <v>1.34137240556928E-5</v>
      </c>
      <c r="AC80">
        <f t="shared" si="47"/>
        <v>6.5198900750206902E-4</v>
      </c>
      <c r="AD80">
        <f t="shared" si="48"/>
        <v>9.8739581370289001E-11</v>
      </c>
      <c r="AE80">
        <v>333.58333333333297</v>
      </c>
      <c r="AF80">
        <v>868.69230769230774</v>
      </c>
      <c r="AG80">
        <v>170.07692307692307</v>
      </c>
      <c r="AH80" s="26">
        <v>1.3809969999999999E-6</v>
      </c>
      <c r="AI80" s="26">
        <v>3.3333599881999999E-2</v>
      </c>
    </row>
    <row r="81" spans="2:35" ht="16">
      <c r="B81">
        <f t="shared" si="33"/>
        <v>75</v>
      </c>
      <c r="C81" s="36">
        <v>30.2</v>
      </c>
      <c r="D81" s="36" t="s">
        <v>112</v>
      </c>
      <c r="E81" s="36" t="s">
        <v>123</v>
      </c>
      <c r="F81" s="36" t="s">
        <v>125</v>
      </c>
      <c r="H81" s="36">
        <v>188159</v>
      </c>
      <c r="I81" s="36">
        <v>76705</v>
      </c>
      <c r="J81" s="36">
        <v>5169</v>
      </c>
      <c r="K81" s="36">
        <v>559</v>
      </c>
      <c r="L81" s="36">
        <f t="shared" si="49"/>
        <v>553.84615384615381</v>
      </c>
      <c r="M81" s="37">
        <f t="shared" si="50"/>
        <v>8.1114164128930858E-3</v>
      </c>
      <c r="N81" s="37">
        <f t="shared" si="36"/>
        <v>2.685899474467909E-2</v>
      </c>
      <c r="O81">
        <v>5.1538461538461497</v>
      </c>
      <c r="P81">
        <f t="shared" si="37"/>
        <v>6.8870021093442452E-2</v>
      </c>
      <c r="Q81">
        <f t="shared" si="38"/>
        <v>187825.41666666666</v>
      </c>
      <c r="R81">
        <f t="shared" si="39"/>
        <v>75836.307692307688</v>
      </c>
      <c r="S81">
        <f t="shared" si="39"/>
        <v>4998.9230769230771</v>
      </c>
      <c r="T81">
        <f t="shared" si="40"/>
        <v>268660.64743589744</v>
      </c>
      <c r="U81">
        <f t="shared" si="45"/>
        <v>0.40435314800903205</v>
      </c>
      <c r="V81">
        <f t="shared" si="41"/>
        <v>1.338917708639179</v>
      </c>
      <c r="W81">
        <f t="shared" si="42"/>
        <v>8.6025565712618046E-2</v>
      </c>
      <c r="X81">
        <f t="shared" si="43"/>
        <v>1.3140046940399184</v>
      </c>
      <c r="Y81">
        <f t="shared" si="44"/>
        <v>2.4913014599260763E-2</v>
      </c>
      <c r="AB81">
        <f t="shared" si="46"/>
        <v>1.34137240556928E-5</v>
      </c>
      <c r="AC81">
        <f t="shared" si="47"/>
        <v>6.5198900750206902E-4</v>
      </c>
      <c r="AD81">
        <f t="shared" si="48"/>
        <v>9.8739581370289001E-11</v>
      </c>
      <c r="AE81">
        <v>333.58333333333297</v>
      </c>
      <c r="AF81">
        <v>868.69230769230774</v>
      </c>
      <c r="AG81">
        <v>170.07692307692307</v>
      </c>
      <c r="AH81" s="26">
        <v>1.3809969999999999E-6</v>
      </c>
      <c r="AI81" s="26">
        <v>3.3333599881999999E-2</v>
      </c>
    </row>
    <row r="82" spans="2:35" ht="16">
      <c r="B82">
        <f t="shared" si="33"/>
        <v>76</v>
      </c>
      <c r="C82" s="36">
        <v>29.9</v>
      </c>
      <c r="D82" s="36" t="s">
        <v>113</v>
      </c>
      <c r="E82" s="36" t="s">
        <v>123</v>
      </c>
      <c r="F82" s="36" t="s">
        <v>125</v>
      </c>
      <c r="H82" s="36">
        <v>188687</v>
      </c>
      <c r="I82" s="36">
        <v>76445</v>
      </c>
      <c r="J82" s="36">
        <v>5181</v>
      </c>
      <c r="K82" s="36">
        <v>2984</v>
      </c>
      <c r="L82" s="36">
        <f t="shared" si="49"/>
        <v>2978.8461538461538</v>
      </c>
      <c r="M82" s="37">
        <f t="shared" si="50"/>
        <v>4.1485577404909199E-2</v>
      </c>
      <c r="N82" s="37">
        <f t="shared" si="36"/>
        <v>0.13874775051809096</v>
      </c>
      <c r="O82">
        <v>5.1538461538461497</v>
      </c>
      <c r="P82">
        <f t="shared" si="37"/>
        <v>6.9566983568991853E-2</v>
      </c>
      <c r="Q82">
        <f t="shared" si="38"/>
        <v>188353.41666666666</v>
      </c>
      <c r="R82">
        <f t="shared" si="39"/>
        <v>75576.307692307688</v>
      </c>
      <c r="S82">
        <f t="shared" si="39"/>
        <v>5010.9230769230771</v>
      </c>
      <c r="T82">
        <f t="shared" si="40"/>
        <v>268940.64743589744</v>
      </c>
      <c r="U82">
        <f t="shared" si="45"/>
        <v>0.40473982716903206</v>
      </c>
      <c r="V82">
        <f t="shared" si="41"/>
        <v>1.3536449069198397</v>
      </c>
      <c r="W82">
        <f t="shared" si="42"/>
        <v>8.6898907515538568E-2</v>
      </c>
      <c r="X82">
        <f t="shared" si="43"/>
        <v>1.3284236896486172</v>
      </c>
      <c r="Y82">
        <f t="shared" si="44"/>
        <v>2.5221217271222493E-2</v>
      </c>
      <c r="AB82">
        <f t="shared" si="46"/>
        <v>1.34137240556928E-5</v>
      </c>
      <c r="AC82">
        <f t="shared" si="47"/>
        <v>6.5198900750206902E-4</v>
      </c>
      <c r="AD82">
        <f t="shared" si="48"/>
        <v>9.8739581370289001E-11</v>
      </c>
      <c r="AE82">
        <v>333.58333333333297</v>
      </c>
      <c r="AF82">
        <v>868.69230769230774</v>
      </c>
      <c r="AG82">
        <v>170.07692307692307</v>
      </c>
      <c r="AH82" s="26">
        <v>1.3809969999999999E-6</v>
      </c>
      <c r="AI82" s="26">
        <v>3.3333599881999999E-2</v>
      </c>
    </row>
    <row r="83" spans="2:35" ht="16">
      <c r="B83">
        <f t="shared" si="33"/>
        <v>77</v>
      </c>
      <c r="C83" s="36">
        <v>30.1</v>
      </c>
      <c r="D83" s="36" t="s">
        <v>114</v>
      </c>
      <c r="E83" s="36" t="s">
        <v>123</v>
      </c>
      <c r="F83" s="36" t="s">
        <v>125</v>
      </c>
      <c r="H83" s="36">
        <v>152415</v>
      </c>
      <c r="I83" s="36">
        <v>60856</v>
      </c>
      <c r="J83" s="36">
        <v>4642</v>
      </c>
      <c r="K83" s="36">
        <v>1427</v>
      </c>
      <c r="L83" s="36">
        <f t="shared" si="49"/>
        <v>1421.8461538461538</v>
      </c>
      <c r="M83" s="37">
        <f t="shared" si="50"/>
        <v>1.9923857492470574E-2</v>
      </c>
      <c r="N83" s="37">
        <f t="shared" si="36"/>
        <v>6.6192217582958707E-2</v>
      </c>
      <c r="O83">
        <v>5.1538461538461497</v>
      </c>
      <c r="P83">
        <f t="shared" si="37"/>
        <v>6.9099994391767963E-2</v>
      </c>
      <c r="Q83">
        <f t="shared" si="38"/>
        <v>152081.41666666666</v>
      </c>
      <c r="R83">
        <f t="shared" si="39"/>
        <v>59987.307692307695</v>
      </c>
      <c r="S83">
        <f t="shared" si="39"/>
        <v>4471.9230769230771</v>
      </c>
      <c r="T83">
        <f t="shared" si="40"/>
        <v>216540.64743589744</v>
      </c>
      <c r="U83">
        <f t="shared" si="45"/>
        <v>0.33237558436903203</v>
      </c>
      <c r="V83">
        <f t="shared" si="41"/>
        <v>1.1042378218240267</v>
      </c>
      <c r="W83">
        <f t="shared" si="42"/>
        <v>8.6164598952363225E-2</v>
      </c>
      <c r="X83">
        <f t="shared" si="43"/>
        <v>1.0814334815936875</v>
      </c>
      <c r="Y83">
        <f t="shared" si="44"/>
        <v>2.2804340230339226E-2</v>
      </c>
      <c r="AB83">
        <f t="shared" si="46"/>
        <v>1.34137240556928E-5</v>
      </c>
      <c r="AC83">
        <f t="shared" si="47"/>
        <v>6.5198900750206902E-4</v>
      </c>
      <c r="AD83">
        <f t="shared" si="48"/>
        <v>9.8739581370289001E-11</v>
      </c>
      <c r="AE83">
        <v>333.58333333333297</v>
      </c>
      <c r="AF83">
        <v>868.69230769230774</v>
      </c>
      <c r="AG83">
        <v>170.07692307692307</v>
      </c>
      <c r="AH83" s="26">
        <v>1.3809969999999999E-6</v>
      </c>
      <c r="AI83" s="26">
        <v>3.3333599881999999E-2</v>
      </c>
    </row>
    <row r="84" spans="2:35" ht="16">
      <c r="B84">
        <f t="shared" si="33"/>
        <v>78</v>
      </c>
      <c r="C84" s="36">
        <v>30.3</v>
      </c>
      <c r="D84" s="36" t="s">
        <v>115</v>
      </c>
      <c r="E84" s="36" t="s">
        <v>123</v>
      </c>
      <c r="F84" s="36" t="s">
        <v>125</v>
      </c>
      <c r="H84" s="36">
        <v>215305</v>
      </c>
      <c r="I84" s="36">
        <v>86399</v>
      </c>
      <c r="J84" s="36">
        <v>5092</v>
      </c>
      <c r="K84" s="36">
        <v>2781</v>
      </c>
      <c r="L84" s="36">
        <f t="shared" si="49"/>
        <v>2775.8461538461538</v>
      </c>
      <c r="M84" s="37">
        <f t="shared" si="50"/>
        <v>3.8647243592000162E-2</v>
      </c>
      <c r="N84" s="37">
        <f t="shared" si="36"/>
        <v>0.12754865871947249</v>
      </c>
      <c r="O84">
        <v>5.1538461538461497</v>
      </c>
      <c r="P84">
        <f t="shared" si="37"/>
        <v>6.8647661171414937E-2</v>
      </c>
      <c r="Q84">
        <f t="shared" si="38"/>
        <v>214971.41666666666</v>
      </c>
      <c r="R84">
        <f t="shared" si="39"/>
        <v>85530.307692307688</v>
      </c>
      <c r="S84">
        <f t="shared" si="39"/>
        <v>4921.9230769230771</v>
      </c>
      <c r="T84">
        <f t="shared" si="40"/>
        <v>305423.64743589744</v>
      </c>
      <c r="U84">
        <f t="shared" si="45"/>
        <v>0.45512274072003206</v>
      </c>
      <c r="V84">
        <f t="shared" si="41"/>
        <v>1.502055249901096</v>
      </c>
      <c r="W84">
        <f t="shared" si="42"/>
        <v>8.5859325727091762E-2</v>
      </c>
      <c r="X84">
        <f t="shared" si="43"/>
        <v>1.477849526279603</v>
      </c>
      <c r="Y84">
        <f t="shared" si="44"/>
        <v>2.4205723621493036E-2</v>
      </c>
      <c r="AB84">
        <f t="shared" si="46"/>
        <v>1.34137240556928E-5</v>
      </c>
      <c r="AC84">
        <f t="shared" si="47"/>
        <v>6.5198900750206902E-4</v>
      </c>
      <c r="AD84">
        <f t="shared" si="48"/>
        <v>9.8739581370289001E-11</v>
      </c>
      <c r="AE84">
        <v>333.58333333333297</v>
      </c>
      <c r="AF84">
        <v>868.69230769230774</v>
      </c>
      <c r="AG84">
        <v>170.07692307692307</v>
      </c>
      <c r="AH84" s="26">
        <v>1.3809969999999999E-6</v>
      </c>
      <c r="AI84" s="26">
        <v>3.3333599881999999E-2</v>
      </c>
    </row>
    <row r="85" spans="2:35" ht="16">
      <c r="B85">
        <f t="shared" si="33"/>
        <v>79</v>
      </c>
      <c r="C85" s="36">
        <v>30.1</v>
      </c>
      <c r="D85" s="36" t="s">
        <v>116</v>
      </c>
      <c r="E85" s="36" t="s">
        <v>123</v>
      </c>
      <c r="F85" s="36" t="s">
        <v>125</v>
      </c>
      <c r="H85" s="36">
        <v>220377</v>
      </c>
      <c r="I85" s="36">
        <v>82744</v>
      </c>
      <c r="J85" s="36">
        <v>5482</v>
      </c>
      <c r="K85" s="36">
        <v>2647</v>
      </c>
      <c r="L85" s="36">
        <f t="shared" si="49"/>
        <v>2641.8461538461538</v>
      </c>
      <c r="M85" s="37">
        <f t="shared" si="50"/>
        <v>3.6778122518696416E-2</v>
      </c>
      <c r="N85" s="37">
        <f t="shared" si="36"/>
        <v>0.12218645355048642</v>
      </c>
      <c r="O85">
        <v>5.1538461538461497</v>
      </c>
      <c r="P85">
        <f t="shared" si="37"/>
        <v>6.9103364031384271E-2</v>
      </c>
      <c r="Q85">
        <f t="shared" si="38"/>
        <v>220043.41666666666</v>
      </c>
      <c r="R85">
        <f t="shared" si="39"/>
        <v>81875.307692307688</v>
      </c>
      <c r="S85">
        <f t="shared" si="39"/>
        <v>5311.9230769230771</v>
      </c>
      <c r="T85">
        <f t="shared" si="40"/>
        <v>307230.64743589744</v>
      </c>
      <c r="U85">
        <f t="shared" si="45"/>
        <v>0.45761820229903205</v>
      </c>
      <c r="V85">
        <f t="shared" si="41"/>
        <v>1.5203262534851563</v>
      </c>
      <c r="W85">
        <f t="shared" si="42"/>
        <v>8.6443922525561961E-2</v>
      </c>
      <c r="X85">
        <f t="shared" si="43"/>
        <v>1.4940402817641065</v>
      </c>
      <c r="Y85">
        <f t="shared" si="44"/>
        <v>2.6285971721049749E-2</v>
      </c>
      <c r="AB85">
        <f t="shared" si="46"/>
        <v>1.34137240556928E-5</v>
      </c>
      <c r="AC85">
        <f t="shared" si="47"/>
        <v>6.5198900750206902E-4</v>
      </c>
      <c r="AD85">
        <f t="shared" si="48"/>
        <v>9.8739581370289001E-11</v>
      </c>
      <c r="AE85">
        <v>333.58333333333297</v>
      </c>
      <c r="AF85">
        <v>868.69230769230774</v>
      </c>
      <c r="AG85">
        <v>170.07692307692307</v>
      </c>
      <c r="AH85" s="26">
        <v>1.3809969999999999E-6</v>
      </c>
      <c r="AI85" s="26">
        <v>3.3333599881999999E-2</v>
      </c>
    </row>
    <row r="86" spans="2:35" ht="16">
      <c r="B86">
        <f t="shared" si="33"/>
        <v>80</v>
      </c>
      <c r="C86" s="36">
        <v>100</v>
      </c>
      <c r="D86" s="36" t="s">
        <v>58</v>
      </c>
      <c r="E86" s="36" t="s">
        <v>123</v>
      </c>
      <c r="F86" s="36" t="s">
        <v>125</v>
      </c>
      <c r="H86" s="36">
        <v>331</v>
      </c>
      <c r="I86" s="36">
        <v>1283</v>
      </c>
      <c r="J86" s="36">
        <v>126</v>
      </c>
      <c r="K86" s="36">
        <v>2</v>
      </c>
      <c r="L86" s="36"/>
      <c r="M86" s="37"/>
      <c r="N86" s="37"/>
      <c r="O86">
        <v>5.1538461538461497</v>
      </c>
      <c r="AB86">
        <f t="shared" si="46"/>
        <v>1.34137240556928E-5</v>
      </c>
      <c r="AC86">
        <f t="shared" si="47"/>
        <v>6.5198900750206902E-4</v>
      </c>
      <c r="AD86">
        <f t="shared" si="48"/>
        <v>9.8739581370289001E-11</v>
      </c>
      <c r="AE86">
        <v>333.58333333333297</v>
      </c>
      <c r="AF86">
        <v>868.69230769230774</v>
      </c>
      <c r="AG86">
        <v>170.07692307692307</v>
      </c>
      <c r="AH86" s="26">
        <v>1.3809969999999999E-6</v>
      </c>
      <c r="AI86" s="26">
        <v>3.3333599881999999E-2</v>
      </c>
    </row>
    <row r="87" spans="2:35" ht="16">
      <c r="B87">
        <f t="shared" si="33"/>
        <v>81</v>
      </c>
      <c r="C87" s="36">
        <v>54.9</v>
      </c>
      <c r="D87" s="36" t="s">
        <v>111</v>
      </c>
      <c r="E87" s="36" t="s">
        <v>123</v>
      </c>
      <c r="F87" s="36" t="s">
        <v>125</v>
      </c>
      <c r="H87" s="36">
        <v>79947</v>
      </c>
      <c r="I87" s="36">
        <v>84148</v>
      </c>
      <c r="J87" s="36">
        <v>10394</v>
      </c>
      <c r="K87" s="36">
        <v>6875</v>
      </c>
      <c r="L87" s="36">
        <f t="shared" ref="L87:L92" si="51">K87-O87</f>
        <v>6869.8461538461543</v>
      </c>
      <c r="M87" s="37">
        <f t="shared" ref="M87:M92" si="52">L87*AB87+AC87+AD87*L87^2</f>
        <v>9.746220305028501E-2</v>
      </c>
      <c r="N87" s="37">
        <f t="shared" si="36"/>
        <v>0.17752678151235884</v>
      </c>
      <c r="O87">
        <v>5.1538461538461497</v>
      </c>
      <c r="P87">
        <f t="shared" si="37"/>
        <v>3.78901772921027E-2</v>
      </c>
      <c r="Q87">
        <f t="shared" si="38"/>
        <v>79613.416666666672</v>
      </c>
      <c r="R87">
        <f t="shared" si="39"/>
        <v>83279.307692307688</v>
      </c>
      <c r="S87">
        <f t="shared" si="39"/>
        <v>10223.923076923076</v>
      </c>
      <c r="T87">
        <f t="shared" si="40"/>
        <v>173116.64743589744</v>
      </c>
      <c r="U87">
        <f t="shared" si="45"/>
        <v>0.27240717064103204</v>
      </c>
      <c r="V87">
        <f t="shared" si="41"/>
        <v>0.49618792466490352</v>
      </c>
      <c r="W87">
        <f t="shared" si="42"/>
        <v>4.7104540151935E-2</v>
      </c>
      <c r="X87">
        <f t="shared" si="43"/>
        <v>0.46688405788715459</v>
      </c>
      <c r="Y87">
        <f t="shared" si="44"/>
        <v>2.9303866777748967E-2</v>
      </c>
      <c r="AB87">
        <f t="shared" si="46"/>
        <v>1.34137240556928E-5</v>
      </c>
      <c r="AC87">
        <f t="shared" si="47"/>
        <v>6.5198900750206902E-4</v>
      </c>
      <c r="AD87">
        <f t="shared" si="48"/>
        <v>9.8739581370289001E-11</v>
      </c>
      <c r="AE87">
        <v>333.58333333333297</v>
      </c>
      <c r="AF87">
        <v>868.69230769230774</v>
      </c>
      <c r="AG87">
        <v>170.07692307692307</v>
      </c>
      <c r="AH87" s="26">
        <v>1.3809969999999999E-6</v>
      </c>
      <c r="AI87" s="26">
        <v>3.3333599881999999E-2</v>
      </c>
    </row>
    <row r="88" spans="2:35" ht="16">
      <c r="B88">
        <f t="shared" si="33"/>
        <v>82</v>
      </c>
      <c r="C88" s="36">
        <v>30.4</v>
      </c>
      <c r="D88" s="36" t="s">
        <v>117</v>
      </c>
      <c r="E88" s="36" t="s">
        <v>123</v>
      </c>
      <c r="F88" s="36" t="s">
        <v>125</v>
      </c>
      <c r="H88" s="36">
        <v>236635</v>
      </c>
      <c r="I88" s="36">
        <v>84368</v>
      </c>
      <c r="J88" s="36">
        <v>5361</v>
      </c>
      <c r="K88" s="36">
        <v>873</v>
      </c>
      <c r="L88" s="36">
        <f t="shared" si="51"/>
        <v>867.84615384615381</v>
      </c>
      <c r="M88" s="37">
        <f t="shared" si="52"/>
        <v>1.236740423961648E-2</v>
      </c>
      <c r="N88" s="37">
        <f t="shared" si="36"/>
        <v>4.0682250788212103E-2</v>
      </c>
      <c r="O88">
        <v>5.1538461538461497</v>
      </c>
      <c r="P88">
        <f t="shared" si="37"/>
        <v>6.8417224172720725E-2</v>
      </c>
      <c r="Q88">
        <f t="shared" si="38"/>
        <v>236301.41666666666</v>
      </c>
      <c r="R88">
        <f t="shared" si="39"/>
        <v>83499.307692307688</v>
      </c>
      <c r="S88">
        <f t="shared" si="39"/>
        <v>5190.9230769230771</v>
      </c>
      <c r="T88">
        <f t="shared" si="40"/>
        <v>324991.64743589744</v>
      </c>
      <c r="U88">
        <f t="shared" si="45"/>
        <v>0.48214609001603204</v>
      </c>
      <c r="V88">
        <f t="shared" si="41"/>
        <v>1.5860068750527372</v>
      </c>
      <c r="W88">
        <f t="shared" si="42"/>
        <v>8.5642429018555816E-2</v>
      </c>
      <c r="X88">
        <f t="shared" si="43"/>
        <v>1.5606744095791629</v>
      </c>
      <c r="Y88">
        <f t="shared" si="44"/>
        <v>2.5332465473574317E-2</v>
      </c>
      <c r="AB88">
        <f t="shared" si="46"/>
        <v>1.34137240556928E-5</v>
      </c>
      <c r="AC88">
        <f t="shared" si="47"/>
        <v>6.5198900750206902E-4</v>
      </c>
      <c r="AD88">
        <f t="shared" si="48"/>
        <v>9.8739581370289001E-11</v>
      </c>
      <c r="AE88">
        <v>333.58333333333297</v>
      </c>
      <c r="AF88">
        <v>868.69230769230774</v>
      </c>
      <c r="AG88">
        <v>170.07692307692307</v>
      </c>
      <c r="AH88" s="26">
        <v>1.3809969999999999E-6</v>
      </c>
      <c r="AI88" s="26">
        <v>3.3333599881999999E-2</v>
      </c>
    </row>
    <row r="89" spans="2:35" ht="16">
      <c r="B89">
        <f t="shared" si="33"/>
        <v>83</v>
      </c>
      <c r="C89" s="36">
        <v>31.2</v>
      </c>
      <c r="D89" s="36" t="s">
        <v>118</v>
      </c>
      <c r="E89" s="36" t="s">
        <v>123</v>
      </c>
      <c r="F89" s="36" t="s">
        <v>125</v>
      </c>
      <c r="H89" s="36">
        <v>167553</v>
      </c>
      <c r="I89" s="36">
        <v>67603</v>
      </c>
      <c r="J89" s="36">
        <v>4158</v>
      </c>
      <c r="K89" s="36">
        <v>2492</v>
      </c>
      <c r="L89" s="36">
        <f t="shared" si="51"/>
        <v>2486.8461538461538</v>
      </c>
      <c r="M89" s="37">
        <f t="shared" si="52"/>
        <v>3.4620502525691058E-2</v>
      </c>
      <c r="N89" s="37">
        <f t="shared" si="36"/>
        <v>0.11096314912080467</v>
      </c>
      <c r="O89">
        <v>5.1538461538461497</v>
      </c>
      <c r="P89">
        <f t="shared" si="37"/>
        <v>6.6666221046971313E-2</v>
      </c>
      <c r="Q89">
        <f t="shared" si="38"/>
        <v>167219.41666666666</v>
      </c>
      <c r="R89">
        <f t="shared" si="39"/>
        <v>66734.307692307688</v>
      </c>
      <c r="S89">
        <f t="shared" si="39"/>
        <v>3987.9230769230771</v>
      </c>
      <c r="T89">
        <f t="shared" si="40"/>
        <v>237941.64743589744</v>
      </c>
      <c r="U89">
        <f t="shared" si="45"/>
        <v>0.36193030116603203</v>
      </c>
      <c r="V89">
        <f t="shared" si="41"/>
        <v>1.160033016557795</v>
      </c>
      <c r="W89">
        <f t="shared" si="42"/>
        <v>8.315796383807432E-2</v>
      </c>
      <c r="X89">
        <f t="shared" si="43"/>
        <v>1.1405907604980616</v>
      </c>
      <c r="Y89">
        <f t="shared" si="44"/>
        <v>1.9442256059733379E-2</v>
      </c>
      <c r="AB89">
        <f t="shared" si="46"/>
        <v>1.34137240556928E-5</v>
      </c>
      <c r="AC89">
        <f t="shared" si="47"/>
        <v>6.5198900750206902E-4</v>
      </c>
      <c r="AD89">
        <f t="shared" si="48"/>
        <v>9.8739581370289001E-11</v>
      </c>
      <c r="AE89">
        <v>333.58333333333297</v>
      </c>
      <c r="AF89">
        <v>868.69230769230774</v>
      </c>
      <c r="AG89">
        <v>170.07692307692307</v>
      </c>
      <c r="AH89" s="26">
        <v>1.3809969999999999E-6</v>
      </c>
      <c r="AI89" s="26">
        <v>3.3333599881999999E-2</v>
      </c>
    </row>
    <row r="90" spans="2:35" ht="16">
      <c r="B90">
        <f t="shared" si="33"/>
        <v>84</v>
      </c>
      <c r="C90" s="36">
        <v>31</v>
      </c>
      <c r="D90" s="36" t="s">
        <v>119</v>
      </c>
      <c r="E90" s="36" t="s">
        <v>123</v>
      </c>
      <c r="F90" s="36" t="s">
        <v>125</v>
      </c>
      <c r="H90" s="36">
        <v>156513</v>
      </c>
      <c r="I90" s="36">
        <v>61974</v>
      </c>
      <c r="J90" s="36">
        <v>5370</v>
      </c>
      <c r="K90" s="36">
        <v>2043</v>
      </c>
      <c r="L90" s="36">
        <f t="shared" si="51"/>
        <v>2037.8461538461538</v>
      </c>
      <c r="M90" s="37">
        <f t="shared" si="52"/>
        <v>2.8397142389978373E-2</v>
      </c>
      <c r="N90" s="37">
        <f t="shared" si="36"/>
        <v>9.1603685128962484E-2</v>
      </c>
      <c r="O90">
        <v>5.1538461538461497</v>
      </c>
      <c r="P90">
        <f t="shared" si="37"/>
        <v>6.7095109307108519E-2</v>
      </c>
      <c r="Q90">
        <f t="shared" si="38"/>
        <v>156179.41666666666</v>
      </c>
      <c r="R90">
        <f t="shared" si="39"/>
        <v>61105.307692307695</v>
      </c>
      <c r="S90">
        <f t="shared" si="39"/>
        <v>5199.9230769230771</v>
      </c>
      <c r="T90">
        <f t="shared" si="40"/>
        <v>222484.64743589744</v>
      </c>
      <c r="U90">
        <f t="shared" si="45"/>
        <v>0.34058423053703207</v>
      </c>
      <c r="V90">
        <f t="shared" si="41"/>
        <v>1.0986588081839743</v>
      </c>
      <c r="W90">
        <f t="shared" si="42"/>
        <v>8.3659988819285075E-2</v>
      </c>
      <c r="X90">
        <f t="shared" si="43"/>
        <v>1.0729808957698752</v>
      </c>
      <c r="Y90">
        <f t="shared" si="44"/>
        <v>2.5677912414098922E-2</v>
      </c>
      <c r="AB90">
        <f t="shared" si="46"/>
        <v>1.34137240556928E-5</v>
      </c>
      <c r="AC90">
        <f t="shared" si="47"/>
        <v>6.5198900750206902E-4</v>
      </c>
      <c r="AD90">
        <f t="shared" si="48"/>
        <v>9.8739581370289001E-11</v>
      </c>
      <c r="AE90">
        <v>333.58333333333297</v>
      </c>
      <c r="AF90">
        <v>868.69230769230774</v>
      </c>
      <c r="AG90">
        <v>170.07692307692307</v>
      </c>
      <c r="AH90" s="26">
        <v>1.3809969999999999E-6</v>
      </c>
      <c r="AI90" s="26">
        <v>3.3333599881999999E-2</v>
      </c>
    </row>
    <row r="91" spans="2:35" ht="16">
      <c r="B91">
        <f t="shared" si="33"/>
        <v>85</v>
      </c>
      <c r="C91" s="36">
        <v>31.2</v>
      </c>
      <c r="D91" s="36" t="s">
        <v>120</v>
      </c>
      <c r="E91" s="36" t="s">
        <v>123</v>
      </c>
      <c r="F91" s="36" t="s">
        <v>125</v>
      </c>
      <c r="H91" s="36">
        <v>159620</v>
      </c>
      <c r="I91" s="36">
        <v>68463</v>
      </c>
      <c r="J91" s="36">
        <v>4392</v>
      </c>
      <c r="K91" s="36">
        <v>1690</v>
      </c>
      <c r="L91" s="36">
        <f t="shared" si="51"/>
        <v>1684.8461538461538</v>
      </c>
      <c r="M91" s="37">
        <f t="shared" si="52"/>
        <v>2.3532343089067542E-2</v>
      </c>
      <c r="N91" s="37">
        <f t="shared" si="36"/>
        <v>7.5424176567524176E-2</v>
      </c>
      <c r="O91">
        <v>5.1538461538461497</v>
      </c>
      <c r="P91">
        <f t="shared" si="37"/>
        <v>6.6664179577619609E-2</v>
      </c>
      <c r="Q91">
        <f t="shared" si="38"/>
        <v>159286.41666666666</v>
      </c>
      <c r="R91">
        <f t="shared" si="39"/>
        <v>67594.307692307688</v>
      </c>
      <c r="S91">
        <f t="shared" si="39"/>
        <v>4221.9230769230771</v>
      </c>
      <c r="T91">
        <f t="shared" si="40"/>
        <v>231102.64743589744</v>
      </c>
      <c r="U91">
        <f t="shared" si="45"/>
        <v>0.35248566268303205</v>
      </c>
      <c r="V91">
        <f t="shared" si="41"/>
        <v>1.1297617393686925</v>
      </c>
      <c r="W91">
        <f t="shared" si="42"/>
        <v>8.3140836534787294E-2</v>
      </c>
      <c r="X91">
        <f t="shared" si="43"/>
        <v>1.1091225679364896</v>
      </c>
      <c r="Y91">
        <f t="shared" si="44"/>
        <v>2.0639171432202921E-2</v>
      </c>
      <c r="AB91">
        <f t="shared" si="46"/>
        <v>1.34137240556928E-5</v>
      </c>
      <c r="AC91">
        <f t="shared" si="47"/>
        <v>6.5198900750206902E-4</v>
      </c>
      <c r="AD91">
        <f t="shared" si="48"/>
        <v>9.8739581370289001E-11</v>
      </c>
      <c r="AE91">
        <v>333.58333333333297</v>
      </c>
      <c r="AF91">
        <v>868.69230769230774</v>
      </c>
      <c r="AG91">
        <v>170.07692307692307</v>
      </c>
      <c r="AH91" s="26">
        <v>1.3809969999999999E-6</v>
      </c>
      <c r="AI91" s="26">
        <v>3.3333599881999999E-2</v>
      </c>
    </row>
    <row r="92" spans="2:35" ht="16">
      <c r="B92">
        <f t="shared" si="33"/>
        <v>86</v>
      </c>
      <c r="C92" s="36">
        <v>30.2</v>
      </c>
      <c r="D92" s="36" t="s">
        <v>121</v>
      </c>
      <c r="E92" s="36" t="s">
        <v>123</v>
      </c>
      <c r="F92" s="36" t="s">
        <v>125</v>
      </c>
      <c r="H92" s="36">
        <v>119947</v>
      </c>
      <c r="I92" s="36">
        <v>52839</v>
      </c>
      <c r="J92" s="36">
        <v>3948</v>
      </c>
      <c r="K92" s="36">
        <v>1131</v>
      </c>
      <c r="L92" s="36">
        <f t="shared" si="51"/>
        <v>1125.8461538461538</v>
      </c>
      <c r="M92" s="37">
        <f t="shared" si="52"/>
        <v>1.5878933982696637E-2</v>
      </c>
      <c r="N92" s="37">
        <f t="shared" si="36"/>
        <v>5.2579251598333245E-2</v>
      </c>
      <c r="O92">
        <v>5.1538461538461497</v>
      </c>
      <c r="P92">
        <f t="shared" si="37"/>
        <v>6.8870671655592242E-2</v>
      </c>
      <c r="Q92">
        <f t="shared" si="38"/>
        <v>119613.41666666667</v>
      </c>
      <c r="R92">
        <f t="shared" si="39"/>
        <v>51970.307692307695</v>
      </c>
      <c r="S92">
        <f t="shared" si="39"/>
        <v>3777.9230769230771</v>
      </c>
      <c r="T92">
        <f t="shared" si="40"/>
        <v>175361.64743589744</v>
      </c>
      <c r="U92">
        <f t="shared" si="45"/>
        <v>0.27550750890603204</v>
      </c>
      <c r="V92">
        <f t="shared" si="41"/>
        <v>0.91227651955639744</v>
      </c>
      <c r="W92">
        <f t="shared" si="42"/>
        <v>8.5780386499296604E-2</v>
      </c>
      <c r="X92">
        <f t="shared" si="43"/>
        <v>0.89262278930145667</v>
      </c>
      <c r="Y92">
        <f t="shared" si="44"/>
        <v>1.965373025494092E-2</v>
      </c>
      <c r="AB92">
        <f t="shared" si="46"/>
        <v>1.34137240556928E-5</v>
      </c>
      <c r="AC92">
        <f t="shared" si="47"/>
        <v>6.5198900750206902E-4</v>
      </c>
      <c r="AD92">
        <f t="shared" si="48"/>
        <v>9.8739581370289001E-11</v>
      </c>
      <c r="AE92">
        <v>333.58333333333297</v>
      </c>
      <c r="AF92">
        <v>868.69230769230774</v>
      </c>
      <c r="AG92">
        <v>170.07692307692307</v>
      </c>
      <c r="AH92" s="26">
        <v>1.3809969999999999E-6</v>
      </c>
      <c r="AI92" s="26">
        <v>3.3333599881999999E-2</v>
      </c>
    </row>
    <row r="93" spans="2:35" ht="16">
      <c r="B93">
        <f t="shared" si="33"/>
        <v>87</v>
      </c>
      <c r="C93" s="36">
        <v>100</v>
      </c>
      <c r="D93" s="36" t="s">
        <v>58</v>
      </c>
      <c r="E93" s="36" t="s">
        <v>123</v>
      </c>
      <c r="F93" s="36" t="s">
        <v>125</v>
      </c>
      <c r="H93" s="36">
        <v>380</v>
      </c>
      <c r="I93" s="36">
        <v>892</v>
      </c>
      <c r="J93" s="36">
        <v>1</v>
      </c>
      <c r="K93" s="36">
        <v>5</v>
      </c>
      <c r="AB93">
        <f t="shared" si="46"/>
        <v>1.34137240556928E-5</v>
      </c>
      <c r="AC93">
        <f t="shared" si="47"/>
        <v>6.5198900750206902E-4</v>
      </c>
      <c r="AD93">
        <f t="shared" si="48"/>
        <v>9.8739581370289001E-11</v>
      </c>
      <c r="AF93">
        <v>868.69230769230774</v>
      </c>
      <c r="AG93">
        <v>170.07692307692307</v>
      </c>
      <c r="AH93" s="26">
        <v>1.3809969999999999E-6</v>
      </c>
      <c r="AI93" s="26">
        <v>3.3333599881999999E-2</v>
      </c>
    </row>
    <row r="94" spans="2:35" ht="16">
      <c r="B94">
        <f t="shared" si="33"/>
        <v>88</v>
      </c>
      <c r="C94" s="36">
        <v>100</v>
      </c>
      <c r="D94" s="36" t="s">
        <v>57</v>
      </c>
      <c r="E94" s="36" t="s">
        <v>122</v>
      </c>
      <c r="F94" s="36" t="s">
        <v>124</v>
      </c>
      <c r="H94" s="36">
        <v>0</v>
      </c>
      <c r="I94" s="36">
        <v>0</v>
      </c>
      <c r="J94" s="36">
        <v>437</v>
      </c>
      <c r="K94" s="36">
        <v>173</v>
      </c>
      <c r="AB94">
        <f t="shared" si="46"/>
        <v>1.34137240556928E-5</v>
      </c>
      <c r="AC94">
        <f t="shared" si="47"/>
        <v>6.5198900750206902E-4</v>
      </c>
      <c r="AD94">
        <f t="shared" si="48"/>
        <v>9.8739581370289001E-11</v>
      </c>
      <c r="AF94">
        <v>868.69230769230774</v>
      </c>
      <c r="AG94">
        <v>170.07692307692307</v>
      </c>
      <c r="AH94" s="26">
        <v>1.3809969999999999E-6</v>
      </c>
      <c r="AI94" s="26">
        <v>3.3333599881999999E-2</v>
      </c>
    </row>
    <row r="95" spans="2:35" ht="16">
      <c r="B95">
        <f t="shared" si="33"/>
        <v>89</v>
      </c>
      <c r="C95" s="36">
        <v>100</v>
      </c>
      <c r="D95" s="36" t="s">
        <v>57</v>
      </c>
      <c r="E95" s="36" t="s">
        <v>122</v>
      </c>
      <c r="F95" s="36" t="s">
        <v>124</v>
      </c>
      <c r="H95" s="36">
        <v>0</v>
      </c>
      <c r="I95" s="36">
        <v>0</v>
      </c>
      <c r="J95" s="36">
        <v>456</v>
      </c>
      <c r="K95" s="36">
        <v>39</v>
      </c>
      <c r="AB95">
        <f t="shared" si="46"/>
        <v>1.34137240556928E-5</v>
      </c>
      <c r="AC95">
        <f t="shared" si="47"/>
        <v>6.5198900750206902E-4</v>
      </c>
      <c r="AD95">
        <f t="shared" si="48"/>
        <v>9.8739581370289001E-11</v>
      </c>
      <c r="AH95" s="26">
        <v>1.3809969999999999E-6</v>
      </c>
      <c r="AI95" s="26">
        <v>3.3333599881999999E-2</v>
      </c>
    </row>
    <row r="96" spans="2:35" ht="16">
      <c r="F96" s="36" t="s">
        <v>201</v>
      </c>
      <c r="H96">
        <f>(第一次EA數據!H9+第一次EA數據!H16+第一次EA數據!H23+第一次EA數據!H30+第一次EA數據!H37+第一次EA數據!H44+第一次EA數據!H51+第一次EA數據!H58+第一次EA數據!H65+第一次EA數據!H72+第一次EA數據!H86+第一次EA數據!H93)/12</f>
        <v>333.58333333333331</v>
      </c>
      <c r="I96">
        <f>(I9+I16+I23+I30+I37+I44+I51+I58+I65+I72+I79+I86+I93)/13</f>
        <v>868.69230769230774</v>
      </c>
      <c r="J96">
        <f>(J9+J16+J23+J30+J37+J44+J51+J58+J65+J72+J79+J86+J93)/13</f>
        <v>170.07692307692307</v>
      </c>
      <c r="K96">
        <f>(K9+K16+K23+K30+K37+K44+K51+K58+K65+K72+K79+K86+K93)/13</f>
        <v>5.1538461538461542</v>
      </c>
      <c r="AB96">
        <f t="shared" si="46"/>
        <v>1.34137240556928E-5</v>
      </c>
      <c r="AC96">
        <f t="shared" si="47"/>
        <v>6.5198900750206902E-4</v>
      </c>
      <c r="AD96">
        <f t="shared" si="48"/>
        <v>9.8739581370289001E-11</v>
      </c>
      <c r="AH96" s="26">
        <v>1.3809969999999999E-6</v>
      </c>
      <c r="AI96" s="26">
        <v>3.3333599881999999E-2</v>
      </c>
    </row>
    <row r="97" spans="28:30">
      <c r="AB97">
        <f t="shared" si="46"/>
        <v>1.34137240556928E-5</v>
      </c>
      <c r="AC97">
        <f t="shared" si="47"/>
        <v>6.5198900750206902E-4</v>
      </c>
      <c r="AD97">
        <f t="shared" si="48"/>
        <v>9.8739581370289001E-11</v>
      </c>
    </row>
    <row r="98" spans="28:30">
      <c r="AB98">
        <f t="shared" si="46"/>
        <v>1.34137240556928E-5</v>
      </c>
      <c r="AC98">
        <f t="shared" si="47"/>
        <v>6.5198900750206902E-4</v>
      </c>
      <c r="AD98">
        <f t="shared" si="48"/>
        <v>9.8739581370289001E-11</v>
      </c>
    </row>
    <row r="99" spans="28:30">
      <c r="AB99">
        <f t="shared" si="46"/>
        <v>1.34137240556928E-5</v>
      </c>
      <c r="AC99">
        <f t="shared" si="47"/>
        <v>6.5198900750206902E-4</v>
      </c>
      <c r="AD99">
        <f t="shared" si="48"/>
        <v>9.8739581370289001E-11</v>
      </c>
    </row>
    <row r="100" spans="28:30">
      <c r="AB100">
        <f t="shared" si="46"/>
        <v>1.34137240556928E-5</v>
      </c>
      <c r="AC100">
        <f t="shared" si="47"/>
        <v>6.5198900750206902E-4</v>
      </c>
      <c r="AD100">
        <f t="shared" si="48"/>
        <v>9.8739581370289001E-11</v>
      </c>
    </row>
    <row r="101" spans="28:30">
      <c r="AB101">
        <f t="shared" si="46"/>
        <v>1.34137240556928E-5</v>
      </c>
      <c r="AC101">
        <f t="shared" si="47"/>
        <v>6.5198900750206902E-4</v>
      </c>
      <c r="AD101">
        <f t="shared" si="48"/>
        <v>9.8739581370289001E-11</v>
      </c>
    </row>
    <row r="102" spans="28:30">
      <c r="AB102">
        <f t="shared" si="46"/>
        <v>1.34137240556928E-5</v>
      </c>
      <c r="AC102">
        <f t="shared" si="47"/>
        <v>6.5198900750206902E-4</v>
      </c>
      <c r="AD102">
        <f t="shared" si="48"/>
        <v>9.8739581370289001E-11</v>
      </c>
    </row>
    <row r="103" spans="28:30">
      <c r="AB103">
        <f t="shared" si="46"/>
        <v>1.34137240556928E-5</v>
      </c>
      <c r="AC103">
        <f t="shared" si="47"/>
        <v>6.5198900750206902E-4</v>
      </c>
      <c r="AD103">
        <f t="shared" si="48"/>
        <v>9.8739581370289001E-11</v>
      </c>
    </row>
    <row r="104" spans="28:30">
      <c r="AB104">
        <f t="shared" si="46"/>
        <v>1.34137240556928E-5</v>
      </c>
      <c r="AC104">
        <f t="shared" si="47"/>
        <v>6.5198900750206902E-4</v>
      </c>
      <c r="AD104">
        <f t="shared" si="48"/>
        <v>9.8739581370289001E-11</v>
      </c>
    </row>
    <row r="105" spans="28:30">
      <c r="AB105">
        <f t="shared" si="46"/>
        <v>1.34137240556928E-5</v>
      </c>
      <c r="AC105">
        <f t="shared" si="47"/>
        <v>6.5198900750206902E-4</v>
      </c>
      <c r="AD105">
        <f t="shared" si="48"/>
        <v>9.8739581370289001E-11</v>
      </c>
    </row>
    <row r="106" spans="28:30">
      <c r="AB106">
        <f t="shared" si="46"/>
        <v>1.34137240556928E-5</v>
      </c>
      <c r="AC106">
        <f t="shared" si="47"/>
        <v>6.5198900750206902E-4</v>
      </c>
      <c r="AD106">
        <f t="shared" si="48"/>
        <v>9.8739581370289001E-11</v>
      </c>
    </row>
    <row r="107" spans="28:30">
      <c r="AB107">
        <f t="shared" si="46"/>
        <v>1.34137240556928E-5</v>
      </c>
      <c r="AC107">
        <f t="shared" si="47"/>
        <v>6.5198900750206902E-4</v>
      </c>
      <c r="AD107">
        <f t="shared" si="48"/>
        <v>9.8739581370289001E-11</v>
      </c>
    </row>
    <row r="108" spans="28:30">
      <c r="AB108">
        <f t="shared" si="46"/>
        <v>1.34137240556928E-5</v>
      </c>
      <c r="AC108">
        <f t="shared" si="47"/>
        <v>6.5198900750206902E-4</v>
      </c>
      <c r="AD108">
        <f t="shared" si="48"/>
        <v>9.8739581370289001E-11</v>
      </c>
    </row>
    <row r="109" spans="28:30">
      <c r="AB109">
        <f t="shared" si="46"/>
        <v>1.34137240556928E-5</v>
      </c>
      <c r="AC109">
        <f t="shared" si="47"/>
        <v>6.5198900750206902E-4</v>
      </c>
      <c r="AD109">
        <f t="shared" si="48"/>
        <v>9.8739581370289001E-11</v>
      </c>
    </row>
    <row r="110" spans="28:30">
      <c r="AB110">
        <f t="shared" si="46"/>
        <v>1.34137240556928E-5</v>
      </c>
      <c r="AC110">
        <f t="shared" si="47"/>
        <v>6.5198900750206902E-4</v>
      </c>
      <c r="AD110">
        <f t="shared" si="48"/>
        <v>9.8739581370289001E-11</v>
      </c>
    </row>
    <row r="111" spans="28:30">
      <c r="AB111">
        <f t="shared" si="46"/>
        <v>1.34137240556928E-5</v>
      </c>
      <c r="AC111">
        <f t="shared" si="47"/>
        <v>6.5198900750206902E-4</v>
      </c>
      <c r="AD111">
        <f t="shared" si="48"/>
        <v>9.8739581370289001E-11</v>
      </c>
    </row>
    <row r="112" spans="28:30">
      <c r="AB112">
        <f t="shared" si="46"/>
        <v>1.34137240556928E-5</v>
      </c>
      <c r="AC112">
        <f t="shared" si="47"/>
        <v>6.5198900750206902E-4</v>
      </c>
      <c r="AD112">
        <f t="shared" si="48"/>
        <v>9.8739581370289001E-11</v>
      </c>
    </row>
    <row r="113" spans="28:30">
      <c r="AB113">
        <f t="shared" si="46"/>
        <v>1.34137240556928E-5</v>
      </c>
      <c r="AC113">
        <f t="shared" si="47"/>
        <v>6.5198900750206902E-4</v>
      </c>
      <c r="AD113">
        <f t="shared" si="48"/>
        <v>9.8739581370289001E-11</v>
      </c>
    </row>
    <row r="114" spans="28:30">
      <c r="AB114">
        <f t="shared" si="46"/>
        <v>1.34137240556928E-5</v>
      </c>
      <c r="AC114">
        <f t="shared" si="47"/>
        <v>6.5198900750206902E-4</v>
      </c>
      <c r="AD114">
        <f t="shared" si="48"/>
        <v>9.8739581370289001E-11</v>
      </c>
    </row>
    <row r="115" spans="28:30">
      <c r="AB115">
        <f t="shared" si="46"/>
        <v>1.34137240556928E-5</v>
      </c>
      <c r="AC115">
        <f t="shared" si="47"/>
        <v>6.5198900750206902E-4</v>
      </c>
      <c r="AD115">
        <f t="shared" si="48"/>
        <v>9.8739581370289001E-11</v>
      </c>
    </row>
    <row r="116" spans="28:30">
      <c r="AB116">
        <f t="shared" si="46"/>
        <v>1.34137240556928E-5</v>
      </c>
      <c r="AC116">
        <f t="shared" si="47"/>
        <v>6.5198900750206902E-4</v>
      </c>
      <c r="AD116">
        <f t="shared" si="48"/>
        <v>9.8739581370289001E-11</v>
      </c>
    </row>
    <row r="117" spans="28:30">
      <c r="AB117">
        <f t="shared" si="46"/>
        <v>1.34137240556928E-5</v>
      </c>
      <c r="AC117">
        <f t="shared" si="47"/>
        <v>6.5198900750206902E-4</v>
      </c>
      <c r="AD117">
        <f t="shared" si="48"/>
        <v>9.8739581370289001E-11</v>
      </c>
    </row>
    <row r="118" spans="28:30">
      <c r="AB118">
        <f t="shared" si="46"/>
        <v>1.34137240556928E-5</v>
      </c>
      <c r="AC118">
        <f t="shared" si="47"/>
        <v>6.5198900750206902E-4</v>
      </c>
      <c r="AD118">
        <f t="shared" si="48"/>
        <v>9.8739581370289001E-11</v>
      </c>
    </row>
    <row r="119" spans="28:30">
      <c r="AB119">
        <f t="shared" si="46"/>
        <v>1.34137240556928E-5</v>
      </c>
      <c r="AC119">
        <f t="shared" si="47"/>
        <v>6.5198900750206902E-4</v>
      </c>
      <c r="AD119">
        <f t="shared" si="48"/>
        <v>9.8739581370289001E-11</v>
      </c>
    </row>
    <row r="120" spans="28:30">
      <c r="AB120">
        <f t="shared" si="46"/>
        <v>1.34137240556928E-5</v>
      </c>
      <c r="AC120">
        <f t="shared" si="47"/>
        <v>6.5198900750206902E-4</v>
      </c>
      <c r="AD120">
        <f t="shared" si="48"/>
        <v>9.8739581370289001E-11</v>
      </c>
    </row>
    <row r="121" spans="28:30">
      <c r="AB121">
        <f t="shared" si="46"/>
        <v>1.34137240556928E-5</v>
      </c>
      <c r="AC121">
        <f t="shared" si="47"/>
        <v>6.5198900750206902E-4</v>
      </c>
      <c r="AD121">
        <f t="shared" si="48"/>
        <v>9.8739581370289001E-11</v>
      </c>
    </row>
    <row r="122" spans="28:30">
      <c r="AB122">
        <f t="shared" si="46"/>
        <v>1.34137240556928E-5</v>
      </c>
      <c r="AC122">
        <f t="shared" si="47"/>
        <v>6.5198900750206902E-4</v>
      </c>
      <c r="AD122">
        <f t="shared" si="48"/>
        <v>9.8739581370289001E-11</v>
      </c>
    </row>
    <row r="123" spans="28:30">
      <c r="AB123">
        <f t="shared" si="46"/>
        <v>1.34137240556928E-5</v>
      </c>
      <c r="AC123">
        <f t="shared" si="47"/>
        <v>6.5198900750206902E-4</v>
      </c>
      <c r="AD123">
        <f t="shared" si="48"/>
        <v>9.8739581370289001E-11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workbookViewId="0">
      <selection activeCell="P1" sqref="P1:P1048576"/>
    </sheetView>
  </sheetViews>
  <sheetFormatPr baseColWidth="10" defaultColWidth="8.83203125" defaultRowHeight="15"/>
  <cols>
    <col min="3" max="3" width="9.33203125" customWidth="1"/>
    <col min="8" max="8" width="9" customWidth="1"/>
    <col min="10" max="10" width="9.5" customWidth="1"/>
    <col min="12" max="12" width="11.83203125" customWidth="1"/>
    <col min="13" max="13" width="22" customWidth="1"/>
    <col min="14" max="14" width="11.1640625" customWidth="1"/>
  </cols>
  <sheetData>
    <row r="1" spans="1:16">
      <c r="C1" t="s">
        <v>235</v>
      </c>
      <c r="E1" t="s">
        <v>233</v>
      </c>
      <c r="G1" t="s">
        <v>234</v>
      </c>
      <c r="I1" t="s">
        <v>239</v>
      </c>
    </row>
    <row r="2" spans="1:16" ht="17.25" customHeight="1">
      <c r="A2" t="s">
        <v>213</v>
      </c>
      <c r="B2" t="s">
        <v>231</v>
      </c>
      <c r="C2" t="s">
        <v>212</v>
      </c>
      <c r="D2" t="s">
        <v>232</v>
      </c>
      <c r="E2" t="s">
        <v>212</v>
      </c>
      <c r="F2" t="s">
        <v>232</v>
      </c>
      <c r="G2" t="s">
        <v>212</v>
      </c>
      <c r="H2" t="s">
        <v>232</v>
      </c>
      <c r="I2" t="s">
        <v>212</v>
      </c>
      <c r="J2" t="s">
        <v>232</v>
      </c>
      <c r="L2" t="s">
        <v>236</v>
      </c>
      <c r="M2" t="s">
        <v>237</v>
      </c>
      <c r="P2" t="s">
        <v>238</v>
      </c>
    </row>
    <row r="3" spans="1:16">
      <c r="A3">
        <v>0</v>
      </c>
      <c r="B3">
        <v>1</v>
      </c>
      <c r="C3">
        <v>3.5799999999999996</v>
      </c>
      <c r="D3">
        <v>3.35</v>
      </c>
      <c r="E3" s="36">
        <f>29.9/1000</f>
        <v>2.9899999999999999E-2</v>
      </c>
      <c r="F3" s="36">
        <v>2.9700000000000001E-2</v>
      </c>
      <c r="G3">
        <f>0.460648109717032/1000</f>
        <v>4.6064810971703203E-4</v>
      </c>
      <c r="H3" s="41">
        <v>3.2884161304603203E-4</v>
      </c>
      <c r="I3">
        <f t="shared" ref="I3:I12" si="0">(C3/E3)*G3</f>
        <v>5.5154522835684769E-2</v>
      </c>
      <c r="J3" s="42">
        <f t="shared" ref="J3:J12" si="1">(D3/F3)*H3</f>
        <v>3.7091562414283075E-2</v>
      </c>
      <c r="L3">
        <f>I3+I4+I5+I6+I7+I8+I9+I10+I11+I12</f>
        <v>0.55382993507648537</v>
      </c>
      <c r="M3">
        <f>J3+J4+J5+J6+J7+J8+J9+J10+J11+J12</f>
        <v>0.59448571822236562</v>
      </c>
      <c r="P3">
        <f>(L3+M3)/2</f>
        <v>0.5741578266494255</v>
      </c>
    </row>
    <row r="4" spans="1:16">
      <c r="A4">
        <f>A3+1</f>
        <v>1</v>
      </c>
      <c r="B4">
        <v>2</v>
      </c>
      <c r="C4">
        <v>2.48</v>
      </c>
      <c r="D4">
        <v>2.39</v>
      </c>
      <c r="E4" s="36">
        <f>30/1000</f>
        <v>0.03</v>
      </c>
      <c r="F4" s="36">
        <v>3.0300000000000001E-2</v>
      </c>
      <c r="G4">
        <f>0.424838857507032/1000</f>
        <v>4.2483885750703199E-4</v>
      </c>
      <c r="H4" s="41">
        <v>3.0269243485103205E-4</v>
      </c>
      <c r="I4">
        <f t="shared" si="0"/>
        <v>3.5120012220581316E-2</v>
      </c>
      <c r="J4" s="42">
        <f t="shared" si="1"/>
        <v>2.3875739910691966E-2</v>
      </c>
    </row>
    <row r="5" spans="1:16">
      <c r="A5">
        <f t="shared" ref="A5:A12" si="2">A4+1</f>
        <v>2</v>
      </c>
      <c r="B5">
        <v>3</v>
      </c>
      <c r="C5">
        <v>4.4000000000000004</v>
      </c>
      <c r="D5">
        <v>1.6800000000000002</v>
      </c>
      <c r="E5" s="36">
        <f>29.7/1000</f>
        <v>2.9700000000000001E-2</v>
      </c>
      <c r="F5" s="36">
        <v>3.0499999999999999E-2</v>
      </c>
      <c r="G5">
        <f>0.503862267841032/1000</f>
        <v>5.0386226784103201E-4</v>
      </c>
      <c r="H5" s="41">
        <v>2.9552920341203206E-4</v>
      </c>
      <c r="I5">
        <f t="shared" si="0"/>
        <v>7.4646261902375111E-2</v>
      </c>
      <c r="J5" s="42">
        <f t="shared" si="1"/>
        <v>1.6278329892859471E-2</v>
      </c>
    </row>
    <row r="6" spans="1:16">
      <c r="A6">
        <f t="shared" si="2"/>
        <v>3</v>
      </c>
      <c r="B6">
        <v>4</v>
      </c>
      <c r="C6">
        <v>3.61</v>
      </c>
      <c r="D6">
        <v>4.7099999999999991</v>
      </c>
      <c r="E6" s="36">
        <f>29.8/1000</f>
        <v>2.98E-2</v>
      </c>
      <c r="F6" s="36">
        <v>3.0499999999999999E-2</v>
      </c>
      <c r="G6">
        <f>0.324965154467032/1000</f>
        <v>3.2496515446703202E-4</v>
      </c>
      <c r="H6" s="41">
        <v>3.43560279072032E-4</v>
      </c>
      <c r="I6">
        <f t="shared" si="0"/>
        <v>3.9366584148523009E-2</v>
      </c>
      <c r="J6" s="42">
        <f t="shared" si="1"/>
        <v>5.3054718505877715E-2</v>
      </c>
    </row>
    <row r="7" spans="1:16">
      <c r="A7">
        <f t="shared" si="2"/>
        <v>4</v>
      </c>
      <c r="B7">
        <v>5</v>
      </c>
      <c r="C7">
        <v>5.34</v>
      </c>
      <c r="D7">
        <v>6.75</v>
      </c>
      <c r="E7" s="36">
        <f>29.9/1000</f>
        <v>2.9899999999999999E-2</v>
      </c>
      <c r="F7" s="36">
        <v>3.0199999999999998E-2</v>
      </c>
      <c r="G7">
        <f>0.454818921380032/1000</f>
        <v>4.5481892138003201E-4</v>
      </c>
      <c r="H7" s="41">
        <v>4.4140529751903205E-4</v>
      </c>
      <c r="I7">
        <f t="shared" si="0"/>
        <v>8.1228529771550859E-2</v>
      </c>
      <c r="J7" s="42">
        <f t="shared" si="1"/>
        <v>9.8658468816339953E-2</v>
      </c>
    </row>
    <row r="8" spans="1:16">
      <c r="A8">
        <f t="shared" si="2"/>
        <v>5</v>
      </c>
      <c r="B8">
        <v>6</v>
      </c>
      <c r="C8">
        <v>4.66</v>
      </c>
      <c r="D8">
        <v>4.4499999999999993</v>
      </c>
      <c r="E8" s="36">
        <f>29.9/1000</f>
        <v>2.9899999999999999E-2</v>
      </c>
      <c r="F8" s="36">
        <v>2.9899999999999999E-2</v>
      </c>
      <c r="G8">
        <f>0.495246227558032/1000</f>
        <v>4.9524622755803196E-4</v>
      </c>
      <c r="H8" s="41">
        <v>4.0358117068603206E-4</v>
      </c>
      <c r="I8">
        <f t="shared" si="0"/>
        <v>7.7185532455532738E-2</v>
      </c>
      <c r="J8" s="42">
        <f t="shared" si="1"/>
        <v>6.0064756172335872E-2</v>
      </c>
    </row>
    <row r="9" spans="1:16">
      <c r="A9">
        <f t="shared" si="2"/>
        <v>6</v>
      </c>
      <c r="B9">
        <v>7</v>
      </c>
      <c r="C9">
        <v>2.9</v>
      </c>
      <c r="D9">
        <v>8.09</v>
      </c>
      <c r="E9" s="36">
        <f>30.1/1000</f>
        <v>3.0100000000000002E-2</v>
      </c>
      <c r="F9" s="36">
        <v>3.04E-2</v>
      </c>
      <c r="G9">
        <f>0.503232533209032/1000</f>
        <v>5.032325332090321E-4</v>
      </c>
      <c r="H9" s="41">
        <v>2.8622128363203206E-4</v>
      </c>
      <c r="I9">
        <f t="shared" si="0"/>
        <v>4.8484197551700761E-2</v>
      </c>
      <c r="J9" s="42">
        <f t="shared" si="1"/>
        <v>7.6168756071813795E-2</v>
      </c>
    </row>
    <row r="10" spans="1:16">
      <c r="A10">
        <f t="shared" si="2"/>
        <v>7</v>
      </c>
      <c r="B10">
        <v>8</v>
      </c>
      <c r="C10">
        <v>1.52</v>
      </c>
      <c r="D10">
        <v>4.6400000000000006</v>
      </c>
      <c r="E10" s="36">
        <f>30.3/1000</f>
        <v>3.0300000000000001E-2</v>
      </c>
      <c r="F10" s="36">
        <v>2.98E-2</v>
      </c>
      <c r="G10">
        <f>0.536252171479032/1000</f>
        <v>5.3625217147903201E-4</v>
      </c>
      <c r="H10" s="41">
        <v>4.1680835995203201E-4</v>
      </c>
      <c r="I10">
        <f t="shared" si="0"/>
        <v>2.6901099031291374E-2</v>
      </c>
      <c r="J10" s="42">
        <f t="shared" si="1"/>
        <v>6.4899019804611699E-2</v>
      </c>
    </row>
    <row r="11" spans="1:16">
      <c r="A11">
        <f t="shared" si="2"/>
        <v>8</v>
      </c>
      <c r="B11">
        <v>9</v>
      </c>
      <c r="C11">
        <v>1.81</v>
      </c>
      <c r="D11">
        <v>5.4700000000000006</v>
      </c>
      <c r="E11" s="36">
        <f>30.1/1000</f>
        <v>3.0100000000000002E-2</v>
      </c>
      <c r="F11" s="36">
        <v>3.0499999999999999E-2</v>
      </c>
      <c r="G11">
        <f>0.486631568272032/1000</f>
        <v>4.8663156827203203E-4</v>
      </c>
      <c r="H11" s="41">
        <v>3.4477417543503201E-4</v>
      </c>
      <c r="I11">
        <f t="shared" si="0"/>
        <v>2.9262562743268369E-2</v>
      </c>
      <c r="J11" s="42">
        <f t="shared" si="1"/>
        <v>6.1833270151790992E-2</v>
      </c>
    </row>
    <row r="12" spans="1:16">
      <c r="A12">
        <f t="shared" si="2"/>
        <v>9</v>
      </c>
      <c r="B12">
        <v>10</v>
      </c>
      <c r="C12">
        <v>5.74</v>
      </c>
      <c r="D12">
        <v>7.66</v>
      </c>
      <c r="E12" s="36">
        <f>30.3/1000</f>
        <v>3.0300000000000001E-2</v>
      </c>
      <c r="F12" s="36">
        <v>3.0199999999999998E-2</v>
      </c>
      <c r="G12">
        <f>0.456509261708032/1000</f>
        <v>4.56509261708032E-4</v>
      </c>
      <c r="H12" s="41">
        <v>4.0435314800903204E-4</v>
      </c>
      <c r="I12">
        <f t="shared" si="0"/>
        <v>8.6480632415977018E-2</v>
      </c>
      <c r="J12" s="42">
        <f t="shared" si="1"/>
        <v>0.10256109648176111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6"/>
  <sheetViews>
    <sheetView zoomScale="89" zoomScaleNormal="73" workbookViewId="0">
      <selection activeCell="H11" sqref="H11"/>
    </sheetView>
  </sheetViews>
  <sheetFormatPr baseColWidth="10" defaultColWidth="8.83203125" defaultRowHeight="15"/>
  <cols>
    <col min="2" max="3" width="8.6640625" bestFit="1" customWidth="1"/>
    <col min="8" max="12" width="8.6640625" bestFit="1" customWidth="1"/>
    <col min="13" max="13" width="13" bestFit="1" customWidth="1"/>
    <col min="14" max="14" width="8.6640625" bestFit="1" customWidth="1"/>
    <col min="15" max="15" width="0" hidden="1" customWidth="1"/>
    <col min="16" max="25" width="8.6640625" bestFit="1" customWidth="1"/>
    <col min="29" max="35" width="0" hidden="1" customWidth="1"/>
    <col min="36" max="36" width="11.6640625" hidden="1" customWidth="1"/>
    <col min="37" max="37" width="0" hidden="1" customWidth="1"/>
  </cols>
  <sheetData>
    <row r="1" spans="1:37" ht="16">
      <c r="A1" s="6"/>
      <c r="B1" s="5"/>
      <c r="C1" s="5"/>
      <c r="D1" s="5"/>
      <c r="E1" s="5"/>
      <c r="F1" s="5"/>
      <c r="G1" s="5"/>
      <c r="H1" s="5"/>
      <c r="I1" s="5"/>
      <c r="J1" s="5"/>
      <c r="K1" s="5"/>
      <c r="L1" s="22"/>
      <c r="M1" s="23" t="s">
        <v>26</v>
      </c>
      <c r="N1" s="23" t="s">
        <v>27</v>
      </c>
      <c r="O1" s="23" t="s">
        <v>27</v>
      </c>
      <c r="P1" s="23" t="s">
        <v>30</v>
      </c>
      <c r="Q1" s="24"/>
      <c r="R1" s="5"/>
      <c r="S1" s="5"/>
      <c r="T1" s="5"/>
      <c r="U1" s="5"/>
      <c r="V1" s="5"/>
      <c r="W1" s="5"/>
      <c r="X1" s="5"/>
      <c r="Y1" s="5"/>
      <c r="Z1" s="5"/>
    </row>
    <row r="2" spans="1:37" ht="16">
      <c r="A2" s="6"/>
      <c r="B2" s="5"/>
      <c r="C2" s="5"/>
      <c r="D2" s="5"/>
      <c r="E2" s="5"/>
      <c r="F2" s="5"/>
      <c r="G2" s="5"/>
      <c r="H2" s="5"/>
      <c r="I2" s="5"/>
      <c r="J2" s="5"/>
      <c r="K2" s="5"/>
      <c r="L2" s="25" t="s">
        <v>28</v>
      </c>
      <c r="M2" s="26">
        <v>1.3809969999999999E-6</v>
      </c>
      <c r="N2" s="26">
        <v>3.3333599881999999E-2</v>
      </c>
      <c r="O2" s="26">
        <v>3.3333599881999999E-2</v>
      </c>
      <c r="P2" s="26"/>
      <c r="Q2" s="27" t="s">
        <v>31</v>
      </c>
      <c r="R2" s="5"/>
      <c r="S2" s="5"/>
      <c r="T2" s="5"/>
      <c r="U2" s="5"/>
      <c r="V2" s="5"/>
      <c r="W2" s="5"/>
      <c r="X2" s="5"/>
      <c r="Y2" s="8"/>
      <c r="Z2" s="5"/>
    </row>
    <row r="3" spans="1:37" ht="16">
      <c r="A3" s="6"/>
      <c r="B3" s="5"/>
      <c r="C3" s="5"/>
      <c r="D3" s="5"/>
      <c r="E3" s="5"/>
      <c r="F3" s="10" t="s">
        <v>54</v>
      </c>
      <c r="G3" s="11"/>
      <c r="H3" s="11"/>
      <c r="I3" s="11"/>
      <c r="J3" s="11"/>
      <c r="K3" s="5"/>
      <c r="L3" s="28" t="s">
        <v>29</v>
      </c>
      <c r="M3" s="29">
        <v>1.34137240556928E-5</v>
      </c>
      <c r="N3" s="29">
        <v>6.5198900750206902E-4</v>
      </c>
      <c r="O3" s="29">
        <v>6.5198900750206902E-4</v>
      </c>
      <c r="P3" s="30">
        <v>9.8739581370289001E-11</v>
      </c>
      <c r="Q3" s="31" t="s">
        <v>32</v>
      </c>
      <c r="R3" s="5"/>
      <c r="S3" s="5"/>
      <c r="T3" s="5"/>
      <c r="U3" s="5"/>
      <c r="V3" s="5"/>
      <c r="W3" s="5"/>
      <c r="X3" s="5"/>
      <c r="Y3" s="5"/>
      <c r="Z3" s="5"/>
    </row>
    <row r="4" spans="1:37" ht="16">
      <c r="A4" s="6"/>
      <c r="B4" s="5"/>
      <c r="C4" s="5"/>
      <c r="D4" s="5"/>
      <c r="E4" s="5"/>
      <c r="F4" s="11"/>
      <c r="G4" s="10" t="s">
        <v>39</v>
      </c>
      <c r="H4" s="11"/>
      <c r="I4" s="11"/>
      <c r="J4" s="11"/>
      <c r="K4" s="5"/>
      <c r="L4" s="5"/>
      <c r="M4" s="5"/>
      <c r="N4" s="5"/>
      <c r="O4" s="5"/>
      <c r="P4" s="32" t="s">
        <v>205</v>
      </c>
      <c r="Q4" s="33"/>
      <c r="R4" s="33"/>
      <c r="S4" s="33"/>
      <c r="T4" s="5"/>
      <c r="U4" s="5"/>
      <c r="V4" s="35" t="s">
        <v>52</v>
      </c>
      <c r="W4" s="33"/>
      <c r="X4" s="33"/>
      <c r="Y4" s="33"/>
      <c r="Z4" s="35"/>
    </row>
    <row r="5" spans="1:37" ht="16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12" t="s">
        <v>40</v>
      </c>
      <c r="M5" s="14" t="s">
        <v>45</v>
      </c>
      <c r="N5" s="16" t="s">
        <v>204</v>
      </c>
      <c r="O5" s="18"/>
      <c r="P5" s="18"/>
      <c r="Q5" s="12" t="s">
        <v>40</v>
      </c>
      <c r="R5" s="5"/>
      <c r="S5" s="5"/>
      <c r="T5" s="5"/>
      <c r="U5" s="14" t="s">
        <v>45</v>
      </c>
      <c r="V5" s="16" t="s">
        <v>128</v>
      </c>
      <c r="W5" s="18"/>
      <c r="X5" s="19" t="s">
        <v>129</v>
      </c>
      <c r="Y5" s="18"/>
      <c r="Z5" s="18"/>
      <c r="AD5" t="s">
        <v>209</v>
      </c>
      <c r="AE5" t="s">
        <v>27</v>
      </c>
      <c r="AF5" t="s">
        <v>203</v>
      </c>
      <c r="AJ5" t="s">
        <v>210</v>
      </c>
      <c r="AK5" t="s">
        <v>27</v>
      </c>
    </row>
    <row r="6" spans="1:37" ht="16">
      <c r="A6" s="3" t="s">
        <v>56</v>
      </c>
      <c r="B6" s="3" t="s">
        <v>55</v>
      </c>
      <c r="C6" s="3" t="s">
        <v>16</v>
      </c>
      <c r="D6" s="4" t="s">
        <v>17</v>
      </c>
      <c r="E6" s="4" t="s">
        <v>18</v>
      </c>
      <c r="F6" s="4" t="s">
        <v>19</v>
      </c>
      <c r="G6" s="1" t="s">
        <v>20</v>
      </c>
      <c r="H6" s="1" t="s">
        <v>0</v>
      </c>
      <c r="I6" s="1" t="s">
        <v>1</v>
      </c>
      <c r="J6" s="1" t="s">
        <v>2</v>
      </c>
      <c r="K6" s="1" t="s">
        <v>3</v>
      </c>
      <c r="L6" s="13" t="s">
        <v>4</v>
      </c>
      <c r="M6" s="15" t="s">
        <v>5</v>
      </c>
      <c r="N6" s="17" t="s">
        <v>6</v>
      </c>
      <c r="O6" s="34" t="s">
        <v>12</v>
      </c>
      <c r="P6" s="34" t="s">
        <v>12</v>
      </c>
      <c r="Q6" s="13" t="s">
        <v>7</v>
      </c>
      <c r="R6" s="13" t="s">
        <v>8</v>
      </c>
      <c r="S6" s="13" t="s">
        <v>9</v>
      </c>
      <c r="T6" s="2" t="s">
        <v>38</v>
      </c>
      <c r="U6" s="15" t="s">
        <v>10</v>
      </c>
      <c r="V6" s="20" t="s">
        <v>11</v>
      </c>
      <c r="W6" s="34" t="s">
        <v>12</v>
      </c>
      <c r="X6" s="21" t="s">
        <v>13</v>
      </c>
      <c r="Y6" s="21" t="s">
        <v>130</v>
      </c>
      <c r="AC6" t="s">
        <v>202</v>
      </c>
      <c r="AD6" s="29">
        <v>1.34137240556928E-5</v>
      </c>
      <c r="AE6" s="29">
        <v>6.5198900750206902E-4</v>
      </c>
      <c r="AF6" s="30">
        <v>9.8739581370289001E-11</v>
      </c>
      <c r="AG6" t="s">
        <v>206</v>
      </c>
      <c r="AH6" t="s">
        <v>207</v>
      </c>
      <c r="AI6" t="s">
        <v>208</v>
      </c>
      <c r="AJ6" s="26">
        <v>1.3809969999999999E-6</v>
      </c>
      <c r="AK6" s="26">
        <v>3.3333599881999999E-2</v>
      </c>
    </row>
    <row r="7" spans="1:37" ht="16">
      <c r="B7" s="36">
        <v>1</v>
      </c>
      <c r="C7" s="36">
        <v>100</v>
      </c>
      <c r="D7" s="36" t="s">
        <v>57</v>
      </c>
      <c r="E7" s="36" t="s">
        <v>122</v>
      </c>
      <c r="F7" s="36" t="s">
        <v>124</v>
      </c>
      <c r="G7" s="36"/>
      <c r="H7" s="36">
        <v>0</v>
      </c>
      <c r="I7" s="36">
        <v>0</v>
      </c>
      <c r="J7" s="36">
        <v>1133</v>
      </c>
      <c r="K7" s="36">
        <v>3</v>
      </c>
      <c r="AD7" s="29">
        <v>1.34137240556928E-5</v>
      </c>
      <c r="AE7" s="29">
        <v>6.5198900750206902E-4</v>
      </c>
      <c r="AF7" s="30">
        <v>9.8739581370289001E-11</v>
      </c>
      <c r="AJ7" s="26">
        <v>1.3809969999999999E-6</v>
      </c>
      <c r="AK7" s="26">
        <v>3.3333599881999999E-2</v>
      </c>
    </row>
    <row r="8" spans="1:37" ht="16">
      <c r="B8" s="36">
        <v>2</v>
      </c>
      <c r="C8" s="36">
        <v>100</v>
      </c>
      <c r="D8" s="36" t="s">
        <v>57</v>
      </c>
      <c r="E8" s="36" t="s">
        <v>122</v>
      </c>
      <c r="F8" s="36" t="s">
        <v>124</v>
      </c>
      <c r="G8" s="36"/>
      <c r="H8" s="36">
        <v>0</v>
      </c>
      <c r="I8" s="36">
        <v>0</v>
      </c>
      <c r="J8" s="36">
        <v>405</v>
      </c>
      <c r="K8" s="36">
        <v>21</v>
      </c>
      <c r="AD8" s="29">
        <v>1.34137240556928E-5</v>
      </c>
      <c r="AE8" s="29">
        <v>6.5198900750206902E-4</v>
      </c>
      <c r="AF8" s="30">
        <v>9.8739581370289001E-11</v>
      </c>
      <c r="AJ8" s="26">
        <v>1.3809969999999999E-6</v>
      </c>
      <c r="AK8" s="26">
        <v>3.3333599881999999E-2</v>
      </c>
    </row>
    <row r="9" spans="1:37" ht="16">
      <c r="B9" s="36">
        <v>3</v>
      </c>
      <c r="C9" s="36">
        <v>100</v>
      </c>
      <c r="D9" s="36" t="s">
        <v>58</v>
      </c>
      <c r="E9" s="36" t="s">
        <v>123</v>
      </c>
      <c r="F9" s="36" t="s">
        <v>125</v>
      </c>
      <c r="G9" s="36"/>
      <c r="H9" s="36">
        <v>343</v>
      </c>
      <c r="I9" s="36">
        <v>775</v>
      </c>
      <c r="J9" s="36">
        <v>674</v>
      </c>
      <c r="K9" s="36">
        <v>356</v>
      </c>
      <c r="AD9" s="29">
        <v>1.34137240556928E-5</v>
      </c>
      <c r="AE9" s="29">
        <v>6.5198900750206902E-4</v>
      </c>
      <c r="AF9" s="30">
        <v>9.8739581370289001E-11</v>
      </c>
      <c r="AJ9" s="26">
        <v>1.3809969999999999E-6</v>
      </c>
      <c r="AK9" s="26">
        <v>3.3333599881999999E-2</v>
      </c>
    </row>
    <row r="10" spans="1:37" ht="16">
      <c r="B10" s="36">
        <v>4</v>
      </c>
      <c r="C10" s="36">
        <v>32.4</v>
      </c>
      <c r="D10" s="36" t="s">
        <v>59</v>
      </c>
      <c r="E10" s="36" t="s">
        <v>123</v>
      </c>
      <c r="F10" s="36" t="s">
        <v>125</v>
      </c>
      <c r="G10" s="36"/>
      <c r="H10" s="36">
        <v>120290</v>
      </c>
      <c r="I10" s="36">
        <v>20518</v>
      </c>
      <c r="J10" s="36">
        <v>2944</v>
      </c>
      <c r="K10" s="36">
        <v>3324</v>
      </c>
      <c r="L10">
        <f>K10-AC10</f>
        <v>3283.7</v>
      </c>
      <c r="M10">
        <f>L10*AD10+AE10+AF10*L10^2</f>
        <v>4.5763312560258521E-2</v>
      </c>
      <c r="N10">
        <f>M10 /C10 *100</f>
        <v>0.14124479185264976</v>
      </c>
      <c r="P10">
        <f>N10*SQRT((0.2/C10)^2+(0.020798677/M10)^2)</f>
        <v>6.4199368245551044E-2</v>
      </c>
      <c r="Q10">
        <f>H10-AG10</f>
        <v>119943.2</v>
      </c>
      <c r="R10">
        <f t="shared" ref="R10:R75" si="0">I10-AH10</f>
        <v>19737.5</v>
      </c>
      <c r="S10">
        <f>J10-AI10</f>
        <v>2794.1</v>
      </c>
      <c r="T10">
        <f>Q10+R10+S10</f>
        <v>142474.80000000002</v>
      </c>
      <c r="U10">
        <f>T10*AJ10+AK10</f>
        <v>0.2300908712576</v>
      </c>
      <c r="V10">
        <f>U10/C10*100</f>
        <v>0.71015701005432097</v>
      </c>
      <c r="W10">
        <f>V10*SQRT((0.2/C10)^2+(0.0258413446374805/U10)^2)</f>
        <v>7.9877615613612674E-2</v>
      </c>
      <c r="X10">
        <f>V10 * ((Q10+R10)/T10)</f>
        <v>0.69622998785956947</v>
      </c>
      <c r="Y10">
        <f>V10*(S10/T10)</f>
        <v>1.3927022194751478E-2</v>
      </c>
      <c r="AC10">
        <v>40.299999999999997</v>
      </c>
      <c r="AD10" s="29">
        <v>1.34137240556928E-5</v>
      </c>
      <c r="AE10" s="29">
        <v>6.5198900750206902E-4</v>
      </c>
      <c r="AF10" s="30">
        <v>9.8739581370289001E-11</v>
      </c>
      <c r="AG10">
        <v>346.8</v>
      </c>
      <c r="AH10">
        <v>780.5</v>
      </c>
      <c r="AI10">
        <v>149.9</v>
      </c>
      <c r="AJ10" s="26">
        <v>1.3809969999999999E-6</v>
      </c>
      <c r="AK10" s="26">
        <v>3.3333599881999999E-2</v>
      </c>
    </row>
    <row r="11" spans="1:37" ht="16">
      <c r="B11" s="36">
        <v>5</v>
      </c>
      <c r="C11" s="36">
        <v>31.6</v>
      </c>
      <c r="D11" s="36" t="s">
        <v>131</v>
      </c>
      <c r="E11" s="36" t="s">
        <v>123</v>
      </c>
      <c r="F11" s="36" t="s">
        <v>125</v>
      </c>
      <c r="G11" s="36"/>
      <c r="H11" s="36">
        <v>106648</v>
      </c>
      <c r="I11" s="36">
        <v>48464</v>
      </c>
      <c r="J11" s="36">
        <v>3906</v>
      </c>
      <c r="K11" s="36">
        <v>797</v>
      </c>
      <c r="L11">
        <f t="shared" ref="L11:L74" si="1">K11-AC11</f>
        <v>756.7</v>
      </c>
      <c r="M11">
        <f>L11*AD11+AE11+AF11*L11^2</f>
        <v>1.0858691780178177E-2</v>
      </c>
      <c r="N11">
        <f t="shared" ref="N11:N74" si="2">M11 /C11 *100</f>
        <v>3.4362948671449928E-2</v>
      </c>
      <c r="P11">
        <f t="shared" ref="P11:P74" si="3">N11*SQRT((0.2/C11)^2+(0.020798677/M11)^2)</f>
        <v>6.5818957425793953E-2</v>
      </c>
      <c r="Q11">
        <f t="shared" ref="Q11:Q74" si="4">H11-AG11</f>
        <v>106301.2</v>
      </c>
      <c r="R11">
        <f t="shared" si="0"/>
        <v>47683.5</v>
      </c>
      <c r="S11">
        <f>J11-AI11</f>
        <v>3756.1</v>
      </c>
      <c r="T11">
        <f t="shared" ref="T11:T74" si="5">Q11+R11+S11</f>
        <v>157740.80000000002</v>
      </c>
      <c r="U11">
        <f t="shared" ref="U11:U74" si="6">T11*AJ11+AK11</f>
        <v>0.2511731714596</v>
      </c>
      <c r="V11">
        <f t="shared" ref="V11:V74" si="7">U11/C11*100</f>
        <v>0.79485180841645575</v>
      </c>
      <c r="W11">
        <f t="shared" ref="W11:W74" si="8">V11*SQRT((0.2/C11)^2+(0.0258413446374805/U11)^2)</f>
        <v>8.1931000082138411E-2</v>
      </c>
      <c r="X11">
        <f>V11 * ((Q11+R11)/T11)</f>
        <v>0.7759249177350781</v>
      </c>
      <c r="Y11">
        <f t="shared" ref="Y11:Y74" si="9">V11*(S11/T11)</f>
        <v>1.8926890681377609E-2</v>
      </c>
      <c r="AC11">
        <v>40.299999999999997</v>
      </c>
      <c r="AD11" s="29">
        <v>1.34137240556928E-5</v>
      </c>
      <c r="AE11" s="29">
        <v>6.5198900750206902E-4</v>
      </c>
      <c r="AF11" s="30">
        <v>9.8739581370289001E-11</v>
      </c>
      <c r="AG11">
        <v>346.8</v>
      </c>
      <c r="AH11">
        <v>780.5</v>
      </c>
      <c r="AI11">
        <v>149.9</v>
      </c>
      <c r="AJ11" s="26">
        <v>1.3809969999999999E-6</v>
      </c>
      <c r="AK11" s="26">
        <v>3.3333599881999999E-2</v>
      </c>
    </row>
    <row r="12" spans="1:37" ht="16">
      <c r="B12" s="36">
        <v>6</v>
      </c>
      <c r="C12" s="36">
        <v>31.7</v>
      </c>
      <c r="D12" s="36" t="s">
        <v>132</v>
      </c>
      <c r="E12" s="36" t="s">
        <v>123</v>
      </c>
      <c r="F12" s="36" t="s">
        <v>125</v>
      </c>
      <c r="G12" s="36"/>
      <c r="H12" s="36">
        <v>87942</v>
      </c>
      <c r="I12" s="36">
        <v>41010</v>
      </c>
      <c r="J12" s="36">
        <v>3451</v>
      </c>
      <c r="K12" s="36">
        <v>798</v>
      </c>
      <c r="L12">
        <f t="shared" si="1"/>
        <v>757.7</v>
      </c>
      <c r="M12">
        <f t="shared" ref="M12:M74" si="10">L12*AD12+AE12+AF12*L12^2</f>
        <v>1.0872255035455898E-2</v>
      </c>
      <c r="N12">
        <f t="shared" si="2"/>
        <v>3.4297334496706307E-2</v>
      </c>
      <c r="P12">
        <f t="shared" si="3"/>
        <v>6.5611325278688251E-2</v>
      </c>
      <c r="Q12">
        <f t="shared" si="4"/>
        <v>87595.199999999997</v>
      </c>
      <c r="R12">
        <f t="shared" si="0"/>
        <v>40229.5</v>
      </c>
      <c r="S12">
        <f t="shared" ref="S12:S75" si="11">J12-AI12</f>
        <v>3301.1</v>
      </c>
      <c r="T12">
        <f t="shared" si="5"/>
        <v>131125.79999999999</v>
      </c>
      <c r="U12">
        <f t="shared" si="6"/>
        <v>0.21441793630459996</v>
      </c>
      <c r="V12">
        <f t="shared" si="7"/>
        <v>0.67639727540883265</v>
      </c>
      <c r="W12">
        <f t="shared" si="8"/>
        <v>8.1630062498819808E-2</v>
      </c>
      <c r="X12">
        <f t="shared" ref="X12:X75" si="12">V12 * ((Q12+R12)/T12)</f>
        <v>0.65936893281071618</v>
      </c>
      <c r="Y12">
        <f t="shared" si="9"/>
        <v>1.7028342598116447E-2</v>
      </c>
      <c r="AC12">
        <v>40.299999999999997</v>
      </c>
      <c r="AD12" s="29">
        <v>1.34137240556928E-5</v>
      </c>
      <c r="AE12" s="29">
        <v>6.5198900750206902E-4</v>
      </c>
      <c r="AF12" s="30">
        <v>9.8739581370289001E-11</v>
      </c>
      <c r="AG12">
        <v>346.8</v>
      </c>
      <c r="AH12">
        <v>780.5</v>
      </c>
      <c r="AI12">
        <v>149.9</v>
      </c>
      <c r="AJ12" s="26">
        <v>1.3809969999999999E-6</v>
      </c>
      <c r="AK12" s="26">
        <v>3.3333599881999999E-2</v>
      </c>
    </row>
    <row r="13" spans="1:37" ht="16">
      <c r="B13" s="36">
        <v>7</v>
      </c>
      <c r="C13" s="36">
        <v>31.4</v>
      </c>
      <c r="D13" s="36" t="s">
        <v>133</v>
      </c>
      <c r="E13" s="36" t="s">
        <v>123</v>
      </c>
      <c r="F13" s="36" t="s">
        <v>125</v>
      </c>
      <c r="G13" s="36"/>
      <c r="H13" s="36">
        <v>116888</v>
      </c>
      <c r="I13" s="36">
        <v>52375</v>
      </c>
      <c r="J13" s="36">
        <v>4859</v>
      </c>
      <c r="K13" s="36">
        <v>1208</v>
      </c>
      <c r="L13">
        <f t="shared" si="1"/>
        <v>1167.7</v>
      </c>
      <c r="M13">
        <f t="shared" si="10"/>
        <v>1.6449828306177795E-2</v>
      </c>
      <c r="N13">
        <f t="shared" si="2"/>
        <v>5.2387988236235014E-2</v>
      </c>
      <c r="P13">
        <f t="shared" si="3"/>
        <v>6.6238665316779619E-2</v>
      </c>
      <c r="Q13">
        <f t="shared" si="4"/>
        <v>116541.2</v>
      </c>
      <c r="R13">
        <f t="shared" si="0"/>
        <v>51594.5</v>
      </c>
      <c r="S13">
        <f t="shared" si="11"/>
        <v>4709.1000000000004</v>
      </c>
      <c r="T13">
        <f t="shared" si="5"/>
        <v>172844.80000000002</v>
      </c>
      <c r="U13">
        <f t="shared" si="6"/>
        <v>0.2720317501476</v>
      </c>
      <c r="V13">
        <f t="shared" si="7"/>
        <v>0.86634315333630574</v>
      </c>
      <c r="W13">
        <f t="shared" si="8"/>
        <v>8.2482065643934441E-2</v>
      </c>
      <c r="X13">
        <f t="shared" si="12"/>
        <v>0.84273991769730472</v>
      </c>
      <c r="Y13">
        <f t="shared" si="9"/>
        <v>2.3603235639000984E-2</v>
      </c>
      <c r="AC13">
        <v>40.299999999999997</v>
      </c>
      <c r="AD13" s="29">
        <v>1.34137240556928E-5</v>
      </c>
      <c r="AE13" s="29">
        <v>6.5198900750206902E-4</v>
      </c>
      <c r="AF13" s="30">
        <v>9.8739581370289001E-11</v>
      </c>
      <c r="AG13">
        <v>346.8</v>
      </c>
      <c r="AH13">
        <v>780.5</v>
      </c>
      <c r="AI13">
        <v>149.9</v>
      </c>
      <c r="AJ13" s="26">
        <v>1.3809969999999999E-6</v>
      </c>
      <c r="AK13" s="26">
        <v>3.3333599881999999E-2</v>
      </c>
    </row>
    <row r="14" spans="1:37" ht="16">
      <c r="B14" s="36">
        <v>8</v>
      </c>
      <c r="C14" s="36">
        <v>30.9</v>
      </c>
      <c r="D14" s="36" t="s">
        <v>134</v>
      </c>
      <c r="E14" s="36" t="s">
        <v>123</v>
      </c>
      <c r="F14" s="36" t="s">
        <v>125</v>
      </c>
      <c r="G14" s="36"/>
      <c r="H14" s="36">
        <v>64441</v>
      </c>
      <c r="I14" s="36">
        <v>31324</v>
      </c>
      <c r="J14" s="36">
        <v>2918</v>
      </c>
      <c r="K14" s="36">
        <v>272</v>
      </c>
      <c r="L14">
        <f t="shared" si="1"/>
        <v>231.7</v>
      </c>
      <c r="M14">
        <f t="shared" si="10"/>
        <v>3.7652496947706009E-3</v>
      </c>
      <c r="N14">
        <f t="shared" si="2"/>
        <v>1.2185274093108741E-2</v>
      </c>
      <c r="P14">
        <f t="shared" si="3"/>
        <v>6.7309680511046369E-2</v>
      </c>
      <c r="Q14">
        <f t="shared" si="4"/>
        <v>64094.2</v>
      </c>
      <c r="R14">
        <f t="shared" si="0"/>
        <v>30543.5</v>
      </c>
      <c r="S14">
        <f t="shared" si="11"/>
        <v>2768.1</v>
      </c>
      <c r="T14">
        <f t="shared" si="5"/>
        <v>97405.8</v>
      </c>
      <c r="U14">
        <f t="shared" si="6"/>
        <v>0.16785071746459998</v>
      </c>
      <c r="V14">
        <f t="shared" si="7"/>
        <v>0.543206205387055</v>
      </c>
      <c r="W14">
        <f t="shared" si="8"/>
        <v>8.3702821465542435E-2</v>
      </c>
      <c r="X14">
        <f t="shared" si="12"/>
        <v>0.52776924889029697</v>
      </c>
      <c r="Y14">
        <f t="shared" si="9"/>
        <v>1.5436956496757963E-2</v>
      </c>
      <c r="AC14">
        <v>40.299999999999997</v>
      </c>
      <c r="AD14" s="29">
        <v>1.34137240556928E-5</v>
      </c>
      <c r="AE14" s="29">
        <v>6.5198900750206902E-4</v>
      </c>
      <c r="AF14" s="30">
        <v>9.8739581370289001E-11</v>
      </c>
      <c r="AG14">
        <v>346.8</v>
      </c>
      <c r="AH14">
        <v>780.5</v>
      </c>
      <c r="AI14">
        <v>149.9</v>
      </c>
      <c r="AJ14" s="26">
        <v>1.3809969999999999E-6</v>
      </c>
      <c r="AK14" s="26">
        <v>3.3333599881999999E-2</v>
      </c>
    </row>
    <row r="15" spans="1:37" ht="16">
      <c r="B15" s="36">
        <v>9</v>
      </c>
      <c r="C15" s="36">
        <v>31</v>
      </c>
      <c r="D15" s="36" t="s">
        <v>135</v>
      </c>
      <c r="E15" s="36" t="s">
        <v>123</v>
      </c>
      <c r="F15" s="36" t="s">
        <v>125</v>
      </c>
      <c r="G15" s="36"/>
      <c r="H15" s="36">
        <v>81339</v>
      </c>
      <c r="I15" s="36">
        <v>40138</v>
      </c>
      <c r="J15" s="36">
        <v>3431</v>
      </c>
      <c r="K15" s="36">
        <v>931</v>
      </c>
      <c r="L15">
        <f t="shared" si="1"/>
        <v>890.7</v>
      </c>
      <c r="M15">
        <f t="shared" si="10"/>
        <v>1.2677927724211835E-2</v>
      </c>
      <c r="N15">
        <f t="shared" si="2"/>
        <v>4.0896541045844628E-2</v>
      </c>
      <c r="P15">
        <f t="shared" si="3"/>
        <v>6.7093025256511091E-2</v>
      </c>
      <c r="Q15">
        <f t="shared" si="4"/>
        <v>80992.2</v>
      </c>
      <c r="R15">
        <f t="shared" si="0"/>
        <v>39357.5</v>
      </c>
      <c r="S15">
        <f t="shared" si="11"/>
        <v>3281.1</v>
      </c>
      <c r="T15">
        <f t="shared" si="5"/>
        <v>123630.8</v>
      </c>
      <c r="U15">
        <f t="shared" si="6"/>
        <v>0.2040673637896</v>
      </c>
      <c r="V15">
        <f t="shared" si="7"/>
        <v>0.658281818676129</v>
      </c>
      <c r="W15">
        <f t="shared" si="8"/>
        <v>8.3467293592951422E-2</v>
      </c>
      <c r="X15">
        <f t="shared" si="12"/>
        <v>0.64081134630793068</v>
      </c>
      <c r="Y15">
        <f t="shared" si="9"/>
        <v>1.7470472368198271E-2</v>
      </c>
      <c r="AC15">
        <v>40.299999999999997</v>
      </c>
      <c r="AD15" s="29">
        <v>1.34137240556928E-5</v>
      </c>
      <c r="AE15" s="29">
        <v>6.5198900750206902E-4</v>
      </c>
      <c r="AF15" s="30">
        <v>9.8739581370289001E-11</v>
      </c>
      <c r="AG15">
        <v>346.8</v>
      </c>
      <c r="AH15">
        <v>780.5</v>
      </c>
      <c r="AI15">
        <v>149.9</v>
      </c>
      <c r="AJ15" s="26">
        <v>1.3809969999999999E-6</v>
      </c>
      <c r="AK15" s="26">
        <v>3.3333599881999999E-2</v>
      </c>
    </row>
    <row r="16" spans="1:37" ht="16">
      <c r="B16" s="36">
        <v>10</v>
      </c>
      <c r="C16" s="36">
        <v>30.9</v>
      </c>
      <c r="D16" s="36" t="s">
        <v>136</v>
      </c>
      <c r="E16" s="36" t="s">
        <v>123</v>
      </c>
      <c r="F16" s="36" t="s">
        <v>125</v>
      </c>
      <c r="G16" s="36"/>
      <c r="H16" s="36">
        <v>79523</v>
      </c>
      <c r="I16" s="36">
        <v>39176</v>
      </c>
      <c r="J16" s="36">
        <v>3754</v>
      </c>
      <c r="K16" s="36">
        <v>555</v>
      </c>
      <c r="L16">
        <f t="shared" si="1"/>
        <v>514.70000000000005</v>
      </c>
      <c r="M16">
        <f t="shared" si="10"/>
        <v>7.5821904827920077E-3</v>
      </c>
      <c r="N16">
        <f t="shared" si="2"/>
        <v>2.4537833277644038E-2</v>
      </c>
      <c r="P16">
        <f t="shared" si="3"/>
        <v>6.730982167747189E-2</v>
      </c>
      <c r="Q16">
        <f t="shared" si="4"/>
        <v>79176.2</v>
      </c>
      <c r="R16">
        <f t="shared" si="0"/>
        <v>38395.5</v>
      </c>
      <c r="S16">
        <f t="shared" si="11"/>
        <v>3604.1</v>
      </c>
      <c r="T16">
        <f t="shared" si="5"/>
        <v>121175.8</v>
      </c>
      <c r="U16">
        <f t="shared" si="6"/>
        <v>0.20067701615459999</v>
      </c>
      <c r="V16">
        <f t="shared" si="7"/>
        <v>0.64944018173009699</v>
      </c>
      <c r="W16">
        <f t="shared" si="8"/>
        <v>8.373452194581972E-2</v>
      </c>
      <c r="X16">
        <f t="shared" si="12"/>
        <v>0.63012405294057428</v>
      </c>
      <c r="Y16">
        <f t="shared" si="9"/>
        <v>1.9316128789522682E-2</v>
      </c>
      <c r="AC16">
        <v>40.299999999999997</v>
      </c>
      <c r="AD16" s="29">
        <v>1.34137240556928E-5</v>
      </c>
      <c r="AE16" s="29">
        <v>6.5198900750206902E-4</v>
      </c>
      <c r="AF16" s="30">
        <v>9.8739581370289001E-11</v>
      </c>
      <c r="AG16">
        <v>346.8</v>
      </c>
      <c r="AH16">
        <v>780.5</v>
      </c>
      <c r="AI16">
        <v>149.9</v>
      </c>
      <c r="AJ16" s="26">
        <v>1.3809969999999999E-6</v>
      </c>
      <c r="AK16" s="26">
        <v>3.3333599881999999E-2</v>
      </c>
    </row>
    <row r="17" spans="2:37" ht="16">
      <c r="B17" s="36">
        <v>11</v>
      </c>
      <c r="C17" s="36">
        <v>100</v>
      </c>
      <c r="D17" s="36" t="s">
        <v>58</v>
      </c>
      <c r="E17" s="36" t="s">
        <v>123</v>
      </c>
      <c r="F17" s="36" t="s">
        <v>125</v>
      </c>
      <c r="G17" s="36"/>
      <c r="H17" s="36">
        <v>311</v>
      </c>
      <c r="I17" s="36">
        <v>662</v>
      </c>
      <c r="J17" s="36">
        <v>6</v>
      </c>
      <c r="K17" s="36">
        <v>8</v>
      </c>
      <c r="AC17">
        <v>40.299999999999997</v>
      </c>
      <c r="AD17" s="29">
        <v>1.34137240556928E-5</v>
      </c>
      <c r="AE17" s="29">
        <v>6.5198900750206902E-4</v>
      </c>
      <c r="AF17" s="30">
        <v>9.8739581370289001E-11</v>
      </c>
      <c r="AG17">
        <v>346.8</v>
      </c>
      <c r="AH17">
        <v>780.5</v>
      </c>
      <c r="AI17">
        <v>149.9</v>
      </c>
      <c r="AJ17" s="26">
        <v>1.3809969999999999E-6</v>
      </c>
      <c r="AK17" s="26">
        <v>3.3333599881999999E-2</v>
      </c>
    </row>
    <row r="18" spans="2:37" ht="16">
      <c r="B18" s="36">
        <v>12</v>
      </c>
      <c r="C18" s="36">
        <v>35.299999999999997</v>
      </c>
      <c r="D18" s="36" t="s">
        <v>65</v>
      </c>
      <c r="E18" s="36" t="s">
        <v>123</v>
      </c>
      <c r="F18" s="36" t="s">
        <v>125</v>
      </c>
      <c r="G18" s="36"/>
      <c r="H18" s="36">
        <v>56369</v>
      </c>
      <c r="I18" s="36">
        <v>50433</v>
      </c>
      <c r="J18" s="36">
        <v>6711</v>
      </c>
      <c r="K18" s="36">
        <v>4172</v>
      </c>
      <c r="L18">
        <f t="shared" si="1"/>
        <v>4131.7</v>
      </c>
      <c r="M18">
        <f t="shared" si="10"/>
        <v>5.7759050640441879E-2</v>
      </c>
      <c r="N18">
        <f t="shared" si="2"/>
        <v>0.16362337291909881</v>
      </c>
      <c r="P18">
        <f t="shared" si="3"/>
        <v>5.8927057489189839E-2</v>
      </c>
      <c r="Q18">
        <f t="shared" si="4"/>
        <v>56022.2</v>
      </c>
      <c r="R18">
        <f t="shared" si="0"/>
        <v>49652.5</v>
      </c>
      <c r="S18">
        <f t="shared" si="11"/>
        <v>6561.1</v>
      </c>
      <c r="T18">
        <f t="shared" si="5"/>
        <v>112235.8</v>
      </c>
      <c r="U18">
        <f t="shared" si="6"/>
        <v>0.18833090297459998</v>
      </c>
      <c r="V18">
        <f t="shared" si="7"/>
        <v>0.53351530587705387</v>
      </c>
      <c r="W18">
        <f t="shared" si="8"/>
        <v>7.3267322829865894E-2</v>
      </c>
      <c r="X18">
        <f t="shared" si="12"/>
        <v>0.50232697493995593</v>
      </c>
      <c r="Y18">
        <f t="shared" si="9"/>
        <v>3.1188330937097948E-2</v>
      </c>
      <c r="AC18">
        <v>40.299999999999997</v>
      </c>
      <c r="AD18" s="29">
        <v>1.34137240556928E-5</v>
      </c>
      <c r="AE18" s="29">
        <v>6.5198900750206902E-4</v>
      </c>
      <c r="AF18" s="30">
        <v>9.8739581370289001E-11</v>
      </c>
      <c r="AG18">
        <v>346.8</v>
      </c>
      <c r="AH18">
        <v>780.5</v>
      </c>
      <c r="AI18">
        <v>149.9</v>
      </c>
      <c r="AJ18" s="26">
        <v>1.3809969999999999E-6</v>
      </c>
      <c r="AK18" s="26">
        <v>3.3333599881999999E-2</v>
      </c>
    </row>
    <row r="19" spans="2:37" ht="16">
      <c r="B19" s="36">
        <v>13</v>
      </c>
      <c r="C19" s="36">
        <v>30.1</v>
      </c>
      <c r="D19" s="36" t="s">
        <v>137</v>
      </c>
      <c r="E19" s="36" t="s">
        <v>33</v>
      </c>
      <c r="F19" s="36" t="s">
        <v>125</v>
      </c>
      <c r="G19" s="36"/>
      <c r="H19" s="36">
        <v>95541</v>
      </c>
      <c r="I19" s="36">
        <v>40580</v>
      </c>
      <c r="J19" s="36">
        <v>3447</v>
      </c>
      <c r="K19" s="36">
        <v>20</v>
      </c>
      <c r="L19">
        <f t="shared" si="1"/>
        <v>-20.299999999999997</v>
      </c>
      <c r="M19">
        <f t="shared" si="10"/>
        <v>3.7973109876559213E-4</v>
      </c>
      <c r="N19">
        <f t="shared" si="2"/>
        <v>1.2615651121780469E-3</v>
      </c>
      <c r="P19">
        <f t="shared" si="3"/>
        <v>6.9098595192834067E-2</v>
      </c>
      <c r="Q19">
        <f t="shared" si="4"/>
        <v>95194.2</v>
      </c>
      <c r="R19">
        <f t="shared" si="0"/>
        <v>39799.5</v>
      </c>
      <c r="S19">
        <f t="shared" si="11"/>
        <v>3297.1</v>
      </c>
      <c r="T19">
        <f t="shared" si="5"/>
        <v>138290.80000000002</v>
      </c>
      <c r="U19">
        <f t="shared" si="6"/>
        <v>0.22431277980960002</v>
      </c>
      <c r="V19">
        <f t="shared" si="7"/>
        <v>0.74522518209169442</v>
      </c>
      <c r="W19">
        <f t="shared" si="8"/>
        <v>8.5994323182518248E-2</v>
      </c>
      <c r="X19">
        <f t="shared" si="12"/>
        <v>0.72745768094285068</v>
      </c>
      <c r="Y19">
        <f t="shared" si="9"/>
        <v>1.7767501148843779E-2</v>
      </c>
      <c r="AC19">
        <v>40.299999999999997</v>
      </c>
      <c r="AD19" s="29">
        <v>1.34137240556928E-5</v>
      </c>
      <c r="AE19" s="29">
        <v>6.5198900750206902E-4</v>
      </c>
      <c r="AF19" s="30">
        <v>9.8739581370289001E-11</v>
      </c>
      <c r="AG19">
        <v>346.8</v>
      </c>
      <c r="AH19">
        <v>780.5</v>
      </c>
      <c r="AI19">
        <v>149.9</v>
      </c>
      <c r="AJ19" s="26">
        <v>1.3809969999999999E-6</v>
      </c>
      <c r="AK19" s="26">
        <v>3.3333599881999999E-2</v>
      </c>
    </row>
    <row r="20" spans="2:37" ht="16">
      <c r="B20" s="36">
        <v>14</v>
      </c>
      <c r="C20" s="36">
        <v>30.7</v>
      </c>
      <c r="D20" s="36" t="s">
        <v>138</v>
      </c>
      <c r="E20" s="36" t="s">
        <v>123</v>
      </c>
      <c r="F20" s="36" t="s">
        <v>125</v>
      </c>
      <c r="G20" s="36"/>
      <c r="H20" s="36">
        <v>124732</v>
      </c>
      <c r="I20" s="36">
        <v>64886</v>
      </c>
      <c r="J20" s="36">
        <v>5527</v>
      </c>
      <c r="K20" s="36">
        <v>2087</v>
      </c>
      <c r="L20">
        <f t="shared" si="1"/>
        <v>2046.7</v>
      </c>
      <c r="M20">
        <f t="shared" si="10"/>
        <v>2.8519476251735263E-2</v>
      </c>
      <c r="N20">
        <f t="shared" si="2"/>
        <v>9.2897316780896619E-2</v>
      </c>
      <c r="P20">
        <f t="shared" si="3"/>
        <v>6.7750836597420608E-2</v>
      </c>
      <c r="Q20">
        <f t="shared" si="4"/>
        <v>124385.2</v>
      </c>
      <c r="R20">
        <f t="shared" si="0"/>
        <v>64105.5</v>
      </c>
      <c r="S20">
        <f t="shared" si="11"/>
        <v>5377.1</v>
      </c>
      <c r="T20">
        <f t="shared" si="5"/>
        <v>193867.80000000002</v>
      </c>
      <c r="U20">
        <f t="shared" si="6"/>
        <v>0.3010644500786</v>
      </c>
      <c r="V20">
        <f t="shared" si="7"/>
        <v>0.98066596116807814</v>
      </c>
      <c r="W20">
        <f t="shared" si="8"/>
        <v>8.4415860931889353E-2</v>
      </c>
      <c r="X20">
        <f t="shared" si="12"/>
        <v>0.95346629758394053</v>
      </c>
      <c r="Y20">
        <f t="shared" si="9"/>
        <v>2.7199663584137609E-2</v>
      </c>
      <c r="AC20">
        <v>40.299999999999997</v>
      </c>
      <c r="AD20" s="29">
        <v>1.34137240556928E-5</v>
      </c>
      <c r="AE20" s="29">
        <v>6.5198900750206902E-4</v>
      </c>
      <c r="AF20" s="30">
        <v>9.8739581370289001E-11</v>
      </c>
      <c r="AG20">
        <v>346.8</v>
      </c>
      <c r="AH20">
        <v>780.5</v>
      </c>
      <c r="AI20">
        <v>149.9</v>
      </c>
      <c r="AJ20" s="26">
        <v>1.3809969999999999E-6</v>
      </c>
      <c r="AK20" s="26">
        <v>3.3333599881999999E-2</v>
      </c>
    </row>
    <row r="21" spans="2:37" ht="16">
      <c r="B21" s="36">
        <v>15</v>
      </c>
      <c r="C21" s="36">
        <v>31.7</v>
      </c>
      <c r="D21" s="36" t="s">
        <v>139</v>
      </c>
      <c r="E21" s="36" t="s">
        <v>123</v>
      </c>
      <c r="F21" s="36" t="s">
        <v>125</v>
      </c>
      <c r="G21" s="36"/>
      <c r="H21" s="36">
        <v>116696</v>
      </c>
      <c r="I21" s="36">
        <v>55587</v>
      </c>
      <c r="J21" s="36">
        <v>4069</v>
      </c>
      <c r="K21" s="36">
        <v>921</v>
      </c>
      <c r="L21">
        <f t="shared" si="1"/>
        <v>880.7</v>
      </c>
      <c r="M21">
        <f t="shared" si="10"/>
        <v>1.2542041410710513E-2</v>
      </c>
      <c r="N21">
        <f t="shared" si="2"/>
        <v>3.9564799402872282E-2</v>
      </c>
      <c r="P21">
        <f t="shared" si="3"/>
        <v>6.5611443298732128E-2</v>
      </c>
      <c r="Q21">
        <f t="shared" si="4"/>
        <v>116349.2</v>
      </c>
      <c r="R21">
        <f t="shared" si="0"/>
        <v>54806.5</v>
      </c>
      <c r="S21">
        <f t="shared" si="11"/>
        <v>3919.1</v>
      </c>
      <c r="T21">
        <f t="shared" si="5"/>
        <v>175074.80000000002</v>
      </c>
      <c r="U21">
        <f t="shared" si="6"/>
        <v>0.27511137345760001</v>
      </c>
      <c r="V21">
        <f t="shared" si="7"/>
        <v>0.86785922226372236</v>
      </c>
      <c r="W21">
        <f t="shared" si="8"/>
        <v>8.1702118741594318E-2</v>
      </c>
      <c r="X21">
        <f t="shared" si="12"/>
        <v>0.84843194273535072</v>
      </c>
      <c r="Y21">
        <f t="shared" si="9"/>
        <v>1.9427279528371613E-2</v>
      </c>
      <c r="AC21">
        <v>40.299999999999997</v>
      </c>
      <c r="AD21" s="29">
        <v>1.34137240556928E-5</v>
      </c>
      <c r="AE21" s="29">
        <v>6.5198900750206902E-4</v>
      </c>
      <c r="AF21" s="30">
        <v>9.8739581370289001E-11</v>
      </c>
      <c r="AG21">
        <v>346.8</v>
      </c>
      <c r="AH21">
        <v>780.5</v>
      </c>
      <c r="AI21">
        <v>149.9</v>
      </c>
      <c r="AJ21" s="26">
        <v>1.3809969999999999E-6</v>
      </c>
      <c r="AK21" s="26">
        <v>3.3333599881999999E-2</v>
      </c>
    </row>
    <row r="22" spans="2:37" ht="16">
      <c r="B22" s="36">
        <v>16</v>
      </c>
      <c r="C22" s="36">
        <v>31.5</v>
      </c>
      <c r="D22" s="36" t="s">
        <v>140</v>
      </c>
      <c r="E22" s="36" t="s">
        <v>123</v>
      </c>
      <c r="F22" s="36" t="s">
        <v>125</v>
      </c>
      <c r="G22" s="36"/>
      <c r="H22" s="36">
        <v>54938</v>
      </c>
      <c r="I22" s="36">
        <v>36804</v>
      </c>
      <c r="J22" s="36">
        <v>3559</v>
      </c>
      <c r="K22" s="36">
        <v>107</v>
      </c>
      <c r="L22">
        <f t="shared" si="1"/>
        <v>66.7</v>
      </c>
      <c r="M22">
        <f t="shared" si="10"/>
        <v>1.5471236835529413E-3</v>
      </c>
      <c r="N22">
        <f t="shared" si="2"/>
        <v>4.9115037573109251E-3</v>
      </c>
      <c r="P22">
        <f t="shared" si="3"/>
        <v>6.6027553395727204E-2</v>
      </c>
      <c r="Q22">
        <f t="shared" si="4"/>
        <v>54591.199999999997</v>
      </c>
      <c r="R22">
        <f t="shared" si="0"/>
        <v>36023.5</v>
      </c>
      <c r="S22">
        <f t="shared" si="11"/>
        <v>3409.1</v>
      </c>
      <c r="T22">
        <f t="shared" si="5"/>
        <v>94023.8</v>
      </c>
      <c r="U22">
        <f t="shared" si="6"/>
        <v>0.16318018561059999</v>
      </c>
      <c r="V22">
        <f t="shared" si="7"/>
        <v>0.51803233527174597</v>
      </c>
      <c r="W22">
        <f t="shared" si="8"/>
        <v>8.2101923559071852E-2</v>
      </c>
      <c r="X22">
        <f t="shared" si="12"/>
        <v>0.49924960117490125</v>
      </c>
      <c r="Y22">
        <f t="shared" si="9"/>
        <v>1.8782734096844726E-2</v>
      </c>
      <c r="AC22">
        <v>40.299999999999997</v>
      </c>
      <c r="AD22" s="29">
        <v>1.34137240556928E-5</v>
      </c>
      <c r="AE22" s="29">
        <v>6.5198900750206902E-4</v>
      </c>
      <c r="AF22" s="30">
        <v>9.8739581370289001E-11</v>
      </c>
      <c r="AG22">
        <v>346.8</v>
      </c>
      <c r="AH22">
        <v>780.5</v>
      </c>
      <c r="AI22">
        <v>149.9</v>
      </c>
      <c r="AJ22" s="26">
        <v>1.3809969999999999E-6</v>
      </c>
      <c r="AK22" s="26">
        <v>3.3333599881999999E-2</v>
      </c>
    </row>
    <row r="23" spans="2:37" ht="16">
      <c r="B23" s="36">
        <v>17</v>
      </c>
      <c r="C23" s="36">
        <v>31</v>
      </c>
      <c r="D23" s="36" t="s">
        <v>141</v>
      </c>
      <c r="E23" s="36" t="s">
        <v>123</v>
      </c>
      <c r="F23" s="36" t="s">
        <v>125</v>
      </c>
      <c r="G23" s="36"/>
      <c r="H23" s="36">
        <v>49653</v>
      </c>
      <c r="I23" s="36">
        <v>33490</v>
      </c>
      <c r="J23" s="36">
        <v>3932</v>
      </c>
      <c r="K23" s="36">
        <v>340</v>
      </c>
      <c r="L23">
        <f t="shared" si="1"/>
        <v>299.7</v>
      </c>
      <c r="M23">
        <f t="shared" si="10"/>
        <v>4.6809509050784424E-3</v>
      </c>
      <c r="N23">
        <f t="shared" si="2"/>
        <v>1.5099841629285298E-2</v>
      </c>
      <c r="P23">
        <f t="shared" si="3"/>
        <v>6.7092577177295415E-2</v>
      </c>
      <c r="Q23">
        <f t="shared" si="4"/>
        <v>49306.2</v>
      </c>
      <c r="R23">
        <f t="shared" si="0"/>
        <v>32709.5</v>
      </c>
      <c r="S23">
        <f t="shared" si="11"/>
        <v>3782.1</v>
      </c>
      <c r="T23">
        <f t="shared" si="5"/>
        <v>85797.8</v>
      </c>
      <c r="U23">
        <f t="shared" si="6"/>
        <v>0.15182010428859999</v>
      </c>
      <c r="V23">
        <f t="shared" si="7"/>
        <v>0.48974227189870967</v>
      </c>
      <c r="W23">
        <f t="shared" si="8"/>
        <v>8.3419035665668148E-2</v>
      </c>
      <c r="X23">
        <f t="shared" si="12"/>
        <v>0.46815367351334186</v>
      </c>
      <c r="Y23">
        <f t="shared" si="9"/>
        <v>2.1588598385367804E-2</v>
      </c>
      <c r="AC23">
        <v>40.299999999999997</v>
      </c>
      <c r="AD23" s="29">
        <v>1.34137240556928E-5</v>
      </c>
      <c r="AE23" s="29">
        <v>6.5198900750206902E-4</v>
      </c>
      <c r="AF23" s="30">
        <v>9.8739581370289001E-11</v>
      </c>
      <c r="AG23">
        <v>346.8</v>
      </c>
      <c r="AH23">
        <v>780.5</v>
      </c>
      <c r="AI23">
        <v>149.9</v>
      </c>
      <c r="AJ23" s="26">
        <v>1.3809969999999999E-6</v>
      </c>
      <c r="AK23" s="26">
        <v>3.3333599881999999E-2</v>
      </c>
    </row>
    <row r="24" spans="2:37" ht="16">
      <c r="B24" s="36">
        <v>18</v>
      </c>
      <c r="C24" s="36">
        <v>33.700000000000003</v>
      </c>
      <c r="D24" s="36" t="s">
        <v>142</v>
      </c>
      <c r="E24" s="36" t="s">
        <v>123</v>
      </c>
      <c r="F24" s="36" t="s">
        <v>125</v>
      </c>
      <c r="G24" s="36"/>
      <c r="H24" s="36">
        <v>39444</v>
      </c>
      <c r="I24" s="36">
        <v>30730</v>
      </c>
      <c r="J24" s="36">
        <v>4463</v>
      </c>
      <c r="K24" s="36">
        <v>347</v>
      </c>
      <c r="L24">
        <f t="shared" si="1"/>
        <v>306.7</v>
      </c>
      <c r="M24">
        <f t="shared" si="10"/>
        <v>4.7752661032432926E-3</v>
      </c>
      <c r="N24">
        <f t="shared" si="2"/>
        <v>1.4169929089742706E-2</v>
      </c>
      <c r="P24">
        <f t="shared" si="3"/>
        <v>6.171719972596703E-2</v>
      </c>
      <c r="Q24">
        <f t="shared" si="4"/>
        <v>39097.199999999997</v>
      </c>
      <c r="R24">
        <f t="shared" si="0"/>
        <v>29949.5</v>
      </c>
      <c r="S24">
        <f t="shared" si="11"/>
        <v>4313.1000000000004</v>
      </c>
      <c r="T24">
        <f t="shared" si="5"/>
        <v>73359.8</v>
      </c>
      <c r="U24">
        <f t="shared" si="6"/>
        <v>0.13464326360259998</v>
      </c>
      <c r="V24">
        <f t="shared" si="7"/>
        <v>0.39953490683264081</v>
      </c>
      <c r="W24">
        <f t="shared" si="8"/>
        <v>7.6717199293948726E-2</v>
      </c>
      <c r="X24">
        <f t="shared" si="12"/>
        <v>0.37604473910235986</v>
      </c>
      <c r="Y24">
        <f t="shared" si="9"/>
        <v>2.3490167730280932E-2</v>
      </c>
      <c r="AC24">
        <v>40.299999999999997</v>
      </c>
      <c r="AD24" s="29">
        <v>1.34137240556928E-5</v>
      </c>
      <c r="AE24" s="29">
        <v>6.5198900750206902E-4</v>
      </c>
      <c r="AF24" s="30">
        <v>9.8739581370289001E-11</v>
      </c>
      <c r="AG24">
        <v>346.8</v>
      </c>
      <c r="AH24">
        <v>780.5</v>
      </c>
      <c r="AI24">
        <v>149.9</v>
      </c>
      <c r="AJ24" s="26">
        <v>1.3809969999999999E-6</v>
      </c>
      <c r="AK24" s="26">
        <v>3.3333599881999999E-2</v>
      </c>
    </row>
    <row r="25" spans="2:37" ht="16">
      <c r="B25" s="36">
        <v>19</v>
      </c>
      <c r="C25" s="36">
        <v>100</v>
      </c>
      <c r="D25" s="36" t="s">
        <v>58</v>
      </c>
      <c r="E25" s="36" t="s">
        <v>123</v>
      </c>
      <c r="F25" s="36" t="s">
        <v>125</v>
      </c>
      <c r="G25" s="36"/>
      <c r="H25" s="36">
        <v>305</v>
      </c>
      <c r="I25" s="36">
        <v>249</v>
      </c>
      <c r="J25" s="36">
        <v>12</v>
      </c>
      <c r="K25" s="36">
        <v>4</v>
      </c>
      <c r="AC25">
        <v>40.299999999999997</v>
      </c>
      <c r="AD25" s="29">
        <v>1.34137240556928E-5</v>
      </c>
      <c r="AE25" s="29">
        <v>6.5198900750206902E-4</v>
      </c>
      <c r="AF25" s="30">
        <v>9.8739581370289001E-11</v>
      </c>
      <c r="AG25">
        <v>346.8</v>
      </c>
      <c r="AH25">
        <v>780.5</v>
      </c>
      <c r="AI25">
        <v>149.9</v>
      </c>
      <c r="AJ25" s="26">
        <v>1.3809969999999999E-6</v>
      </c>
      <c r="AK25" s="26">
        <v>3.3333599881999999E-2</v>
      </c>
    </row>
    <row r="26" spans="2:37" ht="16">
      <c r="B26" s="36">
        <v>20</v>
      </c>
      <c r="C26" s="36">
        <v>30.1</v>
      </c>
      <c r="D26" s="36" t="s">
        <v>65</v>
      </c>
      <c r="E26" s="36" t="s">
        <v>123</v>
      </c>
      <c r="F26" s="36" t="s">
        <v>125</v>
      </c>
      <c r="G26" s="36"/>
      <c r="H26" s="36">
        <v>47437</v>
      </c>
      <c r="I26" s="36">
        <v>43350</v>
      </c>
      <c r="J26" s="36">
        <v>5528</v>
      </c>
      <c r="K26" s="36">
        <v>4123</v>
      </c>
      <c r="L26">
        <f t="shared" si="1"/>
        <v>4082.7</v>
      </c>
      <c r="M26">
        <f t="shared" si="10"/>
        <v>5.7062034927269738E-2</v>
      </c>
      <c r="N26">
        <f t="shared" si="2"/>
        <v>0.18957486686800576</v>
      </c>
      <c r="P26">
        <f t="shared" si="3"/>
        <v>6.9110074984272393E-2</v>
      </c>
      <c r="Q26">
        <f t="shared" si="4"/>
        <v>47090.2</v>
      </c>
      <c r="R26">
        <f t="shared" si="0"/>
        <v>42569.5</v>
      </c>
      <c r="S26">
        <f t="shared" si="11"/>
        <v>5378.1</v>
      </c>
      <c r="T26">
        <f t="shared" si="5"/>
        <v>95037.8</v>
      </c>
      <c r="U26">
        <f t="shared" si="6"/>
        <v>0.16458051656859998</v>
      </c>
      <c r="V26">
        <f t="shared" si="7"/>
        <v>0.54677912481262447</v>
      </c>
      <c r="W26">
        <f t="shared" si="8"/>
        <v>8.5928481647335159E-2</v>
      </c>
      <c r="X26">
        <f t="shared" si="12"/>
        <v>0.51583740676828027</v>
      </c>
      <c r="Y26">
        <f t="shared" si="9"/>
        <v>3.0941718044344209E-2</v>
      </c>
      <c r="AC26">
        <v>40.299999999999997</v>
      </c>
      <c r="AD26" s="29">
        <v>1.34137240556928E-5</v>
      </c>
      <c r="AE26" s="29">
        <v>6.5198900750206902E-4</v>
      </c>
      <c r="AF26" s="30">
        <v>9.8739581370289001E-11</v>
      </c>
      <c r="AG26">
        <v>346.8</v>
      </c>
      <c r="AH26">
        <v>780.5</v>
      </c>
      <c r="AI26">
        <v>149.9</v>
      </c>
      <c r="AJ26" s="26">
        <v>1.3809969999999999E-6</v>
      </c>
      <c r="AK26" s="26">
        <v>3.3333599881999999E-2</v>
      </c>
    </row>
    <row r="27" spans="2:37" ht="16">
      <c r="B27" s="36">
        <v>21</v>
      </c>
      <c r="C27" s="36">
        <v>31.7</v>
      </c>
      <c r="D27" s="36" t="s">
        <v>143</v>
      </c>
      <c r="E27" s="36" t="s">
        <v>144</v>
      </c>
      <c r="F27" s="36" t="s">
        <v>125</v>
      </c>
      <c r="G27" s="36"/>
      <c r="H27" s="36">
        <v>52966</v>
      </c>
      <c r="I27" s="36">
        <v>33636</v>
      </c>
      <c r="J27" s="36">
        <v>3093</v>
      </c>
      <c r="K27" s="36">
        <v>443</v>
      </c>
      <c r="L27">
        <f t="shared" si="1"/>
        <v>402.7</v>
      </c>
      <c r="M27">
        <f t="shared" si="10"/>
        <v>6.0697080150561135E-3</v>
      </c>
      <c r="N27">
        <f t="shared" si="2"/>
        <v>1.9147343896076068E-2</v>
      </c>
      <c r="P27">
        <f t="shared" si="3"/>
        <v>6.5611079666278882E-2</v>
      </c>
      <c r="Q27">
        <f t="shared" si="4"/>
        <v>52619.199999999997</v>
      </c>
      <c r="R27">
        <f t="shared" si="0"/>
        <v>32855.5</v>
      </c>
      <c r="S27">
        <f t="shared" si="11"/>
        <v>2943.1</v>
      </c>
      <c r="T27">
        <f t="shared" si="5"/>
        <v>88417.8</v>
      </c>
      <c r="U27">
        <f t="shared" si="6"/>
        <v>0.15543831642859998</v>
      </c>
      <c r="V27">
        <f t="shared" si="7"/>
        <v>0.49034169220378548</v>
      </c>
      <c r="W27">
        <f t="shared" si="8"/>
        <v>8.1577118271561277E-2</v>
      </c>
      <c r="X27">
        <f t="shared" si="12"/>
        <v>0.47402003938811982</v>
      </c>
      <c r="Y27">
        <f t="shared" si="9"/>
        <v>1.6321652815665635E-2</v>
      </c>
      <c r="AC27">
        <v>40.299999999999997</v>
      </c>
      <c r="AD27" s="29">
        <v>1.34137240556928E-5</v>
      </c>
      <c r="AE27" s="29">
        <v>6.5198900750206902E-4</v>
      </c>
      <c r="AF27" s="30">
        <v>9.8739581370289001E-11</v>
      </c>
      <c r="AG27">
        <v>346.8</v>
      </c>
      <c r="AH27">
        <v>780.5</v>
      </c>
      <c r="AI27">
        <v>149.9</v>
      </c>
      <c r="AJ27" s="26">
        <v>1.3809969999999999E-6</v>
      </c>
      <c r="AK27" s="26">
        <v>3.3333599881999999E-2</v>
      </c>
    </row>
    <row r="28" spans="2:37" ht="16">
      <c r="B28" s="36">
        <v>22</v>
      </c>
      <c r="C28" s="36">
        <v>31.4</v>
      </c>
      <c r="D28" s="36" t="s">
        <v>145</v>
      </c>
      <c r="E28" s="36" t="s">
        <v>123</v>
      </c>
      <c r="F28" s="36" t="s">
        <v>125</v>
      </c>
      <c r="G28" s="36"/>
      <c r="H28" s="36">
        <v>41813</v>
      </c>
      <c r="I28" s="36">
        <v>29877</v>
      </c>
      <c r="J28" s="36">
        <v>3640</v>
      </c>
      <c r="K28" s="36">
        <v>483</v>
      </c>
      <c r="L28">
        <f t="shared" si="1"/>
        <v>442.7</v>
      </c>
      <c r="M28">
        <f t="shared" si="10"/>
        <v>6.609595954967443E-3</v>
      </c>
      <c r="N28">
        <f t="shared" si="2"/>
        <v>2.1049668646393131E-2</v>
      </c>
      <c r="P28">
        <f t="shared" si="3"/>
        <v>6.6237960532913115E-2</v>
      </c>
      <c r="Q28">
        <f t="shared" si="4"/>
        <v>41466.199999999997</v>
      </c>
      <c r="R28">
        <f t="shared" si="0"/>
        <v>29096.5</v>
      </c>
      <c r="S28">
        <f t="shared" si="11"/>
        <v>3490.1</v>
      </c>
      <c r="T28">
        <f t="shared" si="5"/>
        <v>74052.800000000003</v>
      </c>
      <c r="U28">
        <f t="shared" si="6"/>
        <v>0.13560029452360001</v>
      </c>
      <c r="V28">
        <f t="shared" si="7"/>
        <v>0.43184807173121026</v>
      </c>
      <c r="W28">
        <f t="shared" si="8"/>
        <v>8.2343230196192274E-2</v>
      </c>
      <c r="X28">
        <f t="shared" si="12"/>
        <v>0.41149512146938222</v>
      </c>
      <c r="Y28">
        <f t="shared" si="9"/>
        <v>2.0352950261828002E-2</v>
      </c>
      <c r="AC28">
        <v>40.299999999999997</v>
      </c>
      <c r="AD28" s="29">
        <v>1.34137240556928E-5</v>
      </c>
      <c r="AE28" s="29">
        <v>6.5198900750206902E-4</v>
      </c>
      <c r="AF28" s="30">
        <v>9.8739581370289001E-11</v>
      </c>
      <c r="AG28">
        <v>346.8</v>
      </c>
      <c r="AH28">
        <v>780.5</v>
      </c>
      <c r="AI28">
        <v>149.9</v>
      </c>
      <c r="AJ28" s="26">
        <v>1.3809969999999999E-6</v>
      </c>
      <c r="AK28" s="26">
        <v>3.3333599881999999E-2</v>
      </c>
    </row>
    <row r="29" spans="2:37" ht="16">
      <c r="B29" s="36">
        <v>23</v>
      </c>
      <c r="C29" s="36">
        <v>33.4</v>
      </c>
      <c r="D29" s="36" t="s">
        <v>146</v>
      </c>
      <c r="E29" s="36" t="s">
        <v>147</v>
      </c>
      <c r="F29" s="36" t="s">
        <v>125</v>
      </c>
      <c r="G29" s="36"/>
      <c r="H29" s="36">
        <v>64347</v>
      </c>
      <c r="I29" s="36">
        <v>47844</v>
      </c>
      <c r="J29" s="36">
        <v>3690</v>
      </c>
      <c r="K29" s="36">
        <v>1663</v>
      </c>
      <c r="L29">
        <f t="shared" si="1"/>
        <v>1622.7</v>
      </c>
      <c r="M29">
        <f t="shared" si="10"/>
        <v>2.2678435683692339E-2</v>
      </c>
      <c r="N29">
        <f t="shared" si="2"/>
        <v>6.7899508035007008E-2</v>
      </c>
      <c r="P29">
        <f t="shared" si="3"/>
        <v>6.2272815346417834E-2</v>
      </c>
      <c r="Q29">
        <f t="shared" si="4"/>
        <v>64000.2</v>
      </c>
      <c r="R29">
        <f t="shared" si="0"/>
        <v>47063.5</v>
      </c>
      <c r="S29">
        <f t="shared" si="11"/>
        <v>3540.1</v>
      </c>
      <c r="T29">
        <f t="shared" si="5"/>
        <v>114603.8</v>
      </c>
      <c r="U29">
        <f t="shared" si="6"/>
        <v>0.19160110387059998</v>
      </c>
      <c r="V29">
        <f t="shared" si="7"/>
        <v>0.57365599961257485</v>
      </c>
      <c r="W29">
        <f t="shared" si="8"/>
        <v>7.7445513337410024E-2</v>
      </c>
      <c r="X29">
        <f t="shared" si="12"/>
        <v>0.55593582275780673</v>
      </c>
      <c r="Y29">
        <f t="shared" si="9"/>
        <v>1.7720176854768132E-2</v>
      </c>
      <c r="AC29">
        <v>40.299999999999997</v>
      </c>
      <c r="AD29" s="29">
        <v>1.34137240556928E-5</v>
      </c>
      <c r="AE29" s="29">
        <v>6.5198900750206902E-4</v>
      </c>
      <c r="AF29" s="30">
        <v>9.8739581370289001E-11</v>
      </c>
      <c r="AG29">
        <v>346.8</v>
      </c>
      <c r="AH29">
        <v>780.5</v>
      </c>
      <c r="AI29">
        <v>149.9</v>
      </c>
      <c r="AJ29" s="26">
        <v>1.3809969999999999E-6</v>
      </c>
      <c r="AK29" s="26">
        <v>3.3333599881999999E-2</v>
      </c>
    </row>
    <row r="30" spans="2:37" ht="16">
      <c r="B30" s="36">
        <v>24</v>
      </c>
      <c r="C30" s="36">
        <v>30.7</v>
      </c>
      <c r="D30" s="36" t="s">
        <v>148</v>
      </c>
      <c r="E30" s="36" t="s">
        <v>123</v>
      </c>
      <c r="F30" s="36" t="s">
        <v>125</v>
      </c>
      <c r="G30" s="36"/>
      <c r="H30" s="36">
        <v>56159</v>
      </c>
      <c r="I30" s="36">
        <v>42622</v>
      </c>
      <c r="J30" s="36">
        <v>4654</v>
      </c>
      <c r="K30" s="36">
        <v>283</v>
      </c>
      <c r="L30">
        <f t="shared" si="1"/>
        <v>242.7</v>
      </c>
      <c r="M30">
        <f t="shared" si="10"/>
        <v>3.913315922014644E-3</v>
      </c>
      <c r="N30">
        <f t="shared" si="2"/>
        <v>1.2746957400699166E-2</v>
      </c>
      <c r="P30">
        <f t="shared" si="3"/>
        <v>6.7748184444749934E-2</v>
      </c>
      <c r="Q30">
        <f t="shared" si="4"/>
        <v>55812.2</v>
      </c>
      <c r="R30">
        <f t="shared" si="0"/>
        <v>41841.5</v>
      </c>
      <c r="S30">
        <f t="shared" si="11"/>
        <v>4504.1000000000004</v>
      </c>
      <c r="T30">
        <f t="shared" si="5"/>
        <v>102157.8</v>
      </c>
      <c r="U30">
        <f t="shared" si="6"/>
        <v>0.17441321520859998</v>
      </c>
      <c r="V30">
        <f t="shared" si="7"/>
        <v>0.5681212221778501</v>
      </c>
      <c r="W30">
        <f t="shared" si="8"/>
        <v>8.4255090660657062E-2</v>
      </c>
      <c r="X30">
        <f t="shared" si="12"/>
        <v>0.54307296549249418</v>
      </c>
      <c r="Y30">
        <f t="shared" si="9"/>
        <v>2.5048256685355937E-2</v>
      </c>
      <c r="AC30">
        <v>40.299999999999997</v>
      </c>
      <c r="AD30" s="29">
        <v>1.34137240556928E-5</v>
      </c>
      <c r="AE30" s="29">
        <v>6.5198900750206902E-4</v>
      </c>
      <c r="AF30" s="30">
        <v>9.8739581370289001E-11</v>
      </c>
      <c r="AG30">
        <v>346.8</v>
      </c>
      <c r="AH30">
        <v>780.5</v>
      </c>
      <c r="AI30">
        <v>149.9</v>
      </c>
      <c r="AJ30" s="26">
        <v>1.3809969999999999E-6</v>
      </c>
      <c r="AK30" s="26">
        <v>3.3333599881999999E-2</v>
      </c>
    </row>
    <row r="31" spans="2:37" ht="16">
      <c r="B31" s="36">
        <v>25</v>
      </c>
      <c r="C31" s="36">
        <v>30.6</v>
      </c>
      <c r="D31" s="36" t="s">
        <v>149</v>
      </c>
      <c r="E31" s="36" t="s">
        <v>123</v>
      </c>
      <c r="F31" s="36" t="s">
        <v>125</v>
      </c>
      <c r="G31" s="36"/>
      <c r="H31" s="36">
        <v>64663</v>
      </c>
      <c r="I31" s="36">
        <v>45077</v>
      </c>
      <c r="J31" s="36">
        <v>3446</v>
      </c>
      <c r="K31" s="36">
        <v>613</v>
      </c>
      <c r="L31">
        <f t="shared" si="1"/>
        <v>572.70000000000005</v>
      </c>
      <c r="M31">
        <f t="shared" si="10"/>
        <v>8.3664139044275498E-3</v>
      </c>
      <c r="N31">
        <f t="shared" si="2"/>
        <v>2.7341221909893951E-2</v>
      </c>
      <c r="P31">
        <f t="shared" si="3"/>
        <v>6.7969767593223568E-2</v>
      </c>
      <c r="Q31">
        <f t="shared" si="4"/>
        <v>64316.2</v>
      </c>
      <c r="R31">
        <f t="shared" si="0"/>
        <v>44296.5</v>
      </c>
      <c r="S31">
        <f t="shared" si="11"/>
        <v>3296.1</v>
      </c>
      <c r="T31">
        <f t="shared" si="5"/>
        <v>111908.8</v>
      </c>
      <c r="U31">
        <f t="shared" si="6"/>
        <v>0.18787931695559998</v>
      </c>
      <c r="V31">
        <f t="shared" si="7"/>
        <v>0.61398469593333327</v>
      </c>
      <c r="W31">
        <f t="shared" si="8"/>
        <v>8.4544132252888024E-2</v>
      </c>
      <c r="X31">
        <f t="shared" si="12"/>
        <v>0.59590072973705677</v>
      </c>
      <c r="Y31">
        <f t="shared" si="9"/>
        <v>1.8083966196276429E-2</v>
      </c>
      <c r="AC31">
        <v>40.299999999999997</v>
      </c>
      <c r="AD31" s="29">
        <v>1.34137240556928E-5</v>
      </c>
      <c r="AE31" s="29">
        <v>6.5198900750206902E-4</v>
      </c>
      <c r="AF31" s="30">
        <v>9.8739581370289001E-11</v>
      </c>
      <c r="AG31">
        <v>346.8</v>
      </c>
      <c r="AH31">
        <v>780.5</v>
      </c>
      <c r="AI31">
        <v>149.9</v>
      </c>
      <c r="AJ31" s="26">
        <v>1.3809969999999999E-6</v>
      </c>
      <c r="AK31" s="26">
        <v>3.3333599881999999E-2</v>
      </c>
    </row>
    <row r="32" spans="2:37" ht="16">
      <c r="B32" s="36">
        <v>26</v>
      </c>
      <c r="C32" s="36">
        <v>32.1</v>
      </c>
      <c r="D32" s="36" t="s">
        <v>150</v>
      </c>
      <c r="E32" s="36" t="s">
        <v>123</v>
      </c>
      <c r="F32" s="36" t="s">
        <v>125</v>
      </c>
      <c r="G32" s="36"/>
      <c r="H32" s="36">
        <v>60398</v>
      </c>
      <c r="I32" s="36">
        <v>44476</v>
      </c>
      <c r="J32" s="36">
        <v>4551</v>
      </c>
      <c r="K32" s="36">
        <v>292</v>
      </c>
      <c r="L32">
        <f t="shared" si="1"/>
        <v>251.7</v>
      </c>
      <c r="M32">
        <f t="shared" si="10"/>
        <v>4.0344787901571448E-3</v>
      </c>
      <c r="N32">
        <f t="shared" si="2"/>
        <v>1.2568469751268364E-2</v>
      </c>
      <c r="P32">
        <f t="shared" si="3"/>
        <v>6.4793433613833717E-2</v>
      </c>
      <c r="Q32">
        <f t="shared" si="4"/>
        <v>60051.199999999997</v>
      </c>
      <c r="R32">
        <f t="shared" si="0"/>
        <v>43695.5</v>
      </c>
      <c r="S32">
        <f t="shared" si="11"/>
        <v>4401.1000000000004</v>
      </c>
      <c r="T32">
        <f t="shared" si="5"/>
        <v>108147.8</v>
      </c>
      <c r="U32">
        <f t="shared" si="6"/>
        <v>0.18268538723859998</v>
      </c>
      <c r="V32">
        <f t="shared" si="7"/>
        <v>0.56911335588348899</v>
      </c>
      <c r="W32">
        <f t="shared" si="8"/>
        <v>8.0580685584701939E-2</v>
      </c>
      <c r="X32">
        <f t="shared" si="12"/>
        <v>0.54595315483844853</v>
      </c>
      <c r="Y32">
        <f t="shared" si="9"/>
        <v>2.3160201045040432E-2</v>
      </c>
      <c r="AC32">
        <v>40.299999999999997</v>
      </c>
      <c r="AD32" s="29">
        <v>1.34137240556928E-5</v>
      </c>
      <c r="AE32" s="29">
        <v>6.5198900750206902E-4</v>
      </c>
      <c r="AF32" s="30">
        <v>9.8739581370289001E-11</v>
      </c>
      <c r="AG32">
        <v>346.8</v>
      </c>
      <c r="AH32">
        <v>780.5</v>
      </c>
      <c r="AI32">
        <v>149.9</v>
      </c>
      <c r="AJ32" s="26">
        <v>1.3809969999999999E-6</v>
      </c>
      <c r="AK32" s="26">
        <v>3.3333599881999999E-2</v>
      </c>
    </row>
    <row r="33" spans="2:37" ht="16">
      <c r="B33" s="36">
        <v>27</v>
      </c>
      <c r="C33" s="36">
        <v>100</v>
      </c>
      <c r="D33" s="36" t="s">
        <v>58</v>
      </c>
      <c r="E33" s="36" t="s">
        <v>123</v>
      </c>
      <c r="F33" s="36" t="s">
        <v>125</v>
      </c>
      <c r="G33" s="36"/>
      <c r="H33" s="36">
        <v>355</v>
      </c>
      <c r="I33" s="36">
        <v>432</v>
      </c>
      <c r="J33" s="36">
        <v>7</v>
      </c>
      <c r="K33" s="36">
        <v>7</v>
      </c>
      <c r="AC33">
        <v>40.299999999999997</v>
      </c>
      <c r="AD33" s="29">
        <v>1.34137240556928E-5</v>
      </c>
      <c r="AE33" s="29">
        <v>6.5198900750206902E-4</v>
      </c>
      <c r="AF33" s="30">
        <v>9.8739581370289001E-11</v>
      </c>
      <c r="AG33">
        <v>346.8</v>
      </c>
      <c r="AH33">
        <v>780.5</v>
      </c>
      <c r="AI33">
        <v>149.9</v>
      </c>
      <c r="AJ33" s="26">
        <v>1.3809969999999999E-6</v>
      </c>
      <c r="AK33" s="26">
        <v>3.3333599881999999E-2</v>
      </c>
    </row>
    <row r="34" spans="2:37" ht="16">
      <c r="B34" s="36">
        <v>28</v>
      </c>
      <c r="C34" s="36">
        <v>36.200000000000003</v>
      </c>
      <c r="D34" s="36" t="s">
        <v>65</v>
      </c>
      <c r="E34" s="36" t="s">
        <v>123</v>
      </c>
      <c r="F34" s="36" t="s">
        <v>125</v>
      </c>
      <c r="G34" s="36"/>
      <c r="H34" s="36">
        <v>58996</v>
      </c>
      <c r="I34" s="36">
        <v>52531</v>
      </c>
      <c r="J34" s="36">
        <v>6664</v>
      </c>
      <c r="K34" s="36">
        <v>4244</v>
      </c>
      <c r="L34">
        <f t="shared" si="1"/>
        <v>4203.7</v>
      </c>
      <c r="M34">
        <f t="shared" si="10"/>
        <v>5.8784097213723643E-2</v>
      </c>
      <c r="N34">
        <f t="shared" si="2"/>
        <v>0.16238700887768961</v>
      </c>
      <c r="P34">
        <f t="shared" si="3"/>
        <v>5.7461913092507304E-2</v>
      </c>
      <c r="Q34">
        <f t="shared" si="4"/>
        <v>58649.2</v>
      </c>
      <c r="R34">
        <f t="shared" si="0"/>
        <v>51750.5</v>
      </c>
      <c r="S34">
        <f t="shared" si="11"/>
        <v>6514.1</v>
      </c>
      <c r="T34">
        <f t="shared" si="5"/>
        <v>116913.8</v>
      </c>
      <c r="U34">
        <f t="shared" si="6"/>
        <v>0.19479120694059998</v>
      </c>
      <c r="V34">
        <f t="shared" si="7"/>
        <v>0.53809725674198883</v>
      </c>
      <c r="W34">
        <f t="shared" si="8"/>
        <v>7.1446808424532757E-2</v>
      </c>
      <c r="X34">
        <f t="shared" si="12"/>
        <v>0.50811602834856573</v>
      </c>
      <c r="Y34">
        <f t="shared" si="9"/>
        <v>2.9981228393423102E-2</v>
      </c>
      <c r="AC34">
        <v>40.299999999999997</v>
      </c>
      <c r="AD34" s="29">
        <v>1.34137240556928E-5</v>
      </c>
      <c r="AE34" s="29">
        <v>6.5198900750206902E-4</v>
      </c>
      <c r="AF34" s="30">
        <v>9.8739581370289001E-11</v>
      </c>
      <c r="AG34">
        <v>346.8</v>
      </c>
      <c r="AH34">
        <v>780.5</v>
      </c>
      <c r="AI34">
        <v>149.9</v>
      </c>
      <c r="AJ34" s="26">
        <v>1.3809969999999999E-6</v>
      </c>
      <c r="AK34" s="26">
        <v>3.3333599881999999E-2</v>
      </c>
    </row>
    <row r="35" spans="2:37" ht="16">
      <c r="B35" s="36">
        <v>29</v>
      </c>
      <c r="C35" s="36">
        <v>31.7</v>
      </c>
      <c r="D35" s="36" t="s">
        <v>151</v>
      </c>
      <c r="E35" s="36" t="s">
        <v>123</v>
      </c>
      <c r="F35" s="36" t="s">
        <v>125</v>
      </c>
      <c r="G35" s="36"/>
      <c r="H35" s="36">
        <v>70708</v>
      </c>
      <c r="I35" s="36">
        <v>52209</v>
      </c>
      <c r="J35" s="36">
        <v>4657</v>
      </c>
      <c r="K35" s="36">
        <v>0</v>
      </c>
      <c r="L35">
        <f t="shared" si="1"/>
        <v>-40.299999999999997</v>
      </c>
      <c r="M35">
        <f t="shared" si="10"/>
        <v>1.1157629002435687E-4</v>
      </c>
      <c r="N35">
        <f t="shared" si="2"/>
        <v>3.5197567831027408E-4</v>
      </c>
      <c r="P35">
        <f t="shared" si="3"/>
        <v>6.5610968491838992E-2</v>
      </c>
      <c r="Q35">
        <f>H35-AG35</f>
        <v>70361.2</v>
      </c>
      <c r="R35">
        <f t="shared" si="0"/>
        <v>51428.5</v>
      </c>
      <c r="S35">
        <f t="shared" si="11"/>
        <v>4507.1000000000004</v>
      </c>
      <c r="T35">
        <f t="shared" si="5"/>
        <v>126296.8</v>
      </c>
      <c r="U35">
        <f t="shared" si="6"/>
        <v>0.20774910179159997</v>
      </c>
      <c r="V35">
        <f t="shared" si="7"/>
        <v>0.65535994256025232</v>
      </c>
      <c r="W35">
        <f t="shared" si="8"/>
        <v>8.1623231326322238E-2</v>
      </c>
      <c r="X35">
        <f t="shared" si="12"/>
        <v>0.63197239198800248</v>
      </c>
      <c r="Y35">
        <f t="shared" si="9"/>
        <v>2.3387550572249758E-2</v>
      </c>
      <c r="AC35">
        <v>40.299999999999997</v>
      </c>
      <c r="AD35" s="29">
        <v>1.34137240556928E-5</v>
      </c>
      <c r="AE35" s="29">
        <v>6.5198900750206902E-4</v>
      </c>
      <c r="AF35" s="30">
        <v>9.8739581370289001E-11</v>
      </c>
      <c r="AG35">
        <v>346.8</v>
      </c>
      <c r="AH35">
        <v>780.5</v>
      </c>
      <c r="AI35">
        <v>149.9</v>
      </c>
      <c r="AJ35" s="26">
        <v>1.3809969999999999E-6</v>
      </c>
      <c r="AK35" s="26">
        <v>3.3333599881999999E-2</v>
      </c>
    </row>
    <row r="36" spans="2:37" ht="16">
      <c r="B36" s="36">
        <v>30</v>
      </c>
      <c r="C36" s="36">
        <v>32.6</v>
      </c>
      <c r="D36" s="36" t="s">
        <v>152</v>
      </c>
      <c r="E36" s="36" t="s">
        <v>123</v>
      </c>
      <c r="F36" s="36" t="s">
        <v>125</v>
      </c>
      <c r="G36" s="36"/>
      <c r="H36" s="36">
        <v>63894</v>
      </c>
      <c r="I36" s="36">
        <v>45393</v>
      </c>
      <c r="J36" s="36">
        <v>4169</v>
      </c>
      <c r="K36" s="36">
        <v>1135</v>
      </c>
      <c r="L36">
        <f t="shared" si="1"/>
        <v>1094.7</v>
      </c>
      <c r="M36">
        <f t="shared" si="10"/>
        <v>1.545431909480309E-2</v>
      </c>
      <c r="N36">
        <f t="shared" si="2"/>
        <v>4.7405886793874509E-2</v>
      </c>
      <c r="P36">
        <f t="shared" si="3"/>
        <v>6.3800285585588298E-2</v>
      </c>
      <c r="Q36">
        <f t="shared" si="4"/>
        <v>63547.199999999997</v>
      </c>
      <c r="R36">
        <f t="shared" si="0"/>
        <v>44612.5</v>
      </c>
      <c r="S36">
        <f t="shared" si="11"/>
        <v>4019.1</v>
      </c>
      <c r="T36">
        <f t="shared" si="5"/>
        <v>112178.8</v>
      </c>
      <c r="U36">
        <f t="shared" si="6"/>
        <v>0.18825218614559999</v>
      </c>
      <c r="V36">
        <f t="shared" si="7"/>
        <v>0.57746069369815944</v>
      </c>
      <c r="W36">
        <f t="shared" si="8"/>
        <v>7.9347055469951439E-2</v>
      </c>
      <c r="X36">
        <f t="shared" si="12"/>
        <v>0.55677164840580229</v>
      </c>
      <c r="Y36">
        <f t="shared" si="9"/>
        <v>2.0689045292357135E-2</v>
      </c>
      <c r="AC36">
        <v>40.299999999999997</v>
      </c>
      <c r="AD36" s="29">
        <v>1.34137240556928E-5</v>
      </c>
      <c r="AE36" s="29">
        <v>6.5198900750206902E-4</v>
      </c>
      <c r="AF36" s="30">
        <v>9.8739581370289001E-11</v>
      </c>
      <c r="AG36">
        <v>346.8</v>
      </c>
      <c r="AH36">
        <v>780.5</v>
      </c>
      <c r="AI36">
        <v>149.9</v>
      </c>
      <c r="AJ36" s="26">
        <v>1.3809969999999999E-6</v>
      </c>
      <c r="AK36" s="26">
        <v>3.3333599881999999E-2</v>
      </c>
    </row>
    <row r="37" spans="2:37" ht="16">
      <c r="B37" s="36">
        <v>31</v>
      </c>
      <c r="C37" s="36">
        <v>30.5</v>
      </c>
      <c r="D37" s="36" t="s">
        <v>153</v>
      </c>
      <c r="E37" s="36" t="s">
        <v>123</v>
      </c>
      <c r="F37" s="36" t="s">
        <v>125</v>
      </c>
      <c r="G37" s="36"/>
      <c r="H37" s="36">
        <v>64227</v>
      </c>
      <c r="I37" s="36">
        <v>40965</v>
      </c>
      <c r="J37" s="36">
        <v>3609</v>
      </c>
      <c r="K37" s="36">
        <v>432</v>
      </c>
      <c r="L37">
        <f t="shared" si="1"/>
        <v>391.7</v>
      </c>
      <c r="M37">
        <f t="shared" si="10"/>
        <v>5.9212942244856468E-3</v>
      </c>
      <c r="N37">
        <f t="shared" si="2"/>
        <v>1.9414079424543103E-2</v>
      </c>
      <c r="P37">
        <f t="shared" si="3"/>
        <v>6.819250243698817E-2</v>
      </c>
      <c r="Q37">
        <f t="shared" si="4"/>
        <v>63880.2</v>
      </c>
      <c r="R37">
        <f t="shared" si="0"/>
        <v>40184.5</v>
      </c>
      <c r="S37">
        <f t="shared" si="11"/>
        <v>3459.1</v>
      </c>
      <c r="T37">
        <f t="shared" si="5"/>
        <v>107523.8</v>
      </c>
      <c r="U37">
        <f t="shared" si="6"/>
        <v>0.18182364511059998</v>
      </c>
      <c r="V37">
        <f t="shared" si="7"/>
        <v>0.59614309872327864</v>
      </c>
      <c r="W37">
        <f t="shared" si="8"/>
        <v>8.4815853396433938E-2</v>
      </c>
      <c r="X37">
        <f t="shared" si="12"/>
        <v>0.57696484616157884</v>
      </c>
      <c r="Y37">
        <f t="shared" si="9"/>
        <v>1.9178252561699763E-2</v>
      </c>
      <c r="AC37">
        <v>40.299999999999997</v>
      </c>
      <c r="AD37" s="29">
        <v>1.34137240556928E-5</v>
      </c>
      <c r="AE37" s="29">
        <v>6.5198900750206902E-4</v>
      </c>
      <c r="AF37" s="30">
        <v>9.8739581370289001E-11</v>
      </c>
      <c r="AG37">
        <v>346.8</v>
      </c>
      <c r="AH37">
        <v>780.5</v>
      </c>
      <c r="AI37">
        <v>149.9</v>
      </c>
      <c r="AJ37" s="26">
        <v>1.3809969999999999E-6</v>
      </c>
      <c r="AK37" s="26">
        <v>3.3333599881999999E-2</v>
      </c>
    </row>
    <row r="38" spans="2:37" ht="16">
      <c r="B38" s="36">
        <v>32</v>
      </c>
      <c r="C38" s="36">
        <v>32.1</v>
      </c>
      <c r="D38" s="36" t="s">
        <v>154</v>
      </c>
      <c r="E38" s="36" t="s">
        <v>123</v>
      </c>
      <c r="F38" s="36" t="s">
        <v>125</v>
      </c>
      <c r="G38" s="36"/>
      <c r="H38" s="36">
        <v>68969</v>
      </c>
      <c r="I38" s="36">
        <v>47564</v>
      </c>
      <c r="J38" s="36">
        <v>4575</v>
      </c>
      <c r="K38" s="36">
        <v>896</v>
      </c>
      <c r="L38">
        <f t="shared" si="1"/>
        <v>855.7</v>
      </c>
      <c r="M38">
        <f t="shared" si="10"/>
        <v>1.2202412024090909E-2</v>
      </c>
      <c r="N38">
        <f t="shared" si="2"/>
        <v>3.8013744623336163E-2</v>
      </c>
      <c r="P38">
        <f t="shared" si="3"/>
        <v>6.4793819174416456E-2</v>
      </c>
      <c r="Q38">
        <f t="shared" si="4"/>
        <v>68622.2</v>
      </c>
      <c r="R38">
        <f t="shared" si="0"/>
        <v>46783.5</v>
      </c>
      <c r="S38">
        <f t="shared" si="11"/>
        <v>4425.1000000000004</v>
      </c>
      <c r="T38">
        <f t="shared" si="5"/>
        <v>119830.8</v>
      </c>
      <c r="U38">
        <f t="shared" si="6"/>
        <v>0.19881957518959997</v>
      </c>
      <c r="V38">
        <f t="shared" si="7"/>
        <v>0.61937562364361365</v>
      </c>
      <c r="W38">
        <f t="shared" si="8"/>
        <v>8.0595073154436869E-2</v>
      </c>
      <c r="X38">
        <f t="shared" si="12"/>
        <v>0.59650338151399951</v>
      </c>
      <c r="Y38">
        <f t="shared" si="9"/>
        <v>2.2872242129614046E-2</v>
      </c>
      <c r="AC38">
        <v>40.299999999999997</v>
      </c>
      <c r="AD38" s="29">
        <v>1.34137240556928E-5</v>
      </c>
      <c r="AE38" s="29">
        <v>6.5198900750206902E-4</v>
      </c>
      <c r="AF38" s="30">
        <v>9.8739581370289001E-11</v>
      </c>
      <c r="AG38">
        <v>346.8</v>
      </c>
      <c r="AH38">
        <v>780.5</v>
      </c>
      <c r="AI38">
        <v>149.9</v>
      </c>
      <c r="AJ38" s="26">
        <v>1.3809969999999999E-6</v>
      </c>
      <c r="AK38" s="26">
        <v>3.3333599881999999E-2</v>
      </c>
    </row>
    <row r="39" spans="2:37" ht="16">
      <c r="B39" s="36">
        <v>33</v>
      </c>
      <c r="C39" s="36">
        <v>30.3</v>
      </c>
      <c r="D39" s="36" t="s">
        <v>155</v>
      </c>
      <c r="E39" s="36" t="s">
        <v>123</v>
      </c>
      <c r="F39" s="36" t="s">
        <v>125</v>
      </c>
      <c r="G39" s="36"/>
      <c r="H39" s="36">
        <v>71131</v>
      </c>
      <c r="I39" s="36">
        <v>48022</v>
      </c>
      <c r="J39" s="36">
        <v>5201</v>
      </c>
      <c r="K39" s="36">
        <v>343</v>
      </c>
      <c r="L39">
        <f t="shared" si="1"/>
        <v>302.7</v>
      </c>
      <c r="M39">
        <f t="shared" si="10"/>
        <v>4.7213705194169729E-3</v>
      </c>
      <c r="N39">
        <f t="shared" si="2"/>
        <v>1.5582080922168227E-2</v>
      </c>
      <c r="P39">
        <f t="shared" si="3"/>
        <v>6.864257540510095E-2</v>
      </c>
      <c r="Q39">
        <f t="shared" si="4"/>
        <v>70784.2</v>
      </c>
      <c r="R39">
        <f t="shared" si="0"/>
        <v>47241.5</v>
      </c>
      <c r="S39">
        <f t="shared" si="11"/>
        <v>5051.1000000000004</v>
      </c>
      <c r="T39">
        <f t="shared" si="5"/>
        <v>123076.8</v>
      </c>
      <c r="U39">
        <f t="shared" si="6"/>
        <v>0.20330229145159998</v>
      </c>
      <c r="V39">
        <f t="shared" si="7"/>
        <v>0.67096465825610552</v>
      </c>
      <c r="W39">
        <f t="shared" si="8"/>
        <v>8.5399881418248988E-2</v>
      </c>
      <c r="X39">
        <f t="shared" si="12"/>
        <v>0.64342811533885858</v>
      </c>
      <c r="Y39">
        <f t="shared" si="9"/>
        <v>2.7536542917246911E-2</v>
      </c>
      <c r="AC39">
        <v>40.299999999999997</v>
      </c>
      <c r="AD39" s="29">
        <v>1.34137240556928E-5</v>
      </c>
      <c r="AE39" s="29">
        <v>6.5198900750206902E-4</v>
      </c>
      <c r="AF39" s="30">
        <v>9.8739581370289001E-11</v>
      </c>
      <c r="AG39">
        <v>346.8</v>
      </c>
      <c r="AH39">
        <v>780.5</v>
      </c>
      <c r="AI39">
        <v>149.9</v>
      </c>
      <c r="AJ39" s="26">
        <v>1.3809969999999999E-6</v>
      </c>
      <c r="AK39" s="26">
        <v>3.3333599881999999E-2</v>
      </c>
    </row>
    <row r="40" spans="2:37" ht="16">
      <c r="B40" s="36">
        <v>34</v>
      </c>
      <c r="C40" s="36">
        <v>32.1</v>
      </c>
      <c r="D40" s="36" t="s">
        <v>156</v>
      </c>
      <c r="E40" s="36" t="s">
        <v>123</v>
      </c>
      <c r="F40" s="36" t="s">
        <v>125</v>
      </c>
      <c r="G40" s="36"/>
      <c r="H40" s="36">
        <v>85946</v>
      </c>
      <c r="I40" s="36">
        <v>57342</v>
      </c>
      <c r="J40" s="36">
        <v>4937</v>
      </c>
      <c r="K40" s="36">
        <v>947</v>
      </c>
      <c r="L40">
        <f t="shared" si="1"/>
        <v>906.7</v>
      </c>
      <c r="M40">
        <f t="shared" si="10"/>
        <v>1.2895386901479797E-2</v>
      </c>
      <c r="N40">
        <f t="shared" si="2"/>
        <v>4.0172544864423038E-2</v>
      </c>
      <c r="P40">
        <f t="shared" si="3"/>
        <v>6.4793869736998397E-2</v>
      </c>
      <c r="Q40">
        <f t="shared" si="4"/>
        <v>85599.2</v>
      </c>
      <c r="R40">
        <f t="shared" si="0"/>
        <v>56561.5</v>
      </c>
      <c r="S40">
        <f t="shared" si="11"/>
        <v>4787.1000000000004</v>
      </c>
      <c r="T40">
        <f t="shared" si="5"/>
        <v>146947.80000000002</v>
      </c>
      <c r="U40">
        <f t="shared" si="6"/>
        <v>0.23626807083859999</v>
      </c>
      <c r="V40">
        <f t="shared" si="7"/>
        <v>0.73603760385856698</v>
      </c>
      <c r="W40">
        <f t="shared" si="8"/>
        <v>8.0633145526349218E-2</v>
      </c>
      <c r="X40">
        <f t="shared" si="12"/>
        <v>0.71205979940398278</v>
      </c>
      <c r="Y40">
        <f t="shared" si="9"/>
        <v>2.3977804454584185E-2</v>
      </c>
      <c r="AC40">
        <v>40.299999999999997</v>
      </c>
      <c r="AD40" s="29">
        <v>1.34137240556928E-5</v>
      </c>
      <c r="AE40" s="29">
        <v>6.5198900750206902E-4</v>
      </c>
      <c r="AF40" s="30">
        <v>9.8739581370289001E-11</v>
      </c>
      <c r="AG40">
        <v>346.8</v>
      </c>
      <c r="AH40">
        <v>780.5</v>
      </c>
      <c r="AI40">
        <v>149.9</v>
      </c>
      <c r="AJ40" s="26">
        <v>1.3809969999999999E-6</v>
      </c>
      <c r="AK40" s="26">
        <v>3.3333599881999999E-2</v>
      </c>
    </row>
    <row r="41" spans="2:37" ht="16">
      <c r="B41" s="36">
        <v>35</v>
      </c>
      <c r="C41" s="36">
        <v>100</v>
      </c>
      <c r="D41" s="36" t="s">
        <v>58</v>
      </c>
      <c r="E41" s="36" t="s">
        <v>123</v>
      </c>
      <c r="F41" s="36" t="s">
        <v>125</v>
      </c>
      <c r="G41" s="36"/>
      <c r="H41" s="36">
        <v>13598</v>
      </c>
      <c r="I41" s="36">
        <v>803</v>
      </c>
      <c r="J41" s="36">
        <v>6</v>
      </c>
      <c r="K41" s="36">
        <v>3</v>
      </c>
      <c r="AC41">
        <v>40.299999999999997</v>
      </c>
      <c r="AD41" s="29">
        <v>1.34137240556928E-5</v>
      </c>
      <c r="AE41" s="29">
        <v>6.5198900750206902E-4</v>
      </c>
      <c r="AF41" s="30">
        <v>9.8739581370289001E-11</v>
      </c>
      <c r="AG41">
        <v>346.8</v>
      </c>
      <c r="AH41">
        <v>780.5</v>
      </c>
      <c r="AI41">
        <v>149.9</v>
      </c>
      <c r="AJ41" s="26">
        <v>1.3809969999999999E-6</v>
      </c>
      <c r="AK41" s="26">
        <v>3.3333599881999999E-2</v>
      </c>
    </row>
    <row r="42" spans="2:37" ht="16">
      <c r="B42" s="36">
        <v>36</v>
      </c>
      <c r="C42" s="36">
        <v>30.4</v>
      </c>
      <c r="D42" s="36" t="s">
        <v>65</v>
      </c>
      <c r="E42" s="36" t="s">
        <v>157</v>
      </c>
      <c r="F42" s="36" t="s">
        <v>125</v>
      </c>
      <c r="G42" s="36"/>
      <c r="H42" s="36">
        <v>47882</v>
      </c>
      <c r="I42" s="36">
        <v>43773</v>
      </c>
      <c r="J42" s="36">
        <v>5611</v>
      </c>
      <c r="K42" s="36">
        <v>3717</v>
      </c>
      <c r="L42">
        <f t="shared" si="1"/>
        <v>3676.7</v>
      </c>
      <c r="M42">
        <f t="shared" si="10"/>
        <v>5.1305002038138502E-2</v>
      </c>
      <c r="N42">
        <f t="shared" si="2"/>
        <v>0.16876645407282403</v>
      </c>
      <c r="P42">
        <f t="shared" si="3"/>
        <v>6.8425709404282664E-2</v>
      </c>
      <c r="Q42">
        <f t="shared" si="4"/>
        <v>47535.199999999997</v>
      </c>
      <c r="R42">
        <f t="shared" si="0"/>
        <v>42992.5</v>
      </c>
      <c r="S42">
        <f t="shared" si="11"/>
        <v>5461.1</v>
      </c>
      <c r="T42">
        <f t="shared" si="5"/>
        <v>95988.800000000003</v>
      </c>
      <c r="U42">
        <f t="shared" si="6"/>
        <v>0.16589384471559998</v>
      </c>
      <c r="V42">
        <f t="shared" si="7"/>
        <v>0.54570343656447362</v>
      </c>
      <c r="W42">
        <f t="shared" si="8"/>
        <v>8.5080204290366487E-2</v>
      </c>
      <c r="X42">
        <f t="shared" si="12"/>
        <v>0.51465667863623354</v>
      </c>
      <c r="Y42">
        <f t="shared" si="9"/>
        <v>3.1046757928240035E-2</v>
      </c>
      <c r="AC42">
        <v>40.299999999999997</v>
      </c>
      <c r="AD42" s="29">
        <v>1.34137240556928E-5</v>
      </c>
      <c r="AE42" s="29">
        <v>6.5198900750206902E-4</v>
      </c>
      <c r="AF42" s="30">
        <v>9.8739581370289001E-11</v>
      </c>
      <c r="AG42">
        <v>346.8</v>
      </c>
      <c r="AH42">
        <v>780.5</v>
      </c>
      <c r="AI42">
        <v>149.9</v>
      </c>
      <c r="AJ42" s="26">
        <v>1.3809969999999999E-6</v>
      </c>
      <c r="AK42" s="26">
        <v>3.3333599881999999E-2</v>
      </c>
    </row>
    <row r="43" spans="2:37" ht="16">
      <c r="B43" s="36">
        <v>37</v>
      </c>
      <c r="C43" s="36">
        <v>29.8</v>
      </c>
      <c r="D43" s="36" t="s">
        <v>158</v>
      </c>
      <c r="E43" s="36" t="s">
        <v>159</v>
      </c>
      <c r="F43" s="36" t="s">
        <v>125</v>
      </c>
      <c r="G43" s="36"/>
      <c r="H43" s="36">
        <v>75129</v>
      </c>
      <c r="I43" s="36">
        <v>51738</v>
      </c>
      <c r="J43" s="36">
        <v>5011</v>
      </c>
      <c r="K43" s="36">
        <v>517</v>
      </c>
      <c r="L43">
        <f t="shared" si="1"/>
        <v>476.7</v>
      </c>
      <c r="M43">
        <f t="shared" si="10"/>
        <v>7.0687491326788011E-3</v>
      </c>
      <c r="N43">
        <f t="shared" si="2"/>
        <v>2.3720634673418794E-2</v>
      </c>
      <c r="P43">
        <f t="shared" si="3"/>
        <v>6.9794399684940833E-2</v>
      </c>
      <c r="Q43">
        <f t="shared" si="4"/>
        <v>74782.2</v>
      </c>
      <c r="R43">
        <f t="shared" si="0"/>
        <v>50957.5</v>
      </c>
      <c r="S43">
        <f t="shared" si="11"/>
        <v>4861.1000000000004</v>
      </c>
      <c r="T43">
        <f t="shared" si="5"/>
        <v>130600.8</v>
      </c>
      <c r="U43">
        <f t="shared" si="6"/>
        <v>0.21369291287959999</v>
      </c>
      <c r="V43">
        <f t="shared" si="7"/>
        <v>0.71709031167651005</v>
      </c>
      <c r="W43">
        <f t="shared" si="8"/>
        <v>8.6849369670584653E-2</v>
      </c>
      <c r="X43">
        <f t="shared" si="12"/>
        <v>0.69039945132886527</v>
      </c>
      <c r="Y43">
        <f t="shared" si="9"/>
        <v>2.6690860347644757E-2</v>
      </c>
      <c r="AC43">
        <v>40.299999999999997</v>
      </c>
      <c r="AD43" s="29">
        <v>1.34137240556928E-5</v>
      </c>
      <c r="AE43" s="29">
        <v>6.5198900750206902E-4</v>
      </c>
      <c r="AF43" s="30">
        <v>9.8739581370289001E-11</v>
      </c>
      <c r="AG43">
        <v>346.8</v>
      </c>
      <c r="AH43">
        <v>780.5</v>
      </c>
      <c r="AI43">
        <v>149.9</v>
      </c>
      <c r="AJ43" s="26">
        <v>1.3809969999999999E-6</v>
      </c>
      <c r="AK43" s="26">
        <v>3.3333599881999999E-2</v>
      </c>
    </row>
    <row r="44" spans="2:37" ht="16">
      <c r="B44" s="36">
        <v>38</v>
      </c>
      <c r="C44" s="36">
        <v>30.2</v>
      </c>
      <c r="D44" s="36" t="s">
        <v>160</v>
      </c>
      <c r="E44" s="36" t="s">
        <v>123</v>
      </c>
      <c r="F44" s="36" t="s">
        <v>125</v>
      </c>
      <c r="G44" s="36"/>
      <c r="H44" s="36">
        <v>80344</v>
      </c>
      <c r="I44" s="36">
        <v>63001</v>
      </c>
      <c r="J44" s="36">
        <v>4669</v>
      </c>
      <c r="K44" s="36">
        <v>976</v>
      </c>
      <c r="L44">
        <f t="shared" si="1"/>
        <v>935.7</v>
      </c>
      <c r="M44">
        <f t="shared" si="10"/>
        <v>1.3289660515431671E-2</v>
      </c>
      <c r="N44">
        <f t="shared" si="2"/>
        <v>4.4005498395469113E-2</v>
      </c>
      <c r="P44">
        <f t="shared" si="3"/>
        <v>6.8870407984717025E-2</v>
      </c>
      <c r="Q44">
        <f t="shared" si="4"/>
        <v>79997.2</v>
      </c>
      <c r="R44">
        <f t="shared" si="0"/>
        <v>62220.5</v>
      </c>
      <c r="S44">
        <f t="shared" si="11"/>
        <v>4519.1000000000004</v>
      </c>
      <c r="T44">
        <f t="shared" si="5"/>
        <v>146736.80000000002</v>
      </c>
      <c r="U44">
        <f t="shared" si="6"/>
        <v>0.2359766804716</v>
      </c>
      <c r="V44">
        <f t="shared" si="7"/>
        <v>0.78137973666092719</v>
      </c>
      <c r="W44">
        <f t="shared" si="8"/>
        <v>8.5723693962366287E-2</v>
      </c>
      <c r="X44">
        <f t="shared" si="12"/>
        <v>0.75731533585659994</v>
      </c>
      <c r="Y44">
        <f t="shared" si="9"/>
        <v>2.4064400804327177E-2</v>
      </c>
      <c r="AC44">
        <v>40.299999999999997</v>
      </c>
      <c r="AD44" s="29">
        <v>1.34137240556928E-5</v>
      </c>
      <c r="AE44" s="29">
        <v>6.5198900750206902E-4</v>
      </c>
      <c r="AF44" s="30">
        <v>9.8739581370289001E-11</v>
      </c>
      <c r="AG44">
        <v>346.8</v>
      </c>
      <c r="AH44">
        <v>780.5</v>
      </c>
      <c r="AI44">
        <v>149.9</v>
      </c>
      <c r="AJ44" s="26">
        <v>1.3809969999999999E-6</v>
      </c>
      <c r="AK44" s="26">
        <v>3.3333599881999999E-2</v>
      </c>
    </row>
    <row r="45" spans="2:37" ht="16">
      <c r="B45" s="36">
        <v>39</v>
      </c>
      <c r="C45" s="36">
        <v>30.9</v>
      </c>
      <c r="D45" s="36" t="s">
        <v>161</v>
      </c>
      <c r="E45" s="36" t="s">
        <v>123</v>
      </c>
      <c r="F45" s="36" t="s">
        <v>125</v>
      </c>
      <c r="G45" s="36"/>
      <c r="H45" s="36">
        <v>83974</v>
      </c>
      <c r="I45" s="36">
        <v>67608</v>
      </c>
      <c r="J45" s="36">
        <v>8474</v>
      </c>
      <c r="K45" s="36">
        <v>537</v>
      </c>
      <c r="L45">
        <f t="shared" si="1"/>
        <v>496.7</v>
      </c>
      <c r="M45">
        <f t="shared" si="10"/>
        <v>7.338945875962774E-3</v>
      </c>
      <c r="N45">
        <f t="shared" si="2"/>
        <v>2.375063390279215E-2</v>
      </c>
      <c r="P45">
        <f t="shared" si="3"/>
        <v>6.7309809848069765E-2</v>
      </c>
      <c r="Q45">
        <f t="shared" si="4"/>
        <v>83627.199999999997</v>
      </c>
      <c r="R45">
        <f t="shared" si="0"/>
        <v>66827.5</v>
      </c>
      <c r="S45">
        <f t="shared" si="11"/>
        <v>8324.1</v>
      </c>
      <c r="T45">
        <f t="shared" si="5"/>
        <v>158778.80000000002</v>
      </c>
      <c r="U45">
        <f t="shared" si="6"/>
        <v>0.25260664634560004</v>
      </c>
      <c r="V45">
        <f t="shared" si="7"/>
        <v>0.81749723736440139</v>
      </c>
      <c r="W45">
        <f t="shared" si="8"/>
        <v>8.3796169661451272E-2</v>
      </c>
      <c r="X45">
        <f t="shared" si="12"/>
        <v>0.7746393195973883</v>
      </c>
      <c r="Y45">
        <f t="shared" si="9"/>
        <v>4.285791776701306E-2</v>
      </c>
      <c r="AC45">
        <v>40.299999999999997</v>
      </c>
      <c r="AD45" s="29">
        <v>1.34137240556928E-5</v>
      </c>
      <c r="AE45" s="29">
        <v>6.5198900750206902E-4</v>
      </c>
      <c r="AF45" s="30">
        <v>9.8739581370289001E-11</v>
      </c>
      <c r="AG45">
        <v>346.8</v>
      </c>
      <c r="AH45">
        <v>780.5</v>
      </c>
      <c r="AI45">
        <v>149.9</v>
      </c>
      <c r="AJ45" s="26">
        <v>1.3809969999999999E-6</v>
      </c>
      <c r="AK45" s="26">
        <v>3.3333599881999999E-2</v>
      </c>
    </row>
    <row r="46" spans="2:37" ht="16">
      <c r="B46" s="36">
        <v>40</v>
      </c>
      <c r="C46" s="36">
        <v>32.1</v>
      </c>
      <c r="D46" s="36" t="s">
        <v>162</v>
      </c>
      <c r="E46" s="36" t="s">
        <v>123</v>
      </c>
      <c r="F46" s="36" t="s">
        <v>125</v>
      </c>
      <c r="G46" s="36"/>
      <c r="H46" s="36">
        <v>77617</v>
      </c>
      <c r="I46" s="36">
        <v>65277</v>
      </c>
      <c r="J46" s="36">
        <v>8373</v>
      </c>
      <c r="K46" s="36">
        <v>449</v>
      </c>
      <c r="L46">
        <f t="shared" si="1"/>
        <v>408.7</v>
      </c>
      <c r="M46">
        <f t="shared" si="10"/>
        <v>6.1506710631682128E-3</v>
      </c>
      <c r="N46">
        <f t="shared" si="2"/>
        <v>1.9160969044137732E-2</v>
      </c>
      <c r="P46">
        <f t="shared" si="3"/>
        <v>6.4793496275394491E-2</v>
      </c>
      <c r="Q46">
        <f t="shared" si="4"/>
        <v>77270.2</v>
      </c>
      <c r="R46">
        <f t="shared" si="0"/>
        <v>64496.5</v>
      </c>
      <c r="S46">
        <f t="shared" si="11"/>
        <v>8223.1</v>
      </c>
      <c r="T46">
        <f t="shared" si="5"/>
        <v>149989.80000000002</v>
      </c>
      <c r="U46">
        <f t="shared" si="6"/>
        <v>0.24046906371259999</v>
      </c>
      <c r="V46">
        <f t="shared" si="7"/>
        <v>0.74912480907352019</v>
      </c>
      <c r="W46">
        <f t="shared" si="8"/>
        <v>8.0637824112072418E-2</v>
      </c>
      <c r="X46">
        <f t="shared" si="12"/>
        <v>0.70805449484220262</v>
      </c>
      <c r="Y46">
        <f t="shared" si="9"/>
        <v>4.107031423131749E-2</v>
      </c>
      <c r="AC46">
        <v>40.299999999999997</v>
      </c>
      <c r="AD46" s="29">
        <v>1.34137240556928E-5</v>
      </c>
      <c r="AE46" s="29">
        <v>6.5198900750206902E-4</v>
      </c>
      <c r="AF46" s="30">
        <v>9.8739581370289001E-11</v>
      </c>
      <c r="AG46">
        <v>346.8</v>
      </c>
      <c r="AH46">
        <v>780.5</v>
      </c>
      <c r="AI46">
        <v>149.9</v>
      </c>
      <c r="AJ46" s="26">
        <v>1.3809969999999999E-6</v>
      </c>
      <c r="AK46" s="26">
        <v>3.3333599881999999E-2</v>
      </c>
    </row>
    <row r="47" spans="2:37" ht="16">
      <c r="B47" s="36">
        <v>41</v>
      </c>
      <c r="C47" s="36">
        <v>31</v>
      </c>
      <c r="D47" s="36" t="s">
        <v>163</v>
      </c>
      <c r="E47" s="36" t="s">
        <v>123</v>
      </c>
      <c r="F47" s="36" t="s">
        <v>125</v>
      </c>
      <c r="G47" s="36"/>
      <c r="H47" s="36">
        <v>101453</v>
      </c>
      <c r="I47" s="36">
        <v>61839</v>
      </c>
      <c r="J47" s="36">
        <v>4949</v>
      </c>
      <c r="K47" s="36">
        <v>734</v>
      </c>
      <c r="L47">
        <f t="shared" si="1"/>
        <v>693.7</v>
      </c>
      <c r="M47">
        <f t="shared" si="10"/>
        <v>1.0004604815673905E-2</v>
      </c>
      <c r="N47">
        <f t="shared" si="2"/>
        <v>3.2272918760238405E-2</v>
      </c>
      <c r="P47">
        <f t="shared" si="3"/>
        <v>6.7092829530096057E-2</v>
      </c>
      <c r="Q47">
        <f t="shared" si="4"/>
        <v>101106.2</v>
      </c>
      <c r="R47">
        <f t="shared" si="0"/>
        <v>61058.5</v>
      </c>
      <c r="S47">
        <f t="shared" si="11"/>
        <v>4799.1000000000004</v>
      </c>
      <c r="T47">
        <f t="shared" si="5"/>
        <v>166963.80000000002</v>
      </c>
      <c r="U47">
        <f t="shared" si="6"/>
        <v>0.26391010679060001</v>
      </c>
      <c r="V47">
        <f t="shared" si="7"/>
        <v>0.85132292513096763</v>
      </c>
      <c r="W47">
        <f t="shared" si="8"/>
        <v>8.3539923320480991E-2</v>
      </c>
      <c r="X47">
        <f t="shared" si="12"/>
        <v>0.8268530469298484</v>
      </c>
      <c r="Y47">
        <f t="shared" si="9"/>
        <v>2.4469878201119205E-2</v>
      </c>
      <c r="AC47">
        <v>40.299999999999997</v>
      </c>
      <c r="AD47" s="29">
        <v>1.34137240556928E-5</v>
      </c>
      <c r="AE47" s="29">
        <v>6.5198900750206902E-4</v>
      </c>
      <c r="AF47" s="30">
        <v>9.8739581370289001E-11</v>
      </c>
      <c r="AG47">
        <v>346.8</v>
      </c>
      <c r="AH47">
        <v>780.5</v>
      </c>
      <c r="AI47">
        <v>149.9</v>
      </c>
      <c r="AJ47" s="26">
        <v>1.3809969999999999E-6</v>
      </c>
      <c r="AK47" s="26">
        <v>3.3333599881999999E-2</v>
      </c>
    </row>
    <row r="48" spans="2:37" ht="16">
      <c r="B48" s="36">
        <v>42</v>
      </c>
      <c r="C48" s="36">
        <v>33.799999999999997</v>
      </c>
      <c r="D48" s="36" t="s">
        <v>164</v>
      </c>
      <c r="E48" s="36" t="s">
        <v>123</v>
      </c>
      <c r="F48" s="36" t="s">
        <v>125</v>
      </c>
      <c r="G48" s="36"/>
      <c r="H48" s="36">
        <v>96243</v>
      </c>
      <c r="I48" s="36">
        <v>64460</v>
      </c>
      <c r="J48" s="36">
        <v>5078</v>
      </c>
      <c r="K48" s="36">
        <v>711</v>
      </c>
      <c r="L48">
        <f t="shared" si="1"/>
        <v>670.7</v>
      </c>
      <c r="M48">
        <f t="shared" si="10"/>
        <v>9.6929905958420721E-3</v>
      </c>
      <c r="N48">
        <f t="shared" si="2"/>
        <v>2.8677486969946962E-2</v>
      </c>
      <c r="P48">
        <f t="shared" si="3"/>
        <v>6.1534781306613558E-2</v>
      </c>
      <c r="Q48">
        <f t="shared" si="4"/>
        <v>95896.2</v>
      </c>
      <c r="R48">
        <f t="shared" si="0"/>
        <v>63679.5</v>
      </c>
      <c r="S48">
        <f t="shared" si="11"/>
        <v>4928.1000000000004</v>
      </c>
      <c r="T48">
        <f t="shared" si="5"/>
        <v>164503.80000000002</v>
      </c>
      <c r="U48">
        <f t="shared" si="6"/>
        <v>0.26051285417059999</v>
      </c>
      <c r="V48">
        <f t="shared" si="7"/>
        <v>0.77074808926213023</v>
      </c>
      <c r="W48">
        <f t="shared" si="8"/>
        <v>7.6589587932729186E-2</v>
      </c>
      <c r="X48">
        <f t="shared" si="12"/>
        <v>0.74765850921174404</v>
      </c>
      <c r="Y48">
        <f t="shared" si="9"/>
        <v>2.3089580050386093E-2</v>
      </c>
      <c r="AC48">
        <v>40.299999999999997</v>
      </c>
      <c r="AD48" s="29">
        <v>1.34137240556928E-5</v>
      </c>
      <c r="AE48" s="29">
        <v>6.5198900750206902E-4</v>
      </c>
      <c r="AF48" s="30">
        <v>9.8739581370289001E-11</v>
      </c>
      <c r="AG48">
        <v>346.8</v>
      </c>
      <c r="AH48">
        <v>780.5</v>
      </c>
      <c r="AI48">
        <v>149.9</v>
      </c>
      <c r="AJ48" s="26">
        <v>1.3809969999999999E-6</v>
      </c>
      <c r="AK48" s="26">
        <v>3.3333599881999999E-2</v>
      </c>
    </row>
    <row r="49" spans="2:37" ht="16">
      <c r="B49" s="36">
        <v>43</v>
      </c>
      <c r="C49" s="36">
        <v>100</v>
      </c>
      <c r="D49" s="36" t="s">
        <v>58</v>
      </c>
      <c r="E49" s="36" t="s">
        <v>123</v>
      </c>
      <c r="F49" s="36" t="s">
        <v>125</v>
      </c>
      <c r="G49" s="36"/>
      <c r="H49" s="36">
        <v>319</v>
      </c>
      <c r="I49" s="36">
        <v>1105</v>
      </c>
      <c r="J49" s="36">
        <v>13</v>
      </c>
      <c r="K49" s="36">
        <v>7</v>
      </c>
      <c r="AC49">
        <v>40.299999999999997</v>
      </c>
      <c r="AD49" s="29">
        <v>1.34137240556928E-5</v>
      </c>
      <c r="AE49" s="29">
        <v>6.5198900750206902E-4</v>
      </c>
      <c r="AF49" s="30">
        <v>9.8739581370289001E-11</v>
      </c>
      <c r="AG49">
        <v>346.8</v>
      </c>
      <c r="AH49">
        <v>780.5</v>
      </c>
      <c r="AI49">
        <v>149.9</v>
      </c>
      <c r="AJ49" s="26">
        <v>1.3809969999999999E-6</v>
      </c>
      <c r="AK49" s="26">
        <v>3.3333599881999999E-2</v>
      </c>
    </row>
    <row r="50" spans="2:37" ht="16">
      <c r="B50" s="36">
        <v>44</v>
      </c>
      <c r="C50" s="36">
        <v>29.9</v>
      </c>
      <c r="D50" s="36" t="s">
        <v>65</v>
      </c>
      <c r="E50" s="36" t="s">
        <v>123</v>
      </c>
      <c r="F50" s="36" t="s">
        <v>125</v>
      </c>
      <c r="G50" s="36"/>
      <c r="H50" s="36">
        <v>48928</v>
      </c>
      <c r="I50" s="36">
        <v>43377</v>
      </c>
      <c r="J50" s="36">
        <v>5789</v>
      </c>
      <c r="K50" s="36">
        <v>3877</v>
      </c>
      <c r="L50">
        <f t="shared" si="1"/>
        <v>3836.7</v>
      </c>
      <c r="M50">
        <f t="shared" si="10"/>
        <v>5.3569897082356155E-2</v>
      </c>
      <c r="N50">
        <f t="shared" si="2"/>
        <v>0.17916353539249552</v>
      </c>
      <c r="P50">
        <f t="shared" si="3"/>
        <v>6.9571115266447367E-2</v>
      </c>
      <c r="Q50">
        <f t="shared" si="4"/>
        <v>48581.2</v>
      </c>
      <c r="R50">
        <f t="shared" si="0"/>
        <v>42596.5</v>
      </c>
      <c r="S50">
        <f t="shared" si="11"/>
        <v>5639.1</v>
      </c>
      <c r="T50">
        <f t="shared" si="5"/>
        <v>96816.8</v>
      </c>
      <c r="U50">
        <f t="shared" si="6"/>
        <v>0.16703731023159998</v>
      </c>
      <c r="V50">
        <f t="shared" si="7"/>
        <v>0.55865321147692304</v>
      </c>
      <c r="W50">
        <f t="shared" si="8"/>
        <v>8.6506648624982432E-2</v>
      </c>
      <c r="X50">
        <f t="shared" si="12"/>
        <v>0.52611442353062121</v>
      </c>
      <c r="Y50">
        <f t="shared" si="9"/>
        <v>3.2538787946301849E-2</v>
      </c>
      <c r="AC50">
        <v>40.299999999999997</v>
      </c>
      <c r="AD50" s="29">
        <v>1.34137240556928E-5</v>
      </c>
      <c r="AE50" s="29">
        <v>6.5198900750206902E-4</v>
      </c>
      <c r="AF50" s="30">
        <v>9.8739581370289001E-11</v>
      </c>
      <c r="AG50">
        <v>346.8</v>
      </c>
      <c r="AH50">
        <v>780.5</v>
      </c>
      <c r="AI50">
        <v>149.9</v>
      </c>
      <c r="AJ50" s="26">
        <v>1.3809969999999999E-6</v>
      </c>
      <c r="AK50" s="26">
        <v>3.3333599881999999E-2</v>
      </c>
    </row>
    <row r="51" spans="2:37" ht="16">
      <c r="B51" s="36">
        <v>45</v>
      </c>
      <c r="C51" s="36">
        <v>32.200000000000003</v>
      </c>
      <c r="D51" s="36" t="s">
        <v>165</v>
      </c>
      <c r="E51" s="36" t="s">
        <v>123</v>
      </c>
      <c r="F51" s="36" t="s">
        <v>125</v>
      </c>
      <c r="G51" s="36"/>
      <c r="H51" s="36">
        <v>32071</v>
      </c>
      <c r="I51" s="36">
        <v>34798</v>
      </c>
      <c r="J51" s="36">
        <v>14294</v>
      </c>
      <c r="K51" s="36">
        <v>0</v>
      </c>
      <c r="L51">
        <f t="shared" si="1"/>
        <v>-40.299999999999997</v>
      </c>
      <c r="M51">
        <f t="shared" si="10"/>
        <v>1.1157629002435687E-4</v>
      </c>
      <c r="N51">
        <f t="shared" si="2"/>
        <v>3.4651021746694681E-4</v>
      </c>
      <c r="P51">
        <f t="shared" si="3"/>
        <v>6.4592164632130009E-2</v>
      </c>
      <c r="Q51">
        <f t="shared" si="4"/>
        <v>31724.2</v>
      </c>
      <c r="R51">
        <f t="shared" si="0"/>
        <v>34017.5</v>
      </c>
      <c r="S51">
        <f t="shared" si="11"/>
        <v>14144.1</v>
      </c>
      <c r="T51">
        <f t="shared" si="5"/>
        <v>79885.8</v>
      </c>
      <c r="U51">
        <f t="shared" si="6"/>
        <v>0.14365565002459998</v>
      </c>
      <c r="V51">
        <f t="shared" si="7"/>
        <v>0.4461355590826086</v>
      </c>
      <c r="W51">
        <f t="shared" si="8"/>
        <v>8.0300449014978709E-2</v>
      </c>
      <c r="X51">
        <f t="shared" si="12"/>
        <v>0.36714547622407395</v>
      </c>
      <c r="Y51">
        <f t="shared" si="9"/>
        <v>7.8990082858534608E-2</v>
      </c>
      <c r="AC51">
        <v>40.299999999999997</v>
      </c>
      <c r="AD51" s="29">
        <v>1.34137240556928E-5</v>
      </c>
      <c r="AE51" s="29">
        <v>6.5198900750206902E-4</v>
      </c>
      <c r="AF51" s="30">
        <v>9.8739581370289001E-11</v>
      </c>
      <c r="AG51">
        <v>346.8</v>
      </c>
      <c r="AH51">
        <v>780.5</v>
      </c>
      <c r="AI51">
        <v>149.9</v>
      </c>
      <c r="AJ51" s="26">
        <v>1.3809969999999999E-6</v>
      </c>
      <c r="AK51" s="26">
        <v>3.3333599881999999E-2</v>
      </c>
    </row>
    <row r="52" spans="2:37" ht="16">
      <c r="B52" s="36">
        <v>46</v>
      </c>
      <c r="C52" s="36">
        <v>30.3</v>
      </c>
      <c r="D52" s="36" t="s">
        <v>166</v>
      </c>
      <c r="E52" s="36" t="s">
        <v>123</v>
      </c>
      <c r="F52" s="36" t="s">
        <v>125</v>
      </c>
      <c r="G52" s="36"/>
      <c r="H52" s="36">
        <v>25777</v>
      </c>
      <c r="I52" s="36">
        <v>38533</v>
      </c>
      <c r="J52" s="36">
        <v>18091</v>
      </c>
      <c r="K52" s="36">
        <v>586</v>
      </c>
      <c r="L52">
        <f t="shared" si="1"/>
        <v>545.70000000000005</v>
      </c>
      <c r="M52">
        <f t="shared" si="10"/>
        <v>8.0012617355331214E-3</v>
      </c>
      <c r="N52">
        <f t="shared" si="2"/>
        <v>2.6406804407700067E-2</v>
      </c>
      <c r="P52">
        <f t="shared" si="3"/>
        <v>6.864271965046688E-2</v>
      </c>
      <c r="Q52">
        <f t="shared" si="4"/>
        <v>25430.2</v>
      </c>
      <c r="R52">
        <f t="shared" si="0"/>
        <v>37752.5</v>
      </c>
      <c r="S52">
        <f t="shared" si="11"/>
        <v>17941.099999999999</v>
      </c>
      <c r="T52">
        <f t="shared" si="5"/>
        <v>81123.799999999988</v>
      </c>
      <c r="U52">
        <f t="shared" si="6"/>
        <v>0.14536532431059998</v>
      </c>
      <c r="V52">
        <f t="shared" si="7"/>
        <v>0.47975354557953792</v>
      </c>
      <c r="W52">
        <f t="shared" si="8"/>
        <v>8.53437362525854E-2</v>
      </c>
      <c r="X52">
        <f t="shared" si="12"/>
        <v>0.37365266844364137</v>
      </c>
      <c r="Y52">
        <f t="shared" si="9"/>
        <v>0.1061008771358966</v>
      </c>
      <c r="AC52">
        <v>40.299999999999997</v>
      </c>
      <c r="AD52" s="29">
        <v>1.34137240556928E-5</v>
      </c>
      <c r="AE52" s="29">
        <v>6.5198900750206902E-4</v>
      </c>
      <c r="AF52" s="30">
        <v>9.8739581370289001E-11</v>
      </c>
      <c r="AG52">
        <v>346.8</v>
      </c>
      <c r="AH52">
        <v>780.5</v>
      </c>
      <c r="AI52">
        <v>149.9</v>
      </c>
      <c r="AJ52" s="26">
        <v>1.3809969999999999E-6</v>
      </c>
      <c r="AK52" s="26">
        <v>3.3333599881999999E-2</v>
      </c>
    </row>
    <row r="53" spans="2:37" ht="16">
      <c r="B53" s="36">
        <v>47</v>
      </c>
      <c r="C53" s="36">
        <v>29.9</v>
      </c>
      <c r="D53" s="36" t="s">
        <v>167</v>
      </c>
      <c r="E53" s="36" t="s">
        <v>123</v>
      </c>
      <c r="F53" s="36" t="s">
        <v>125</v>
      </c>
      <c r="G53" s="36"/>
      <c r="H53" s="36">
        <v>27977</v>
      </c>
      <c r="I53" s="36">
        <v>39629</v>
      </c>
      <c r="J53" s="36">
        <v>11877</v>
      </c>
      <c r="K53" s="36">
        <v>202</v>
      </c>
      <c r="L53">
        <f t="shared" si="1"/>
        <v>161.69999999999999</v>
      </c>
      <c r="M53">
        <f t="shared" si="10"/>
        <v>2.8235699202803295E-3</v>
      </c>
      <c r="N53">
        <f t="shared" si="2"/>
        <v>9.4433776598004341E-3</v>
      </c>
      <c r="P53">
        <f t="shared" si="3"/>
        <v>6.9560821322046509E-2</v>
      </c>
      <c r="Q53">
        <f t="shared" si="4"/>
        <v>27630.2</v>
      </c>
      <c r="R53">
        <f t="shared" si="0"/>
        <v>38848.5</v>
      </c>
      <c r="S53">
        <f t="shared" si="11"/>
        <v>11727.1</v>
      </c>
      <c r="T53">
        <f t="shared" si="5"/>
        <v>78205.8</v>
      </c>
      <c r="U53">
        <f t="shared" si="6"/>
        <v>0.14133557506459998</v>
      </c>
      <c r="V53">
        <f t="shared" si="7"/>
        <v>0.47269423098528429</v>
      </c>
      <c r="W53">
        <f t="shared" si="8"/>
        <v>8.6483719264382808E-2</v>
      </c>
      <c r="X53">
        <f t="shared" si="12"/>
        <v>0.40181288310331736</v>
      </c>
      <c r="Y53">
        <f t="shared" si="9"/>
        <v>7.08813478819669E-2</v>
      </c>
      <c r="AC53">
        <v>40.299999999999997</v>
      </c>
      <c r="AD53" s="29">
        <v>1.34137240556928E-5</v>
      </c>
      <c r="AE53" s="29">
        <v>6.5198900750206902E-4</v>
      </c>
      <c r="AF53" s="30">
        <v>9.8739581370289001E-11</v>
      </c>
      <c r="AG53">
        <v>346.8</v>
      </c>
      <c r="AH53">
        <v>780.5</v>
      </c>
      <c r="AI53">
        <v>149.9</v>
      </c>
      <c r="AJ53" s="26">
        <v>1.3809969999999999E-6</v>
      </c>
      <c r="AK53" s="26">
        <v>3.3333599881999999E-2</v>
      </c>
    </row>
    <row r="54" spans="2:37" ht="16">
      <c r="B54" s="36">
        <v>48</v>
      </c>
      <c r="C54" s="36">
        <v>32.1</v>
      </c>
      <c r="D54" s="36" t="s">
        <v>168</v>
      </c>
      <c r="E54" s="36" t="s">
        <v>123</v>
      </c>
      <c r="F54" s="36" t="s">
        <v>125</v>
      </c>
      <c r="G54" s="36"/>
      <c r="H54" s="36">
        <v>25743</v>
      </c>
      <c r="I54" s="36">
        <v>37138</v>
      </c>
      <c r="J54" s="36">
        <v>16124</v>
      </c>
      <c r="K54" s="36">
        <v>105</v>
      </c>
      <c r="L54">
        <f t="shared" si="1"/>
        <v>64.7</v>
      </c>
      <c r="M54">
        <f t="shared" si="10"/>
        <v>1.5202702866795716E-3</v>
      </c>
      <c r="N54">
        <f t="shared" si="2"/>
        <v>4.7360445067899425E-3</v>
      </c>
      <c r="P54">
        <f t="shared" si="3"/>
        <v>6.4793393012084588E-2</v>
      </c>
      <c r="Q54">
        <f t="shared" si="4"/>
        <v>25396.2</v>
      </c>
      <c r="R54">
        <f t="shared" si="0"/>
        <v>36357.5</v>
      </c>
      <c r="S54">
        <f t="shared" si="11"/>
        <v>15974.1</v>
      </c>
      <c r="T54">
        <f t="shared" si="5"/>
        <v>77727.8</v>
      </c>
      <c r="U54">
        <f t="shared" si="6"/>
        <v>0.1406754584986</v>
      </c>
      <c r="V54">
        <f t="shared" si="7"/>
        <v>0.43824130373395637</v>
      </c>
      <c r="W54">
        <f t="shared" si="8"/>
        <v>8.0548923874113568E-2</v>
      </c>
      <c r="X54">
        <f t="shared" si="12"/>
        <v>0.34817686848715157</v>
      </c>
      <c r="Y54">
        <f t="shared" si="9"/>
        <v>9.0064435246804769E-2</v>
      </c>
      <c r="AC54">
        <v>40.299999999999997</v>
      </c>
      <c r="AD54" s="29">
        <v>1.34137240556928E-5</v>
      </c>
      <c r="AE54" s="29">
        <v>6.5198900750206902E-4</v>
      </c>
      <c r="AF54" s="30">
        <v>9.8739581370289001E-11</v>
      </c>
      <c r="AG54">
        <v>346.8</v>
      </c>
      <c r="AH54">
        <v>780.5</v>
      </c>
      <c r="AI54">
        <v>149.9</v>
      </c>
      <c r="AJ54" s="26">
        <v>1.3809969999999999E-6</v>
      </c>
      <c r="AK54" s="26">
        <v>3.3333599881999999E-2</v>
      </c>
    </row>
    <row r="55" spans="2:37" ht="16">
      <c r="B55" s="36">
        <v>49</v>
      </c>
      <c r="C55" s="36">
        <v>30.2</v>
      </c>
      <c r="D55" s="36" t="s">
        <v>169</v>
      </c>
      <c r="E55" s="36" t="s">
        <v>123</v>
      </c>
      <c r="F55" s="36" t="s">
        <v>125</v>
      </c>
      <c r="G55" s="36"/>
      <c r="H55" s="36">
        <v>24731</v>
      </c>
      <c r="I55" s="36">
        <v>31271</v>
      </c>
      <c r="J55" s="36">
        <v>15912</v>
      </c>
      <c r="K55" s="36">
        <v>178</v>
      </c>
      <c r="L55">
        <f t="shared" si="1"/>
        <v>137.69999999999999</v>
      </c>
      <c r="M55">
        <f t="shared" si="10"/>
        <v>2.5009310398078077E-3</v>
      </c>
      <c r="N55">
        <f t="shared" si="2"/>
        <v>8.2812286086351265E-3</v>
      </c>
      <c r="P55">
        <f t="shared" si="3"/>
        <v>6.8869813226916321E-2</v>
      </c>
      <c r="Q55">
        <f t="shared" si="4"/>
        <v>24384.2</v>
      </c>
      <c r="R55">
        <f t="shared" si="0"/>
        <v>30490.5</v>
      </c>
      <c r="S55">
        <f t="shared" si="11"/>
        <v>15762.1</v>
      </c>
      <c r="T55">
        <f t="shared" si="5"/>
        <v>70636.800000000003</v>
      </c>
      <c r="U55">
        <f t="shared" si="6"/>
        <v>0.1308828087716</v>
      </c>
      <c r="V55">
        <f t="shared" si="7"/>
        <v>0.43338678401192049</v>
      </c>
      <c r="W55">
        <f t="shared" si="8"/>
        <v>8.5615487629154108E-2</v>
      </c>
      <c r="X55">
        <f t="shared" si="12"/>
        <v>0.33667960265214353</v>
      </c>
      <c r="Y55">
        <f t="shared" si="9"/>
        <v>9.6707181359776934E-2</v>
      </c>
      <c r="AC55">
        <v>40.299999999999997</v>
      </c>
      <c r="AD55" s="29">
        <v>1.34137240556928E-5</v>
      </c>
      <c r="AE55" s="29">
        <v>6.5198900750206902E-4</v>
      </c>
      <c r="AF55" s="30">
        <v>9.8739581370289001E-11</v>
      </c>
      <c r="AG55">
        <v>346.8</v>
      </c>
      <c r="AH55">
        <v>780.5</v>
      </c>
      <c r="AI55">
        <v>149.9</v>
      </c>
      <c r="AJ55" s="26">
        <v>1.3809969999999999E-6</v>
      </c>
      <c r="AK55" s="26">
        <v>3.3333599881999999E-2</v>
      </c>
    </row>
    <row r="56" spans="2:37" ht="16">
      <c r="B56" s="36">
        <v>50</v>
      </c>
      <c r="C56" s="36">
        <v>30.1</v>
      </c>
      <c r="D56" s="36" t="s">
        <v>170</v>
      </c>
      <c r="E56" s="36" t="s">
        <v>123</v>
      </c>
      <c r="F56" s="36" t="s">
        <v>125</v>
      </c>
      <c r="G56" s="36"/>
      <c r="H56" s="36">
        <v>26165</v>
      </c>
      <c r="I56" s="36">
        <v>29141</v>
      </c>
      <c r="J56" s="36">
        <v>7529</v>
      </c>
      <c r="K56" s="36">
        <v>194</v>
      </c>
      <c r="L56">
        <f t="shared" si="1"/>
        <v>153.69999999999999</v>
      </c>
      <c r="M56">
        <f t="shared" si="10"/>
        <v>2.7160109881230739E-3</v>
      </c>
      <c r="N56">
        <f t="shared" si="2"/>
        <v>9.0232923193457586E-3</v>
      </c>
      <c r="P56">
        <f t="shared" si="3"/>
        <v>6.9098620695428062E-2</v>
      </c>
      <c r="Q56">
        <f t="shared" si="4"/>
        <v>25818.2</v>
      </c>
      <c r="R56">
        <f t="shared" si="0"/>
        <v>28360.5</v>
      </c>
      <c r="S56">
        <f t="shared" si="11"/>
        <v>7379.1</v>
      </c>
      <c r="T56">
        <f t="shared" si="5"/>
        <v>61557.799999999996</v>
      </c>
      <c r="U56">
        <f t="shared" si="6"/>
        <v>0.11834473700859999</v>
      </c>
      <c r="V56">
        <f t="shared" si="7"/>
        <v>0.39317188374950157</v>
      </c>
      <c r="W56">
        <f t="shared" si="8"/>
        <v>8.5891381935414401E-2</v>
      </c>
      <c r="X56">
        <f t="shared" si="12"/>
        <v>0.34604130651353887</v>
      </c>
      <c r="Y56">
        <f t="shared" si="9"/>
        <v>4.7130577235962742E-2</v>
      </c>
      <c r="AC56">
        <v>40.299999999999997</v>
      </c>
      <c r="AD56" s="29">
        <v>1.34137240556928E-5</v>
      </c>
      <c r="AE56" s="29">
        <v>6.5198900750206902E-4</v>
      </c>
      <c r="AF56" s="30">
        <v>9.8739581370289001E-11</v>
      </c>
      <c r="AG56">
        <v>346.8</v>
      </c>
      <c r="AH56">
        <v>780.5</v>
      </c>
      <c r="AI56">
        <v>149.9</v>
      </c>
      <c r="AJ56" s="26">
        <v>1.3809969999999999E-6</v>
      </c>
      <c r="AK56" s="26">
        <v>3.3333599881999999E-2</v>
      </c>
    </row>
    <row r="57" spans="2:37" ht="16">
      <c r="B57" s="36">
        <v>51</v>
      </c>
      <c r="C57" s="36">
        <v>100</v>
      </c>
      <c r="D57" s="36" t="s">
        <v>58</v>
      </c>
      <c r="E57" s="36" t="s">
        <v>123</v>
      </c>
      <c r="F57" s="36" t="s">
        <v>125</v>
      </c>
      <c r="G57" s="36"/>
      <c r="H57" s="36">
        <v>322</v>
      </c>
      <c r="I57" s="36">
        <v>721</v>
      </c>
      <c r="J57" s="36">
        <v>14</v>
      </c>
      <c r="K57" s="36">
        <v>5</v>
      </c>
      <c r="AC57">
        <v>40.299999999999997</v>
      </c>
      <c r="AD57" s="29">
        <v>1.34137240556928E-5</v>
      </c>
      <c r="AE57" s="29">
        <v>6.5198900750206902E-4</v>
      </c>
      <c r="AF57" s="30">
        <v>9.8739581370289001E-11</v>
      </c>
      <c r="AG57">
        <v>346.8</v>
      </c>
      <c r="AH57">
        <v>780.5</v>
      </c>
      <c r="AI57">
        <v>149.9</v>
      </c>
      <c r="AJ57" s="26">
        <v>1.3809969999999999E-6</v>
      </c>
      <c r="AK57" s="26">
        <v>3.3333599881999999E-2</v>
      </c>
    </row>
    <row r="58" spans="2:37" ht="16">
      <c r="B58" s="36">
        <v>52</v>
      </c>
      <c r="C58" s="36">
        <v>30.1</v>
      </c>
      <c r="D58" s="36" t="s">
        <v>171</v>
      </c>
      <c r="E58" s="36" t="s">
        <v>123</v>
      </c>
      <c r="F58" s="36" t="s">
        <v>125</v>
      </c>
      <c r="G58" s="36"/>
      <c r="H58" s="36">
        <v>115692</v>
      </c>
      <c r="I58" s="36">
        <v>19465</v>
      </c>
      <c r="J58" s="36">
        <v>2902</v>
      </c>
      <c r="K58" s="36">
        <v>3492</v>
      </c>
      <c r="L58">
        <f t="shared" si="1"/>
        <v>3451.7</v>
      </c>
      <c r="M58">
        <f t="shared" si="10"/>
        <v>4.8128546698443631E-2</v>
      </c>
      <c r="N58">
        <f t="shared" si="2"/>
        <v>0.15989550398154029</v>
      </c>
      <c r="P58">
        <f t="shared" si="3"/>
        <v>6.9106761911426381E-2</v>
      </c>
      <c r="Q58">
        <f t="shared" si="4"/>
        <v>115345.2</v>
      </c>
      <c r="R58">
        <f t="shared" si="0"/>
        <v>18684.5</v>
      </c>
      <c r="S58">
        <f t="shared" si="11"/>
        <v>2752.1</v>
      </c>
      <c r="T58">
        <f t="shared" si="5"/>
        <v>136781.80000000002</v>
      </c>
      <c r="U58">
        <f t="shared" si="6"/>
        <v>0.2222288553366</v>
      </c>
      <c r="V58">
        <f t="shared" si="7"/>
        <v>0.73830184497209295</v>
      </c>
      <c r="W58">
        <f t="shared" si="8"/>
        <v>8.5991686579034041E-2</v>
      </c>
      <c r="X58">
        <f t="shared" si="12"/>
        <v>0.72344694097501372</v>
      </c>
      <c r="Y58">
        <f t="shared" si="9"/>
        <v>1.4854903997079266E-2</v>
      </c>
      <c r="AC58">
        <v>40.299999999999997</v>
      </c>
      <c r="AD58" s="29">
        <v>1.34137240556928E-5</v>
      </c>
      <c r="AE58" s="29">
        <v>6.5198900750206902E-4</v>
      </c>
      <c r="AF58" s="30">
        <v>9.8739581370289001E-11</v>
      </c>
      <c r="AG58">
        <v>346.8</v>
      </c>
      <c r="AH58">
        <v>780.5</v>
      </c>
      <c r="AI58">
        <v>149.9</v>
      </c>
      <c r="AJ58" s="26">
        <v>1.3809969999999999E-6</v>
      </c>
      <c r="AK58" s="26">
        <v>3.3333599881999999E-2</v>
      </c>
    </row>
    <row r="59" spans="2:37" ht="16">
      <c r="B59" s="36">
        <v>53</v>
      </c>
      <c r="C59" s="36">
        <v>30.4</v>
      </c>
      <c r="D59" s="36" t="s">
        <v>172</v>
      </c>
      <c r="E59" s="36" t="s">
        <v>123</v>
      </c>
      <c r="F59" s="36" t="s">
        <v>125</v>
      </c>
      <c r="G59" s="36"/>
      <c r="H59" s="36">
        <v>22523</v>
      </c>
      <c r="I59" s="36">
        <v>29411</v>
      </c>
      <c r="J59" s="36">
        <v>10235</v>
      </c>
      <c r="K59" s="36">
        <v>2</v>
      </c>
      <c r="L59">
        <f t="shared" si="1"/>
        <v>-38.299999999999997</v>
      </c>
      <c r="M59">
        <f t="shared" si="10"/>
        <v>1.3838821627355113E-4</v>
      </c>
      <c r="N59">
        <f t="shared" si="2"/>
        <v>4.5522439563668135E-4</v>
      </c>
      <c r="P59">
        <f t="shared" si="3"/>
        <v>6.8416700723444593E-2</v>
      </c>
      <c r="Q59">
        <f t="shared" si="4"/>
        <v>22176.2</v>
      </c>
      <c r="R59">
        <f t="shared" si="0"/>
        <v>28630.5</v>
      </c>
      <c r="S59">
        <f t="shared" si="11"/>
        <v>10085.1</v>
      </c>
      <c r="T59">
        <f t="shared" si="5"/>
        <v>60891.799999999996</v>
      </c>
      <c r="U59">
        <f t="shared" si="6"/>
        <v>0.11742499300659998</v>
      </c>
      <c r="V59">
        <f t="shared" si="7"/>
        <v>0.38626642436381575</v>
      </c>
      <c r="W59">
        <f t="shared" si="8"/>
        <v>8.5042399936738317E-2</v>
      </c>
      <c r="X59">
        <f t="shared" si="12"/>
        <v>0.3222917099301561</v>
      </c>
      <c r="Y59">
        <f t="shared" si="9"/>
        <v>6.3974714433659693E-2</v>
      </c>
      <c r="AC59">
        <v>40.299999999999997</v>
      </c>
      <c r="AD59" s="29">
        <v>1.34137240556928E-5</v>
      </c>
      <c r="AE59" s="29">
        <v>6.5198900750206902E-4</v>
      </c>
      <c r="AF59" s="30">
        <v>9.8739581370289001E-11</v>
      </c>
      <c r="AG59">
        <v>346.8</v>
      </c>
      <c r="AH59">
        <v>780.5</v>
      </c>
      <c r="AI59">
        <v>149.9</v>
      </c>
      <c r="AJ59" s="26">
        <v>1.3809969999999999E-6</v>
      </c>
      <c r="AK59" s="26">
        <v>3.3333599881999999E-2</v>
      </c>
    </row>
    <row r="60" spans="2:37" ht="16">
      <c r="B60" s="36">
        <v>54</v>
      </c>
      <c r="C60" s="36">
        <v>31.2</v>
      </c>
      <c r="D60" s="36" t="s">
        <v>173</v>
      </c>
      <c r="E60" s="36" t="s">
        <v>123</v>
      </c>
      <c r="F60" s="36" t="s">
        <v>125</v>
      </c>
      <c r="G60" s="36"/>
      <c r="H60" s="36">
        <v>23565</v>
      </c>
      <c r="I60" s="36">
        <v>32676</v>
      </c>
      <c r="J60" s="36">
        <v>10204</v>
      </c>
      <c r="K60" s="36">
        <v>261</v>
      </c>
      <c r="L60">
        <f t="shared" si="1"/>
        <v>220.7</v>
      </c>
      <c r="M60">
        <f t="shared" si="10"/>
        <v>3.6172073625052484E-3</v>
      </c>
      <c r="N60">
        <f t="shared" si="2"/>
        <v>1.1593613341362977E-2</v>
      </c>
      <c r="P60">
        <f t="shared" si="3"/>
        <v>6.6662467708449982E-2</v>
      </c>
      <c r="Q60">
        <f t="shared" si="4"/>
        <v>23218.2</v>
      </c>
      <c r="R60">
        <f t="shared" si="0"/>
        <v>31895.5</v>
      </c>
      <c r="S60">
        <f t="shared" si="11"/>
        <v>10054.1</v>
      </c>
      <c r="T60">
        <f t="shared" si="5"/>
        <v>65167.799999999996</v>
      </c>
      <c r="U60">
        <f t="shared" si="6"/>
        <v>0.12333013617859998</v>
      </c>
      <c r="V60">
        <f t="shared" si="7"/>
        <v>0.39528889800833328</v>
      </c>
      <c r="W60">
        <f t="shared" si="8"/>
        <v>8.2863574004659366E-2</v>
      </c>
      <c r="X60">
        <f t="shared" si="12"/>
        <v>0.33430365515119242</v>
      </c>
      <c r="Y60">
        <f t="shared" si="9"/>
        <v>6.098524285714086E-2</v>
      </c>
      <c r="AC60">
        <v>40.299999999999997</v>
      </c>
      <c r="AD60" s="29">
        <v>1.34137240556928E-5</v>
      </c>
      <c r="AE60" s="29">
        <v>6.5198900750206902E-4</v>
      </c>
      <c r="AF60" s="30">
        <v>9.8739581370289001E-11</v>
      </c>
      <c r="AG60">
        <v>346.8</v>
      </c>
      <c r="AH60">
        <v>780.5</v>
      </c>
      <c r="AI60">
        <v>149.9</v>
      </c>
      <c r="AJ60" s="26">
        <v>1.3809969999999999E-6</v>
      </c>
      <c r="AK60" s="26">
        <v>3.3333599881999999E-2</v>
      </c>
    </row>
    <row r="61" spans="2:37" ht="16">
      <c r="B61" s="36">
        <v>55</v>
      </c>
      <c r="C61" s="36">
        <v>32.299999999999997</v>
      </c>
      <c r="D61" s="36" t="s">
        <v>174</v>
      </c>
      <c r="E61" s="36" t="s">
        <v>123</v>
      </c>
      <c r="F61" s="36" t="s">
        <v>125</v>
      </c>
      <c r="G61" s="36"/>
      <c r="H61" s="36">
        <v>28490</v>
      </c>
      <c r="I61" s="36">
        <v>34517</v>
      </c>
      <c r="J61" s="36">
        <v>14622</v>
      </c>
      <c r="K61" s="36">
        <v>477</v>
      </c>
      <c r="L61">
        <f t="shared" si="1"/>
        <v>436.7</v>
      </c>
      <c r="M61">
        <f t="shared" si="10"/>
        <v>6.5285926211061445E-3</v>
      </c>
      <c r="N61">
        <f t="shared" si="2"/>
        <v>2.0212361056056175E-2</v>
      </c>
      <c r="P61">
        <f t="shared" si="3"/>
        <v>6.439231048021575E-2</v>
      </c>
      <c r="Q61">
        <f t="shared" si="4"/>
        <v>28143.200000000001</v>
      </c>
      <c r="R61">
        <f t="shared" si="0"/>
        <v>33736.5</v>
      </c>
      <c r="S61">
        <f t="shared" si="11"/>
        <v>14472.1</v>
      </c>
      <c r="T61">
        <f t="shared" si="5"/>
        <v>76351.8</v>
      </c>
      <c r="U61">
        <f t="shared" si="6"/>
        <v>0.13877520662660001</v>
      </c>
      <c r="V61">
        <f t="shared" si="7"/>
        <v>0.42964460255913317</v>
      </c>
      <c r="W61">
        <f t="shared" si="8"/>
        <v>8.0048382184844086E-2</v>
      </c>
      <c r="X61">
        <f t="shared" si="12"/>
        <v>0.34820762723312865</v>
      </c>
      <c r="Y61">
        <f t="shared" si="9"/>
        <v>8.143697532600451E-2</v>
      </c>
      <c r="AC61">
        <v>40.299999999999997</v>
      </c>
      <c r="AD61" s="29">
        <v>1.34137240556928E-5</v>
      </c>
      <c r="AE61" s="29">
        <v>6.5198900750206902E-4</v>
      </c>
      <c r="AF61" s="30">
        <v>9.8739581370289001E-11</v>
      </c>
      <c r="AG61">
        <v>346.8</v>
      </c>
      <c r="AH61">
        <v>780.5</v>
      </c>
      <c r="AI61">
        <v>149.9</v>
      </c>
      <c r="AJ61" s="26">
        <v>1.3809969999999999E-6</v>
      </c>
      <c r="AK61" s="26">
        <v>3.3333599881999999E-2</v>
      </c>
    </row>
    <row r="62" spans="2:37" ht="16">
      <c r="B62" s="36">
        <v>56</v>
      </c>
      <c r="C62" s="36">
        <v>30.4</v>
      </c>
      <c r="D62" s="36" t="s">
        <v>175</v>
      </c>
      <c r="E62" s="36" t="s">
        <v>123</v>
      </c>
      <c r="F62" s="36" t="s">
        <v>125</v>
      </c>
      <c r="G62" s="36"/>
      <c r="H62" s="36">
        <v>24805</v>
      </c>
      <c r="I62" s="36">
        <v>30450</v>
      </c>
      <c r="J62" s="36">
        <v>13896</v>
      </c>
      <c r="K62" s="36">
        <v>60</v>
      </c>
      <c r="L62">
        <f t="shared" si="1"/>
        <v>19.700000000000003</v>
      </c>
      <c r="M62">
        <f t="shared" si="10"/>
        <v>9.1627769124335125E-4</v>
      </c>
      <c r="N62">
        <f t="shared" si="2"/>
        <v>3.0140713527741819E-3</v>
      </c>
      <c r="P62">
        <f t="shared" si="3"/>
        <v>6.8416703531504253E-2</v>
      </c>
      <c r="Q62">
        <f t="shared" si="4"/>
        <v>24458.2</v>
      </c>
      <c r="R62">
        <f t="shared" si="0"/>
        <v>29669.5</v>
      </c>
      <c r="S62">
        <f t="shared" si="11"/>
        <v>13746.1</v>
      </c>
      <c r="T62">
        <f t="shared" si="5"/>
        <v>67873.8</v>
      </c>
      <c r="U62">
        <f t="shared" si="6"/>
        <v>0.12706711406060001</v>
      </c>
      <c r="V62">
        <f t="shared" si="7"/>
        <v>0.41798392783092109</v>
      </c>
      <c r="W62">
        <f t="shared" si="8"/>
        <v>8.5048891077131969E-2</v>
      </c>
      <c r="X62">
        <f t="shared" si="12"/>
        <v>0.3333319874598703</v>
      </c>
      <c r="Y62">
        <f t="shared" si="9"/>
        <v>8.4651940371050741E-2</v>
      </c>
      <c r="AC62">
        <v>40.299999999999997</v>
      </c>
      <c r="AD62" s="29">
        <v>1.34137240556928E-5</v>
      </c>
      <c r="AE62" s="29">
        <v>6.5198900750206902E-4</v>
      </c>
      <c r="AF62" s="30">
        <v>9.8739581370289001E-11</v>
      </c>
      <c r="AG62">
        <v>346.8</v>
      </c>
      <c r="AH62">
        <v>780.5</v>
      </c>
      <c r="AI62">
        <v>149.9</v>
      </c>
      <c r="AJ62" s="26">
        <v>1.3809969999999999E-6</v>
      </c>
      <c r="AK62" s="26">
        <v>3.3333599881999999E-2</v>
      </c>
    </row>
    <row r="63" spans="2:37" ht="16">
      <c r="B63" s="36">
        <v>57</v>
      </c>
      <c r="C63" s="36">
        <v>29.9</v>
      </c>
      <c r="D63" s="36" t="s">
        <v>176</v>
      </c>
      <c r="E63" s="36" t="s">
        <v>123</v>
      </c>
      <c r="F63" s="36" t="s">
        <v>125</v>
      </c>
      <c r="G63" s="36"/>
      <c r="H63" s="36">
        <v>28161</v>
      </c>
      <c r="I63" s="36">
        <v>32107</v>
      </c>
      <c r="J63" s="36">
        <v>10810</v>
      </c>
      <c r="K63" s="36">
        <v>240</v>
      </c>
      <c r="L63">
        <f t="shared" si="1"/>
        <v>199.7</v>
      </c>
      <c r="M63">
        <f t="shared" si="10"/>
        <v>3.3346474448155304E-3</v>
      </c>
      <c r="N63">
        <f t="shared" si="2"/>
        <v>1.1152667039516824E-2</v>
      </c>
      <c r="P63">
        <f t="shared" si="3"/>
        <v>6.9560832644024392E-2</v>
      </c>
      <c r="Q63">
        <f t="shared" si="4"/>
        <v>27814.2</v>
      </c>
      <c r="R63">
        <f t="shared" si="0"/>
        <v>31326.5</v>
      </c>
      <c r="S63">
        <f t="shared" si="11"/>
        <v>10660.1</v>
      </c>
      <c r="T63">
        <f t="shared" si="5"/>
        <v>69800.800000000003</v>
      </c>
      <c r="U63">
        <f t="shared" si="6"/>
        <v>0.1297282952796</v>
      </c>
      <c r="V63">
        <f t="shared" si="7"/>
        <v>0.4338738972561873</v>
      </c>
      <c r="W63">
        <f t="shared" si="8"/>
        <v>8.6474615189284315E-2</v>
      </c>
      <c r="X63">
        <f t="shared" si="12"/>
        <v>0.36761191842298357</v>
      </c>
      <c r="Y63">
        <f t="shared" si="9"/>
        <v>6.6261978833203672E-2</v>
      </c>
      <c r="AC63">
        <v>40.299999999999997</v>
      </c>
      <c r="AD63" s="29">
        <v>1.34137240556928E-5</v>
      </c>
      <c r="AE63" s="29">
        <v>6.5198900750206902E-4</v>
      </c>
      <c r="AF63" s="30">
        <v>9.8739581370289001E-11</v>
      </c>
      <c r="AG63">
        <v>346.8</v>
      </c>
      <c r="AH63">
        <v>780.5</v>
      </c>
      <c r="AI63">
        <v>149.9</v>
      </c>
      <c r="AJ63" s="26">
        <v>1.3809969999999999E-6</v>
      </c>
      <c r="AK63" s="26">
        <v>3.3333599881999999E-2</v>
      </c>
    </row>
    <row r="64" spans="2:37" ht="16">
      <c r="B64" s="36">
        <v>58</v>
      </c>
      <c r="C64" s="36">
        <v>29.7</v>
      </c>
      <c r="D64" s="36" t="s">
        <v>177</v>
      </c>
      <c r="E64" s="36" t="s">
        <v>123</v>
      </c>
      <c r="F64" s="36" t="s">
        <v>125</v>
      </c>
      <c r="G64" s="36"/>
      <c r="H64" s="36">
        <v>28006</v>
      </c>
      <c r="I64" s="36">
        <v>31754</v>
      </c>
      <c r="J64" s="36">
        <v>22889</v>
      </c>
      <c r="K64" s="36">
        <v>475</v>
      </c>
      <c r="L64">
        <f t="shared" si="1"/>
        <v>434.7</v>
      </c>
      <c r="M64">
        <f t="shared" si="10"/>
        <v>6.5015930896523463E-3</v>
      </c>
      <c r="N64">
        <f t="shared" si="2"/>
        <v>2.1890885823745272E-2</v>
      </c>
      <c r="P64">
        <f t="shared" si="3"/>
        <v>7.0029370642590572E-2</v>
      </c>
      <c r="Q64">
        <f t="shared" si="4"/>
        <v>27659.200000000001</v>
      </c>
      <c r="R64">
        <f t="shared" si="0"/>
        <v>30973.5</v>
      </c>
      <c r="S64">
        <f t="shared" si="11"/>
        <v>22739.1</v>
      </c>
      <c r="T64">
        <f t="shared" si="5"/>
        <v>81371.799999999988</v>
      </c>
      <c r="U64">
        <f t="shared" si="6"/>
        <v>0.14570781156659998</v>
      </c>
      <c r="V64">
        <f t="shared" si="7"/>
        <v>0.49059869214343432</v>
      </c>
      <c r="W64">
        <f t="shared" si="8"/>
        <v>8.7070592557361257E-2</v>
      </c>
      <c r="X64">
        <f t="shared" si="12"/>
        <v>0.35350239194460908</v>
      </c>
      <c r="Y64">
        <f t="shared" si="9"/>
        <v>0.13709630019882527</v>
      </c>
      <c r="AC64">
        <v>40.299999999999997</v>
      </c>
      <c r="AD64" s="29">
        <v>1.34137240556928E-5</v>
      </c>
      <c r="AE64" s="29">
        <v>6.5198900750206902E-4</v>
      </c>
      <c r="AF64" s="30">
        <v>9.8739581370289001E-11</v>
      </c>
      <c r="AG64">
        <v>346.8</v>
      </c>
      <c r="AH64">
        <v>780.5</v>
      </c>
      <c r="AI64">
        <v>149.9</v>
      </c>
      <c r="AJ64" s="26">
        <v>1.3809969999999999E-6</v>
      </c>
      <c r="AK64" s="26">
        <v>3.3333599881999999E-2</v>
      </c>
    </row>
    <row r="65" spans="2:37" ht="16">
      <c r="B65" s="36">
        <v>59</v>
      </c>
      <c r="C65" s="36">
        <v>100</v>
      </c>
      <c r="D65" s="36" t="s">
        <v>58</v>
      </c>
      <c r="E65" s="36" t="s">
        <v>123</v>
      </c>
      <c r="F65" s="36" t="s">
        <v>125</v>
      </c>
      <c r="G65" s="36"/>
      <c r="H65" s="36">
        <v>334</v>
      </c>
      <c r="I65" s="36">
        <v>828</v>
      </c>
      <c r="J65" s="36">
        <v>21</v>
      </c>
      <c r="K65" s="36">
        <v>6</v>
      </c>
      <c r="AC65">
        <v>40.299999999999997</v>
      </c>
      <c r="AD65" s="29">
        <v>1.34137240556928E-5</v>
      </c>
      <c r="AE65" s="29">
        <v>6.5198900750206902E-4</v>
      </c>
      <c r="AF65" s="30">
        <v>9.8739581370289001E-11</v>
      </c>
      <c r="AG65">
        <v>346.8</v>
      </c>
      <c r="AH65">
        <v>780.5</v>
      </c>
      <c r="AI65">
        <v>149.9</v>
      </c>
      <c r="AJ65" s="26">
        <v>1.3809969999999999E-6</v>
      </c>
      <c r="AK65" s="26">
        <v>3.3333599881999999E-2</v>
      </c>
    </row>
    <row r="66" spans="2:37" ht="16">
      <c r="B66" s="36">
        <v>60</v>
      </c>
      <c r="C66" s="36">
        <v>32.200000000000003</v>
      </c>
      <c r="D66" s="36" t="s">
        <v>65</v>
      </c>
      <c r="E66" s="36" t="s">
        <v>123</v>
      </c>
      <c r="F66" s="36" t="s">
        <v>125</v>
      </c>
      <c r="G66" s="36"/>
      <c r="H66" s="36">
        <v>52269</v>
      </c>
      <c r="I66" s="36">
        <v>46875</v>
      </c>
      <c r="J66" s="36">
        <v>6292</v>
      </c>
      <c r="K66" s="36">
        <v>3984</v>
      </c>
      <c r="L66">
        <f t="shared" si="1"/>
        <v>3943.7</v>
      </c>
      <c r="M66">
        <f t="shared" si="10"/>
        <v>5.5087366534276878E-2</v>
      </c>
      <c r="N66">
        <f t="shared" si="2"/>
        <v>0.17107877805676047</v>
      </c>
      <c r="P66">
        <f t="shared" si="3"/>
        <v>6.4600904392604366E-2</v>
      </c>
      <c r="Q66">
        <f t="shared" si="4"/>
        <v>51922.2</v>
      </c>
      <c r="R66">
        <f t="shared" si="0"/>
        <v>46094.5</v>
      </c>
      <c r="S66">
        <f t="shared" si="11"/>
        <v>6142.1</v>
      </c>
      <c r="T66">
        <f t="shared" si="5"/>
        <v>104158.8</v>
      </c>
      <c r="U66">
        <f t="shared" si="6"/>
        <v>0.17717659020559998</v>
      </c>
      <c r="V66">
        <f t="shared" si="7"/>
        <v>0.55023785778136636</v>
      </c>
      <c r="W66">
        <f t="shared" si="8"/>
        <v>8.0325361403453144E-2</v>
      </c>
      <c r="X66">
        <f t="shared" si="12"/>
        <v>0.5177910943175118</v>
      </c>
      <c r="Y66">
        <f t="shared" si="9"/>
        <v>3.2446763463854521E-2</v>
      </c>
      <c r="AC66">
        <v>40.299999999999997</v>
      </c>
      <c r="AD66" s="29">
        <v>1.34137240556928E-5</v>
      </c>
      <c r="AE66" s="29">
        <v>6.5198900750206902E-4</v>
      </c>
      <c r="AF66" s="30">
        <v>9.8739581370289001E-11</v>
      </c>
      <c r="AG66">
        <v>346.8</v>
      </c>
      <c r="AH66">
        <v>780.5</v>
      </c>
      <c r="AI66">
        <v>149.9</v>
      </c>
      <c r="AJ66" s="26">
        <v>1.3809969999999999E-6</v>
      </c>
      <c r="AK66" s="26">
        <v>3.3333599881999999E-2</v>
      </c>
    </row>
    <row r="67" spans="2:37" ht="16">
      <c r="B67" s="36">
        <v>61</v>
      </c>
      <c r="C67" s="36">
        <v>31</v>
      </c>
      <c r="D67" s="36" t="s">
        <v>178</v>
      </c>
      <c r="E67" s="36" t="s">
        <v>123</v>
      </c>
      <c r="F67" s="36" t="s">
        <v>125</v>
      </c>
      <c r="G67" s="36"/>
      <c r="H67" s="36">
        <v>31545</v>
      </c>
      <c r="I67" s="36">
        <v>33481</v>
      </c>
      <c r="J67" s="36">
        <v>17900</v>
      </c>
      <c r="K67" s="36">
        <v>0</v>
      </c>
      <c r="L67">
        <f t="shared" si="1"/>
        <v>-40.299999999999997</v>
      </c>
      <c r="M67">
        <f t="shared" si="10"/>
        <v>1.1157629002435687E-4</v>
      </c>
      <c r="N67">
        <f t="shared" si="2"/>
        <v>3.5992351620760282E-4</v>
      </c>
      <c r="P67">
        <f t="shared" si="3"/>
        <v>6.7092506491796891E-2</v>
      </c>
      <c r="Q67">
        <f t="shared" si="4"/>
        <v>31198.2</v>
      </c>
      <c r="R67">
        <f t="shared" si="0"/>
        <v>32700.5</v>
      </c>
      <c r="S67">
        <f t="shared" si="11"/>
        <v>17750.099999999999</v>
      </c>
      <c r="T67">
        <f t="shared" si="5"/>
        <v>81648.799999999988</v>
      </c>
      <c r="U67">
        <f t="shared" si="6"/>
        <v>0.14609034773559998</v>
      </c>
      <c r="V67">
        <f t="shared" si="7"/>
        <v>0.47125918624387092</v>
      </c>
      <c r="W67">
        <f t="shared" si="8"/>
        <v>8.341460415803717E-2</v>
      </c>
      <c r="X67">
        <f t="shared" si="12"/>
        <v>0.36880945419946454</v>
      </c>
      <c r="Y67">
        <f t="shared" si="9"/>
        <v>0.10244973204440645</v>
      </c>
      <c r="AC67">
        <v>40.299999999999997</v>
      </c>
      <c r="AD67" s="29">
        <v>1.34137240556928E-5</v>
      </c>
      <c r="AE67" s="29">
        <v>6.5198900750206902E-4</v>
      </c>
      <c r="AF67" s="30">
        <v>9.8739581370289001E-11</v>
      </c>
      <c r="AG67">
        <v>346.8</v>
      </c>
      <c r="AH67">
        <v>780.5</v>
      </c>
      <c r="AI67">
        <v>149.9</v>
      </c>
      <c r="AJ67" s="26">
        <v>1.3809969999999999E-6</v>
      </c>
      <c r="AK67" s="26">
        <v>3.3333599881999999E-2</v>
      </c>
    </row>
    <row r="68" spans="2:37" ht="16">
      <c r="B68" s="36">
        <v>62</v>
      </c>
      <c r="C68" s="36">
        <v>31.8</v>
      </c>
      <c r="D68" s="36" t="s">
        <v>179</v>
      </c>
      <c r="E68" s="36" t="s">
        <v>123</v>
      </c>
      <c r="F68" s="36" t="s">
        <v>125</v>
      </c>
      <c r="G68" s="36"/>
      <c r="H68" s="36">
        <v>30309</v>
      </c>
      <c r="I68" s="36">
        <v>36224</v>
      </c>
      <c r="J68" s="36">
        <v>18868</v>
      </c>
      <c r="K68" s="36">
        <v>815</v>
      </c>
      <c r="L68">
        <f t="shared" si="1"/>
        <v>774.7</v>
      </c>
      <c r="M68">
        <f t="shared" si="10"/>
        <v>1.1102860589489037E-2</v>
      </c>
      <c r="N68">
        <f t="shared" si="2"/>
        <v>3.491465594178942E-2</v>
      </c>
      <c r="P68">
        <f t="shared" si="3"/>
        <v>6.5405013276277985E-2</v>
      </c>
      <c r="Q68">
        <f t="shared" si="4"/>
        <v>29962.2</v>
      </c>
      <c r="R68">
        <f t="shared" si="0"/>
        <v>35443.5</v>
      </c>
      <c r="S68">
        <f t="shared" si="11"/>
        <v>18718.099999999999</v>
      </c>
      <c r="T68">
        <f t="shared" si="5"/>
        <v>84123.799999999988</v>
      </c>
      <c r="U68">
        <f t="shared" si="6"/>
        <v>0.14950831531059997</v>
      </c>
      <c r="V68">
        <f t="shared" si="7"/>
        <v>0.4701519349389936</v>
      </c>
      <c r="W68">
        <f t="shared" si="8"/>
        <v>8.1315870022661149E-2</v>
      </c>
      <c r="X68">
        <f t="shared" si="12"/>
        <v>0.36554003041992084</v>
      </c>
      <c r="Y68">
        <f t="shared" si="9"/>
        <v>0.1046119045190728</v>
      </c>
      <c r="AC68">
        <v>40.299999999999997</v>
      </c>
      <c r="AD68" s="29">
        <v>1.34137240556928E-5</v>
      </c>
      <c r="AE68" s="29">
        <v>6.5198900750206902E-4</v>
      </c>
      <c r="AF68" s="30">
        <v>9.8739581370289001E-11</v>
      </c>
      <c r="AG68">
        <v>346.8</v>
      </c>
      <c r="AH68">
        <v>780.5</v>
      </c>
      <c r="AI68">
        <v>149.9</v>
      </c>
      <c r="AJ68" s="26">
        <v>1.3809969999999999E-6</v>
      </c>
      <c r="AK68" s="26">
        <v>3.3333599881999999E-2</v>
      </c>
    </row>
    <row r="69" spans="2:37" ht="16">
      <c r="B69" s="36">
        <v>63</v>
      </c>
      <c r="C69" s="36">
        <v>30.6</v>
      </c>
      <c r="D69" s="36" t="s">
        <v>180</v>
      </c>
      <c r="E69" s="36" t="s">
        <v>123</v>
      </c>
      <c r="F69" s="36" t="s">
        <v>125</v>
      </c>
      <c r="G69" s="36"/>
      <c r="H69" s="36">
        <v>24948</v>
      </c>
      <c r="I69" s="36">
        <v>29615</v>
      </c>
      <c r="J69" s="36">
        <v>20294</v>
      </c>
      <c r="K69" s="36">
        <v>125</v>
      </c>
      <c r="L69">
        <f t="shared" si="1"/>
        <v>84.7</v>
      </c>
      <c r="M69">
        <f t="shared" si="10"/>
        <v>1.788839801662562E-3</v>
      </c>
      <c r="N69">
        <f t="shared" si="2"/>
        <v>5.8458817047796138E-3</v>
      </c>
      <c r="P69">
        <f t="shared" si="3"/>
        <v>6.7969543418961803E-2</v>
      </c>
      <c r="Q69">
        <f t="shared" si="4"/>
        <v>24601.200000000001</v>
      </c>
      <c r="R69">
        <f t="shared" si="0"/>
        <v>28834.5</v>
      </c>
      <c r="S69">
        <f t="shared" si="11"/>
        <v>20144.099999999999</v>
      </c>
      <c r="T69">
        <f t="shared" si="5"/>
        <v>73579.799999999988</v>
      </c>
      <c r="U69">
        <f t="shared" si="6"/>
        <v>0.13494708294259997</v>
      </c>
      <c r="V69">
        <f t="shared" si="7"/>
        <v>0.44100353902810441</v>
      </c>
      <c r="W69">
        <f t="shared" si="8"/>
        <v>8.4498014455930082E-2</v>
      </c>
      <c r="X69">
        <f t="shared" si="12"/>
        <v>0.32026905224591645</v>
      </c>
      <c r="Y69">
        <f t="shared" si="9"/>
        <v>0.12073448678218804</v>
      </c>
      <c r="AC69">
        <v>40.299999999999997</v>
      </c>
      <c r="AD69" s="29">
        <v>1.34137240556928E-5</v>
      </c>
      <c r="AE69" s="29">
        <v>6.5198900750206902E-4</v>
      </c>
      <c r="AF69" s="30">
        <v>9.8739581370289001E-11</v>
      </c>
      <c r="AG69">
        <v>346.8</v>
      </c>
      <c r="AH69">
        <v>780.5</v>
      </c>
      <c r="AI69">
        <v>149.9</v>
      </c>
      <c r="AJ69" s="26">
        <v>1.3809969999999999E-6</v>
      </c>
      <c r="AK69" s="26">
        <v>3.3333599881999999E-2</v>
      </c>
    </row>
    <row r="70" spans="2:37" ht="16">
      <c r="B70" s="36">
        <v>64</v>
      </c>
      <c r="C70" s="36">
        <v>31.6</v>
      </c>
      <c r="D70" s="36" t="s">
        <v>181</v>
      </c>
      <c r="E70" s="36" t="s">
        <v>123</v>
      </c>
      <c r="F70" s="36" t="s">
        <v>125</v>
      </c>
      <c r="G70" s="36"/>
      <c r="H70" s="36">
        <v>26595</v>
      </c>
      <c r="I70" s="36">
        <v>33713</v>
      </c>
      <c r="J70" s="36">
        <v>15099</v>
      </c>
      <c r="K70" s="36">
        <v>257</v>
      </c>
      <c r="L70">
        <f t="shared" si="1"/>
        <v>216.7</v>
      </c>
      <c r="M70">
        <f t="shared" si="10"/>
        <v>3.563379711510912E-3</v>
      </c>
      <c r="N70">
        <f t="shared" si="2"/>
        <v>1.127651807440162E-2</v>
      </c>
      <c r="P70">
        <f t="shared" si="3"/>
        <v>6.58186367964676E-2</v>
      </c>
      <c r="Q70">
        <f t="shared" si="4"/>
        <v>26248.2</v>
      </c>
      <c r="R70">
        <f t="shared" si="0"/>
        <v>32932.5</v>
      </c>
      <c r="S70">
        <f t="shared" si="11"/>
        <v>14949.1</v>
      </c>
      <c r="T70">
        <f t="shared" si="5"/>
        <v>74129.8</v>
      </c>
      <c r="U70">
        <f t="shared" si="6"/>
        <v>0.13570663129259999</v>
      </c>
      <c r="V70">
        <f t="shared" si="7"/>
        <v>0.42945136485000002</v>
      </c>
      <c r="W70">
        <f t="shared" si="8"/>
        <v>8.1821565203850449E-2</v>
      </c>
      <c r="X70">
        <f t="shared" si="12"/>
        <v>0.34284771290059324</v>
      </c>
      <c r="Y70">
        <f t="shared" si="9"/>
        <v>8.6603651949406793E-2</v>
      </c>
      <c r="AC70">
        <v>40.299999999999997</v>
      </c>
      <c r="AD70" s="29">
        <v>1.34137240556928E-5</v>
      </c>
      <c r="AE70" s="29">
        <v>6.5198900750206902E-4</v>
      </c>
      <c r="AF70" s="30">
        <v>9.8739581370289001E-11</v>
      </c>
      <c r="AG70">
        <v>346.8</v>
      </c>
      <c r="AH70">
        <v>780.5</v>
      </c>
      <c r="AI70">
        <v>149.9</v>
      </c>
      <c r="AJ70" s="26">
        <v>1.3809969999999999E-6</v>
      </c>
      <c r="AK70" s="26">
        <v>3.3333599881999999E-2</v>
      </c>
    </row>
    <row r="71" spans="2:37" ht="16">
      <c r="B71" s="36">
        <v>65</v>
      </c>
      <c r="C71" s="36">
        <v>29.1</v>
      </c>
      <c r="D71" s="36" t="s">
        <v>182</v>
      </c>
      <c r="E71" s="36" t="s">
        <v>123</v>
      </c>
      <c r="F71" s="36" t="s">
        <v>125</v>
      </c>
      <c r="G71" s="36"/>
      <c r="H71" s="36">
        <v>20208</v>
      </c>
      <c r="I71" s="36">
        <v>27074</v>
      </c>
      <c r="J71" s="36">
        <v>12074</v>
      </c>
      <c r="K71" s="36">
        <v>172</v>
      </c>
      <c r="L71">
        <f t="shared" si="1"/>
        <v>131.69999999999999</v>
      </c>
      <c r="M71">
        <f t="shared" si="10"/>
        <v>2.4202890928143243E-3</v>
      </c>
      <c r="N71">
        <f t="shared" si="2"/>
        <v>8.3171446488464751E-3</v>
      </c>
      <c r="P71">
        <f t="shared" si="3"/>
        <v>7.1473139697093679E-2</v>
      </c>
      <c r="Q71">
        <f t="shared" si="4"/>
        <v>19861.2</v>
      </c>
      <c r="R71">
        <f t="shared" si="0"/>
        <v>26293.5</v>
      </c>
      <c r="S71">
        <f t="shared" si="11"/>
        <v>11924.1</v>
      </c>
      <c r="T71">
        <f t="shared" si="5"/>
        <v>58078.799999999996</v>
      </c>
      <c r="U71">
        <f t="shared" si="6"/>
        <v>0.11354024844559998</v>
      </c>
      <c r="V71">
        <f t="shared" si="7"/>
        <v>0.39017267507079029</v>
      </c>
      <c r="W71">
        <f t="shared" si="8"/>
        <v>8.8842351245144613E-2</v>
      </c>
      <c r="X71">
        <f t="shared" si="12"/>
        <v>0.31006671567060279</v>
      </c>
      <c r="Y71">
        <f t="shared" si="9"/>
        <v>8.0105959400187512E-2</v>
      </c>
      <c r="AC71">
        <v>40.299999999999997</v>
      </c>
      <c r="AD71" s="29">
        <v>1.34137240556928E-5</v>
      </c>
      <c r="AE71" s="29">
        <v>6.5198900750206902E-4</v>
      </c>
      <c r="AF71" s="30">
        <v>9.8739581370289001E-11</v>
      </c>
      <c r="AG71">
        <v>346.8</v>
      </c>
      <c r="AH71">
        <v>780.5</v>
      </c>
      <c r="AI71">
        <v>149.9</v>
      </c>
      <c r="AJ71" s="26">
        <v>1.3809969999999999E-6</v>
      </c>
      <c r="AK71" s="26">
        <v>3.3333599881999999E-2</v>
      </c>
    </row>
    <row r="72" spans="2:37" ht="16">
      <c r="B72" s="36">
        <v>66</v>
      </c>
      <c r="C72" s="36">
        <v>31.4</v>
      </c>
      <c r="D72" s="36" t="s">
        <v>183</v>
      </c>
      <c r="E72" s="36" t="s">
        <v>123</v>
      </c>
      <c r="F72" s="36" t="s">
        <v>125</v>
      </c>
      <c r="G72" s="36"/>
      <c r="H72" s="36">
        <v>18072</v>
      </c>
      <c r="I72" s="36">
        <v>30757</v>
      </c>
      <c r="J72" s="36">
        <v>13460</v>
      </c>
      <c r="K72" s="36">
        <v>3631</v>
      </c>
      <c r="L72">
        <f t="shared" si="1"/>
        <v>3590.7</v>
      </c>
      <c r="M72">
        <f t="shared" si="10"/>
        <v>5.0089709886454982E-2</v>
      </c>
      <c r="N72">
        <f t="shared" si="2"/>
        <v>0.15952136906514325</v>
      </c>
      <c r="P72">
        <f t="shared" si="3"/>
        <v>6.6245617341074758E-2</v>
      </c>
      <c r="Q72">
        <f t="shared" si="4"/>
        <v>17725.2</v>
      </c>
      <c r="R72">
        <f t="shared" si="0"/>
        <v>29976.5</v>
      </c>
      <c r="S72">
        <f t="shared" si="11"/>
        <v>13310.1</v>
      </c>
      <c r="T72">
        <f t="shared" si="5"/>
        <v>61011.799999999996</v>
      </c>
      <c r="U72">
        <f t="shared" si="6"/>
        <v>0.11759071264659998</v>
      </c>
      <c r="V72">
        <f t="shared" si="7"/>
        <v>0.37449271543503182</v>
      </c>
      <c r="W72">
        <f t="shared" si="8"/>
        <v>8.2331836478422071E-2</v>
      </c>
      <c r="X72">
        <f t="shared" si="12"/>
        <v>0.29279482270425161</v>
      </c>
      <c r="Y72">
        <f t="shared" si="9"/>
        <v>8.1697892730780236E-2</v>
      </c>
      <c r="AC72">
        <v>40.299999999999997</v>
      </c>
      <c r="AD72" s="29">
        <v>1.34137240556928E-5</v>
      </c>
      <c r="AE72" s="29">
        <v>6.5198900750206902E-4</v>
      </c>
      <c r="AF72" s="30">
        <v>9.8739581370289001E-11</v>
      </c>
      <c r="AG72">
        <v>346.8</v>
      </c>
      <c r="AH72">
        <v>780.5</v>
      </c>
      <c r="AI72">
        <v>149.9</v>
      </c>
      <c r="AJ72" s="26">
        <v>1.3809969999999999E-6</v>
      </c>
      <c r="AK72" s="26">
        <v>3.3333599881999999E-2</v>
      </c>
    </row>
    <row r="73" spans="2:37" ht="16">
      <c r="B73" s="36">
        <v>67</v>
      </c>
      <c r="C73" s="36">
        <v>100</v>
      </c>
      <c r="D73" s="36" t="s">
        <v>58</v>
      </c>
      <c r="E73" s="36" t="s">
        <v>123</v>
      </c>
      <c r="F73" s="36" t="s">
        <v>125</v>
      </c>
      <c r="G73" s="36"/>
      <c r="H73" s="36">
        <v>484</v>
      </c>
      <c r="I73" s="36">
        <v>1268</v>
      </c>
      <c r="J73" s="36">
        <v>685</v>
      </c>
      <c r="K73" s="36">
        <v>0</v>
      </c>
      <c r="AC73">
        <v>40.299999999999997</v>
      </c>
      <c r="AD73" s="29">
        <v>1.34137240556928E-5</v>
      </c>
      <c r="AE73" s="29">
        <v>6.5198900750206902E-4</v>
      </c>
      <c r="AF73" s="30">
        <v>9.8739581370289001E-11</v>
      </c>
      <c r="AG73">
        <v>346.8</v>
      </c>
      <c r="AH73">
        <v>780.5</v>
      </c>
      <c r="AI73">
        <v>149.9</v>
      </c>
      <c r="AJ73" s="26">
        <v>1.3809969999999999E-6</v>
      </c>
      <c r="AK73" s="26">
        <v>3.3333599881999999E-2</v>
      </c>
    </row>
    <row r="74" spans="2:37" ht="16">
      <c r="B74" s="36">
        <v>68</v>
      </c>
      <c r="C74" s="36">
        <v>33.299999999999997</v>
      </c>
      <c r="D74" s="36" t="s">
        <v>65</v>
      </c>
      <c r="E74" s="36" t="s">
        <v>123</v>
      </c>
      <c r="F74" s="36" t="s">
        <v>125</v>
      </c>
      <c r="G74" s="36"/>
      <c r="H74" s="36">
        <v>53606</v>
      </c>
      <c r="I74" s="36">
        <v>49766</v>
      </c>
      <c r="J74" s="36">
        <v>6610</v>
      </c>
      <c r="K74" s="36">
        <v>3889</v>
      </c>
      <c r="L74">
        <f t="shared" si="1"/>
        <v>3848.7</v>
      </c>
      <c r="M74">
        <f t="shared" si="10"/>
        <v>5.3739968009168429E-2</v>
      </c>
      <c r="N74">
        <f t="shared" si="2"/>
        <v>0.16138128531281812</v>
      </c>
      <c r="P74">
        <f t="shared" si="3"/>
        <v>6.2466009704321E-2</v>
      </c>
      <c r="Q74">
        <f t="shared" si="4"/>
        <v>53259.199999999997</v>
      </c>
      <c r="R74">
        <f t="shared" si="0"/>
        <v>48985.5</v>
      </c>
      <c r="S74">
        <f t="shared" si="11"/>
        <v>6460.1</v>
      </c>
      <c r="T74">
        <f t="shared" si="5"/>
        <v>108704.8</v>
      </c>
      <c r="U74">
        <f t="shared" si="6"/>
        <v>0.18345460256759999</v>
      </c>
      <c r="V74">
        <f t="shared" si="7"/>
        <v>0.55091472242522521</v>
      </c>
      <c r="W74">
        <f t="shared" si="8"/>
        <v>7.7672144158518114E-2</v>
      </c>
      <c r="X74">
        <f t="shared" si="12"/>
        <v>0.51817500717494003</v>
      </c>
      <c r="Y74">
        <f t="shared" si="9"/>
        <v>3.2739715250285149E-2</v>
      </c>
      <c r="AC74">
        <v>40.299999999999997</v>
      </c>
      <c r="AD74" s="29">
        <v>1.34137240556928E-5</v>
      </c>
      <c r="AE74" s="29">
        <v>6.5198900750206902E-4</v>
      </c>
      <c r="AF74" s="30">
        <v>9.8739581370289001E-11</v>
      </c>
      <c r="AG74">
        <v>346.8</v>
      </c>
      <c r="AH74">
        <v>780.5</v>
      </c>
      <c r="AI74">
        <v>149.9</v>
      </c>
      <c r="AJ74" s="26">
        <v>1.3809969999999999E-6</v>
      </c>
      <c r="AK74" s="26">
        <v>3.3333599881999999E-2</v>
      </c>
    </row>
    <row r="75" spans="2:37" ht="16">
      <c r="B75" s="36">
        <v>69</v>
      </c>
      <c r="C75" s="36">
        <v>30.4</v>
      </c>
      <c r="D75" s="36" t="s">
        <v>184</v>
      </c>
      <c r="E75" s="36" t="s">
        <v>123</v>
      </c>
      <c r="F75" s="36" t="s">
        <v>125</v>
      </c>
      <c r="G75" s="36"/>
      <c r="H75" s="36">
        <v>18659</v>
      </c>
      <c r="I75" s="36">
        <v>25207</v>
      </c>
      <c r="J75" s="36">
        <v>21041</v>
      </c>
      <c r="K75" s="36">
        <v>0</v>
      </c>
      <c r="L75">
        <f t="shared" ref="L75:L93" si="13">K75-AC75</f>
        <v>-40.299999999999997</v>
      </c>
      <c r="M75">
        <f t="shared" ref="M75:M93" si="14">L75*AD75+AE75+AF75*L75^2</f>
        <v>1.1157629002435687E-4</v>
      </c>
      <c r="N75">
        <f t="shared" ref="N75:N93" si="15">M75 /C75 *100</f>
        <v>3.6702726981696339E-4</v>
      </c>
      <c r="P75">
        <f t="shared" ref="P75:P93" si="16">N75*SQRT((0.2/C75)^2+(0.020798677/M75)^2)</f>
        <v>6.8416700700505304E-2</v>
      </c>
      <c r="Q75">
        <f t="shared" ref="Q75:Q93" si="17">H75-AG75</f>
        <v>18312.2</v>
      </c>
      <c r="R75">
        <f t="shared" si="0"/>
        <v>24426.5</v>
      </c>
      <c r="S75">
        <f t="shared" si="11"/>
        <v>20891.099999999999</v>
      </c>
      <c r="T75">
        <f t="shared" ref="T75:T93" si="18">Q75+R75+S75</f>
        <v>63629.799999999996</v>
      </c>
      <c r="U75">
        <f t="shared" ref="U75:U93" si="19">T75*AJ75+AK75</f>
        <v>0.12120616279259999</v>
      </c>
      <c r="V75">
        <f t="shared" ref="V75:V93" si="20">U75/C75*100</f>
        <v>0.39870448287039467</v>
      </c>
      <c r="W75">
        <f t="shared" ref="W75:W93" si="21">V75*SQRT((0.2/C75)^2+(0.0258413446374805/U75)^2)</f>
        <v>8.5044884483260877E-2</v>
      </c>
      <c r="X75">
        <f t="shared" si="12"/>
        <v>0.26780079902896026</v>
      </c>
      <c r="Y75">
        <f t="shared" ref="Y75:Y93" si="22">V75*(S75/T75)</f>
        <v>0.13090368384143439</v>
      </c>
      <c r="AC75">
        <v>40.299999999999997</v>
      </c>
      <c r="AD75" s="29">
        <v>1.34137240556928E-5</v>
      </c>
      <c r="AE75" s="29">
        <v>6.5198900750206902E-4</v>
      </c>
      <c r="AF75" s="30">
        <v>9.8739581370289001E-11</v>
      </c>
      <c r="AG75">
        <v>346.8</v>
      </c>
      <c r="AH75">
        <v>780.5</v>
      </c>
      <c r="AI75">
        <v>149.9</v>
      </c>
      <c r="AJ75" s="26">
        <v>1.3809969999999999E-6</v>
      </c>
      <c r="AK75" s="26">
        <v>3.3333599881999999E-2</v>
      </c>
    </row>
    <row r="76" spans="2:37" ht="16">
      <c r="B76" s="36">
        <v>70</v>
      </c>
      <c r="C76" s="36">
        <v>34.4</v>
      </c>
      <c r="D76" s="36" t="s">
        <v>185</v>
      </c>
      <c r="E76" s="36" t="s">
        <v>123</v>
      </c>
      <c r="F76" s="36" t="s">
        <v>125</v>
      </c>
      <c r="G76" s="36"/>
      <c r="H76" s="36">
        <v>23283</v>
      </c>
      <c r="I76" s="36">
        <v>30951</v>
      </c>
      <c r="J76" s="36">
        <v>22817</v>
      </c>
      <c r="K76" s="36">
        <v>778</v>
      </c>
      <c r="L76">
        <f t="shared" si="13"/>
        <v>737.7</v>
      </c>
      <c r="M76">
        <f t="shared" si="14"/>
        <v>1.060102745094242E-2</v>
      </c>
      <c r="N76">
        <f t="shared" si="15"/>
        <v>3.0816940264367498E-2</v>
      </c>
      <c r="P76">
        <f t="shared" si="16"/>
        <v>6.0461535817903471E-2</v>
      </c>
      <c r="Q76">
        <f t="shared" si="17"/>
        <v>22936.2</v>
      </c>
      <c r="R76">
        <f t="shared" ref="R76:R93" si="23">I76-AH76</f>
        <v>30170.5</v>
      </c>
      <c r="S76">
        <f t="shared" ref="S76:S93" si="24">J76-AI76</f>
        <v>22667.1</v>
      </c>
      <c r="T76">
        <f t="shared" si="18"/>
        <v>75773.799999999988</v>
      </c>
      <c r="U76">
        <f t="shared" si="19"/>
        <v>0.13797699036059999</v>
      </c>
      <c r="V76">
        <f t="shared" si="20"/>
        <v>0.40109590221104652</v>
      </c>
      <c r="W76">
        <f t="shared" si="21"/>
        <v>7.5156374543344159E-2</v>
      </c>
      <c r="X76">
        <f t="shared" ref="X76:X93" si="25">V76 * ((Q76+R76)/T76)</f>
        <v>0.28111140987981842</v>
      </c>
      <c r="Y76">
        <f t="shared" si="22"/>
        <v>0.11998449233122811</v>
      </c>
      <c r="AC76">
        <v>40.299999999999997</v>
      </c>
      <c r="AD76" s="29">
        <v>1.34137240556928E-5</v>
      </c>
      <c r="AE76" s="29">
        <v>6.5198900750206902E-4</v>
      </c>
      <c r="AF76" s="30">
        <v>9.8739581370289001E-11</v>
      </c>
      <c r="AG76">
        <v>346.8</v>
      </c>
      <c r="AH76">
        <v>780.5</v>
      </c>
      <c r="AI76">
        <v>149.9</v>
      </c>
      <c r="AJ76" s="26">
        <v>1.3809969999999999E-6</v>
      </c>
      <c r="AK76" s="26">
        <v>3.3333599881999999E-2</v>
      </c>
    </row>
    <row r="77" spans="2:37" ht="16">
      <c r="B77" s="36">
        <v>71</v>
      </c>
      <c r="C77" s="36">
        <v>29.8</v>
      </c>
      <c r="D77" s="36" t="s">
        <v>186</v>
      </c>
      <c r="E77" s="36" t="s">
        <v>123</v>
      </c>
      <c r="F77" s="36" t="s">
        <v>125</v>
      </c>
      <c r="G77" s="36"/>
      <c r="H77" s="36">
        <v>22354</v>
      </c>
      <c r="I77" s="36">
        <v>28436</v>
      </c>
      <c r="J77" s="36">
        <v>10011</v>
      </c>
      <c r="K77" s="36">
        <v>28</v>
      </c>
      <c r="L77">
        <f t="shared" si="13"/>
        <v>-12.299999999999997</v>
      </c>
      <c r="M77">
        <f t="shared" si="14"/>
        <v>4.8701513992831312E-4</v>
      </c>
      <c r="N77">
        <f t="shared" si="15"/>
        <v>1.6342789930480304E-3</v>
      </c>
      <c r="P77">
        <f t="shared" si="16"/>
        <v>6.9794218982652853E-2</v>
      </c>
      <c r="Q77">
        <f t="shared" si="17"/>
        <v>22007.200000000001</v>
      </c>
      <c r="R77">
        <f t="shared" si="23"/>
        <v>27655.5</v>
      </c>
      <c r="S77">
        <f t="shared" si="24"/>
        <v>9861.1</v>
      </c>
      <c r="T77">
        <f t="shared" si="18"/>
        <v>59523.799999999996</v>
      </c>
      <c r="U77">
        <f t="shared" si="19"/>
        <v>0.1155357891106</v>
      </c>
      <c r="V77">
        <f t="shared" si="20"/>
        <v>0.38770399030402686</v>
      </c>
      <c r="W77">
        <f t="shared" si="21"/>
        <v>8.6754951861858637E-2</v>
      </c>
      <c r="X77">
        <f t="shared" si="25"/>
        <v>0.32347442467167409</v>
      </c>
      <c r="Y77">
        <f t="shared" si="22"/>
        <v>6.422956563235277E-2</v>
      </c>
      <c r="AC77">
        <v>40.299999999999997</v>
      </c>
      <c r="AD77" s="29">
        <v>1.34137240556928E-5</v>
      </c>
      <c r="AE77" s="29">
        <v>6.5198900750206902E-4</v>
      </c>
      <c r="AF77" s="30">
        <v>9.8739581370289001E-11</v>
      </c>
      <c r="AG77">
        <v>346.8</v>
      </c>
      <c r="AH77">
        <v>780.5</v>
      </c>
      <c r="AI77">
        <v>149.9</v>
      </c>
      <c r="AJ77" s="26">
        <v>1.3809969999999999E-6</v>
      </c>
      <c r="AK77" s="26">
        <v>3.3333599881999999E-2</v>
      </c>
    </row>
    <row r="78" spans="2:37" ht="16">
      <c r="B78" s="36">
        <v>72</v>
      </c>
      <c r="C78" s="36">
        <v>31.7</v>
      </c>
      <c r="D78" s="36" t="s">
        <v>187</v>
      </c>
      <c r="E78" s="36" t="s">
        <v>123</v>
      </c>
      <c r="F78" s="36" t="s">
        <v>125</v>
      </c>
      <c r="G78" s="36"/>
      <c r="H78" s="36">
        <v>27243</v>
      </c>
      <c r="I78" s="36">
        <v>34646</v>
      </c>
      <c r="J78" s="36">
        <v>13840</v>
      </c>
      <c r="K78" s="36">
        <v>321</v>
      </c>
      <c r="L78">
        <f t="shared" si="13"/>
        <v>280.7</v>
      </c>
      <c r="M78">
        <f t="shared" si="14"/>
        <v>4.4250012874127598E-3</v>
      </c>
      <c r="N78">
        <f t="shared" si="15"/>
        <v>1.3958994597516592E-2</v>
      </c>
      <c r="P78">
        <f t="shared" si="16"/>
        <v>6.5611027561828739E-2</v>
      </c>
      <c r="Q78">
        <f t="shared" si="17"/>
        <v>26896.2</v>
      </c>
      <c r="R78">
        <f t="shared" si="23"/>
        <v>33865.5</v>
      </c>
      <c r="S78">
        <f t="shared" si="24"/>
        <v>13690.1</v>
      </c>
      <c r="T78">
        <f t="shared" si="18"/>
        <v>74451.8</v>
      </c>
      <c r="U78">
        <f t="shared" si="19"/>
        <v>0.13615131232659999</v>
      </c>
      <c r="V78">
        <f t="shared" si="20"/>
        <v>0.42949940797034702</v>
      </c>
      <c r="W78">
        <f t="shared" si="21"/>
        <v>8.1563463080450316E-2</v>
      </c>
      <c r="X78">
        <f t="shared" si="25"/>
        <v>0.3505236163164871</v>
      </c>
      <c r="Y78">
        <f t="shared" si="22"/>
        <v>7.8975791653859914E-2</v>
      </c>
      <c r="AC78">
        <v>40.299999999999997</v>
      </c>
      <c r="AD78" s="29">
        <v>1.34137240556928E-5</v>
      </c>
      <c r="AE78" s="29">
        <v>6.5198900750206902E-4</v>
      </c>
      <c r="AF78" s="30">
        <v>9.8739581370289001E-11</v>
      </c>
      <c r="AG78">
        <v>346.8</v>
      </c>
      <c r="AH78">
        <v>780.5</v>
      </c>
      <c r="AI78">
        <v>149.9</v>
      </c>
      <c r="AJ78" s="26">
        <v>1.3809969999999999E-6</v>
      </c>
      <c r="AK78" s="26">
        <v>3.3333599881999999E-2</v>
      </c>
    </row>
    <row r="79" spans="2:37" ht="16">
      <c r="B79" s="36">
        <v>73</v>
      </c>
      <c r="C79" s="36">
        <v>29.8</v>
      </c>
      <c r="D79" s="36" t="s">
        <v>188</v>
      </c>
      <c r="E79" s="36" t="s">
        <v>123</v>
      </c>
      <c r="F79" s="36" t="s">
        <v>125</v>
      </c>
      <c r="G79" s="36"/>
      <c r="H79" s="36">
        <v>23911</v>
      </c>
      <c r="I79" s="36">
        <v>34504</v>
      </c>
      <c r="J79" s="36">
        <v>18796</v>
      </c>
      <c r="K79" s="36">
        <v>28</v>
      </c>
      <c r="L79">
        <f t="shared" si="13"/>
        <v>-12.299999999999997</v>
      </c>
      <c r="M79">
        <f t="shared" si="14"/>
        <v>4.8701513992831312E-4</v>
      </c>
      <c r="N79">
        <f t="shared" si="15"/>
        <v>1.6342789930480304E-3</v>
      </c>
      <c r="P79">
        <f t="shared" si="16"/>
        <v>6.9794218982652853E-2</v>
      </c>
      <c r="Q79">
        <f t="shared" si="17"/>
        <v>23564.2</v>
      </c>
      <c r="R79">
        <f t="shared" si="23"/>
        <v>33723.5</v>
      </c>
      <c r="S79">
        <f t="shared" si="24"/>
        <v>18646.099999999999</v>
      </c>
      <c r="T79">
        <f t="shared" si="18"/>
        <v>75933.799999999988</v>
      </c>
      <c r="U79">
        <f t="shared" si="19"/>
        <v>0.13819794988059997</v>
      </c>
      <c r="V79">
        <f t="shared" si="20"/>
        <v>0.46375150966644285</v>
      </c>
      <c r="W79">
        <f t="shared" si="21"/>
        <v>8.6771759555911501E-2</v>
      </c>
      <c r="X79">
        <f t="shared" si="25"/>
        <v>0.34987393440494591</v>
      </c>
      <c r="Y79">
        <f t="shared" si="22"/>
        <v>0.113877575261497</v>
      </c>
      <c r="AC79">
        <v>40.299999999999997</v>
      </c>
      <c r="AD79" s="29">
        <v>1.34137240556928E-5</v>
      </c>
      <c r="AE79" s="29">
        <v>6.5198900750206902E-4</v>
      </c>
      <c r="AF79" s="30">
        <v>9.8739581370289001E-11</v>
      </c>
      <c r="AG79">
        <v>346.8</v>
      </c>
      <c r="AH79">
        <v>780.5</v>
      </c>
      <c r="AI79">
        <v>149.9</v>
      </c>
      <c r="AJ79" s="26">
        <v>1.3809969999999999E-6</v>
      </c>
      <c r="AK79" s="26">
        <v>3.3333599881999999E-2</v>
      </c>
    </row>
    <row r="80" spans="2:37" ht="16">
      <c r="B80" s="36">
        <v>74</v>
      </c>
      <c r="C80" s="36">
        <v>31.4</v>
      </c>
      <c r="D80" s="36" t="s">
        <v>189</v>
      </c>
      <c r="E80" s="36" t="s">
        <v>123</v>
      </c>
      <c r="F80" s="36" t="s">
        <v>125</v>
      </c>
      <c r="G80" s="36"/>
      <c r="H80" s="36">
        <v>20935</v>
      </c>
      <c r="I80" s="36">
        <v>33307</v>
      </c>
      <c r="J80" s="36">
        <v>11634</v>
      </c>
      <c r="K80" s="36">
        <v>116</v>
      </c>
      <c r="L80">
        <f t="shared" si="13"/>
        <v>75.7</v>
      </c>
      <c r="M80">
        <f t="shared" si="14"/>
        <v>1.6679737447016605E-3</v>
      </c>
      <c r="N80">
        <f t="shared" si="15"/>
        <v>5.3120182952282186E-3</v>
      </c>
      <c r="P80">
        <f t="shared" si="16"/>
        <v>6.6237833482156866E-2</v>
      </c>
      <c r="Q80">
        <f t="shared" si="17"/>
        <v>20588.2</v>
      </c>
      <c r="R80">
        <f t="shared" si="23"/>
        <v>32526.5</v>
      </c>
      <c r="S80">
        <f t="shared" si="24"/>
        <v>11484.1</v>
      </c>
      <c r="T80">
        <f t="shared" si="18"/>
        <v>64598.799999999996</v>
      </c>
      <c r="U80">
        <f t="shared" si="19"/>
        <v>0.12254434888559998</v>
      </c>
      <c r="V80">
        <f t="shared" si="20"/>
        <v>0.39026862702420378</v>
      </c>
      <c r="W80">
        <f t="shared" si="21"/>
        <v>8.2334808934511061E-2</v>
      </c>
      <c r="X80">
        <f t="shared" si="25"/>
        <v>0.32088832987303911</v>
      </c>
      <c r="Y80">
        <f t="shared" si="22"/>
        <v>6.9380297151164713E-2</v>
      </c>
      <c r="AC80">
        <v>40.299999999999997</v>
      </c>
      <c r="AD80" s="29">
        <v>1.34137240556928E-5</v>
      </c>
      <c r="AE80" s="29">
        <v>6.5198900750206902E-4</v>
      </c>
      <c r="AF80" s="30">
        <v>9.8739581370289001E-11</v>
      </c>
      <c r="AG80">
        <v>346.8</v>
      </c>
      <c r="AH80">
        <v>780.5</v>
      </c>
      <c r="AI80">
        <v>149.9</v>
      </c>
      <c r="AJ80" s="26">
        <v>1.3809969999999999E-6</v>
      </c>
      <c r="AK80" s="26">
        <v>3.3333599881999999E-2</v>
      </c>
    </row>
    <row r="81" spans="2:37" ht="16">
      <c r="B81" s="36">
        <v>75</v>
      </c>
      <c r="C81" s="36">
        <v>100</v>
      </c>
      <c r="D81" s="36" t="s">
        <v>58</v>
      </c>
      <c r="E81" s="36" t="s">
        <v>123</v>
      </c>
      <c r="F81" s="36" t="s">
        <v>125</v>
      </c>
      <c r="G81" s="36"/>
      <c r="H81" s="36">
        <v>368</v>
      </c>
      <c r="I81" s="36">
        <v>969</v>
      </c>
      <c r="J81" s="36">
        <v>2</v>
      </c>
      <c r="K81" s="36">
        <v>7</v>
      </c>
      <c r="AC81">
        <v>40.299999999999997</v>
      </c>
      <c r="AD81" s="29">
        <v>1.34137240556928E-5</v>
      </c>
      <c r="AE81" s="29">
        <v>6.5198900750206902E-4</v>
      </c>
      <c r="AF81" s="30">
        <v>9.8739581370289001E-11</v>
      </c>
      <c r="AG81">
        <v>346.8</v>
      </c>
      <c r="AH81">
        <v>780.5</v>
      </c>
      <c r="AI81">
        <v>149.9</v>
      </c>
      <c r="AJ81" s="26">
        <v>1.3809969999999999E-6</v>
      </c>
      <c r="AK81" s="26">
        <v>3.3333599881999999E-2</v>
      </c>
    </row>
    <row r="82" spans="2:37" ht="16">
      <c r="B82" s="36">
        <v>76</v>
      </c>
      <c r="C82" s="36">
        <v>33.6</v>
      </c>
      <c r="D82" s="36" t="s">
        <v>65</v>
      </c>
      <c r="E82" s="36" t="s">
        <v>123</v>
      </c>
      <c r="F82" s="36" t="s">
        <v>125</v>
      </c>
      <c r="G82" s="36"/>
      <c r="H82" s="36">
        <v>54957</v>
      </c>
      <c r="I82" s="36">
        <v>51194</v>
      </c>
      <c r="J82" s="36">
        <v>6952</v>
      </c>
      <c r="K82" s="36">
        <v>3797</v>
      </c>
      <c r="L82">
        <f t="shared" si="13"/>
        <v>3756.7</v>
      </c>
      <c r="M82">
        <f t="shared" si="14"/>
        <v>5.2436817626926556E-2</v>
      </c>
      <c r="N82">
        <f t="shared" si="15"/>
        <v>0.15606195722299571</v>
      </c>
      <c r="P82">
        <f t="shared" si="16"/>
        <v>6.1907794274424041E-2</v>
      </c>
      <c r="Q82">
        <f t="shared" si="17"/>
        <v>54610.2</v>
      </c>
      <c r="R82">
        <f t="shared" si="23"/>
        <v>50413.5</v>
      </c>
      <c r="S82">
        <f t="shared" si="24"/>
        <v>6802.1</v>
      </c>
      <c r="T82">
        <f t="shared" si="18"/>
        <v>111825.8</v>
      </c>
      <c r="U82">
        <f t="shared" si="19"/>
        <v>0.18776469420459999</v>
      </c>
      <c r="V82">
        <f t="shared" si="20"/>
        <v>0.55882349465654757</v>
      </c>
      <c r="W82">
        <f t="shared" si="21"/>
        <v>7.6980662656208482E-2</v>
      </c>
      <c r="X82">
        <f t="shared" si="25"/>
        <v>0.52483157782694922</v>
      </c>
      <c r="Y82">
        <f t="shared" si="22"/>
        <v>3.399191682959838E-2</v>
      </c>
      <c r="AC82">
        <v>40.299999999999997</v>
      </c>
      <c r="AD82" s="29">
        <v>1.34137240556928E-5</v>
      </c>
      <c r="AE82" s="29">
        <v>6.5198900750206902E-4</v>
      </c>
      <c r="AF82" s="30">
        <v>9.8739581370289001E-11</v>
      </c>
      <c r="AG82">
        <v>346.8</v>
      </c>
      <c r="AH82">
        <v>780.5</v>
      </c>
      <c r="AI82">
        <v>149.9</v>
      </c>
      <c r="AJ82" s="26">
        <v>1.3809969999999999E-6</v>
      </c>
      <c r="AK82" s="26">
        <v>3.3333599881999999E-2</v>
      </c>
    </row>
    <row r="83" spans="2:37" ht="16">
      <c r="B83" s="36">
        <v>77</v>
      </c>
      <c r="C83" s="36">
        <v>30</v>
      </c>
      <c r="D83" s="36" t="s">
        <v>190</v>
      </c>
      <c r="E83" s="36" t="s">
        <v>123</v>
      </c>
      <c r="F83" s="36" t="s">
        <v>125</v>
      </c>
      <c r="G83" s="36"/>
      <c r="H83" s="36">
        <v>23875</v>
      </c>
      <c r="I83" s="36">
        <v>34677</v>
      </c>
      <c r="J83" s="36">
        <v>12884</v>
      </c>
      <c r="K83" s="36">
        <v>0</v>
      </c>
      <c r="L83">
        <f t="shared" si="13"/>
        <v>-40.299999999999997</v>
      </c>
      <c r="M83">
        <f t="shared" si="14"/>
        <v>1.1157629002435687E-4</v>
      </c>
      <c r="N83">
        <f t="shared" si="15"/>
        <v>3.7192096674785628E-4</v>
      </c>
      <c r="P83">
        <f t="shared" si="16"/>
        <v>6.9328923377671159E-2</v>
      </c>
      <c r="Q83">
        <f t="shared" si="17"/>
        <v>23528.2</v>
      </c>
      <c r="R83">
        <f t="shared" si="23"/>
        <v>33896.5</v>
      </c>
      <c r="S83">
        <f t="shared" si="24"/>
        <v>12734.1</v>
      </c>
      <c r="T83">
        <f t="shared" si="18"/>
        <v>70158.8</v>
      </c>
      <c r="U83">
        <f t="shared" si="19"/>
        <v>0.13022269220560001</v>
      </c>
      <c r="V83">
        <f t="shared" si="20"/>
        <v>0.43407564068533333</v>
      </c>
      <c r="W83">
        <f t="shared" si="21"/>
        <v>8.6186411620419082E-2</v>
      </c>
      <c r="X83">
        <f t="shared" si="25"/>
        <v>0.35528919313989205</v>
      </c>
      <c r="Y83">
        <f t="shared" si="22"/>
        <v>7.8786447545441243E-2</v>
      </c>
      <c r="AC83">
        <v>40.299999999999997</v>
      </c>
      <c r="AD83" s="29">
        <v>1.34137240556928E-5</v>
      </c>
      <c r="AE83" s="29">
        <v>6.5198900750206902E-4</v>
      </c>
      <c r="AF83" s="30">
        <v>9.8739581370289001E-11</v>
      </c>
      <c r="AG83">
        <v>346.8</v>
      </c>
      <c r="AH83">
        <v>780.5</v>
      </c>
      <c r="AI83">
        <v>149.9</v>
      </c>
      <c r="AJ83" s="26">
        <v>1.3809969999999999E-6</v>
      </c>
      <c r="AK83" s="26">
        <v>3.3333599881999999E-2</v>
      </c>
    </row>
    <row r="84" spans="2:37" ht="16">
      <c r="B84" s="36">
        <v>78</v>
      </c>
      <c r="C84" s="36">
        <v>31.7</v>
      </c>
      <c r="D84" s="36" t="s">
        <v>191</v>
      </c>
      <c r="E84" s="36" t="s">
        <v>123</v>
      </c>
      <c r="F84" s="36" t="s">
        <v>125</v>
      </c>
      <c r="G84" s="36"/>
      <c r="H84" s="36">
        <v>24707</v>
      </c>
      <c r="I84" s="36">
        <v>35583</v>
      </c>
      <c r="J84" s="36">
        <v>14560</v>
      </c>
      <c r="K84" s="36">
        <v>487</v>
      </c>
      <c r="L84">
        <f t="shared" si="13"/>
        <v>446.7</v>
      </c>
      <c r="M84">
        <f t="shared" si="14"/>
        <v>6.6636021271248977E-3</v>
      </c>
      <c r="N84">
        <f t="shared" si="15"/>
        <v>2.1020826899447627E-2</v>
      </c>
      <c r="P84">
        <f t="shared" si="16"/>
        <v>6.5611102494182158E-2</v>
      </c>
      <c r="Q84">
        <f t="shared" si="17"/>
        <v>24360.2</v>
      </c>
      <c r="R84">
        <f t="shared" si="23"/>
        <v>34802.5</v>
      </c>
      <c r="S84">
        <f t="shared" si="24"/>
        <v>14410.1</v>
      </c>
      <c r="T84">
        <f t="shared" si="18"/>
        <v>73572.800000000003</v>
      </c>
      <c r="U84">
        <f t="shared" si="19"/>
        <v>0.13493741596360001</v>
      </c>
      <c r="V84">
        <f t="shared" si="20"/>
        <v>0.42567008190410099</v>
      </c>
      <c r="W84">
        <f t="shared" si="21"/>
        <v>8.1562663996353396E-2</v>
      </c>
      <c r="X84">
        <f t="shared" si="25"/>
        <v>0.3422975794677891</v>
      </c>
      <c r="Y84">
        <f t="shared" si="22"/>
        <v>8.3372502436311877E-2</v>
      </c>
      <c r="AC84">
        <v>40.299999999999997</v>
      </c>
      <c r="AD84" s="29">
        <v>1.34137240556928E-5</v>
      </c>
      <c r="AE84" s="29">
        <v>6.5198900750206902E-4</v>
      </c>
      <c r="AF84" s="30">
        <v>9.8739581370289001E-11</v>
      </c>
      <c r="AG84">
        <v>346.8</v>
      </c>
      <c r="AH84">
        <v>780.5</v>
      </c>
      <c r="AI84">
        <v>149.9</v>
      </c>
      <c r="AJ84" s="26">
        <v>1.3809969999999999E-6</v>
      </c>
      <c r="AK84" s="26">
        <v>3.3333599881999999E-2</v>
      </c>
    </row>
    <row r="85" spans="2:37" ht="16">
      <c r="B85" s="36">
        <v>79</v>
      </c>
      <c r="C85" s="36">
        <v>32.1</v>
      </c>
      <c r="D85" s="36" t="s">
        <v>192</v>
      </c>
      <c r="E85" s="36" t="s">
        <v>123</v>
      </c>
      <c r="F85" s="36" t="s">
        <v>125</v>
      </c>
      <c r="G85" s="36"/>
      <c r="H85" s="36">
        <v>20520</v>
      </c>
      <c r="I85" s="36">
        <v>32657</v>
      </c>
      <c r="J85" s="36">
        <v>17023</v>
      </c>
      <c r="K85" s="36">
        <v>108</v>
      </c>
      <c r="L85">
        <f t="shared" si="13"/>
        <v>67.7</v>
      </c>
      <c r="M85">
        <f t="shared" si="14"/>
        <v>1.5605506782083703E-3</v>
      </c>
      <c r="N85">
        <f t="shared" si="15"/>
        <v>4.8615285925494396E-3</v>
      </c>
      <c r="P85">
        <f t="shared" si="16"/>
        <v>6.4793393372861954E-2</v>
      </c>
      <c r="Q85">
        <f t="shared" si="17"/>
        <v>20173.2</v>
      </c>
      <c r="R85">
        <f t="shared" si="23"/>
        <v>31876.5</v>
      </c>
      <c r="S85">
        <f t="shared" si="24"/>
        <v>16873.099999999999</v>
      </c>
      <c r="T85">
        <f t="shared" si="18"/>
        <v>68922.799999999988</v>
      </c>
      <c r="U85">
        <f t="shared" si="19"/>
        <v>0.12851577991359997</v>
      </c>
      <c r="V85">
        <f t="shared" si="20"/>
        <v>0.40036068508909645</v>
      </c>
      <c r="W85">
        <f t="shared" si="21"/>
        <v>8.0541268722846546E-2</v>
      </c>
      <c r="X85">
        <f t="shared" si="25"/>
        <v>0.30234775068166042</v>
      </c>
      <c r="Y85">
        <f t="shared" si="22"/>
        <v>9.8012934407436053E-2</v>
      </c>
      <c r="AC85">
        <v>40.299999999999997</v>
      </c>
      <c r="AD85" s="29">
        <v>1.34137240556928E-5</v>
      </c>
      <c r="AE85" s="29">
        <v>6.5198900750206902E-4</v>
      </c>
      <c r="AF85" s="30">
        <v>9.8739581370289001E-11</v>
      </c>
      <c r="AG85">
        <v>346.8</v>
      </c>
      <c r="AH85">
        <v>780.5</v>
      </c>
      <c r="AI85">
        <v>149.9</v>
      </c>
      <c r="AJ85" s="26">
        <v>1.3809969999999999E-6</v>
      </c>
      <c r="AK85" s="26">
        <v>3.3333599881999999E-2</v>
      </c>
    </row>
    <row r="86" spans="2:37" ht="16">
      <c r="B86" s="36">
        <v>80</v>
      </c>
      <c r="C86" s="36">
        <v>30.1</v>
      </c>
      <c r="D86" s="36" t="s">
        <v>193</v>
      </c>
      <c r="E86" s="36" t="s">
        <v>194</v>
      </c>
      <c r="F86" s="36" t="s">
        <v>125</v>
      </c>
      <c r="G86" s="36"/>
      <c r="H86" s="36">
        <v>24058</v>
      </c>
      <c r="I86" s="36">
        <v>31395</v>
      </c>
      <c r="J86" s="36">
        <v>19197</v>
      </c>
      <c r="K86" s="36">
        <v>189</v>
      </c>
      <c r="L86">
        <f t="shared" si="13"/>
        <v>148.69999999999999</v>
      </c>
      <c r="M86">
        <f t="shared" si="14"/>
        <v>2.6487930735975781E-3</v>
      </c>
      <c r="N86">
        <f t="shared" si="15"/>
        <v>8.7999769886962734E-3</v>
      </c>
      <c r="P86">
        <f t="shared" si="16"/>
        <v>6.9098619423877808E-2</v>
      </c>
      <c r="Q86">
        <f t="shared" si="17"/>
        <v>23711.200000000001</v>
      </c>
      <c r="R86">
        <f t="shared" si="23"/>
        <v>30614.5</v>
      </c>
      <c r="S86">
        <f t="shared" si="24"/>
        <v>19047.099999999999</v>
      </c>
      <c r="T86">
        <f t="shared" si="18"/>
        <v>73372.799999999988</v>
      </c>
      <c r="U86">
        <f t="shared" si="19"/>
        <v>0.13466121656359997</v>
      </c>
      <c r="V86">
        <f t="shared" si="20"/>
        <v>0.44737945702192683</v>
      </c>
      <c r="W86">
        <f t="shared" si="21"/>
        <v>8.5903091534399498E-2</v>
      </c>
      <c r="X86">
        <f t="shared" si="25"/>
        <v>0.33124266987679485</v>
      </c>
      <c r="Y86">
        <f t="shared" si="22"/>
        <v>0.11613678714513202</v>
      </c>
      <c r="AC86">
        <v>40.299999999999997</v>
      </c>
      <c r="AD86" s="29">
        <v>1.34137240556928E-5</v>
      </c>
      <c r="AE86" s="29">
        <v>6.5198900750206902E-4</v>
      </c>
      <c r="AF86" s="30">
        <v>9.8739581370289001E-11</v>
      </c>
      <c r="AG86">
        <v>346.8</v>
      </c>
      <c r="AH86">
        <v>780.5</v>
      </c>
      <c r="AI86">
        <v>149.9</v>
      </c>
      <c r="AJ86" s="26">
        <v>1.3809969999999999E-6</v>
      </c>
      <c r="AK86" s="26">
        <v>3.3333599881999999E-2</v>
      </c>
    </row>
    <row r="87" spans="2:37" ht="16">
      <c r="B87" s="36">
        <v>81</v>
      </c>
      <c r="C87" s="36">
        <v>32</v>
      </c>
      <c r="D87" s="36" t="s">
        <v>195</v>
      </c>
      <c r="E87" s="36" t="s">
        <v>123</v>
      </c>
      <c r="F87" s="36" t="s">
        <v>125</v>
      </c>
      <c r="G87" s="36"/>
      <c r="H87" s="36">
        <v>19834</v>
      </c>
      <c r="I87" s="36">
        <v>31607</v>
      </c>
      <c r="J87" s="36">
        <v>17142</v>
      </c>
      <c r="K87" s="36">
        <v>51</v>
      </c>
      <c r="L87">
        <f t="shared" si="13"/>
        <v>10.700000000000003</v>
      </c>
      <c r="M87">
        <f t="shared" si="14"/>
        <v>7.9552715959265309E-4</v>
      </c>
      <c r="N87">
        <f t="shared" si="15"/>
        <v>2.4860223737270407E-3</v>
      </c>
      <c r="P87">
        <f t="shared" si="16"/>
        <v>6.4995867482181571E-2</v>
      </c>
      <c r="Q87">
        <f t="shared" si="17"/>
        <v>19487.2</v>
      </c>
      <c r="R87">
        <f t="shared" si="23"/>
        <v>30826.5</v>
      </c>
      <c r="S87">
        <f t="shared" si="24"/>
        <v>16992.099999999999</v>
      </c>
      <c r="T87">
        <f t="shared" si="18"/>
        <v>67305.799999999988</v>
      </c>
      <c r="U87">
        <f t="shared" si="19"/>
        <v>0.12628270776459999</v>
      </c>
      <c r="V87">
        <f t="shared" si="20"/>
        <v>0.39463346176437497</v>
      </c>
      <c r="W87">
        <f t="shared" si="21"/>
        <v>8.0791859491256127E-2</v>
      </c>
      <c r="X87">
        <f t="shared" si="25"/>
        <v>0.29500384224203913</v>
      </c>
      <c r="Y87">
        <f t="shared" si="22"/>
        <v>9.9629619522335913E-2</v>
      </c>
      <c r="AC87">
        <v>40.299999999999997</v>
      </c>
      <c r="AD87" s="29">
        <v>1.34137240556928E-5</v>
      </c>
      <c r="AE87" s="29">
        <v>6.5198900750206902E-4</v>
      </c>
      <c r="AF87" s="30">
        <v>9.8739581370289001E-11</v>
      </c>
      <c r="AG87">
        <v>346.8</v>
      </c>
      <c r="AH87">
        <v>780.5</v>
      </c>
      <c r="AI87">
        <v>149.9</v>
      </c>
      <c r="AJ87" s="26">
        <v>1.3809969999999999E-6</v>
      </c>
      <c r="AK87" s="26">
        <v>3.3333599881999999E-2</v>
      </c>
    </row>
    <row r="88" spans="2:37" ht="16">
      <c r="B88" s="36">
        <v>82</v>
      </c>
      <c r="C88" s="36">
        <v>30.2</v>
      </c>
      <c r="D88" s="36" t="s">
        <v>196</v>
      </c>
      <c r="E88" s="36" t="s">
        <v>197</v>
      </c>
      <c r="F88" s="36" t="s">
        <v>125</v>
      </c>
      <c r="G88" s="36"/>
      <c r="H88" s="36">
        <v>23243</v>
      </c>
      <c r="I88" s="36">
        <v>34329</v>
      </c>
      <c r="J88" s="36">
        <v>13896</v>
      </c>
      <c r="K88" s="36">
        <v>128</v>
      </c>
      <c r="L88">
        <f t="shared" si="13"/>
        <v>87.7</v>
      </c>
      <c r="M88">
        <f t="shared" si="14"/>
        <v>1.8291320419411251E-3</v>
      </c>
      <c r="N88">
        <f t="shared" si="15"/>
        <v>6.0567286156990897E-3</v>
      </c>
      <c r="P88">
        <f t="shared" si="16"/>
        <v>6.8869803071284985E-2</v>
      </c>
      <c r="Q88">
        <f t="shared" si="17"/>
        <v>22896.2</v>
      </c>
      <c r="R88">
        <f t="shared" si="23"/>
        <v>33548.5</v>
      </c>
      <c r="S88">
        <f t="shared" si="24"/>
        <v>13746.1</v>
      </c>
      <c r="T88">
        <f t="shared" si="18"/>
        <v>70190.8</v>
      </c>
      <c r="U88">
        <f t="shared" si="19"/>
        <v>0.1302668841096</v>
      </c>
      <c r="V88">
        <f t="shared" si="20"/>
        <v>0.43134729837615893</v>
      </c>
      <c r="W88">
        <f t="shared" si="21"/>
        <v>8.5615035910372325E-2</v>
      </c>
      <c r="X88">
        <f t="shared" si="25"/>
        <v>0.34687265072705792</v>
      </c>
      <c r="Y88">
        <f t="shared" si="22"/>
        <v>8.4474647649100995E-2</v>
      </c>
      <c r="AC88">
        <v>40.299999999999997</v>
      </c>
      <c r="AD88" s="29">
        <v>1.34137240556928E-5</v>
      </c>
      <c r="AE88" s="29">
        <v>6.5198900750206902E-4</v>
      </c>
      <c r="AF88" s="30">
        <v>9.8739581370289001E-11</v>
      </c>
      <c r="AG88">
        <v>346.8</v>
      </c>
      <c r="AH88">
        <v>780.5</v>
      </c>
      <c r="AI88">
        <v>149.9</v>
      </c>
      <c r="AJ88" s="26">
        <v>1.3809969999999999E-6</v>
      </c>
      <c r="AK88" s="26">
        <v>3.3333599881999999E-2</v>
      </c>
    </row>
    <row r="89" spans="2:37" ht="16">
      <c r="B89" s="36">
        <v>83</v>
      </c>
      <c r="C89" s="36">
        <v>100</v>
      </c>
      <c r="D89" s="36" t="s">
        <v>58</v>
      </c>
      <c r="E89" s="36" t="s">
        <v>123</v>
      </c>
      <c r="F89" s="36" t="s">
        <v>125</v>
      </c>
      <c r="G89" s="36"/>
      <c r="H89" s="36">
        <v>327</v>
      </c>
      <c r="I89" s="36">
        <v>796</v>
      </c>
      <c r="J89" s="36">
        <v>65</v>
      </c>
      <c r="K89" s="36">
        <v>3</v>
      </c>
      <c r="AC89">
        <v>40.299999999999997</v>
      </c>
      <c r="AD89" s="29">
        <v>1.34137240556928E-5</v>
      </c>
      <c r="AE89" s="29">
        <v>6.5198900750206902E-4</v>
      </c>
      <c r="AF89" s="30">
        <v>9.8739581370289001E-11</v>
      </c>
      <c r="AG89">
        <v>346.8</v>
      </c>
      <c r="AH89">
        <v>780.5</v>
      </c>
      <c r="AI89">
        <v>149.9</v>
      </c>
      <c r="AJ89" s="26">
        <v>1.3809969999999999E-6</v>
      </c>
      <c r="AK89" s="26">
        <v>3.3333599881999999E-2</v>
      </c>
    </row>
    <row r="90" spans="2:37" ht="16">
      <c r="B90" s="36">
        <v>84</v>
      </c>
      <c r="C90" s="36">
        <v>30</v>
      </c>
      <c r="D90" s="36" t="s">
        <v>65</v>
      </c>
      <c r="E90" s="36" t="s">
        <v>123</v>
      </c>
      <c r="F90" s="36" t="s">
        <v>125</v>
      </c>
      <c r="G90" s="36"/>
      <c r="H90" s="36">
        <v>54440</v>
      </c>
      <c r="I90" s="36">
        <v>45675</v>
      </c>
      <c r="J90" s="36">
        <v>6115</v>
      </c>
      <c r="K90" s="36">
        <v>3899</v>
      </c>
      <c r="L90">
        <f t="shared" si="13"/>
        <v>3858.7</v>
      </c>
      <c r="M90">
        <f t="shared" si="14"/>
        <v>5.3881715504219892E-2</v>
      </c>
      <c r="N90">
        <f t="shared" si="15"/>
        <v>0.17960571834739963</v>
      </c>
      <c r="P90">
        <f t="shared" si="16"/>
        <v>6.9339262391245673E-2</v>
      </c>
      <c r="Q90">
        <f t="shared" si="17"/>
        <v>54093.2</v>
      </c>
      <c r="R90">
        <f t="shared" si="23"/>
        <v>44894.5</v>
      </c>
      <c r="S90">
        <f t="shared" si="24"/>
        <v>5965.1</v>
      </c>
      <c r="T90">
        <f t="shared" si="18"/>
        <v>104952.8</v>
      </c>
      <c r="U90">
        <f t="shared" si="19"/>
        <v>0.17827310182359998</v>
      </c>
      <c r="V90">
        <f t="shared" si="20"/>
        <v>0.5942436727453333</v>
      </c>
      <c r="W90">
        <f t="shared" si="21"/>
        <v>8.622886825467789E-2</v>
      </c>
      <c r="X90">
        <f t="shared" si="25"/>
        <v>0.56046922430476587</v>
      </c>
      <c r="Y90">
        <f t="shared" si="22"/>
        <v>3.3774448440567456E-2</v>
      </c>
      <c r="AC90">
        <v>40.299999999999997</v>
      </c>
      <c r="AD90" s="29">
        <v>1.34137240556928E-5</v>
      </c>
      <c r="AE90" s="29">
        <v>6.5198900750206902E-4</v>
      </c>
      <c r="AF90" s="30">
        <v>9.8739581370289001E-11</v>
      </c>
      <c r="AG90">
        <v>346.8</v>
      </c>
      <c r="AH90">
        <v>780.5</v>
      </c>
      <c r="AI90">
        <v>149.9</v>
      </c>
      <c r="AJ90" s="26">
        <v>1.3809969999999999E-6</v>
      </c>
      <c r="AK90" s="26">
        <v>3.3333599881999999E-2</v>
      </c>
    </row>
    <row r="91" spans="2:37" ht="16">
      <c r="B91" s="36">
        <v>85</v>
      </c>
      <c r="C91" s="36">
        <v>32.4</v>
      </c>
      <c r="D91" s="36" t="s">
        <v>198</v>
      </c>
      <c r="E91" s="36" t="s">
        <v>123</v>
      </c>
      <c r="F91" s="36" t="s">
        <v>125</v>
      </c>
      <c r="G91" s="36"/>
      <c r="H91" s="36">
        <v>22169</v>
      </c>
      <c r="I91" s="36">
        <v>32159</v>
      </c>
      <c r="J91" s="36">
        <v>24252</v>
      </c>
      <c r="K91" s="36">
        <v>0</v>
      </c>
      <c r="L91">
        <f t="shared" si="13"/>
        <v>-40.299999999999997</v>
      </c>
      <c r="M91">
        <f t="shared" si="14"/>
        <v>1.1157629002435687E-4</v>
      </c>
      <c r="N91">
        <f t="shared" si="15"/>
        <v>3.4437126550727432E-4</v>
      </c>
      <c r="P91">
        <f t="shared" si="16"/>
        <v>6.419344756606099E-2</v>
      </c>
      <c r="Q91">
        <f t="shared" si="17"/>
        <v>21822.2</v>
      </c>
      <c r="R91">
        <f>I91-AH91</f>
        <v>31378.5</v>
      </c>
      <c r="S91">
        <f t="shared" si="24"/>
        <v>24102.1</v>
      </c>
      <c r="T91">
        <f t="shared" si="18"/>
        <v>77302.799999999988</v>
      </c>
      <c r="U91">
        <f t="shared" si="19"/>
        <v>0.14008853477359998</v>
      </c>
      <c r="V91">
        <f>U91/C91*100</f>
        <v>0.43237202090617277</v>
      </c>
      <c r="W91">
        <f t="shared" si="21"/>
        <v>7.9801880577813705E-2</v>
      </c>
      <c r="X91">
        <f t="shared" si="25"/>
        <v>0.29756353162657795</v>
      </c>
      <c r="Y91">
        <f t="shared" si="22"/>
        <v>0.13480848927959491</v>
      </c>
      <c r="AC91">
        <v>40.299999999999997</v>
      </c>
      <c r="AD91" s="29">
        <v>1.34137240556928E-5</v>
      </c>
      <c r="AE91" s="29">
        <v>6.5198900750206902E-4</v>
      </c>
      <c r="AF91" s="30">
        <v>9.8739581370289001E-11</v>
      </c>
      <c r="AG91">
        <v>346.8</v>
      </c>
      <c r="AH91">
        <v>780.5</v>
      </c>
      <c r="AI91">
        <v>149.9</v>
      </c>
      <c r="AJ91" s="26">
        <v>1.3809969999999999E-6</v>
      </c>
      <c r="AK91" s="26">
        <v>3.3333599881999999E-2</v>
      </c>
    </row>
    <row r="92" spans="2:37" ht="16">
      <c r="B92" s="36">
        <v>86</v>
      </c>
      <c r="C92" s="36">
        <v>31.7</v>
      </c>
      <c r="D92" s="36" t="s">
        <v>199</v>
      </c>
      <c r="E92" s="36" t="s">
        <v>123</v>
      </c>
      <c r="F92" s="36" t="s">
        <v>125</v>
      </c>
      <c r="G92" s="36"/>
      <c r="H92" s="36">
        <v>18762</v>
      </c>
      <c r="I92" s="36">
        <v>33236</v>
      </c>
      <c r="J92" s="36">
        <v>35912</v>
      </c>
      <c r="K92" s="36">
        <v>364</v>
      </c>
      <c r="L92">
        <f t="shared" si="13"/>
        <v>323.7</v>
      </c>
      <c r="M92">
        <f t="shared" si="14"/>
        <v>5.0043575845356986E-3</v>
      </c>
      <c r="N92">
        <f t="shared" si="15"/>
        <v>1.5786616985917032E-2</v>
      </c>
      <c r="P92">
        <f t="shared" si="16"/>
        <v>6.561104405271323E-2</v>
      </c>
      <c r="Q92">
        <f t="shared" si="17"/>
        <v>18415.2</v>
      </c>
      <c r="R92">
        <f t="shared" si="23"/>
        <v>32455.5</v>
      </c>
      <c r="S92">
        <f t="shared" si="24"/>
        <v>35762.1</v>
      </c>
      <c r="T92">
        <f t="shared" si="18"/>
        <v>86632.799999999988</v>
      </c>
      <c r="U92">
        <f t="shared" si="19"/>
        <v>0.15297323678359998</v>
      </c>
      <c r="V92">
        <f t="shared" si="20"/>
        <v>0.48256541572113554</v>
      </c>
      <c r="W92">
        <f t="shared" si="21"/>
        <v>8.1575272444135483E-2</v>
      </c>
      <c r="X92">
        <f t="shared" si="25"/>
        <v>0.28336196560107918</v>
      </c>
      <c r="Y92">
        <f t="shared" si="22"/>
        <v>0.19920345012005641</v>
      </c>
      <c r="AC92">
        <v>40.299999999999997</v>
      </c>
      <c r="AD92" s="29">
        <v>1.34137240556928E-5</v>
      </c>
      <c r="AE92" s="29">
        <v>6.5198900750206902E-4</v>
      </c>
      <c r="AF92" s="30">
        <v>9.8739581370289001E-11</v>
      </c>
      <c r="AG92">
        <v>346.8</v>
      </c>
      <c r="AH92">
        <v>780.5</v>
      </c>
      <c r="AI92">
        <v>149.9</v>
      </c>
      <c r="AJ92" s="26">
        <v>1.3809969999999999E-6</v>
      </c>
      <c r="AK92" s="26">
        <v>3.3333599881999999E-2</v>
      </c>
    </row>
    <row r="93" spans="2:37" ht="16">
      <c r="B93" s="36">
        <v>87</v>
      </c>
      <c r="C93" s="36">
        <v>31.2</v>
      </c>
      <c r="D93" s="36" t="s">
        <v>200</v>
      </c>
      <c r="E93" s="36" t="s">
        <v>123</v>
      </c>
      <c r="F93" s="36" t="s">
        <v>125</v>
      </c>
      <c r="G93" s="36"/>
      <c r="H93" s="36">
        <v>85357</v>
      </c>
      <c r="I93" s="36">
        <v>48459</v>
      </c>
      <c r="J93" s="36">
        <v>3833</v>
      </c>
      <c r="K93" s="36">
        <v>997</v>
      </c>
      <c r="L93">
        <f t="shared" si="13"/>
        <v>956.7</v>
      </c>
      <c r="M93">
        <f t="shared" si="14"/>
        <v>1.3575272671060708E-2</v>
      </c>
      <c r="N93">
        <f t="shared" si="15"/>
        <v>4.3510489330322782E-2</v>
      </c>
      <c r="P93">
        <f t="shared" si="16"/>
        <v>6.6663009761717157E-2</v>
      </c>
      <c r="Q93">
        <f t="shared" si="17"/>
        <v>85010.2</v>
      </c>
      <c r="R93">
        <f t="shared" si="23"/>
        <v>47678.5</v>
      </c>
      <c r="S93">
        <f t="shared" si="24"/>
        <v>3683.1</v>
      </c>
      <c r="T93">
        <f t="shared" si="18"/>
        <v>136371.80000000002</v>
      </c>
      <c r="U93">
        <f t="shared" si="19"/>
        <v>0.22166264656660001</v>
      </c>
      <c r="V93">
        <f t="shared" si="20"/>
        <v>0.71045720053397443</v>
      </c>
      <c r="W93">
        <f t="shared" si="21"/>
        <v>8.2949937226516945E-2</v>
      </c>
      <c r="X93">
        <f t="shared" si="25"/>
        <v>0.69126932653592876</v>
      </c>
      <c r="Y93">
        <f t="shared" si="22"/>
        <v>1.918787399804564E-2</v>
      </c>
      <c r="AC93">
        <v>40.299999999999997</v>
      </c>
      <c r="AD93" s="29">
        <v>1.34137240556928E-5</v>
      </c>
      <c r="AE93" s="29">
        <v>6.5198900750206902E-4</v>
      </c>
      <c r="AF93" s="30">
        <v>9.8739581370289001E-11</v>
      </c>
      <c r="AG93">
        <v>346.8</v>
      </c>
      <c r="AH93">
        <v>780.5</v>
      </c>
      <c r="AI93">
        <v>149.9</v>
      </c>
      <c r="AJ93" s="26">
        <v>1.3809969999999999E-6</v>
      </c>
      <c r="AK93" s="26">
        <v>3.3333599881999999E-2</v>
      </c>
    </row>
    <row r="94" spans="2:37" ht="16">
      <c r="B94" s="36">
        <v>88</v>
      </c>
      <c r="C94" s="36">
        <v>100</v>
      </c>
      <c r="D94" s="36" t="s">
        <v>57</v>
      </c>
      <c r="E94" s="36" t="s">
        <v>122</v>
      </c>
      <c r="F94" s="36" t="s">
        <v>124</v>
      </c>
      <c r="G94" s="36"/>
      <c r="H94" s="36">
        <v>0</v>
      </c>
      <c r="I94" s="36">
        <v>0</v>
      </c>
      <c r="J94" s="36">
        <v>345</v>
      </c>
      <c r="K94" s="36">
        <v>3</v>
      </c>
      <c r="AD94" s="29">
        <v>1.34137240556928E-5</v>
      </c>
      <c r="AE94" s="29">
        <v>6.5198900750206902E-4</v>
      </c>
      <c r="AF94" s="30">
        <v>9.8739581370289001E-11</v>
      </c>
      <c r="AJ94" s="26">
        <v>1.3809969999999999E-6</v>
      </c>
      <c r="AK94" s="26">
        <v>3.3333599881999999E-2</v>
      </c>
    </row>
    <row r="95" spans="2:37" ht="16">
      <c r="B95" s="36">
        <v>89</v>
      </c>
      <c r="C95" s="36">
        <v>100</v>
      </c>
      <c r="D95" s="36" t="s">
        <v>57</v>
      </c>
      <c r="E95" s="36" t="s">
        <v>122</v>
      </c>
      <c r="F95" s="36" t="s">
        <v>124</v>
      </c>
      <c r="G95" s="36"/>
      <c r="H95" s="36">
        <v>0</v>
      </c>
      <c r="I95" s="36">
        <v>0</v>
      </c>
      <c r="J95" s="36">
        <v>474</v>
      </c>
      <c r="K95" s="36">
        <v>169</v>
      </c>
      <c r="AD95" s="29">
        <v>1.34137240556928E-5</v>
      </c>
      <c r="AE95" s="29">
        <v>6.5198900750206902E-4</v>
      </c>
      <c r="AF95" s="30">
        <v>9.8739581370289001E-11</v>
      </c>
      <c r="AJ95" s="26">
        <v>1.3809969999999999E-6</v>
      </c>
      <c r="AK95" s="26">
        <v>3.3333599881999999E-2</v>
      </c>
    </row>
    <row r="96" spans="2:37">
      <c r="F96" s="36" t="s">
        <v>201</v>
      </c>
      <c r="H96">
        <f>(H9+H17+H25+H33+H49+H57+H65+H73+H81+H89)/10</f>
        <v>346.8</v>
      </c>
      <c r="I96">
        <f>(I9+I17+I25+I33+I49+I57+I65+I73+I81+I89)/10</f>
        <v>780.5</v>
      </c>
      <c r="J96">
        <f>(J9+J17+J25+J33+J49+J57+J65+J73+J81+J89)/10</f>
        <v>149.9</v>
      </c>
      <c r="K96">
        <f>(K9+K17+K25+K33+K49+K57+K65+K73+K81+K89)/10</f>
        <v>40.299999999999997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48576"/>
  <sheetViews>
    <sheetView tabSelected="1" topLeftCell="B1" zoomScale="124" zoomScaleNormal="85" workbookViewId="0">
      <selection activeCell="I1" sqref="I1"/>
    </sheetView>
  </sheetViews>
  <sheetFormatPr baseColWidth="10" defaultColWidth="8.83203125" defaultRowHeight="15"/>
  <cols>
    <col min="4" max="4" width="0" hidden="1" customWidth="1"/>
    <col min="6" max="6" width="19.6640625" customWidth="1"/>
    <col min="10" max="10" width="19.6640625" customWidth="1"/>
    <col min="11" max="11" width="11.1640625" customWidth="1"/>
    <col min="12" max="12" width="13.6640625" customWidth="1"/>
    <col min="14" max="14" width="25.6640625" customWidth="1"/>
  </cols>
  <sheetData>
    <row r="1" spans="1:14">
      <c r="A1" t="s">
        <v>212</v>
      </c>
      <c r="B1" t="s">
        <v>213</v>
      </c>
      <c r="D1" t="s">
        <v>216</v>
      </c>
      <c r="E1" t="s">
        <v>221</v>
      </c>
      <c r="F1" t="s">
        <v>220</v>
      </c>
      <c r="G1" t="s">
        <v>218</v>
      </c>
      <c r="H1" t="s">
        <v>221</v>
      </c>
      <c r="I1" t="s">
        <v>222</v>
      </c>
      <c r="J1" t="s">
        <v>219</v>
      </c>
      <c r="K1" t="s">
        <v>223</v>
      </c>
      <c r="L1" t="s">
        <v>224</v>
      </c>
      <c r="M1" t="s">
        <v>227</v>
      </c>
      <c r="N1" t="s">
        <v>220</v>
      </c>
    </row>
    <row r="2" spans="1:14">
      <c r="A2" t="s">
        <v>212</v>
      </c>
      <c r="B2">
        <v>0</v>
      </c>
      <c r="C2">
        <v>1</v>
      </c>
      <c r="D2" s="36">
        <v>29.9</v>
      </c>
      <c r="E2">
        <v>1.5125279669955201</v>
      </c>
      <c r="F2">
        <v>208747.41666666666</v>
      </c>
      <c r="G2">
        <v>95033.307692307688</v>
      </c>
      <c r="H2">
        <v>1.5125279669955201</v>
      </c>
      <c r="I2">
        <v>2.8101162492884017E-2</v>
      </c>
      <c r="J2">
        <f>(I2/12.011)*100.0869</f>
        <v>0.23416520192398912</v>
      </c>
      <c r="K2">
        <v>1.8268267544393701E-2</v>
      </c>
      <c r="L2" s="39">
        <v>0.37302977232924689</v>
      </c>
      <c r="M2">
        <v>1.5406291294884018</v>
      </c>
      <c r="N2">
        <v>208747.41666666666</v>
      </c>
    </row>
    <row r="3" spans="1:14">
      <c r="A3" t="s">
        <v>212</v>
      </c>
      <c r="B3">
        <f>B2+1</f>
        <v>1</v>
      </c>
      <c r="C3">
        <v>2</v>
      </c>
      <c r="D3" s="36">
        <v>30</v>
      </c>
      <c r="E3">
        <v>1.3693243213399049</v>
      </c>
      <c r="F3">
        <v>191016.41666666666</v>
      </c>
      <c r="G3">
        <v>83108.307692307688</v>
      </c>
      <c r="H3">
        <v>1.3693243213399049</v>
      </c>
      <c r="I3">
        <v>4.680520368353544E-2</v>
      </c>
      <c r="J3">
        <f t="shared" ref="J3:J42" si="0">(I3/12.011)*100.0869</f>
        <v>0.39002478898956322</v>
      </c>
      <c r="K3">
        <v>2.5720524248520827E-2</v>
      </c>
      <c r="L3" s="39">
        <v>0.38154613466334164</v>
      </c>
      <c r="M3">
        <v>1.4161295250234402</v>
      </c>
      <c r="N3">
        <v>191016.41666666666</v>
      </c>
    </row>
    <row r="4" spans="1:14">
      <c r="A4" t="s">
        <v>212</v>
      </c>
      <c r="B4">
        <f t="shared" ref="B4:B41" si="1">B3+1</f>
        <v>2</v>
      </c>
      <c r="C4">
        <v>3</v>
      </c>
      <c r="D4" s="36">
        <v>29.7</v>
      </c>
      <c r="E4">
        <v>1.6732334225563241</v>
      </c>
      <c r="F4">
        <v>240280.41666666701</v>
      </c>
      <c r="G4">
        <v>95762.307692307688</v>
      </c>
      <c r="H4">
        <v>1.6732334225563241</v>
      </c>
      <c r="I4">
        <v>2.3272529770383434E-2</v>
      </c>
      <c r="J4">
        <f t="shared" si="0"/>
        <v>0.19392851218677795</v>
      </c>
      <c r="K4">
        <v>2.7761808137366922E-2</v>
      </c>
      <c r="L4" s="39">
        <v>0.41097724230254334</v>
      </c>
      <c r="M4">
        <v>1.6965059523267074</v>
      </c>
      <c r="N4">
        <v>240280.41666666666</v>
      </c>
    </row>
    <row r="5" spans="1:14">
      <c r="A5" t="s">
        <v>212</v>
      </c>
      <c r="B5">
        <f t="shared" si="1"/>
        <v>3</v>
      </c>
      <c r="C5">
        <v>4</v>
      </c>
      <c r="D5" s="36">
        <v>29.8</v>
      </c>
      <c r="E5">
        <v>1.064285808079507</v>
      </c>
      <c r="F5">
        <v>140366.41666666666</v>
      </c>
      <c r="G5">
        <v>65734.307692307688</v>
      </c>
      <c r="H5">
        <v>1.064285808079507</v>
      </c>
      <c r="I5">
        <v>2.6201287447446063E-2</v>
      </c>
      <c r="J5">
        <f t="shared" si="0"/>
        <v>0.21833366386011069</v>
      </c>
      <c r="K5">
        <v>1.3890174654729888E-2</v>
      </c>
      <c r="L5" s="39">
        <v>0.35188509874326757</v>
      </c>
      <c r="M5">
        <v>1.0904870955269532</v>
      </c>
      <c r="N5">
        <v>140366.41666666666</v>
      </c>
    </row>
    <row r="6" spans="1:14">
      <c r="A6" t="s">
        <v>212</v>
      </c>
      <c r="B6">
        <f t="shared" si="1"/>
        <v>4</v>
      </c>
      <c r="C6">
        <v>5</v>
      </c>
      <c r="D6" s="36">
        <v>29.9</v>
      </c>
      <c r="E6">
        <v>1.4708453880554961</v>
      </c>
      <c r="F6">
        <v>203577.41666666666</v>
      </c>
      <c r="G6">
        <v>91536.307692307688</v>
      </c>
      <c r="H6">
        <v>1.4708453880554961</v>
      </c>
      <c r="I6">
        <v>5.0288128265681332E-2</v>
      </c>
      <c r="J6">
        <f t="shared" si="0"/>
        <v>0.41904777827944567</v>
      </c>
      <c r="K6">
        <v>3.5998047883177939E-2</v>
      </c>
      <c r="L6" s="39">
        <v>0.41893362350380847</v>
      </c>
      <c r="M6">
        <v>1.5211335163211774</v>
      </c>
      <c r="N6">
        <v>203577.41666666666</v>
      </c>
    </row>
    <row r="7" spans="1:14">
      <c r="A7" t="s">
        <v>212</v>
      </c>
      <c r="B7">
        <f t="shared" si="1"/>
        <v>5</v>
      </c>
      <c r="C7">
        <v>6</v>
      </c>
      <c r="D7" s="36">
        <v>29.9</v>
      </c>
      <c r="E7">
        <v>1.6236737657271532</v>
      </c>
      <c r="F7">
        <v>226297.41666666666</v>
      </c>
      <c r="G7">
        <v>101583.30769230769</v>
      </c>
      <c r="H7">
        <v>1.6236737657271532</v>
      </c>
      <c r="I7">
        <v>3.266813246024499E-2</v>
      </c>
      <c r="J7">
        <f t="shared" si="0"/>
        <v>0.27222147254477519</v>
      </c>
      <c r="K7">
        <v>1.0779298532003446E-2</v>
      </c>
      <c r="L7" s="39">
        <v>0.46498277841561414</v>
      </c>
      <c r="M7">
        <v>1.6563418981873981</v>
      </c>
      <c r="N7">
        <v>226297.41666666666</v>
      </c>
    </row>
    <row r="8" spans="1:14">
      <c r="A8" t="s">
        <v>212</v>
      </c>
      <c r="B8">
        <f t="shared" si="1"/>
        <v>6</v>
      </c>
      <c r="C8">
        <v>7</v>
      </c>
      <c r="D8" s="36">
        <v>30.1</v>
      </c>
      <c r="E8">
        <v>1.6421426162384187</v>
      </c>
      <c r="F8">
        <v>231473.41666666666</v>
      </c>
      <c r="G8">
        <v>102737.30769230769</v>
      </c>
      <c r="H8">
        <v>1.6421426162384187</v>
      </c>
      <c r="I8">
        <v>2.9726264854710884E-2</v>
      </c>
      <c r="J8">
        <f t="shared" si="0"/>
        <v>0.24770707667029912</v>
      </c>
      <c r="K8">
        <v>4.9809356660806256E-2</v>
      </c>
      <c r="L8" s="39">
        <v>0.48028673835125452</v>
      </c>
      <c r="M8">
        <v>1.6718688810931297</v>
      </c>
      <c r="N8">
        <v>231473.41666666666</v>
      </c>
    </row>
    <row r="9" spans="1:14">
      <c r="A9" t="s">
        <v>212</v>
      </c>
      <c r="B9">
        <f t="shared" si="1"/>
        <v>7</v>
      </c>
      <c r="C9">
        <v>8</v>
      </c>
      <c r="D9" s="36">
        <v>30.3</v>
      </c>
      <c r="E9">
        <v>1.746545491950716</v>
      </c>
      <c r="F9">
        <v>251904.41666666666</v>
      </c>
      <c r="G9">
        <v>107479.30769230769</v>
      </c>
      <c r="H9">
        <v>1.746545491950716</v>
      </c>
      <c r="I9">
        <v>2.3263654844769194E-2</v>
      </c>
      <c r="J9">
        <f t="shared" si="0"/>
        <v>0.19385455799541504</v>
      </c>
      <c r="K9">
        <v>9.0043015220541658E-2</v>
      </c>
      <c r="L9" s="39">
        <v>0.48122866894197952</v>
      </c>
      <c r="M9">
        <v>1.7698091467954851</v>
      </c>
      <c r="N9">
        <v>251904.41666666666</v>
      </c>
    </row>
    <row r="10" spans="1:14">
      <c r="A10" t="s">
        <v>212</v>
      </c>
      <c r="B10">
        <f t="shared" si="1"/>
        <v>8</v>
      </c>
      <c r="C10">
        <v>9</v>
      </c>
      <c r="D10" s="36">
        <v>30.1</v>
      </c>
      <c r="E10">
        <v>1.5892130404429832</v>
      </c>
      <c r="F10">
        <v>221089.41666666666</v>
      </c>
      <c r="G10">
        <v>101566.30769230769</v>
      </c>
      <c r="H10">
        <v>1.5892130404429832</v>
      </c>
      <c r="I10">
        <v>2.7503133218252596E-2</v>
      </c>
      <c r="J10">
        <f t="shared" si="0"/>
        <v>0.22918186196835619</v>
      </c>
      <c r="K10">
        <v>3.1247460681690785E-2</v>
      </c>
      <c r="L10" s="39">
        <v>0.45151515151515154</v>
      </c>
      <c r="M10">
        <v>1.6167161736612357</v>
      </c>
      <c r="N10">
        <v>221089.41666666666</v>
      </c>
    </row>
    <row r="11" spans="1:14">
      <c r="A11" t="s">
        <v>212</v>
      </c>
      <c r="B11">
        <f t="shared" si="1"/>
        <v>9</v>
      </c>
      <c r="C11">
        <v>10</v>
      </c>
      <c r="D11" s="36">
        <v>30.3</v>
      </c>
      <c r="E11">
        <v>1.4800270161355642</v>
      </c>
      <c r="F11">
        <v>206447.41666666666</v>
      </c>
      <c r="G11">
        <v>94569.307692307688</v>
      </c>
      <c r="H11">
        <v>1.4800270161355642</v>
      </c>
      <c r="I11">
        <v>2.6604210623617373E-2</v>
      </c>
      <c r="J11">
        <f t="shared" si="0"/>
        <v>0.22169119709141036</v>
      </c>
      <c r="K11">
        <v>2.6451027406274863E-2</v>
      </c>
      <c r="L11" s="39">
        <v>0.39130434782608692</v>
      </c>
      <c r="M11">
        <v>1.5066312267591815</v>
      </c>
      <c r="N11">
        <v>206447.41666666666</v>
      </c>
    </row>
    <row r="12" spans="1:14">
      <c r="A12" t="s">
        <v>212</v>
      </c>
      <c r="B12">
        <f t="shared" si="1"/>
        <v>10</v>
      </c>
      <c r="C12">
        <v>11</v>
      </c>
      <c r="D12" s="36">
        <v>30</v>
      </c>
      <c r="E12">
        <v>0.89144831753897646</v>
      </c>
      <c r="F12">
        <v>104141.41666666667</v>
      </c>
      <c r="G12">
        <v>65824.307692307688</v>
      </c>
      <c r="H12">
        <v>0.89144831753897646</v>
      </c>
      <c r="I12">
        <v>1.6930040494463824E-2</v>
      </c>
      <c r="J12">
        <f t="shared" si="0"/>
        <v>0.14107695195781797</v>
      </c>
      <c r="K12">
        <v>5.8285936010249711E-4</v>
      </c>
      <c r="L12" s="39">
        <v>0.28078817733990141</v>
      </c>
      <c r="M12">
        <v>0.90837835803344014</v>
      </c>
      <c r="N12">
        <v>104141.41666666667</v>
      </c>
    </row>
    <row r="13" spans="1:14">
      <c r="A13" t="s">
        <v>212</v>
      </c>
      <c r="B13">
        <f t="shared" si="1"/>
        <v>11</v>
      </c>
      <c r="C13">
        <v>12</v>
      </c>
      <c r="D13" s="36">
        <v>31.2</v>
      </c>
      <c r="E13">
        <v>1.0354398232019366</v>
      </c>
      <c r="F13">
        <v>125925.41666666667</v>
      </c>
      <c r="G13">
        <v>84276.307692307688</v>
      </c>
      <c r="H13">
        <v>1.0354398232019366</v>
      </c>
      <c r="I13">
        <v>1.7831502202012333E-2</v>
      </c>
      <c r="J13">
        <f t="shared" si="0"/>
        <v>0.14858877510137275</v>
      </c>
      <c r="K13">
        <v>3.0416405929255336E-2</v>
      </c>
      <c r="L13" s="39">
        <v>0.25254582484725052</v>
      </c>
      <c r="M13">
        <v>1.0532713254039487</v>
      </c>
      <c r="N13">
        <v>125925.41666666667</v>
      </c>
    </row>
    <row r="14" spans="1:14">
      <c r="A14" t="s">
        <v>212</v>
      </c>
      <c r="B14">
        <f t="shared" si="1"/>
        <v>12</v>
      </c>
      <c r="C14">
        <v>13</v>
      </c>
      <c r="D14" s="36">
        <v>30.7</v>
      </c>
      <c r="E14">
        <v>0.87298835806674047</v>
      </c>
      <c r="F14">
        <v>106864.41666666667</v>
      </c>
      <c r="G14">
        <v>63596.307692307695</v>
      </c>
      <c r="H14">
        <v>0.87298835806674047</v>
      </c>
      <c r="I14">
        <v>1.9598997399161922E-2</v>
      </c>
      <c r="J14">
        <f t="shared" si="0"/>
        <v>0.16331720029890762</v>
      </c>
      <c r="K14">
        <v>6.6250704774791095E-3</v>
      </c>
      <c r="L14" s="39">
        <v>0.25102880658436205</v>
      </c>
      <c r="M14">
        <v>0.8925873554659024</v>
      </c>
      <c r="N14">
        <v>106864.41666666667</v>
      </c>
    </row>
    <row r="15" spans="1:14">
      <c r="A15" t="s">
        <v>212</v>
      </c>
      <c r="B15">
        <f t="shared" si="1"/>
        <v>13</v>
      </c>
      <c r="C15">
        <v>14</v>
      </c>
      <c r="D15" s="36">
        <v>30.6</v>
      </c>
      <c r="E15">
        <v>0.84869178831695735</v>
      </c>
      <c r="F15">
        <v>95116.416666666672</v>
      </c>
      <c r="G15">
        <v>69382.307692307688</v>
      </c>
      <c r="H15">
        <v>0.84869178831695735</v>
      </c>
      <c r="I15">
        <v>2.1033908624323947E-2</v>
      </c>
      <c r="J15">
        <f t="shared" si="0"/>
        <v>0.17527422438530085</v>
      </c>
      <c r="K15">
        <v>7.0166933757207011E-3</v>
      </c>
      <c r="L15" s="39">
        <v>0.22911051212938</v>
      </c>
      <c r="M15">
        <v>0.86972569694128121</v>
      </c>
      <c r="N15">
        <v>95116.416666666672</v>
      </c>
    </row>
    <row r="16" spans="1:14">
      <c r="A16" t="s">
        <v>212</v>
      </c>
      <c r="B16">
        <f t="shared" si="1"/>
        <v>14</v>
      </c>
      <c r="C16">
        <v>15</v>
      </c>
      <c r="D16" s="36">
        <v>29.9</v>
      </c>
      <c r="E16">
        <v>0.96657902261704232</v>
      </c>
      <c r="F16">
        <v>111460.41666666667</v>
      </c>
      <c r="G16">
        <v>74344.307692307688</v>
      </c>
      <c r="H16">
        <v>0.96657902261704232</v>
      </c>
      <c r="I16">
        <v>2.7503223924870941E-2</v>
      </c>
      <c r="J16">
        <f t="shared" si="0"/>
        <v>0.2291826178208447</v>
      </c>
      <c r="K16">
        <v>1.0562331800928255E-2</v>
      </c>
      <c r="L16" s="39">
        <v>0.21410419313850071</v>
      </c>
      <c r="M16">
        <v>0.99408224654191324</v>
      </c>
      <c r="N16">
        <v>111460.41666666667</v>
      </c>
    </row>
    <row r="17" spans="1:14">
      <c r="A17" t="s">
        <v>212</v>
      </c>
      <c r="B17">
        <f t="shared" si="1"/>
        <v>15</v>
      </c>
      <c r="C17">
        <v>16</v>
      </c>
      <c r="D17" s="36">
        <v>29.8</v>
      </c>
      <c r="E17">
        <v>1.0566571569414644</v>
      </c>
      <c r="F17">
        <v>114292.41666666667</v>
      </c>
      <c r="G17">
        <v>90041.307692307688</v>
      </c>
      <c r="H17">
        <v>1.0566571569414644</v>
      </c>
      <c r="I17">
        <v>2.0488024615690176E-2</v>
      </c>
      <c r="J17">
        <f t="shared" si="0"/>
        <v>0.17072540761869298</v>
      </c>
      <c r="K17">
        <v>5.8285936010249711E-4</v>
      </c>
      <c r="L17" s="39">
        <v>0.1977107180020812</v>
      </c>
      <c r="M17">
        <v>1.0771451815571547</v>
      </c>
      <c r="N17">
        <v>114292.41666666667</v>
      </c>
    </row>
    <row r="18" spans="1:14">
      <c r="A18" t="s">
        <v>212</v>
      </c>
      <c r="B18">
        <f t="shared" si="1"/>
        <v>16</v>
      </c>
      <c r="C18">
        <v>17</v>
      </c>
      <c r="D18" s="36">
        <v>30</v>
      </c>
      <c r="E18">
        <v>0.67503512046649661</v>
      </c>
      <c r="F18">
        <v>70059.416666666672</v>
      </c>
      <c r="G18">
        <v>53758.307692307695</v>
      </c>
      <c r="H18">
        <v>0.67503512046649661</v>
      </c>
      <c r="I18">
        <v>3.8871240026943511E-2</v>
      </c>
      <c r="J18">
        <f t="shared" si="0"/>
        <v>0.32391157384503311</v>
      </c>
      <c r="K18">
        <v>2.1294295792654301E-2</v>
      </c>
      <c r="L18" s="39">
        <v>0.18581341557440251</v>
      </c>
      <c r="M18">
        <v>0.71390636049344003</v>
      </c>
      <c r="N18">
        <v>70059.416666666672</v>
      </c>
    </row>
    <row r="19" spans="1:14">
      <c r="A19" t="s">
        <v>212</v>
      </c>
      <c r="B19">
        <f t="shared" si="1"/>
        <v>17</v>
      </c>
      <c r="C19">
        <v>18</v>
      </c>
      <c r="D19" s="36">
        <v>30.9</v>
      </c>
      <c r="E19">
        <v>0.72756440555837854</v>
      </c>
      <c r="F19">
        <v>82711.416666666672</v>
      </c>
      <c r="G19">
        <v>56492.307692307695</v>
      </c>
      <c r="H19">
        <v>0.72756440555837854</v>
      </c>
      <c r="I19">
        <v>1.6886794076029599E-2</v>
      </c>
      <c r="J19">
        <f t="shared" si="0"/>
        <v>0.1407165823002387</v>
      </c>
      <c r="K19">
        <v>7.7869189557613601E-3</v>
      </c>
      <c r="L19" s="39">
        <v>0.19574468085106381</v>
      </c>
      <c r="M19">
        <v>0.74445119963440798</v>
      </c>
      <c r="N19">
        <v>82711.416666666672</v>
      </c>
    </row>
    <row r="20" spans="1:14">
      <c r="A20" t="s">
        <v>212</v>
      </c>
      <c r="B20">
        <f t="shared" si="1"/>
        <v>18</v>
      </c>
      <c r="C20">
        <v>19</v>
      </c>
      <c r="D20" s="36">
        <v>30.2</v>
      </c>
      <c r="E20">
        <v>0.57811392625864688</v>
      </c>
      <c r="F20">
        <v>62980.416666666664</v>
      </c>
      <c r="G20">
        <v>39889.307692307695</v>
      </c>
      <c r="H20">
        <v>0.57811392625864688</v>
      </c>
      <c r="I20">
        <v>1.43246026653003E-2</v>
      </c>
      <c r="J20">
        <f t="shared" si="0"/>
        <v>0.11936600403810212</v>
      </c>
      <c r="K20">
        <v>2.9331068585141144E-3</v>
      </c>
      <c r="L20" s="39">
        <v>0.19962917181705814</v>
      </c>
      <c r="M20">
        <v>0.59243852892394722</v>
      </c>
      <c r="N20">
        <v>62980.416666666664</v>
      </c>
    </row>
    <row r="21" spans="1:14">
      <c r="A21" t="s">
        <v>212</v>
      </c>
      <c r="B21">
        <f t="shared" si="1"/>
        <v>19</v>
      </c>
      <c r="C21">
        <v>20</v>
      </c>
      <c r="D21" s="36">
        <v>30.3</v>
      </c>
      <c r="E21">
        <v>0.78739058643683135</v>
      </c>
      <c r="F21">
        <v>90982.416666666672</v>
      </c>
      <c r="G21">
        <v>58222.307692307695</v>
      </c>
      <c r="H21">
        <v>0.78739058643683135</v>
      </c>
      <c r="I21">
        <v>1.9499031688686948E-2</v>
      </c>
      <c r="J21">
        <f t="shared" si="0"/>
        <v>0.16248419238385162</v>
      </c>
      <c r="K21">
        <v>9.8033463601571742E-3</v>
      </c>
      <c r="L21" s="39">
        <v>0.22953451043338677</v>
      </c>
      <c r="M21">
        <v>0.80688961812551818</v>
      </c>
      <c r="N21">
        <v>90982.416666666672</v>
      </c>
    </row>
    <row r="22" spans="1:14">
      <c r="A22" t="s">
        <v>212</v>
      </c>
      <c r="B22">
        <f t="shared" si="1"/>
        <v>20</v>
      </c>
      <c r="C22">
        <v>21</v>
      </c>
      <c r="D22" s="36">
        <v>30.1</v>
      </c>
      <c r="E22">
        <v>0.85462751373784751</v>
      </c>
      <c r="F22">
        <v>99523.416666666672</v>
      </c>
      <c r="G22">
        <v>63137.307692307695</v>
      </c>
      <c r="H22">
        <v>0.85462751373784751</v>
      </c>
      <c r="I22">
        <v>1.8992985145979951E-2</v>
      </c>
      <c r="J22">
        <f t="shared" si="0"/>
        <v>0.15826733869013243</v>
      </c>
      <c r="K22">
        <v>5.8285936010249711E-4</v>
      </c>
      <c r="L22" s="39">
        <v>0.20979020979020976</v>
      </c>
      <c r="M22">
        <v>0.87362049888382742</v>
      </c>
      <c r="N22">
        <v>99523.416666666672</v>
      </c>
    </row>
    <row r="23" spans="1:14">
      <c r="A23" t="s">
        <v>212</v>
      </c>
      <c r="B23">
        <f t="shared" si="1"/>
        <v>21</v>
      </c>
      <c r="C23">
        <v>22</v>
      </c>
      <c r="D23" s="36">
        <v>29.9</v>
      </c>
      <c r="E23">
        <v>0.79323774765598432</v>
      </c>
      <c r="F23">
        <v>82048.416666666672</v>
      </c>
      <c r="G23">
        <v>66068.307692307688</v>
      </c>
      <c r="H23">
        <v>0.79323774765598432</v>
      </c>
      <c r="I23">
        <v>1.7121091976229959E-2</v>
      </c>
      <c r="J23">
        <f t="shared" si="0"/>
        <v>0.1426689718188103</v>
      </c>
      <c r="K23">
        <v>1.9540488651078762E-2</v>
      </c>
      <c r="L23" s="39">
        <v>0.2009040683073833</v>
      </c>
      <c r="M23">
        <v>0.81035883963221422</v>
      </c>
      <c r="N23">
        <v>82048.416666666672</v>
      </c>
    </row>
    <row r="24" spans="1:14">
      <c r="A24" t="s">
        <v>212</v>
      </c>
      <c r="B24">
        <f t="shared" si="1"/>
        <v>22</v>
      </c>
      <c r="C24">
        <v>23</v>
      </c>
      <c r="D24" s="36">
        <v>30.1</v>
      </c>
      <c r="E24">
        <v>0.93284309507250551</v>
      </c>
      <c r="F24">
        <v>90603.416666666672</v>
      </c>
      <c r="G24">
        <v>89349.307692307688</v>
      </c>
      <c r="H24">
        <v>0.93284309507250551</v>
      </c>
      <c r="I24">
        <v>3.0698201827933161E-2</v>
      </c>
      <c r="J24">
        <f t="shared" si="0"/>
        <v>0.25580616572576503</v>
      </c>
      <c r="K24">
        <v>9.1532803189150191E-3</v>
      </c>
      <c r="L24" s="39">
        <v>0.21459227467811162</v>
      </c>
      <c r="M24">
        <v>0.96354129690043866</v>
      </c>
      <c r="N24">
        <v>90603.416666666672</v>
      </c>
    </row>
    <row r="25" spans="1:14">
      <c r="A25" t="s">
        <v>212</v>
      </c>
      <c r="B25">
        <f t="shared" si="1"/>
        <v>23</v>
      </c>
      <c r="C25">
        <v>24</v>
      </c>
      <c r="D25" s="36">
        <v>31.3</v>
      </c>
      <c r="E25">
        <v>0.94372777092037563</v>
      </c>
      <c r="F25">
        <v>110544.41666666667</v>
      </c>
      <c r="G25">
        <v>79754.307692307688</v>
      </c>
      <c r="H25">
        <v>0.94372777092037563</v>
      </c>
      <c r="I25">
        <v>2.1686161910397832E-2</v>
      </c>
      <c r="J25">
        <f t="shared" si="0"/>
        <v>0.18070940958369802</v>
      </c>
      <c r="K25">
        <v>1.041319649896973E-2</v>
      </c>
      <c r="L25" s="39">
        <v>0.22688598979013064</v>
      </c>
      <c r="M25">
        <v>0.96541393283077337</v>
      </c>
      <c r="N25">
        <v>110544.41666666667</v>
      </c>
    </row>
    <row r="26" spans="1:14">
      <c r="A26" t="s">
        <v>212</v>
      </c>
      <c r="B26">
        <f t="shared" si="1"/>
        <v>24</v>
      </c>
      <c r="C26">
        <v>25</v>
      </c>
      <c r="D26" s="36">
        <v>29.9</v>
      </c>
      <c r="E26">
        <v>0.76440922034025038</v>
      </c>
      <c r="F26">
        <v>81481.416666666672</v>
      </c>
      <c r="G26">
        <v>60642.307692307695</v>
      </c>
      <c r="H26">
        <v>0.76440922034025038</v>
      </c>
      <c r="I26">
        <v>2.4805123419054054E-2</v>
      </c>
      <c r="J26">
        <f t="shared" si="0"/>
        <v>0.20669951770298237</v>
      </c>
      <c r="K26">
        <v>5.8423229209235211E-3</v>
      </c>
      <c r="L26" s="39">
        <v>0.24477611940298502</v>
      </c>
      <c r="M26">
        <v>0.78921434375930444</v>
      </c>
      <c r="N26">
        <v>81481.416666666672</v>
      </c>
    </row>
    <row r="27" spans="1:14">
      <c r="A27" t="s">
        <v>212</v>
      </c>
      <c r="B27">
        <f t="shared" si="1"/>
        <v>25</v>
      </c>
      <c r="C27">
        <v>26</v>
      </c>
      <c r="D27" s="36">
        <v>30.6</v>
      </c>
      <c r="E27">
        <v>0.91847764242283891</v>
      </c>
      <c r="F27">
        <v>112038.41666666667</v>
      </c>
      <c r="G27">
        <v>67846.307692307688</v>
      </c>
      <c r="H27">
        <v>0.91847764242283891</v>
      </c>
      <c r="I27">
        <v>1.96931541981809E-2</v>
      </c>
      <c r="J27">
        <f t="shared" si="0"/>
        <v>0.16410180292381252</v>
      </c>
      <c r="K27">
        <v>5.8285936010249711E-4</v>
      </c>
      <c r="L27" s="39">
        <v>0.24053224155578298</v>
      </c>
      <c r="M27">
        <v>0.93817079662101976</v>
      </c>
      <c r="N27">
        <v>112038.41666666667</v>
      </c>
    </row>
    <row r="28" spans="1:14">
      <c r="A28" t="s">
        <v>212</v>
      </c>
      <c r="B28">
        <f t="shared" si="1"/>
        <v>26</v>
      </c>
      <c r="C28">
        <v>27</v>
      </c>
      <c r="D28" s="36">
        <v>29.6</v>
      </c>
      <c r="E28">
        <v>0.94230351126492784</v>
      </c>
      <c r="F28">
        <v>108433.41666666667</v>
      </c>
      <c r="G28">
        <v>69843.307692307688</v>
      </c>
      <c r="H28">
        <v>0.94230351126492784</v>
      </c>
      <c r="I28">
        <v>1.7606002816261585E-2</v>
      </c>
      <c r="J28">
        <f t="shared" si="0"/>
        <v>0.14670970304478326</v>
      </c>
      <c r="K28">
        <v>2.5224649786004718E-2</v>
      </c>
      <c r="L28" s="39">
        <v>0.23287671232876705</v>
      </c>
      <c r="M28">
        <v>0.95990951408118941</v>
      </c>
      <c r="N28">
        <v>108433.41666666667</v>
      </c>
    </row>
    <row r="29" spans="1:14">
      <c r="A29" t="s">
        <v>212</v>
      </c>
      <c r="B29">
        <f t="shared" si="1"/>
        <v>27</v>
      </c>
      <c r="C29">
        <v>28</v>
      </c>
      <c r="D29" s="36">
        <v>29.6</v>
      </c>
      <c r="E29">
        <v>1.0249051526299722</v>
      </c>
      <c r="F29">
        <v>117575.41666666667</v>
      </c>
      <c r="G29">
        <v>78519.307692307688</v>
      </c>
      <c r="H29">
        <v>1.0249051526299722</v>
      </c>
      <c r="I29">
        <v>2.41673130289199E-2</v>
      </c>
      <c r="J29">
        <f t="shared" si="0"/>
        <v>0.20138468423896455</v>
      </c>
      <c r="K29">
        <v>9.4240858752670156E-3</v>
      </c>
      <c r="L29" s="39">
        <v>0.23498694516971289</v>
      </c>
      <c r="M29">
        <v>1.0490724656588921</v>
      </c>
      <c r="N29">
        <v>117575.41666666667</v>
      </c>
    </row>
    <row r="30" spans="1:14">
      <c r="A30" t="s">
        <v>212</v>
      </c>
      <c r="B30">
        <f t="shared" si="1"/>
        <v>28</v>
      </c>
      <c r="C30">
        <v>29</v>
      </c>
      <c r="D30" s="36">
        <v>31</v>
      </c>
      <c r="E30">
        <v>0.75543518097118667</v>
      </c>
      <c r="F30">
        <v>81998.416666666672</v>
      </c>
      <c r="G30">
        <v>64402.307692307695</v>
      </c>
      <c r="H30">
        <v>0.75543518097118667</v>
      </c>
      <c r="I30">
        <v>3.1336591835368563E-2</v>
      </c>
      <c r="J30">
        <f t="shared" si="0"/>
        <v>0.26112582910393389</v>
      </c>
      <c r="K30">
        <v>7.3679447579524521E-3</v>
      </c>
      <c r="L30" s="39">
        <v>0.24845573095401499</v>
      </c>
      <c r="M30">
        <v>0.78677177280655508</v>
      </c>
      <c r="N30">
        <v>81998.416666666672</v>
      </c>
    </row>
    <row r="31" spans="1:14">
      <c r="A31" t="s">
        <v>212</v>
      </c>
      <c r="B31">
        <f t="shared" si="1"/>
        <v>29</v>
      </c>
      <c r="C31">
        <v>30</v>
      </c>
      <c r="D31" s="36">
        <v>31.3</v>
      </c>
      <c r="E31">
        <v>1.0430667222994408</v>
      </c>
      <c r="F31">
        <v>128399.41666666667</v>
      </c>
      <c r="G31">
        <v>84415.307692307688</v>
      </c>
      <c r="H31">
        <v>1.0430667222994408</v>
      </c>
      <c r="I31">
        <v>2.4015944943473162E-2</v>
      </c>
      <c r="J31">
        <f t="shared" si="0"/>
        <v>0.20012334359860995</v>
      </c>
      <c r="K31">
        <v>1.5306393840433957E-2</v>
      </c>
      <c r="L31" s="39">
        <v>0.24335548172757474</v>
      </c>
      <c r="M31">
        <v>1.0670826672429139</v>
      </c>
      <c r="N31">
        <v>128399.41666666667</v>
      </c>
    </row>
    <row r="32" spans="1:14">
      <c r="A32" t="s">
        <v>212</v>
      </c>
      <c r="B32">
        <f t="shared" si="1"/>
        <v>30</v>
      </c>
      <c r="C32">
        <v>31</v>
      </c>
      <c r="D32" s="36">
        <v>30</v>
      </c>
      <c r="E32">
        <v>1.0260092434820767</v>
      </c>
      <c r="F32">
        <v>120857.41666666667</v>
      </c>
      <c r="G32">
        <v>78497.307692307688</v>
      </c>
      <c r="H32">
        <v>1.0260092434820767</v>
      </c>
      <c r="I32">
        <v>2.649456479469682E-2</v>
      </c>
      <c r="J32">
        <f t="shared" si="0"/>
        <v>0.22077752536427789</v>
      </c>
      <c r="K32">
        <v>5.8285936010249711E-4</v>
      </c>
      <c r="L32" s="39">
        <v>0.25841184387617766</v>
      </c>
      <c r="M32">
        <v>1.0525038082767735</v>
      </c>
      <c r="N32">
        <v>120857.41666666667</v>
      </c>
    </row>
    <row r="33" spans="1:14">
      <c r="A33" t="s">
        <v>212</v>
      </c>
      <c r="B33">
        <f t="shared" si="1"/>
        <v>31</v>
      </c>
      <c r="C33">
        <v>32</v>
      </c>
      <c r="D33" s="36">
        <v>30.2</v>
      </c>
      <c r="E33">
        <v>1.2057430310973327</v>
      </c>
      <c r="F33">
        <v>142299.41666666666</v>
      </c>
      <c r="G33">
        <v>97821.307692307688</v>
      </c>
      <c r="H33">
        <v>1.2057430310973327</v>
      </c>
      <c r="I33">
        <v>2.9846835780256795E-2</v>
      </c>
      <c r="J33">
        <f t="shared" si="0"/>
        <v>0.24871178653359285</v>
      </c>
      <c r="K33">
        <v>1.9075177486711947E-2</v>
      </c>
      <c r="L33" s="39">
        <v>0.3047945205479452</v>
      </c>
      <c r="M33">
        <v>1.2355898668775895</v>
      </c>
      <c r="N33">
        <v>142299.41666666666</v>
      </c>
    </row>
    <row r="34" spans="1:14">
      <c r="A34" t="s">
        <v>212</v>
      </c>
      <c r="B34">
        <f t="shared" si="1"/>
        <v>32</v>
      </c>
      <c r="C34">
        <v>33</v>
      </c>
      <c r="D34" s="36">
        <v>30.2</v>
      </c>
      <c r="E34">
        <v>1.4678087693642647</v>
      </c>
      <c r="F34">
        <v>176935.41666666666</v>
      </c>
      <c r="G34">
        <v>120490.30769230769</v>
      </c>
      <c r="H34">
        <v>1.4678087693642647</v>
      </c>
      <c r="I34">
        <v>3.6064915370940788E-2</v>
      </c>
      <c r="J34">
        <f t="shared" si="0"/>
        <v>0.30052664875862239</v>
      </c>
      <c r="K34">
        <v>1.3250853277537996E-2</v>
      </c>
      <c r="L34" s="40">
        <v>0.31793265465935794</v>
      </c>
      <c r="M34">
        <v>1.5038736847352054</v>
      </c>
      <c r="N34">
        <v>176935.41666666666</v>
      </c>
    </row>
    <row r="35" spans="1:14">
      <c r="A35" t="s">
        <v>212</v>
      </c>
      <c r="B35">
        <f t="shared" si="1"/>
        <v>33</v>
      </c>
      <c r="C35">
        <v>34</v>
      </c>
      <c r="D35" s="36">
        <v>30.1</v>
      </c>
      <c r="E35">
        <v>1.2618427645388397</v>
      </c>
      <c r="F35">
        <v>146572.41666666666</v>
      </c>
      <c r="G35">
        <v>104934.30769230769</v>
      </c>
      <c r="H35">
        <v>1.2618427645388397</v>
      </c>
      <c r="I35">
        <v>3.2977231315087119E-2</v>
      </c>
      <c r="J35">
        <f t="shared" si="0"/>
        <v>0.27479717366663836</v>
      </c>
      <c r="K35">
        <v>9.342835914236583E-3</v>
      </c>
      <c r="L35" s="40">
        <v>0.32237673830594188</v>
      </c>
      <c r="M35">
        <v>1.2948199958539268</v>
      </c>
      <c r="N35">
        <v>146572.41666666666</v>
      </c>
    </row>
    <row r="36" spans="1:14">
      <c r="A36" t="s">
        <v>212</v>
      </c>
      <c r="B36">
        <f t="shared" si="1"/>
        <v>34</v>
      </c>
      <c r="C36">
        <v>35</v>
      </c>
      <c r="D36" s="36">
        <v>31.8</v>
      </c>
      <c r="E36">
        <v>1.1579221803820363</v>
      </c>
      <c r="F36">
        <v>137833.41666666666</v>
      </c>
      <c r="G36">
        <v>105114.30769230769</v>
      </c>
      <c r="H36">
        <v>1.1579221803820363</v>
      </c>
      <c r="I36">
        <v>2.2104977586617818E-2</v>
      </c>
      <c r="J36">
        <f t="shared" si="0"/>
        <v>0.18419937400833061</v>
      </c>
      <c r="K36">
        <v>1.3427643207057808E-2</v>
      </c>
      <c r="L36" s="40">
        <v>0.26820603907637652</v>
      </c>
      <c r="M36">
        <v>1.1800271579686541</v>
      </c>
      <c r="N36">
        <v>137833.41666666666</v>
      </c>
    </row>
    <row r="37" spans="1:14">
      <c r="A37" t="s">
        <v>212</v>
      </c>
      <c r="B37">
        <f t="shared" si="1"/>
        <v>35</v>
      </c>
      <c r="C37">
        <v>36</v>
      </c>
      <c r="D37" s="36">
        <v>30.7</v>
      </c>
      <c r="E37">
        <v>1.1253850519094093</v>
      </c>
      <c r="F37">
        <v>118267.41666666667</v>
      </c>
      <c r="G37">
        <v>108656.30769230769</v>
      </c>
      <c r="H37">
        <v>1.1253850519094093</v>
      </c>
      <c r="I37">
        <v>4.280342146854537E-2</v>
      </c>
      <c r="J37">
        <f t="shared" si="0"/>
        <v>0.35667819200567424</v>
      </c>
      <c r="K37">
        <v>5.8285936010249711E-4</v>
      </c>
      <c r="L37" s="40">
        <v>0.27186761229314416</v>
      </c>
      <c r="M37">
        <v>1.1681884733779546</v>
      </c>
      <c r="N37">
        <v>118267.41666666667</v>
      </c>
    </row>
    <row r="38" spans="1:14">
      <c r="A38" t="s">
        <v>212</v>
      </c>
      <c r="B38">
        <f t="shared" si="1"/>
        <v>36</v>
      </c>
      <c r="C38">
        <v>37</v>
      </c>
      <c r="D38" s="36">
        <v>30.6</v>
      </c>
      <c r="E38">
        <v>1.1912297718903577</v>
      </c>
      <c r="F38">
        <v>126020.41666666667</v>
      </c>
      <c r="G38">
        <v>114533.30769230769</v>
      </c>
      <c r="H38">
        <v>1.1912297718903577</v>
      </c>
      <c r="I38">
        <v>3.764991935484506E-2</v>
      </c>
      <c r="J38">
        <f t="shared" si="0"/>
        <v>0.313734386268957</v>
      </c>
      <c r="K38">
        <v>2.125315391043061E-2</v>
      </c>
      <c r="L38" s="40">
        <v>0.30078125</v>
      </c>
      <c r="M38">
        <v>1.2288796912452027</v>
      </c>
      <c r="N38">
        <v>126020.41666666667</v>
      </c>
    </row>
    <row r="39" spans="1:14">
      <c r="A39" t="s">
        <v>212</v>
      </c>
      <c r="B39">
        <f t="shared" si="1"/>
        <v>37</v>
      </c>
      <c r="C39">
        <v>38</v>
      </c>
      <c r="D39" s="36">
        <v>31.2</v>
      </c>
      <c r="E39">
        <v>0.96571109867782079</v>
      </c>
      <c r="F39">
        <v>114829.41666666667</v>
      </c>
      <c r="G39">
        <v>79845.307692307688</v>
      </c>
      <c r="H39">
        <v>0.96571109867782079</v>
      </c>
      <c r="I39">
        <v>2.6092581408820391E-2</v>
      </c>
      <c r="J39">
        <f t="shared" si="0"/>
        <v>0.21742782334580515</v>
      </c>
      <c r="K39">
        <v>1.0928492485273306E-2</v>
      </c>
      <c r="L39" s="40">
        <v>0.28197879858657243</v>
      </c>
      <c r="M39">
        <v>0.9918036800866411</v>
      </c>
      <c r="N39">
        <v>114829.41666666667</v>
      </c>
    </row>
    <row r="40" spans="1:14">
      <c r="A40" t="s">
        <v>212</v>
      </c>
      <c r="B40">
        <f t="shared" si="1"/>
        <v>38</v>
      </c>
      <c r="C40">
        <v>39</v>
      </c>
      <c r="D40" s="36">
        <v>31.1</v>
      </c>
      <c r="E40">
        <v>1.7303142564182297</v>
      </c>
      <c r="F40">
        <v>206443.41666666666</v>
      </c>
      <c r="G40">
        <v>159670.30769230769</v>
      </c>
      <c r="H40">
        <v>1.7303142564182297</v>
      </c>
      <c r="I40">
        <v>4.2974664388946836E-2</v>
      </c>
      <c r="J40">
        <f t="shared" si="0"/>
        <v>0.35810514838315571</v>
      </c>
      <c r="K40">
        <v>1.6151694582759765E-2</v>
      </c>
      <c r="L40" s="40">
        <v>0.31540342298288504</v>
      </c>
      <c r="M40">
        <v>1.7732889208071763</v>
      </c>
      <c r="N40">
        <v>206443.41666666666</v>
      </c>
    </row>
    <row r="41" spans="1:14">
      <c r="A41" t="s">
        <v>212</v>
      </c>
      <c r="B41">
        <f t="shared" si="1"/>
        <v>39</v>
      </c>
      <c r="C41">
        <v>40</v>
      </c>
      <c r="D41" s="36">
        <v>31.2</v>
      </c>
      <c r="E41">
        <v>1.3431598332739449</v>
      </c>
      <c r="F41">
        <v>142425.41666666666</v>
      </c>
      <c r="G41">
        <v>137631.30769230769</v>
      </c>
      <c r="H41">
        <v>1.3431598332739449</v>
      </c>
      <c r="I41">
        <v>4.262193005949106E-2</v>
      </c>
      <c r="J41">
        <f t="shared" si="0"/>
        <v>0.35516583562328502</v>
      </c>
      <c r="K41">
        <v>9.1532803189150191E-3</v>
      </c>
      <c r="L41" s="40">
        <v>0.29007633587786263</v>
      </c>
      <c r="M41">
        <v>1.3857817633334357</v>
      </c>
      <c r="N41">
        <v>142425.41666666666</v>
      </c>
    </row>
    <row r="42" spans="1:14">
      <c r="A42" t="s">
        <v>212</v>
      </c>
      <c r="B42">
        <f>B41+1</f>
        <v>40</v>
      </c>
      <c r="C42">
        <v>41</v>
      </c>
      <c r="D42" s="36">
        <v>29.9</v>
      </c>
      <c r="E42">
        <v>0.76560905272667046</v>
      </c>
      <c r="F42">
        <v>76069.416666666672</v>
      </c>
      <c r="G42">
        <v>66609.307692307688</v>
      </c>
      <c r="H42">
        <v>0.76560905272667046</v>
      </c>
      <c r="I42">
        <v>3.4953483771764535E-2</v>
      </c>
      <c r="J42">
        <f t="shared" si="0"/>
        <v>0.29126515984649237</v>
      </c>
      <c r="K42">
        <v>1.4416769992498344E-3</v>
      </c>
      <c r="L42" s="40">
        <v>0.26508875739644977</v>
      </c>
      <c r="M42">
        <v>0.8005625364984349</v>
      </c>
      <c r="N42">
        <v>76069.416666666672</v>
      </c>
    </row>
    <row r="1048576" spans="8:8">
      <c r="H1048576">
        <f>SUM(H2:H1048575)</f>
        <v>45.82549595400139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85" zoomScaleNormal="85" workbookViewId="0">
      <selection activeCell="Q3" sqref="Q3"/>
    </sheetView>
  </sheetViews>
  <sheetFormatPr baseColWidth="10" defaultColWidth="8.83203125" defaultRowHeight="1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1"/>
  <sheetViews>
    <sheetView zoomScale="86" workbookViewId="0">
      <selection activeCell="M2" sqref="M2"/>
    </sheetView>
  </sheetViews>
  <sheetFormatPr baseColWidth="10" defaultColWidth="8.83203125" defaultRowHeight="15"/>
  <sheetData>
    <row r="1" spans="1:13">
      <c r="A1" t="s">
        <v>214</v>
      </c>
      <c r="B1" t="s">
        <v>213</v>
      </c>
      <c r="D1" t="s">
        <v>216</v>
      </c>
      <c r="E1" t="s">
        <v>221</v>
      </c>
      <c r="F1" t="s">
        <v>217</v>
      </c>
      <c r="G1" t="s">
        <v>218</v>
      </c>
      <c r="H1" t="s">
        <v>221</v>
      </c>
      <c r="I1" t="s">
        <v>222</v>
      </c>
      <c r="J1" t="s">
        <v>219</v>
      </c>
      <c r="K1" t="s">
        <v>223</v>
      </c>
      <c r="L1" t="s">
        <v>224</v>
      </c>
      <c r="M1" t="s">
        <v>228</v>
      </c>
    </row>
    <row r="2" spans="1:13">
      <c r="A2" t="s">
        <v>214</v>
      </c>
      <c r="B2">
        <v>0</v>
      </c>
      <c r="C2">
        <f>C1+1</f>
        <v>1</v>
      </c>
      <c r="D2" s="36">
        <v>29.7</v>
      </c>
      <c r="E2">
        <v>1.0860792686632355</v>
      </c>
      <c r="F2">
        <v>149813.41666666666</v>
      </c>
      <c r="G2">
        <f>第一次EA數據!R68</f>
        <v>60084.307692307695</v>
      </c>
      <c r="H2">
        <v>1.0860792686632355</v>
      </c>
      <c r="I2">
        <v>2.1131549673572645E-2</v>
      </c>
      <c r="J2">
        <f>(I2/12.011)*100.0869</f>
        <v>0.17608786104603266</v>
      </c>
      <c r="K2">
        <v>3.2301150607088699E-2</v>
      </c>
      <c r="L2" s="39">
        <v>0.33794466403162099</v>
      </c>
      <c r="M2">
        <v>1.1072108183368099</v>
      </c>
    </row>
    <row r="3" spans="1:13">
      <c r="A3" t="s">
        <v>214</v>
      </c>
      <c r="B3">
        <f>B2+1</f>
        <v>1</v>
      </c>
      <c r="C3">
        <f t="shared" ref="B3:C18" si="0">C2+1</f>
        <v>2</v>
      </c>
      <c r="D3" s="36">
        <v>30.3</v>
      </c>
      <c r="E3">
        <v>0.98003988382976626</v>
      </c>
      <c r="F3">
        <v>139994.41666666701</v>
      </c>
      <c r="G3">
        <f>第一次EA數據!R69</f>
        <v>51353.307692307695</v>
      </c>
      <c r="H3">
        <v>0.98003988382976626</v>
      </c>
      <c r="I3">
        <v>1.8945049671989549E-2</v>
      </c>
      <c r="J3">
        <f t="shared" ref="J3:J51" si="1">(I3/12.011)*100.0869</f>
        <v>0.1578678954304763</v>
      </c>
      <c r="K3">
        <v>1.687489219636738E-2</v>
      </c>
      <c r="L3" s="39">
        <v>0.32102272727272724</v>
      </c>
      <c r="M3">
        <v>0.99898493350175588</v>
      </c>
    </row>
    <row r="4" spans="1:13">
      <c r="A4" t="s">
        <v>214</v>
      </c>
      <c r="B4">
        <f t="shared" si="0"/>
        <v>2</v>
      </c>
      <c r="C4">
        <f t="shared" si="0"/>
        <v>3</v>
      </c>
      <c r="D4" s="36">
        <v>30.5</v>
      </c>
      <c r="E4">
        <v>0.94906537480229503</v>
      </c>
      <c r="F4">
        <v>134203.41666666666</v>
      </c>
      <c r="G4">
        <f>第一次EA數據!R70</f>
        <v>51760.307692307695</v>
      </c>
      <c r="H4">
        <v>0.94906537480229503</v>
      </c>
      <c r="I4">
        <v>1.988283310600665E-2</v>
      </c>
      <c r="J4">
        <f t="shared" si="1"/>
        <v>0.16568238521335255</v>
      </c>
      <c r="K4">
        <v>2.1980255489606443E-2</v>
      </c>
      <c r="L4" s="39">
        <v>0.33596837944664021</v>
      </c>
      <c r="M4">
        <v>0.96894820790830172</v>
      </c>
    </row>
    <row r="5" spans="1:13">
      <c r="A5" t="s">
        <v>214</v>
      </c>
      <c r="B5">
        <f t="shared" si="0"/>
        <v>3</v>
      </c>
      <c r="C5">
        <f t="shared" si="0"/>
        <v>4</v>
      </c>
      <c r="D5" s="36">
        <v>30.5</v>
      </c>
      <c r="E5">
        <v>1.0994953289711742</v>
      </c>
      <c r="F5">
        <v>160467.41666666666</v>
      </c>
      <c r="G5">
        <f>第一次EA數據!R71</f>
        <v>58801.307692307695</v>
      </c>
      <c r="H5">
        <v>1.0994953289711742</v>
      </c>
      <c r="I5">
        <v>2.6931815527291431E-2</v>
      </c>
      <c r="J5">
        <f t="shared" si="1"/>
        <v>0.22442110794259135</v>
      </c>
      <c r="K5">
        <v>2.3312425229384353E-2</v>
      </c>
      <c r="L5" s="39">
        <v>0.33001422475106695</v>
      </c>
      <c r="M5">
        <v>1.1264271444984657</v>
      </c>
    </row>
    <row r="6" spans="1:13">
      <c r="A6" t="s">
        <v>214</v>
      </c>
      <c r="B6">
        <f t="shared" si="0"/>
        <v>4</v>
      </c>
      <c r="C6">
        <f t="shared" si="0"/>
        <v>5</v>
      </c>
      <c r="D6" s="36">
        <v>30.2</v>
      </c>
      <c r="E6">
        <v>1.4353223000616828</v>
      </c>
      <c r="F6">
        <v>211943.41666666666</v>
      </c>
      <c r="G6">
        <v>78233.307692307688</v>
      </c>
      <c r="H6">
        <v>1.4353223000616828</v>
      </c>
      <c r="I6">
        <v>2.6284645365575808E-2</v>
      </c>
      <c r="J6">
        <f t="shared" si="1"/>
        <v>0.21902828009656561</v>
      </c>
      <c r="K6">
        <v>1.1552653366856893E-2</v>
      </c>
      <c r="L6" s="39">
        <v>0.38747731397459162</v>
      </c>
      <c r="M6">
        <v>1.4616069454272584</v>
      </c>
    </row>
    <row r="7" spans="1:13">
      <c r="A7" t="s">
        <v>214</v>
      </c>
      <c r="B7">
        <f t="shared" si="0"/>
        <v>5</v>
      </c>
      <c r="C7">
        <f t="shared" si="0"/>
        <v>6</v>
      </c>
      <c r="D7" s="36">
        <v>29.9</v>
      </c>
      <c r="E7">
        <v>1.3215918406786122</v>
      </c>
      <c r="F7">
        <v>190612.41666666666</v>
      </c>
      <c r="G7">
        <v>71892.307692307688</v>
      </c>
      <c r="H7">
        <v>1.3215918406786122</v>
      </c>
      <c r="I7">
        <v>2.8177960946913112E-2</v>
      </c>
      <c r="J7">
        <f t="shared" si="1"/>
        <v>0.23480515856278397</v>
      </c>
      <c r="K7">
        <v>4.1765656582743491E-2</v>
      </c>
      <c r="L7" s="39">
        <v>0.37762237762237777</v>
      </c>
      <c r="M7">
        <v>1.3497698016255253</v>
      </c>
    </row>
    <row r="8" spans="1:13">
      <c r="A8" t="s">
        <v>214</v>
      </c>
      <c r="B8">
        <f>B7+1</f>
        <v>6</v>
      </c>
      <c r="C8">
        <f t="shared" si="0"/>
        <v>7</v>
      </c>
      <c r="D8" s="36">
        <v>30.4</v>
      </c>
      <c r="E8">
        <v>0.92268430708466009</v>
      </c>
      <c r="F8">
        <v>130871.41666666667</v>
      </c>
      <c r="G8">
        <v>48585.307692307695</v>
      </c>
      <c r="H8">
        <v>0.92268430708466009</v>
      </c>
      <c r="I8">
        <v>1.8833073283866422E-2</v>
      </c>
      <c r="J8">
        <f t="shared" si="1"/>
        <v>0.15693480330155776</v>
      </c>
      <c r="K8">
        <v>1.6369959936809141E-2</v>
      </c>
      <c r="L8" s="39">
        <v>0.32583333333333336</v>
      </c>
      <c r="M8">
        <v>0.9415173803685265</v>
      </c>
    </row>
    <row r="9" spans="1:13">
      <c r="A9" t="s">
        <v>214</v>
      </c>
      <c r="B9">
        <f>B8+1</f>
        <v>7</v>
      </c>
      <c r="C9">
        <f t="shared" si="0"/>
        <v>8</v>
      </c>
      <c r="D9" s="36">
        <v>29.8</v>
      </c>
      <c r="E9">
        <v>1.3708866900338299</v>
      </c>
      <c r="F9">
        <v>199780.41666666666</v>
      </c>
      <c r="G9">
        <v>72380.307692307688</v>
      </c>
      <c r="H9">
        <v>1.3708866900338299</v>
      </c>
      <c r="I9">
        <v>2.7799081617284498E-2</v>
      </c>
      <c r="J9">
        <f t="shared" si="1"/>
        <v>0.23164798117733679</v>
      </c>
      <c r="K9">
        <v>3.8326172221147529E-2</v>
      </c>
      <c r="L9" s="39">
        <v>0.37967914438502653</v>
      </c>
      <c r="M9">
        <v>1.3986857716511143</v>
      </c>
    </row>
    <row r="10" spans="1:13">
      <c r="A10" t="s">
        <v>214</v>
      </c>
      <c r="B10">
        <f t="shared" ref="B10:C51" si="2">B9+1</f>
        <v>8</v>
      </c>
      <c r="C10">
        <f t="shared" si="0"/>
        <v>9</v>
      </c>
      <c r="D10" s="36">
        <v>30.5</v>
      </c>
      <c r="E10">
        <v>1.1066834624254984</v>
      </c>
      <c r="F10">
        <v>158891.41666666666</v>
      </c>
      <c r="G10">
        <v>61894.307692307695</v>
      </c>
      <c r="H10">
        <v>1.1066834624254984</v>
      </c>
      <c r="I10">
        <v>2.3723670148376921E-2</v>
      </c>
      <c r="J10">
        <f t="shared" si="1"/>
        <v>0.19768783629785913</v>
      </c>
      <c r="K10">
        <v>2.521087914874378E-2</v>
      </c>
      <c r="L10" s="39">
        <v>0.34491017964071846</v>
      </c>
      <c r="M10">
        <v>1.1304071325738754</v>
      </c>
    </row>
    <row r="11" spans="1:13">
      <c r="A11" t="s">
        <v>214</v>
      </c>
      <c r="B11">
        <f t="shared" si="2"/>
        <v>9</v>
      </c>
      <c r="C11">
        <f t="shared" si="0"/>
        <v>10</v>
      </c>
      <c r="D11" s="36">
        <v>30.2</v>
      </c>
      <c r="E11">
        <v>1.3140046940399184</v>
      </c>
      <c r="F11">
        <v>187825.41666666666</v>
      </c>
      <c r="G11">
        <v>75836.307692307688</v>
      </c>
      <c r="H11">
        <v>1.3140046940399184</v>
      </c>
      <c r="I11">
        <v>2.4913014599260763E-2</v>
      </c>
      <c r="J11">
        <f t="shared" si="1"/>
        <v>0.20759856805384666</v>
      </c>
      <c r="K11">
        <v>8.1114164128930858E-3</v>
      </c>
      <c r="L11" s="39">
        <v>0.36746490503715934</v>
      </c>
      <c r="M11">
        <v>1.338917708639179</v>
      </c>
    </row>
    <row r="12" spans="1:13">
      <c r="A12" t="s">
        <v>214</v>
      </c>
      <c r="B12">
        <f t="shared" si="2"/>
        <v>10</v>
      </c>
      <c r="C12">
        <f t="shared" si="0"/>
        <v>11</v>
      </c>
      <c r="D12" s="36">
        <v>29.9</v>
      </c>
      <c r="E12">
        <v>1.3284236896486172</v>
      </c>
      <c r="F12">
        <v>188353.41666666666</v>
      </c>
      <c r="G12">
        <v>75576.307692307688</v>
      </c>
      <c r="H12">
        <v>1.3284236896486172</v>
      </c>
      <c r="I12">
        <v>2.5221217271222493E-2</v>
      </c>
      <c r="J12">
        <f t="shared" si="1"/>
        <v>0.21016680134069757</v>
      </c>
      <c r="K12">
        <v>4.1485577404909199E-2</v>
      </c>
      <c r="L12" s="39">
        <v>0.34913793103448276</v>
      </c>
      <c r="M12">
        <v>1.3536449069198397</v>
      </c>
    </row>
    <row r="13" spans="1:13">
      <c r="A13" t="s">
        <v>214</v>
      </c>
      <c r="B13">
        <f t="shared" si="2"/>
        <v>11</v>
      </c>
      <c r="C13">
        <f t="shared" si="0"/>
        <v>12</v>
      </c>
      <c r="D13" s="36">
        <v>30.1</v>
      </c>
      <c r="E13">
        <v>1.0814334815936875</v>
      </c>
      <c r="F13">
        <v>152081.41666666666</v>
      </c>
      <c r="G13">
        <v>59987.307692307695</v>
      </c>
      <c r="H13">
        <v>1.0814334815936875</v>
      </c>
      <c r="I13">
        <v>2.2804340230339226E-2</v>
      </c>
      <c r="J13">
        <f t="shared" si="1"/>
        <v>0.19002711849137785</v>
      </c>
      <c r="K13">
        <v>1.9923857492470574E-2</v>
      </c>
      <c r="L13" s="39">
        <v>0.32304038004750579</v>
      </c>
      <c r="M13">
        <v>1.1042378218240267</v>
      </c>
    </row>
    <row r="14" spans="1:13">
      <c r="A14" t="s">
        <v>214</v>
      </c>
      <c r="B14">
        <f t="shared" si="2"/>
        <v>12</v>
      </c>
      <c r="C14">
        <f t="shared" si="0"/>
        <v>13</v>
      </c>
      <c r="D14" s="36">
        <v>30.3</v>
      </c>
      <c r="E14">
        <v>1.477849526279603</v>
      </c>
      <c r="F14">
        <v>214971.41666666666</v>
      </c>
      <c r="G14">
        <v>85530.307692307688</v>
      </c>
      <c r="H14">
        <v>1.477849526279603</v>
      </c>
      <c r="I14">
        <v>2.4205723621493036E-2</v>
      </c>
      <c r="J14">
        <f t="shared" si="1"/>
        <v>0.20170475726683967</v>
      </c>
      <c r="K14">
        <v>3.8647243592000162E-2</v>
      </c>
      <c r="L14" s="39">
        <v>0.37834821428571419</v>
      </c>
      <c r="M14">
        <v>1.502055249901096</v>
      </c>
    </row>
    <row r="15" spans="1:13">
      <c r="A15" t="s">
        <v>214</v>
      </c>
      <c r="B15">
        <f t="shared" si="2"/>
        <v>13</v>
      </c>
      <c r="C15">
        <f t="shared" si="0"/>
        <v>14</v>
      </c>
      <c r="D15" s="36">
        <v>30.1</v>
      </c>
      <c r="E15">
        <v>1.4940402817641065</v>
      </c>
      <c r="F15">
        <v>220043.41666666666</v>
      </c>
      <c r="G15">
        <v>81875.307692307688</v>
      </c>
      <c r="H15">
        <v>1.4940402817641065</v>
      </c>
      <c r="I15">
        <v>2.6285971721049749E-2</v>
      </c>
      <c r="J15">
        <f t="shared" si="1"/>
        <v>0.2190393325324731</v>
      </c>
      <c r="K15">
        <v>3.6778122518696416E-2</v>
      </c>
      <c r="L15" s="39">
        <v>0.38888888888888895</v>
      </c>
      <c r="M15">
        <v>1.5203262534851563</v>
      </c>
    </row>
    <row r="16" spans="1:13">
      <c r="A16" t="s">
        <v>214</v>
      </c>
      <c r="B16">
        <f t="shared" si="2"/>
        <v>14</v>
      </c>
      <c r="C16">
        <f t="shared" si="0"/>
        <v>15</v>
      </c>
      <c r="D16" s="36">
        <v>30.4</v>
      </c>
      <c r="E16">
        <v>1.5606744095791629</v>
      </c>
      <c r="F16">
        <v>236301.41666666666</v>
      </c>
      <c r="G16">
        <v>83499.307692307688</v>
      </c>
      <c r="H16">
        <v>1.5606744095791629</v>
      </c>
      <c r="I16">
        <v>2.5332465473574317E-2</v>
      </c>
      <c r="J16">
        <f t="shared" si="1"/>
        <v>0.21109382554384196</v>
      </c>
      <c r="K16">
        <v>1.236740423961648E-2</v>
      </c>
      <c r="L16" s="39">
        <v>0.34092634776006076</v>
      </c>
      <c r="M16">
        <v>1.5860068750527372</v>
      </c>
    </row>
    <row r="17" spans="1:13">
      <c r="A17" t="s">
        <v>214</v>
      </c>
      <c r="B17">
        <f t="shared" si="2"/>
        <v>15</v>
      </c>
      <c r="C17">
        <f t="shared" si="0"/>
        <v>16</v>
      </c>
      <c r="D17" s="36">
        <v>31.2</v>
      </c>
      <c r="E17">
        <v>1.1405907604980616</v>
      </c>
      <c r="F17">
        <v>167219.41666666666</v>
      </c>
      <c r="G17">
        <v>66734.307692307688</v>
      </c>
      <c r="H17">
        <v>1.1405907604980616</v>
      </c>
      <c r="I17">
        <v>1.9442256059733379E-2</v>
      </c>
      <c r="J17">
        <f t="shared" si="1"/>
        <v>0.16201108467445915</v>
      </c>
      <c r="K17">
        <v>3.4620502525691058E-2</v>
      </c>
      <c r="L17" s="39">
        <v>0.33772342427093133</v>
      </c>
      <c r="M17">
        <v>1.160033016557795</v>
      </c>
    </row>
    <row r="18" spans="1:13">
      <c r="A18" t="s">
        <v>214</v>
      </c>
      <c r="B18">
        <f t="shared" si="2"/>
        <v>16</v>
      </c>
      <c r="C18">
        <f t="shared" si="0"/>
        <v>17</v>
      </c>
      <c r="D18" s="36">
        <v>31</v>
      </c>
      <c r="E18">
        <v>1.0729808957698752</v>
      </c>
      <c r="F18">
        <v>156179.41666666666</v>
      </c>
      <c r="G18">
        <v>61105.307692307695</v>
      </c>
      <c r="H18">
        <v>1.0729808957698752</v>
      </c>
      <c r="I18">
        <v>2.5677912414098922E-2</v>
      </c>
      <c r="J18">
        <f t="shared" si="1"/>
        <v>0.21397241295468133</v>
      </c>
      <c r="K18">
        <v>2.8397142389978373E-2</v>
      </c>
      <c r="L18" s="39">
        <v>0.32197496522948538</v>
      </c>
      <c r="M18">
        <v>1.0986588081839743</v>
      </c>
    </row>
    <row r="19" spans="1:13">
      <c r="A19" t="s">
        <v>214</v>
      </c>
      <c r="B19">
        <f t="shared" si="2"/>
        <v>17</v>
      </c>
      <c r="C19">
        <f t="shared" si="2"/>
        <v>18</v>
      </c>
      <c r="D19" s="36">
        <v>31.2</v>
      </c>
      <c r="E19">
        <v>1.1091225679364896</v>
      </c>
      <c r="F19">
        <v>159286.41666666666</v>
      </c>
      <c r="G19">
        <v>67594.307692307688</v>
      </c>
      <c r="H19">
        <v>1.1091225679364896</v>
      </c>
      <c r="I19">
        <v>2.0639171432202921E-2</v>
      </c>
      <c r="J19">
        <f t="shared" si="1"/>
        <v>0.17198490443907674</v>
      </c>
      <c r="K19">
        <v>2.3532343089067542E-2</v>
      </c>
      <c r="L19" s="39">
        <v>0.34009740259740268</v>
      </c>
      <c r="M19">
        <v>1.1297617393686925</v>
      </c>
    </row>
    <row r="20" spans="1:13">
      <c r="A20" t="s">
        <v>214</v>
      </c>
      <c r="B20">
        <f t="shared" si="2"/>
        <v>18</v>
      </c>
      <c r="C20">
        <f t="shared" si="2"/>
        <v>19</v>
      </c>
      <c r="D20" s="36">
        <v>30.2</v>
      </c>
      <c r="E20">
        <v>0.89262278930145667</v>
      </c>
      <c r="F20">
        <v>119613.41666666667</v>
      </c>
      <c r="G20">
        <v>51970.307692307695</v>
      </c>
      <c r="H20">
        <v>0.89262278930145667</v>
      </c>
      <c r="I20">
        <v>1.965373025494092E-2</v>
      </c>
      <c r="J20">
        <f t="shared" si="1"/>
        <v>0.16377328570920377</v>
      </c>
      <c r="K20">
        <v>1.5878933982696599E-2</v>
      </c>
      <c r="L20" s="39">
        <v>0.32681388012618295</v>
      </c>
      <c r="M20">
        <v>0.91227651955639744</v>
      </c>
    </row>
    <row r="21" spans="1:13">
      <c r="A21" t="s">
        <v>214</v>
      </c>
      <c r="B21">
        <f t="shared" si="2"/>
        <v>19</v>
      </c>
      <c r="C21">
        <f t="shared" si="2"/>
        <v>20</v>
      </c>
      <c r="D21" s="36">
        <v>31.6</v>
      </c>
      <c r="E21">
        <v>0.7759249177350781</v>
      </c>
      <c r="F21">
        <v>106301.2</v>
      </c>
      <c r="G21">
        <v>47683.5</v>
      </c>
      <c r="H21">
        <v>0.7759249177350781</v>
      </c>
      <c r="I21">
        <v>1.8926890681377609E-2</v>
      </c>
      <c r="J21">
        <f t="shared" si="1"/>
        <v>0.15771657771525874</v>
      </c>
      <c r="K21">
        <v>1.0858691780178177E-2</v>
      </c>
      <c r="L21" s="39">
        <v>0.26541850220264318</v>
      </c>
      <c r="M21">
        <v>0.79485180841645575</v>
      </c>
    </row>
    <row r="22" spans="1:13">
      <c r="A22" t="s">
        <v>214</v>
      </c>
      <c r="B22">
        <f t="shared" si="2"/>
        <v>20</v>
      </c>
      <c r="C22">
        <f t="shared" si="2"/>
        <v>21</v>
      </c>
      <c r="D22" s="36">
        <v>31.7</v>
      </c>
      <c r="E22">
        <v>0.65936893281071618</v>
      </c>
      <c r="F22">
        <v>87595.199999999997</v>
      </c>
      <c r="G22">
        <v>40229.5</v>
      </c>
      <c r="H22">
        <v>0.65936893281071618</v>
      </c>
      <c r="I22">
        <v>1.7028342598116447E-2</v>
      </c>
      <c r="J22">
        <f t="shared" si="1"/>
        <v>0.1418960971429041</v>
      </c>
      <c r="K22">
        <v>1.0872255035455898E-2</v>
      </c>
      <c r="L22" s="39">
        <v>0.24941724941724949</v>
      </c>
      <c r="M22">
        <v>0.67639727540883265</v>
      </c>
    </row>
    <row r="23" spans="1:13">
      <c r="A23" t="s">
        <v>214</v>
      </c>
      <c r="B23">
        <f t="shared" si="2"/>
        <v>21</v>
      </c>
      <c r="C23">
        <f t="shared" si="2"/>
        <v>22</v>
      </c>
      <c r="D23" s="36">
        <v>31.4</v>
      </c>
      <c r="E23">
        <v>0.84273991769730472</v>
      </c>
      <c r="F23">
        <v>116541.2</v>
      </c>
      <c r="G23">
        <v>51594.5</v>
      </c>
      <c r="H23">
        <v>0.84273991769730472</v>
      </c>
      <c r="I23">
        <v>2.3603235639000984E-2</v>
      </c>
      <c r="J23">
        <f t="shared" si="1"/>
        <v>0.19668426318184395</v>
      </c>
      <c r="K23">
        <v>1.6449828306177795E-2</v>
      </c>
      <c r="L23" s="39">
        <v>0.29388083735909826</v>
      </c>
      <c r="M23">
        <v>0.86634315333630574</v>
      </c>
    </row>
    <row r="24" spans="1:13">
      <c r="A24" t="s">
        <v>214</v>
      </c>
      <c r="B24">
        <f t="shared" si="2"/>
        <v>22</v>
      </c>
      <c r="C24">
        <f t="shared" si="2"/>
        <v>23</v>
      </c>
      <c r="D24" s="36">
        <v>31.2</v>
      </c>
      <c r="E24">
        <v>0.69126932653592876</v>
      </c>
      <c r="F24">
        <v>85010.2</v>
      </c>
      <c r="G24">
        <v>47678.5</v>
      </c>
      <c r="H24">
        <v>0.69126932653592876</v>
      </c>
      <c r="I24">
        <v>1.918787399804564E-2</v>
      </c>
      <c r="J24">
        <f t="shared" si="1"/>
        <v>0.15989133511406164</v>
      </c>
      <c r="K24">
        <v>1.3575272671060708E-2</v>
      </c>
      <c r="L24" s="39">
        <v>0.23979261179520414</v>
      </c>
      <c r="M24">
        <v>0.71045720053397443</v>
      </c>
    </row>
    <row r="25" spans="1:13">
      <c r="A25" t="s">
        <v>214</v>
      </c>
      <c r="B25">
        <f t="shared" si="2"/>
        <v>23</v>
      </c>
      <c r="C25">
        <f t="shared" si="2"/>
        <v>24</v>
      </c>
      <c r="D25" s="36">
        <v>30.9</v>
      </c>
      <c r="E25">
        <v>0.52776924889029697</v>
      </c>
      <c r="F25">
        <v>64094.2</v>
      </c>
      <c r="G25">
        <v>30543.5</v>
      </c>
      <c r="H25">
        <v>0.52776924889029697</v>
      </c>
      <c r="I25">
        <v>1.5436956496757963E-2</v>
      </c>
      <c r="J25">
        <f t="shared" si="1"/>
        <v>0.12863517785324824</v>
      </c>
      <c r="K25">
        <v>3.7652496947706009E-3</v>
      </c>
      <c r="L25" s="39">
        <v>0.2109704641350211</v>
      </c>
      <c r="M25">
        <v>0.543206205387055</v>
      </c>
    </row>
    <row r="26" spans="1:13">
      <c r="A26" t="s">
        <v>214</v>
      </c>
      <c r="B26">
        <f t="shared" si="2"/>
        <v>24</v>
      </c>
      <c r="C26">
        <f t="shared" si="2"/>
        <v>25</v>
      </c>
      <c r="D26" s="36">
        <v>31</v>
      </c>
      <c r="E26">
        <v>0.64081134630793068</v>
      </c>
      <c r="F26">
        <v>80992.2</v>
      </c>
      <c r="G26">
        <v>39357.5</v>
      </c>
      <c r="H26">
        <v>0.64081134630793068</v>
      </c>
      <c r="I26">
        <v>1.7470472368198271E-2</v>
      </c>
      <c r="J26">
        <f t="shared" si="1"/>
        <v>0.14558033643065721</v>
      </c>
      <c r="K26">
        <v>1.2677927724211835E-2</v>
      </c>
      <c r="L26" s="39">
        <v>0.23495883470550985</v>
      </c>
      <c r="M26">
        <v>0.658281818676129</v>
      </c>
    </row>
    <row r="27" spans="1:13">
      <c r="A27" t="s">
        <v>214</v>
      </c>
      <c r="B27">
        <f t="shared" si="2"/>
        <v>25</v>
      </c>
      <c r="C27">
        <f t="shared" si="2"/>
        <v>26</v>
      </c>
      <c r="D27" s="36">
        <v>30.9</v>
      </c>
      <c r="E27">
        <v>0.63012405294057428</v>
      </c>
      <c r="F27">
        <v>79176.2</v>
      </c>
      <c r="G27">
        <v>38395.5</v>
      </c>
      <c r="H27">
        <v>0.63012405294057428</v>
      </c>
      <c r="I27">
        <v>1.9316128789522682E-2</v>
      </c>
      <c r="J27">
        <f t="shared" si="1"/>
        <v>0.16096007414404112</v>
      </c>
      <c r="K27">
        <v>7.5821904827920077E-3</v>
      </c>
      <c r="L27" s="39">
        <v>0.24358974358974364</v>
      </c>
      <c r="M27">
        <v>0.64944018173009699</v>
      </c>
    </row>
    <row r="28" spans="1:13">
      <c r="A28" t="s">
        <v>214</v>
      </c>
      <c r="B28">
        <f t="shared" si="2"/>
        <v>26</v>
      </c>
      <c r="C28">
        <f t="shared" si="2"/>
        <v>27</v>
      </c>
      <c r="D28" s="36">
        <v>30.1</v>
      </c>
      <c r="E28">
        <v>0.72745768094285068</v>
      </c>
      <c r="F28">
        <v>95194.2</v>
      </c>
      <c r="G28">
        <v>39799.5</v>
      </c>
      <c r="H28">
        <v>0.72745768094285068</v>
      </c>
      <c r="I28">
        <v>1.7767501148843779E-2</v>
      </c>
      <c r="J28">
        <f t="shared" si="1"/>
        <v>0.14805545839099263</v>
      </c>
      <c r="K28">
        <v>3.7973109876559213E-4</v>
      </c>
      <c r="L28" s="39">
        <v>0.2664526484751204</v>
      </c>
      <c r="M28">
        <v>0.74522518209169442</v>
      </c>
    </row>
    <row r="29" spans="1:13">
      <c r="A29" t="s">
        <v>214</v>
      </c>
      <c r="B29">
        <f t="shared" si="2"/>
        <v>27</v>
      </c>
      <c r="C29">
        <f t="shared" si="2"/>
        <v>28</v>
      </c>
      <c r="D29" s="36">
        <v>30.7</v>
      </c>
      <c r="E29">
        <v>0.95346629758394053</v>
      </c>
      <c r="F29">
        <v>124385.2</v>
      </c>
      <c r="G29">
        <v>64105.5</v>
      </c>
      <c r="H29">
        <v>0.95346629758394053</v>
      </c>
      <c r="I29">
        <v>2.7199663584137609E-2</v>
      </c>
      <c r="J29">
        <f t="shared" si="1"/>
        <v>0.22665306878521543</v>
      </c>
      <c r="K29">
        <v>2.8519476251735263E-2</v>
      </c>
      <c r="L29" s="39">
        <v>0.30494037478705294</v>
      </c>
      <c r="M29">
        <v>0.98066596116807814</v>
      </c>
    </row>
    <row r="30" spans="1:13">
      <c r="A30" t="s">
        <v>214</v>
      </c>
      <c r="B30">
        <f t="shared" si="2"/>
        <v>28</v>
      </c>
      <c r="C30">
        <f t="shared" si="2"/>
        <v>29</v>
      </c>
      <c r="D30" s="36">
        <v>31.7</v>
      </c>
      <c r="E30">
        <v>0.84843194273535072</v>
      </c>
      <c r="F30">
        <v>116349.2</v>
      </c>
      <c r="G30">
        <v>54806.5</v>
      </c>
      <c r="H30">
        <v>0.84843194273535072</v>
      </c>
      <c r="I30">
        <v>1.9427279528371613E-2</v>
      </c>
      <c r="J30">
        <f t="shared" si="1"/>
        <v>0.16188628619000722</v>
      </c>
      <c r="K30">
        <v>1.2542041410710513E-2</v>
      </c>
      <c r="L30" s="39">
        <v>0.2722891566265061</v>
      </c>
      <c r="M30">
        <v>0.86785922226372236</v>
      </c>
    </row>
    <row r="31" spans="1:13">
      <c r="A31" t="s">
        <v>214</v>
      </c>
      <c r="B31">
        <f t="shared" si="2"/>
        <v>29</v>
      </c>
      <c r="C31">
        <f t="shared" si="2"/>
        <v>30</v>
      </c>
      <c r="D31" s="36">
        <v>31.5</v>
      </c>
      <c r="E31">
        <v>0.49924960117490125</v>
      </c>
      <c r="F31">
        <v>54591.199999999997</v>
      </c>
      <c r="G31">
        <v>36023.5</v>
      </c>
      <c r="H31">
        <v>0.49924960117490125</v>
      </c>
      <c r="I31">
        <v>1.8782734096844726E-2</v>
      </c>
      <c r="J31">
        <f t="shared" si="1"/>
        <v>0.15651533005390797</v>
      </c>
      <c r="K31">
        <v>1.5471236835529413E-3</v>
      </c>
      <c r="L31" s="39">
        <v>0.20639269406392693</v>
      </c>
      <c r="M31">
        <v>0.51803233527174597</v>
      </c>
    </row>
    <row r="32" spans="1:13">
      <c r="A32" t="s">
        <v>214</v>
      </c>
      <c r="B32">
        <f t="shared" si="2"/>
        <v>30</v>
      </c>
      <c r="C32">
        <f t="shared" si="2"/>
        <v>31</v>
      </c>
      <c r="D32" s="36">
        <v>31</v>
      </c>
      <c r="E32">
        <v>0.46815367351334186</v>
      </c>
      <c r="F32">
        <v>49306.2</v>
      </c>
      <c r="G32">
        <v>32709.5</v>
      </c>
      <c r="H32">
        <v>0.46815367351334186</v>
      </c>
      <c r="I32">
        <v>2.1588598385367804E-2</v>
      </c>
      <c r="J32">
        <f t="shared" si="1"/>
        <v>0.17989641892735567</v>
      </c>
      <c r="K32">
        <v>4.6809509050784424E-3</v>
      </c>
      <c r="L32" s="39">
        <v>0.20348204570184977</v>
      </c>
      <c r="M32">
        <v>0.48974227189870967</v>
      </c>
    </row>
    <row r="33" spans="1:13">
      <c r="A33" t="s">
        <v>214</v>
      </c>
      <c r="B33">
        <f t="shared" si="2"/>
        <v>31</v>
      </c>
      <c r="C33">
        <f t="shared" si="2"/>
        <v>32</v>
      </c>
      <c r="D33" s="36">
        <v>33.700000000000003</v>
      </c>
      <c r="E33">
        <v>0.37604473910235986</v>
      </c>
      <c r="F33">
        <v>39097.199999999997</v>
      </c>
      <c r="G33">
        <v>29949.5</v>
      </c>
      <c r="H33">
        <v>0.37604473910235986</v>
      </c>
      <c r="I33">
        <v>2.3490167730280932E-2</v>
      </c>
      <c r="J33">
        <f t="shared" si="1"/>
        <v>0.19574207548113018</v>
      </c>
      <c r="K33">
        <v>4.7752661032432926E-3</v>
      </c>
      <c r="L33" s="39">
        <v>0.20151133501259449</v>
      </c>
      <c r="M33">
        <v>0.39953490683264081</v>
      </c>
    </row>
    <row r="34" spans="1:13">
      <c r="A34" t="s">
        <v>214</v>
      </c>
      <c r="B34">
        <f t="shared" si="2"/>
        <v>32</v>
      </c>
      <c r="C34">
        <f t="shared" si="2"/>
        <v>33</v>
      </c>
      <c r="D34" s="36">
        <v>31.7</v>
      </c>
      <c r="E34">
        <v>0.47402003938811982</v>
      </c>
      <c r="F34">
        <v>52619.199999999997</v>
      </c>
      <c r="G34">
        <v>32855.5</v>
      </c>
      <c r="H34">
        <v>0.47402003938811982</v>
      </c>
      <c r="I34">
        <v>1.6321652815665635E-2</v>
      </c>
      <c r="J34">
        <f t="shared" si="1"/>
        <v>0.13600729607828199</v>
      </c>
      <c r="K34">
        <v>6.0697080150561135E-3</v>
      </c>
      <c r="L34" s="39">
        <v>0.20558526440879396</v>
      </c>
      <c r="M34">
        <v>0.49034169220378548</v>
      </c>
    </row>
    <row r="35" spans="1:13">
      <c r="A35" t="s">
        <v>214</v>
      </c>
      <c r="B35">
        <f t="shared" si="2"/>
        <v>33</v>
      </c>
      <c r="C35">
        <f t="shared" si="2"/>
        <v>34</v>
      </c>
      <c r="D35" s="36">
        <v>31.4</v>
      </c>
      <c r="E35">
        <v>0.41149512146938222</v>
      </c>
      <c r="F35">
        <v>41466.199999999997</v>
      </c>
      <c r="G35">
        <v>29096.5</v>
      </c>
      <c r="H35">
        <v>0.41149512146938222</v>
      </c>
      <c r="I35">
        <v>2.0352950261828002E-2</v>
      </c>
      <c r="J35">
        <f t="shared" si="1"/>
        <v>0.16959984160857158</v>
      </c>
      <c r="K35">
        <v>6.609595954967443E-3</v>
      </c>
      <c r="L35" s="39">
        <v>0.20340050377833754</v>
      </c>
      <c r="M35">
        <v>0.43184807173121026</v>
      </c>
    </row>
    <row r="36" spans="1:13">
      <c r="A36" t="s">
        <v>214</v>
      </c>
      <c r="B36">
        <f t="shared" si="2"/>
        <v>34</v>
      </c>
      <c r="C36">
        <f t="shared" si="2"/>
        <v>35</v>
      </c>
      <c r="D36" s="36">
        <v>33.4</v>
      </c>
      <c r="E36">
        <v>0.55593582275780673</v>
      </c>
      <c r="F36">
        <v>64000.2</v>
      </c>
      <c r="G36">
        <v>47063.5</v>
      </c>
      <c r="H36">
        <v>0.55593582275780673</v>
      </c>
      <c r="I36">
        <v>1.7720176854768132E-2</v>
      </c>
      <c r="J36">
        <f t="shared" si="1"/>
        <v>0.14766110805474089</v>
      </c>
      <c r="K36">
        <v>2.2678435683692339E-2</v>
      </c>
      <c r="L36" s="39">
        <v>0.21083333333333343</v>
      </c>
      <c r="M36">
        <v>0.57365599961257485</v>
      </c>
    </row>
    <row r="37" spans="1:13">
      <c r="A37" t="s">
        <v>214</v>
      </c>
      <c r="B37">
        <f t="shared" si="2"/>
        <v>35</v>
      </c>
      <c r="C37">
        <f t="shared" si="2"/>
        <v>36</v>
      </c>
      <c r="D37" s="36">
        <v>30.7</v>
      </c>
      <c r="E37">
        <v>0.54307296549249418</v>
      </c>
      <c r="F37">
        <v>55812.2</v>
      </c>
      <c r="G37">
        <v>41841.5</v>
      </c>
      <c r="H37">
        <v>0.54307296549249418</v>
      </c>
      <c r="I37">
        <v>2.5048256685355937E-2</v>
      </c>
      <c r="J37">
        <f t="shared" si="1"/>
        <v>0.20872553176601044</v>
      </c>
      <c r="K37">
        <v>3.913315922014644E-3</v>
      </c>
      <c r="L37" s="39">
        <v>0.20347394540942934</v>
      </c>
      <c r="M37">
        <v>0.5681212221778501</v>
      </c>
    </row>
    <row r="38" spans="1:13">
      <c r="A38" t="s">
        <v>214</v>
      </c>
      <c r="B38">
        <f t="shared" si="2"/>
        <v>36</v>
      </c>
      <c r="C38">
        <f t="shared" si="2"/>
        <v>37</v>
      </c>
      <c r="D38" s="36">
        <v>30.6</v>
      </c>
      <c r="E38">
        <v>0.59590072973705677</v>
      </c>
      <c r="F38">
        <v>64316.2</v>
      </c>
      <c r="G38">
        <v>44296.5</v>
      </c>
      <c r="H38">
        <v>0.59590072973705677</v>
      </c>
      <c r="I38">
        <v>1.8083966196276429E-2</v>
      </c>
      <c r="J38">
        <f t="shared" si="1"/>
        <v>0.1506925415277745</v>
      </c>
      <c r="K38">
        <v>8.3664139044275498E-3</v>
      </c>
      <c r="L38" s="39">
        <v>0.20493197278911565</v>
      </c>
      <c r="M38">
        <v>0.61398469593333327</v>
      </c>
    </row>
    <row r="39" spans="1:13">
      <c r="A39" t="s">
        <v>214</v>
      </c>
      <c r="B39">
        <f t="shared" si="2"/>
        <v>37</v>
      </c>
      <c r="C39">
        <f t="shared" si="2"/>
        <v>38</v>
      </c>
      <c r="D39" s="36">
        <v>32.1</v>
      </c>
      <c r="E39">
        <v>0.54595315483844853</v>
      </c>
      <c r="F39">
        <v>60051.199999999997</v>
      </c>
      <c r="G39">
        <v>43695.5</v>
      </c>
      <c r="H39">
        <v>0.54595315483844853</v>
      </c>
      <c r="I39">
        <v>2.3160201045040432E-2</v>
      </c>
      <c r="J39">
        <f t="shared" si="1"/>
        <v>0.19299248405418842</v>
      </c>
      <c r="K39">
        <v>4.0344787901571448E-3</v>
      </c>
      <c r="L39" s="39">
        <v>0.20818505338078291</v>
      </c>
      <c r="M39">
        <v>0.56911335588348899</v>
      </c>
    </row>
    <row r="40" spans="1:13">
      <c r="A40" t="s">
        <v>214</v>
      </c>
      <c r="B40">
        <f t="shared" si="2"/>
        <v>38</v>
      </c>
      <c r="C40">
        <f t="shared" si="2"/>
        <v>39</v>
      </c>
      <c r="D40" s="36">
        <v>31.7</v>
      </c>
      <c r="E40">
        <v>0.63197239198800248</v>
      </c>
      <c r="F40">
        <v>70361.2</v>
      </c>
      <c r="G40">
        <v>51428.5</v>
      </c>
      <c r="H40">
        <v>0.63197239198800248</v>
      </c>
      <c r="I40">
        <v>2.3387550572249758E-2</v>
      </c>
      <c r="J40">
        <f t="shared" si="1"/>
        <v>0.19488697322202186</v>
      </c>
      <c r="K40">
        <v>1.1157629002435687E-4</v>
      </c>
      <c r="L40" s="39">
        <v>0.24007220216606498</v>
      </c>
      <c r="M40">
        <v>0.65535994256025232</v>
      </c>
    </row>
    <row r="41" spans="1:13">
      <c r="A41" t="s">
        <v>214</v>
      </c>
      <c r="B41">
        <f t="shared" si="2"/>
        <v>39</v>
      </c>
      <c r="C41">
        <f t="shared" si="2"/>
        <v>40</v>
      </c>
      <c r="D41" s="36">
        <v>32.6</v>
      </c>
      <c r="E41">
        <v>0.55677164840580229</v>
      </c>
      <c r="F41">
        <v>63547.199999999997</v>
      </c>
      <c r="G41">
        <v>44612.5</v>
      </c>
      <c r="H41">
        <v>0.55677164840580229</v>
      </c>
      <c r="I41">
        <v>2.0689045292357135E-2</v>
      </c>
      <c r="J41">
        <f t="shared" si="1"/>
        <v>0.17240050014749975</v>
      </c>
      <c r="K41">
        <v>1.545431909480309E-2</v>
      </c>
      <c r="L41" s="39">
        <v>0.22471910112359544</v>
      </c>
      <c r="M41">
        <v>0.57746069369815944</v>
      </c>
    </row>
    <row r="42" spans="1:13">
      <c r="A42" t="s">
        <v>214</v>
      </c>
      <c r="B42">
        <f t="shared" si="2"/>
        <v>40</v>
      </c>
      <c r="C42">
        <f t="shared" si="2"/>
        <v>41</v>
      </c>
      <c r="D42" s="36">
        <v>30.5</v>
      </c>
      <c r="E42">
        <v>0.57696484616157884</v>
      </c>
      <c r="F42">
        <v>63880.2</v>
      </c>
      <c r="G42">
        <v>40184.5</v>
      </c>
      <c r="H42">
        <v>0.57696484616157884</v>
      </c>
      <c r="I42">
        <v>1.9178252561699763E-2</v>
      </c>
      <c r="J42">
        <f t="shared" si="1"/>
        <v>0.15981116029619419</v>
      </c>
      <c r="K42">
        <v>5.9212942244856468E-3</v>
      </c>
      <c r="L42" s="39">
        <v>0.23035952063914786</v>
      </c>
      <c r="M42">
        <v>0.59614309872327864</v>
      </c>
    </row>
    <row r="43" spans="1:13">
      <c r="A43" t="s">
        <v>214</v>
      </c>
      <c r="B43">
        <f t="shared" si="2"/>
        <v>41</v>
      </c>
      <c r="C43">
        <f t="shared" si="2"/>
        <v>42</v>
      </c>
      <c r="D43" s="36">
        <v>32.1</v>
      </c>
      <c r="E43">
        <v>0.59650338151399951</v>
      </c>
      <c r="F43">
        <v>68622.2</v>
      </c>
      <c r="G43">
        <v>46783.5</v>
      </c>
      <c r="H43">
        <v>0.59650338151399951</v>
      </c>
      <c r="I43">
        <v>2.2872242129614046E-2</v>
      </c>
      <c r="J43">
        <f t="shared" si="1"/>
        <v>0.19059294070455984</v>
      </c>
      <c r="K43">
        <v>1.2202412024090909E-2</v>
      </c>
      <c r="L43" s="39">
        <v>0.23653846153846139</v>
      </c>
      <c r="M43">
        <v>0.61937562364361365</v>
      </c>
    </row>
    <row r="44" spans="1:13">
      <c r="A44" t="s">
        <v>214</v>
      </c>
      <c r="B44">
        <f t="shared" si="2"/>
        <v>42</v>
      </c>
      <c r="C44">
        <f t="shared" si="2"/>
        <v>43</v>
      </c>
      <c r="D44" s="36">
        <v>30.3</v>
      </c>
      <c r="E44">
        <v>0.64342811533885858</v>
      </c>
      <c r="F44">
        <v>70784.2</v>
      </c>
      <c r="G44">
        <v>47241.5</v>
      </c>
      <c r="H44">
        <v>0.64342811533885858</v>
      </c>
      <c r="I44">
        <v>2.7536542917246911E-2</v>
      </c>
      <c r="J44">
        <f t="shared" si="1"/>
        <v>0.22946026286772125</v>
      </c>
      <c r="K44">
        <v>4.7213705194169729E-3</v>
      </c>
      <c r="L44" s="39">
        <v>0.22890173410404629</v>
      </c>
      <c r="M44">
        <v>0.67096465825610552</v>
      </c>
    </row>
    <row r="45" spans="1:13">
      <c r="A45" t="s">
        <v>214</v>
      </c>
      <c r="B45">
        <f t="shared" si="2"/>
        <v>43</v>
      </c>
      <c r="C45">
        <f t="shared" si="2"/>
        <v>44</v>
      </c>
      <c r="D45" s="36">
        <v>32.1</v>
      </c>
      <c r="E45">
        <v>0.71205979940398278</v>
      </c>
      <c r="F45">
        <v>85599.2</v>
      </c>
      <c r="G45">
        <v>56561.5</v>
      </c>
      <c r="H45">
        <v>0.71205979940398278</v>
      </c>
      <c r="I45">
        <v>2.3977804454584185E-2</v>
      </c>
      <c r="J45">
        <f t="shared" si="1"/>
        <v>0.19980552132757654</v>
      </c>
      <c r="K45">
        <v>1.2895386901479797E-2</v>
      </c>
      <c r="L45" s="39">
        <v>0.23461538461538464</v>
      </c>
      <c r="M45">
        <v>0.73603760385856698</v>
      </c>
    </row>
    <row r="46" spans="1:13">
      <c r="A46" t="s">
        <v>214</v>
      </c>
      <c r="B46">
        <f t="shared" si="2"/>
        <v>44</v>
      </c>
      <c r="C46">
        <f t="shared" si="2"/>
        <v>45</v>
      </c>
      <c r="D46" s="36">
        <v>29.8</v>
      </c>
      <c r="E46">
        <v>0.69039945132886527</v>
      </c>
      <c r="F46">
        <v>74782.2</v>
      </c>
      <c r="G46">
        <v>50957.5</v>
      </c>
      <c r="H46">
        <v>0.69039945132886527</v>
      </c>
      <c r="I46">
        <v>2.6690860347644757E-2</v>
      </c>
      <c r="J46">
        <f t="shared" si="1"/>
        <v>0.22241324373729801</v>
      </c>
      <c r="K46">
        <v>7.0687491326788011E-3</v>
      </c>
      <c r="L46" s="39">
        <v>0.24319248826291096</v>
      </c>
      <c r="M46">
        <v>0.71709031167651005</v>
      </c>
    </row>
    <row r="47" spans="1:13">
      <c r="A47" t="s">
        <v>214</v>
      </c>
      <c r="B47">
        <f t="shared" si="2"/>
        <v>45</v>
      </c>
      <c r="C47">
        <f t="shared" si="2"/>
        <v>46</v>
      </c>
      <c r="D47" s="36">
        <v>30.2</v>
      </c>
      <c r="E47">
        <v>0.75731533585659994</v>
      </c>
      <c r="F47">
        <v>79997.2</v>
      </c>
      <c r="G47">
        <v>62220.5</v>
      </c>
      <c r="H47">
        <v>0.75731533585659994</v>
      </c>
      <c r="I47">
        <v>2.4064400804327177E-2</v>
      </c>
      <c r="J47">
        <f t="shared" si="1"/>
        <v>0.20052712320894298</v>
      </c>
      <c r="K47">
        <v>1.3289660515431671E-2</v>
      </c>
      <c r="L47" s="39">
        <v>0.24540311173974536</v>
      </c>
      <c r="M47">
        <v>0.78137973666092719</v>
      </c>
    </row>
    <row r="48" spans="1:13">
      <c r="A48" t="s">
        <v>214</v>
      </c>
      <c r="B48">
        <f t="shared" si="2"/>
        <v>46</v>
      </c>
      <c r="C48">
        <f t="shared" si="2"/>
        <v>47</v>
      </c>
      <c r="D48" s="36">
        <v>30.9</v>
      </c>
      <c r="E48">
        <v>0.7746393195973883</v>
      </c>
      <c r="F48">
        <v>83627.199999999997</v>
      </c>
      <c r="G48">
        <v>66827.5</v>
      </c>
      <c r="H48">
        <v>0.7746393195973883</v>
      </c>
      <c r="I48">
        <v>4.285791776701306E-2</v>
      </c>
      <c r="J48">
        <f t="shared" si="1"/>
        <v>0.35713230619892267</v>
      </c>
      <c r="K48">
        <v>7.338945875962774E-3</v>
      </c>
      <c r="L48" s="39">
        <v>0.23962743437764608</v>
      </c>
      <c r="M48">
        <v>0.81749723736440139</v>
      </c>
    </row>
    <row r="49" spans="1:13">
      <c r="A49" t="s">
        <v>214</v>
      </c>
      <c r="B49">
        <f t="shared" si="2"/>
        <v>47</v>
      </c>
      <c r="C49">
        <f t="shared" si="2"/>
        <v>48</v>
      </c>
      <c r="D49" s="36">
        <v>32.1</v>
      </c>
      <c r="E49">
        <v>0.70805449484220262</v>
      </c>
      <c r="F49">
        <v>77270.2</v>
      </c>
      <c r="G49">
        <v>64496.5</v>
      </c>
      <c r="H49">
        <v>0.70805449484220262</v>
      </c>
      <c r="I49">
        <v>4.107031423131749E-2</v>
      </c>
      <c r="J49">
        <f t="shared" si="1"/>
        <v>0.34223631949366834</v>
      </c>
      <c r="K49">
        <v>6.1506710631682128E-3</v>
      </c>
      <c r="L49" s="39">
        <v>0.21476510067114099</v>
      </c>
      <c r="M49">
        <v>0.74912480907352019</v>
      </c>
    </row>
    <row r="50" spans="1:13">
      <c r="A50" t="s">
        <v>214</v>
      </c>
      <c r="B50">
        <f t="shared" si="2"/>
        <v>48</v>
      </c>
      <c r="C50">
        <f t="shared" si="2"/>
        <v>49</v>
      </c>
      <c r="D50" s="36">
        <v>31</v>
      </c>
      <c r="E50">
        <v>0.8268530469298484</v>
      </c>
      <c r="F50">
        <v>101106.2</v>
      </c>
      <c r="G50">
        <v>61058.5</v>
      </c>
      <c r="H50">
        <v>0.8268530469298484</v>
      </c>
      <c r="I50">
        <v>2.4469878201119205E-2</v>
      </c>
      <c r="J50">
        <f t="shared" si="1"/>
        <v>0.20390594059841796</v>
      </c>
      <c r="K50">
        <v>1.0004604815673905E-2</v>
      </c>
      <c r="L50" s="39">
        <v>0.21461716937354985</v>
      </c>
      <c r="M50">
        <v>0.85132292513096763</v>
      </c>
    </row>
    <row r="51" spans="1:13">
      <c r="A51" t="s">
        <v>214</v>
      </c>
      <c r="B51">
        <f t="shared" si="2"/>
        <v>49</v>
      </c>
      <c r="C51">
        <f t="shared" si="2"/>
        <v>50</v>
      </c>
      <c r="D51" s="36">
        <v>33.799999999999997</v>
      </c>
      <c r="E51">
        <v>0.74765850921174404</v>
      </c>
      <c r="F51">
        <v>95896.2</v>
      </c>
      <c r="G51">
        <v>63679.5</v>
      </c>
      <c r="H51">
        <v>0.74765850921174404</v>
      </c>
      <c r="I51">
        <v>2.3089580050386093E-2</v>
      </c>
      <c r="J51">
        <f t="shared" si="1"/>
        <v>0.19240400379193973</v>
      </c>
      <c r="K51">
        <v>9.6929905958420704E-3</v>
      </c>
      <c r="L51" s="39">
        <v>0.24149659863945586</v>
      </c>
      <c r="M51">
        <v>0.77074808926213023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H43" sqref="H43"/>
    </sheetView>
  </sheetViews>
  <sheetFormatPr baseColWidth="10" defaultColWidth="8.83203125" defaultRowHeight="15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3"/>
  <sheetViews>
    <sheetView zoomScale="85" zoomScaleNormal="85" workbookViewId="0">
      <selection activeCell="M2" sqref="M2:M33"/>
    </sheetView>
  </sheetViews>
  <sheetFormatPr baseColWidth="10" defaultColWidth="8.83203125" defaultRowHeight="15"/>
  <sheetData>
    <row r="1" spans="1:13">
      <c r="A1" t="s">
        <v>215</v>
      </c>
      <c r="B1" t="s">
        <v>213</v>
      </c>
      <c r="D1" t="s">
        <v>216</v>
      </c>
      <c r="E1" t="s">
        <v>221</v>
      </c>
      <c r="F1" t="s">
        <v>217</v>
      </c>
      <c r="G1" t="s">
        <v>218</v>
      </c>
      <c r="H1" t="s">
        <v>221</v>
      </c>
      <c r="I1" t="s">
        <v>222</v>
      </c>
      <c r="J1" t="s">
        <v>219</v>
      </c>
      <c r="K1" t="s">
        <v>223</v>
      </c>
      <c r="L1" t="s">
        <v>224</v>
      </c>
      <c r="M1" t="s">
        <v>229</v>
      </c>
    </row>
    <row r="2" spans="1:13">
      <c r="A2" t="s">
        <v>215</v>
      </c>
      <c r="B2">
        <v>0</v>
      </c>
      <c r="C2">
        <f>C1+1</f>
        <v>1</v>
      </c>
      <c r="D2" s="36">
        <v>32.200000000000003</v>
      </c>
      <c r="E2">
        <v>0.36714547622407395</v>
      </c>
      <c r="F2">
        <v>31724.2</v>
      </c>
      <c r="G2">
        <v>34017.5</v>
      </c>
      <c r="H2">
        <v>0.36714547622407395</v>
      </c>
      <c r="I2">
        <v>7.8990082858534608E-2</v>
      </c>
      <c r="J2">
        <f>(I2/12.011)*100.0869</f>
        <v>0.65821934260709913</v>
      </c>
      <c r="K2">
        <v>1.1157629002435687E-4</v>
      </c>
      <c r="L2" s="39">
        <f>(I2-K2)/I2</f>
        <v>0.99858746457800052</v>
      </c>
      <c r="M2">
        <v>0.4461355590826086</v>
      </c>
    </row>
    <row r="3" spans="1:13">
      <c r="A3" t="s">
        <v>215</v>
      </c>
      <c r="B3">
        <f>B2+1</f>
        <v>1</v>
      </c>
      <c r="C3">
        <f t="shared" ref="B3:C18" si="0">C2+1</f>
        <v>2</v>
      </c>
      <c r="D3" s="36">
        <v>30.3</v>
      </c>
      <c r="E3">
        <v>0.37365266844364137</v>
      </c>
      <c r="F3">
        <v>25430.2</v>
      </c>
      <c r="G3">
        <v>37752.5</v>
      </c>
      <c r="H3">
        <v>0.37365266844364137</v>
      </c>
      <c r="I3">
        <v>0.1061008771358966</v>
      </c>
      <c r="J3">
        <f t="shared" ref="J3:J33" si="1">(I3/12.011)*100.0869</f>
        <v>0.88413186910438513</v>
      </c>
      <c r="K3">
        <v>8.0012617355331214E-3</v>
      </c>
      <c r="L3" s="39">
        <f t="shared" ref="L3:L33" si="2">(I3-K3)/I3</f>
        <v>0.92458816598391635</v>
      </c>
      <c r="M3">
        <v>0.47975354557953792</v>
      </c>
    </row>
    <row r="4" spans="1:13">
      <c r="A4" t="s">
        <v>215</v>
      </c>
      <c r="B4">
        <f t="shared" si="0"/>
        <v>2</v>
      </c>
      <c r="C4">
        <f t="shared" si="0"/>
        <v>3</v>
      </c>
      <c r="D4" s="36">
        <v>29.9</v>
      </c>
      <c r="E4">
        <v>0.40181288310331736</v>
      </c>
      <c r="F4">
        <v>27630.2</v>
      </c>
      <c r="G4">
        <v>38848.5</v>
      </c>
      <c r="H4">
        <v>0.40181288310331736</v>
      </c>
      <c r="I4">
        <v>7.08813478819669E-2</v>
      </c>
      <c r="J4">
        <f t="shared" si="1"/>
        <v>0.59064976915557688</v>
      </c>
      <c r="K4">
        <v>2.8235699202803295E-3</v>
      </c>
      <c r="L4" s="39">
        <f t="shared" si="2"/>
        <v>0.96016483878125169</v>
      </c>
      <c r="M4">
        <v>0.47269423098528429</v>
      </c>
    </row>
    <row r="5" spans="1:13">
      <c r="A5" t="s">
        <v>215</v>
      </c>
      <c r="B5">
        <f t="shared" si="0"/>
        <v>3</v>
      </c>
      <c r="C5">
        <f t="shared" si="0"/>
        <v>4</v>
      </c>
      <c r="D5" s="36">
        <v>32.1</v>
      </c>
      <c r="E5">
        <v>0.34817686848715157</v>
      </c>
      <c r="F5">
        <v>25396.2</v>
      </c>
      <c r="G5">
        <v>36357.5</v>
      </c>
      <c r="H5">
        <v>0.34817686848715157</v>
      </c>
      <c r="I5">
        <v>9.0064435246804769E-2</v>
      </c>
      <c r="J5">
        <f t="shared" si="1"/>
        <v>0.75050121755918953</v>
      </c>
      <c r="K5">
        <v>1.5202702866795716E-3</v>
      </c>
      <c r="L5" s="39">
        <f t="shared" si="2"/>
        <v>0.98312019297613362</v>
      </c>
      <c r="M5">
        <v>0.43824130373395637</v>
      </c>
    </row>
    <row r="6" spans="1:13">
      <c r="A6" t="s">
        <v>215</v>
      </c>
      <c r="B6">
        <f t="shared" si="0"/>
        <v>4</v>
      </c>
      <c r="C6">
        <f t="shared" si="0"/>
        <v>5</v>
      </c>
      <c r="D6" s="36">
        <v>30.2</v>
      </c>
      <c r="E6">
        <v>0.33667960265214353</v>
      </c>
      <c r="F6">
        <v>24384.2</v>
      </c>
      <c r="G6">
        <v>30490.5</v>
      </c>
      <c r="H6">
        <v>0.33667960265214353</v>
      </c>
      <c r="I6">
        <v>9.6707181359776934E-2</v>
      </c>
      <c r="J6">
        <f t="shared" si="1"/>
        <v>0.80585479893746215</v>
      </c>
      <c r="K6">
        <v>2.5009310398078077E-3</v>
      </c>
      <c r="L6" s="39">
        <f t="shared" si="2"/>
        <v>0.97413913832827304</v>
      </c>
      <c r="M6">
        <v>0.43338678401192049</v>
      </c>
    </row>
    <row r="7" spans="1:13">
      <c r="A7" t="s">
        <v>215</v>
      </c>
      <c r="B7">
        <f t="shared" si="0"/>
        <v>5</v>
      </c>
      <c r="C7">
        <f t="shared" si="0"/>
        <v>6</v>
      </c>
      <c r="D7" s="36">
        <v>30.1</v>
      </c>
      <c r="E7">
        <v>0.34604130651353887</v>
      </c>
      <c r="F7">
        <v>25818.2</v>
      </c>
      <c r="G7">
        <v>28360.5</v>
      </c>
      <c r="H7">
        <v>0.34604130651353887</v>
      </c>
      <c r="I7">
        <v>4.7130577235962742E-2</v>
      </c>
      <c r="J7">
        <f t="shared" si="1"/>
        <v>0.39273610613255183</v>
      </c>
      <c r="K7">
        <v>2.7160109881230739E-3</v>
      </c>
      <c r="L7" s="39">
        <f t="shared" si="2"/>
        <v>0.9423726347647905</v>
      </c>
      <c r="M7">
        <v>0.39317188374950157</v>
      </c>
    </row>
    <row r="8" spans="1:13">
      <c r="A8" t="s">
        <v>215</v>
      </c>
      <c r="B8">
        <f>B7+1</f>
        <v>6</v>
      </c>
      <c r="C8">
        <f t="shared" si="0"/>
        <v>7</v>
      </c>
      <c r="D8" s="36">
        <v>30.4</v>
      </c>
      <c r="E8">
        <v>0.3222917099301561</v>
      </c>
      <c r="F8">
        <v>22176.2</v>
      </c>
      <c r="G8">
        <v>28630.5</v>
      </c>
      <c r="H8">
        <v>0.3222917099301561</v>
      </c>
      <c r="I8">
        <v>6.3974714433659693E-2</v>
      </c>
      <c r="J8">
        <f t="shared" si="1"/>
        <v>0.53309723137542708</v>
      </c>
      <c r="K8">
        <v>1.3838821627355113E-4</v>
      </c>
      <c r="L8" s="39">
        <f t="shared" si="2"/>
        <v>0.99783682948023056</v>
      </c>
      <c r="M8">
        <v>0.38626642436381575</v>
      </c>
    </row>
    <row r="9" spans="1:13">
      <c r="A9" t="s">
        <v>215</v>
      </c>
      <c r="B9">
        <f>B8+1</f>
        <v>7</v>
      </c>
      <c r="C9">
        <f t="shared" si="0"/>
        <v>8</v>
      </c>
      <c r="D9" s="36">
        <v>31.2</v>
      </c>
      <c r="E9">
        <v>0.33430365515119242</v>
      </c>
      <c r="F9">
        <v>23218.2</v>
      </c>
      <c r="G9">
        <v>31895.5</v>
      </c>
      <c r="H9">
        <v>0.33430365515119242</v>
      </c>
      <c r="I9">
        <v>6.098524285714086E-2</v>
      </c>
      <c r="J9">
        <f t="shared" si="1"/>
        <v>0.50818615463478245</v>
      </c>
      <c r="K9">
        <v>3.6172073625052484E-3</v>
      </c>
      <c r="L9" s="39">
        <f t="shared" si="2"/>
        <v>0.94068716966531352</v>
      </c>
      <c r="M9">
        <v>0.39528889800833328</v>
      </c>
    </row>
    <row r="10" spans="1:13">
      <c r="A10" t="s">
        <v>215</v>
      </c>
      <c r="B10">
        <f t="shared" ref="B10:C33" si="3">B9+1</f>
        <v>8</v>
      </c>
      <c r="C10">
        <f t="shared" si="0"/>
        <v>9</v>
      </c>
      <c r="D10" s="36">
        <v>32.299999999999997</v>
      </c>
      <c r="E10">
        <v>0.34820762723312865</v>
      </c>
      <c r="F10">
        <v>28143.200000000001</v>
      </c>
      <c r="G10">
        <v>33736.5</v>
      </c>
      <c r="H10">
        <v>0.34820762723312865</v>
      </c>
      <c r="I10">
        <v>8.143697532600451E-2</v>
      </c>
      <c r="J10">
        <f t="shared" si="1"/>
        <v>0.67860914209943224</v>
      </c>
      <c r="K10">
        <v>6.5285926211061445E-3</v>
      </c>
      <c r="L10" s="39">
        <f t="shared" si="2"/>
        <v>0.91983257488418257</v>
      </c>
      <c r="M10">
        <v>0.42964460255913317</v>
      </c>
    </row>
    <row r="11" spans="1:13">
      <c r="A11" t="s">
        <v>215</v>
      </c>
      <c r="B11">
        <f t="shared" si="3"/>
        <v>9</v>
      </c>
      <c r="C11">
        <f t="shared" si="0"/>
        <v>10</v>
      </c>
      <c r="D11" s="36">
        <v>30.4</v>
      </c>
      <c r="E11">
        <v>0.3333319874598703</v>
      </c>
      <c r="F11">
        <v>24458.2</v>
      </c>
      <c r="G11">
        <v>29669.5</v>
      </c>
      <c r="H11">
        <v>0.3333319874598703</v>
      </c>
      <c r="I11">
        <v>8.4651940371050741E-2</v>
      </c>
      <c r="J11">
        <f t="shared" si="1"/>
        <v>0.70539924158882017</v>
      </c>
      <c r="K11">
        <v>9.1627769124335125E-4</v>
      </c>
      <c r="L11" s="39">
        <f t="shared" si="2"/>
        <v>0.98917593988717711</v>
      </c>
      <c r="M11">
        <v>0.41798392783092109</v>
      </c>
    </row>
    <row r="12" spans="1:13">
      <c r="A12" t="s">
        <v>215</v>
      </c>
      <c r="B12">
        <f t="shared" si="3"/>
        <v>10</v>
      </c>
      <c r="C12">
        <f t="shared" si="0"/>
        <v>11</v>
      </c>
      <c r="D12" s="36">
        <v>29.9</v>
      </c>
      <c r="E12">
        <v>0.36761191842298357</v>
      </c>
      <c r="F12">
        <v>27814.2</v>
      </c>
      <c r="G12">
        <v>31326.5</v>
      </c>
      <c r="H12">
        <v>0.36761191842298357</v>
      </c>
      <c r="I12">
        <v>6.6261978833203672E-2</v>
      </c>
      <c r="J12">
        <f t="shared" si="1"/>
        <v>0.55215686031812283</v>
      </c>
      <c r="K12">
        <v>3.3346474448155304E-3</v>
      </c>
      <c r="L12" s="39">
        <f t="shared" si="2"/>
        <v>0.94967479837555735</v>
      </c>
      <c r="M12">
        <v>0.4338738972561873</v>
      </c>
    </row>
    <row r="13" spans="1:13">
      <c r="A13" t="s">
        <v>215</v>
      </c>
      <c r="B13">
        <f t="shared" si="3"/>
        <v>11</v>
      </c>
      <c r="C13">
        <f t="shared" si="0"/>
        <v>12</v>
      </c>
      <c r="D13" s="36">
        <v>29.7</v>
      </c>
      <c r="E13">
        <v>0.35350239194460908</v>
      </c>
      <c r="F13">
        <v>27659.200000000001</v>
      </c>
      <c r="G13">
        <v>30973.5</v>
      </c>
      <c r="H13">
        <v>0.35350239194460908</v>
      </c>
      <c r="I13">
        <v>0.13709630019882527</v>
      </c>
      <c r="J13">
        <f t="shared" si="1"/>
        <v>1.1424147605003583</v>
      </c>
      <c r="K13">
        <v>6.5015930896523463E-3</v>
      </c>
      <c r="L13" s="39">
        <f t="shared" si="2"/>
        <v>0.95257645114986078</v>
      </c>
      <c r="M13">
        <v>0.49059869214343432</v>
      </c>
    </row>
    <row r="14" spans="1:13">
      <c r="A14" t="s">
        <v>215</v>
      </c>
      <c r="B14">
        <f t="shared" si="3"/>
        <v>12</v>
      </c>
      <c r="C14">
        <f t="shared" si="0"/>
        <v>13</v>
      </c>
      <c r="D14" s="36">
        <v>31</v>
      </c>
      <c r="E14">
        <v>0.36880945419946454</v>
      </c>
      <c r="F14">
        <v>31198.2</v>
      </c>
      <c r="G14">
        <v>32700.5</v>
      </c>
      <c r="H14">
        <v>0.36880945419946454</v>
      </c>
      <c r="I14">
        <v>0.10244973204440645</v>
      </c>
      <c r="J14">
        <f t="shared" si="1"/>
        <v>0.85370710899636204</v>
      </c>
      <c r="K14">
        <v>1.1157629002435687E-4</v>
      </c>
      <c r="L14" s="39">
        <f t="shared" si="2"/>
        <v>0.99891091672181254</v>
      </c>
      <c r="M14">
        <v>0.47125918624387092</v>
      </c>
    </row>
    <row r="15" spans="1:13">
      <c r="A15" t="s">
        <v>215</v>
      </c>
      <c r="B15">
        <f t="shared" si="3"/>
        <v>13</v>
      </c>
      <c r="C15">
        <f t="shared" si="0"/>
        <v>14</v>
      </c>
      <c r="D15" s="36">
        <v>31.8</v>
      </c>
      <c r="E15">
        <v>0.36554003041992084</v>
      </c>
      <c r="F15">
        <v>29962.2</v>
      </c>
      <c r="G15">
        <v>35443.5</v>
      </c>
      <c r="H15">
        <v>0.36554003041992084</v>
      </c>
      <c r="I15">
        <v>0.1046119045190728</v>
      </c>
      <c r="J15">
        <f t="shared" si="1"/>
        <v>0.87172435487552979</v>
      </c>
      <c r="K15">
        <v>1.1102860589489037E-2</v>
      </c>
      <c r="L15" s="39">
        <f t="shared" si="2"/>
        <v>0.89386618434554199</v>
      </c>
      <c r="M15">
        <v>0.4701519349389936</v>
      </c>
    </row>
    <row r="16" spans="1:13">
      <c r="A16" t="s">
        <v>215</v>
      </c>
      <c r="B16">
        <f t="shared" si="3"/>
        <v>14</v>
      </c>
      <c r="C16">
        <f t="shared" si="0"/>
        <v>15</v>
      </c>
      <c r="D16" s="36">
        <v>30.6</v>
      </c>
      <c r="E16">
        <v>0.32026905224591645</v>
      </c>
      <c r="F16">
        <v>24601.200000000001</v>
      </c>
      <c r="G16">
        <v>28834.5</v>
      </c>
      <c r="H16">
        <v>0.32026905224591645</v>
      </c>
      <c r="I16">
        <v>0.12073448678218804</v>
      </c>
      <c r="J16">
        <f t="shared" si="1"/>
        <v>1.0060728086853865</v>
      </c>
      <c r="K16">
        <v>1.788839801662562E-3</v>
      </c>
      <c r="L16" s="39">
        <f t="shared" si="2"/>
        <v>0.98518368819598556</v>
      </c>
      <c r="M16">
        <v>0.44100353902810441</v>
      </c>
    </row>
    <row r="17" spans="1:13">
      <c r="A17" t="s">
        <v>215</v>
      </c>
      <c r="B17">
        <f t="shared" si="3"/>
        <v>15</v>
      </c>
      <c r="C17">
        <f t="shared" si="0"/>
        <v>16</v>
      </c>
      <c r="D17" s="36">
        <v>31.6</v>
      </c>
      <c r="E17">
        <v>0.34284771290059324</v>
      </c>
      <c r="F17">
        <v>26248.2</v>
      </c>
      <c r="G17">
        <v>32932.5</v>
      </c>
      <c r="H17">
        <v>0.34284771290059324</v>
      </c>
      <c r="I17">
        <v>8.6603651949406793E-2</v>
      </c>
      <c r="J17">
        <f t="shared" si="1"/>
        <v>0.72166273018858407</v>
      </c>
      <c r="K17">
        <v>3.563379711510912E-3</v>
      </c>
      <c r="L17" s="39">
        <f t="shared" si="2"/>
        <v>0.95885416340649687</v>
      </c>
      <c r="M17">
        <v>0.42945136485000002</v>
      </c>
    </row>
    <row r="18" spans="1:13">
      <c r="A18" t="s">
        <v>215</v>
      </c>
      <c r="B18">
        <f t="shared" si="3"/>
        <v>16</v>
      </c>
      <c r="C18">
        <f t="shared" si="0"/>
        <v>17</v>
      </c>
      <c r="D18" s="36">
        <v>29.1</v>
      </c>
      <c r="E18">
        <v>0.31006671567060279</v>
      </c>
      <c r="F18">
        <v>19861.2</v>
      </c>
      <c r="G18">
        <v>26293.5</v>
      </c>
      <c r="H18">
        <v>0.31006671567060279</v>
      </c>
      <c r="I18">
        <v>8.0105959400187512E-2</v>
      </c>
      <c r="J18">
        <f t="shared" si="1"/>
        <v>0.66751787094252168</v>
      </c>
      <c r="K18">
        <v>2.4202890928143243E-3</v>
      </c>
      <c r="L18" s="39">
        <f t="shared" si="2"/>
        <v>0.96978640402116389</v>
      </c>
      <c r="M18">
        <v>0.39017267507079029</v>
      </c>
    </row>
    <row r="19" spans="1:13">
      <c r="A19" t="s">
        <v>215</v>
      </c>
      <c r="B19">
        <f t="shared" si="3"/>
        <v>17</v>
      </c>
      <c r="C19">
        <f t="shared" si="3"/>
        <v>18</v>
      </c>
      <c r="D19" s="36">
        <v>31.4</v>
      </c>
      <c r="E19">
        <v>0.29279482270425161</v>
      </c>
      <c r="F19">
        <v>17725.2</v>
      </c>
      <c r="G19">
        <v>29976.5</v>
      </c>
      <c r="H19">
        <v>0.29279482270425161</v>
      </c>
      <c r="I19">
        <v>8.1697892730780236E-2</v>
      </c>
      <c r="J19">
        <f t="shared" si="1"/>
        <v>0.68078335025862369</v>
      </c>
      <c r="K19">
        <v>5.0089709886454982E-2</v>
      </c>
      <c r="L19" s="39">
        <f t="shared" si="2"/>
        <v>0.38689104195727508</v>
      </c>
      <c r="M19">
        <v>0.37449271543503182</v>
      </c>
    </row>
    <row r="20" spans="1:13">
      <c r="A20" t="s">
        <v>215</v>
      </c>
      <c r="B20">
        <f t="shared" si="3"/>
        <v>18</v>
      </c>
      <c r="C20">
        <f t="shared" si="3"/>
        <v>19</v>
      </c>
      <c r="D20" s="36">
        <v>30.4</v>
      </c>
      <c r="E20">
        <v>0.26780079902896026</v>
      </c>
      <c r="F20">
        <v>18312.2</v>
      </c>
      <c r="G20">
        <v>24426.5</v>
      </c>
      <c r="H20">
        <v>0.26780079902896026</v>
      </c>
      <c r="I20">
        <v>0.13090368384143439</v>
      </c>
      <c r="J20">
        <f t="shared" si="1"/>
        <v>1.090812081780806</v>
      </c>
      <c r="K20">
        <v>1.1157629002435687E-4</v>
      </c>
      <c r="L20" s="39">
        <f t="shared" si="2"/>
        <v>0.99914764591224547</v>
      </c>
      <c r="M20">
        <v>0.39870448287039467</v>
      </c>
    </row>
    <row r="21" spans="1:13">
      <c r="A21" t="s">
        <v>215</v>
      </c>
      <c r="B21">
        <f t="shared" si="3"/>
        <v>19</v>
      </c>
      <c r="C21">
        <f t="shared" si="3"/>
        <v>20</v>
      </c>
      <c r="D21" s="36">
        <v>34.4</v>
      </c>
      <c r="E21">
        <v>0.28111140987981842</v>
      </c>
      <c r="F21">
        <v>22936.2</v>
      </c>
      <c r="G21">
        <v>30170.5</v>
      </c>
      <c r="H21">
        <v>0.28111140987981842</v>
      </c>
      <c r="I21">
        <v>0.11998449233122811</v>
      </c>
      <c r="J21">
        <f t="shared" si="1"/>
        <v>0.99982315256901133</v>
      </c>
      <c r="K21">
        <v>1.060102745094242E-2</v>
      </c>
      <c r="L21" s="39">
        <f t="shared" si="2"/>
        <v>0.91164668662615733</v>
      </c>
      <c r="M21">
        <v>0.40109590221104652</v>
      </c>
    </row>
    <row r="22" spans="1:13">
      <c r="A22" t="s">
        <v>215</v>
      </c>
      <c r="B22">
        <f t="shared" si="3"/>
        <v>20</v>
      </c>
      <c r="C22">
        <f t="shared" si="3"/>
        <v>21</v>
      </c>
      <c r="D22" s="36">
        <v>29.8</v>
      </c>
      <c r="E22">
        <v>0.32347442467167409</v>
      </c>
      <c r="F22">
        <v>22007.200000000001</v>
      </c>
      <c r="G22">
        <v>27655.5</v>
      </c>
      <c r="H22">
        <v>0.32347442467167409</v>
      </c>
      <c r="I22">
        <v>6.422956563235277E-2</v>
      </c>
      <c r="J22">
        <f t="shared" si="1"/>
        <v>0.53522089022468811</v>
      </c>
      <c r="K22">
        <v>4.8701513992831312E-4</v>
      </c>
      <c r="L22" s="39">
        <f t="shared" si="2"/>
        <v>0.99241758627614007</v>
      </c>
      <c r="M22">
        <v>0.38770399030402686</v>
      </c>
    </row>
    <row r="23" spans="1:13">
      <c r="A23" t="s">
        <v>215</v>
      </c>
      <c r="B23">
        <f t="shared" si="3"/>
        <v>21</v>
      </c>
      <c r="C23">
        <f t="shared" si="3"/>
        <v>22</v>
      </c>
      <c r="D23" s="36">
        <v>31.7</v>
      </c>
      <c r="E23">
        <v>0.3505236163164871</v>
      </c>
      <c r="F23">
        <v>26896.2</v>
      </c>
      <c r="G23">
        <v>33865.5</v>
      </c>
      <c r="H23">
        <v>0.3505236163164871</v>
      </c>
      <c r="I23">
        <v>7.8975791653859914E-2</v>
      </c>
      <c r="J23">
        <f t="shared" si="1"/>
        <v>0.65810025490639523</v>
      </c>
      <c r="K23">
        <v>4.4250012874127598E-3</v>
      </c>
      <c r="L23" s="39">
        <f t="shared" si="2"/>
        <v>0.94397015598391298</v>
      </c>
      <c r="M23">
        <v>0.42949940797034702</v>
      </c>
    </row>
    <row r="24" spans="1:13">
      <c r="A24" t="s">
        <v>215</v>
      </c>
      <c r="B24">
        <f t="shared" si="3"/>
        <v>22</v>
      </c>
      <c r="C24">
        <f t="shared" si="3"/>
        <v>23</v>
      </c>
      <c r="D24" s="36">
        <v>29.8</v>
      </c>
      <c r="E24">
        <v>0.34987393440494591</v>
      </c>
      <c r="F24">
        <v>23564.2</v>
      </c>
      <c r="G24">
        <v>33723.5</v>
      </c>
      <c r="H24">
        <v>0.34987393440494591</v>
      </c>
      <c r="I24">
        <v>0.113877575261497</v>
      </c>
      <c r="J24">
        <f t="shared" si="1"/>
        <v>0.94893460056947176</v>
      </c>
      <c r="K24">
        <v>4.8701513992831312E-4</v>
      </c>
      <c r="L24" s="39">
        <f t="shared" si="2"/>
        <v>0.99572334466368839</v>
      </c>
      <c r="M24">
        <v>0.46375150966644285</v>
      </c>
    </row>
    <row r="25" spans="1:13">
      <c r="A25" t="s">
        <v>215</v>
      </c>
      <c r="B25">
        <f t="shared" si="3"/>
        <v>23</v>
      </c>
      <c r="C25">
        <f t="shared" si="3"/>
        <v>24</v>
      </c>
      <c r="D25" s="36">
        <v>31.4</v>
      </c>
      <c r="E25">
        <v>0.32088832987303911</v>
      </c>
      <c r="F25">
        <v>20588.2</v>
      </c>
      <c r="G25">
        <v>32526.5</v>
      </c>
      <c r="H25">
        <v>0.32088832987303911</v>
      </c>
      <c r="I25">
        <v>6.9380297151164713E-2</v>
      </c>
      <c r="J25">
        <f t="shared" si="1"/>
        <v>0.57814160877020304</v>
      </c>
      <c r="K25">
        <v>1.6679737447016605E-3</v>
      </c>
      <c r="L25" s="39">
        <f t="shared" si="2"/>
        <v>0.97595897087227068</v>
      </c>
      <c r="M25">
        <v>0.39026862702420378</v>
      </c>
    </row>
    <row r="26" spans="1:13">
      <c r="A26" t="s">
        <v>215</v>
      </c>
      <c r="B26">
        <f t="shared" si="3"/>
        <v>24</v>
      </c>
      <c r="C26">
        <f t="shared" si="3"/>
        <v>25</v>
      </c>
      <c r="D26" s="36">
        <v>30</v>
      </c>
      <c r="E26">
        <v>0.35528919313989205</v>
      </c>
      <c r="F26">
        <v>23528.2</v>
      </c>
      <c r="G26">
        <v>33896.5</v>
      </c>
      <c r="H26">
        <v>0.35528919313989205</v>
      </c>
      <c r="I26">
        <v>7.8786447545441243E-2</v>
      </c>
      <c r="J26">
        <f t="shared" si="1"/>
        <v>0.65652246247904622</v>
      </c>
      <c r="K26">
        <v>1.1157629002435687E-4</v>
      </c>
      <c r="L26" s="39">
        <f t="shared" si="2"/>
        <v>0.99858381366973048</v>
      </c>
      <c r="M26">
        <v>0.43407564068533333</v>
      </c>
    </row>
    <row r="27" spans="1:13">
      <c r="A27" t="s">
        <v>215</v>
      </c>
      <c r="B27">
        <f t="shared" si="3"/>
        <v>25</v>
      </c>
      <c r="C27">
        <f t="shared" si="3"/>
        <v>26</v>
      </c>
      <c r="D27" s="36">
        <v>31.7</v>
      </c>
      <c r="E27">
        <v>0.3422975794677891</v>
      </c>
      <c r="F27">
        <v>24360.2</v>
      </c>
      <c r="G27">
        <v>34802.5</v>
      </c>
      <c r="H27">
        <v>0.3422975794677891</v>
      </c>
      <c r="I27">
        <v>8.3372502436311877E-2</v>
      </c>
      <c r="J27">
        <f t="shared" si="1"/>
        <v>0.69473776655506647</v>
      </c>
      <c r="K27">
        <v>6.6636021271248977E-3</v>
      </c>
      <c r="L27" s="39">
        <f t="shared" si="2"/>
        <v>0.92007434187050807</v>
      </c>
      <c r="M27">
        <v>0.42567008190410099</v>
      </c>
    </row>
    <row r="28" spans="1:13">
      <c r="A28" t="s">
        <v>215</v>
      </c>
      <c r="B28">
        <f t="shared" si="3"/>
        <v>26</v>
      </c>
      <c r="C28">
        <f t="shared" si="3"/>
        <v>27</v>
      </c>
      <c r="D28" s="36">
        <v>32.1</v>
      </c>
      <c r="E28">
        <v>0.30234775068166042</v>
      </c>
      <c r="F28">
        <v>20173.2</v>
      </c>
      <c r="G28">
        <v>31876.5</v>
      </c>
      <c r="H28">
        <v>0.30234775068166042</v>
      </c>
      <c r="I28">
        <v>9.8012934407436053E-2</v>
      </c>
      <c r="J28">
        <f t="shared" si="1"/>
        <v>0.81673555613551008</v>
      </c>
      <c r="K28">
        <v>1.5605506782083703E-3</v>
      </c>
      <c r="L28" s="39">
        <f t="shared" si="2"/>
        <v>0.98407811491775954</v>
      </c>
      <c r="M28">
        <v>0.40036068508909645</v>
      </c>
    </row>
    <row r="29" spans="1:13">
      <c r="A29" t="s">
        <v>215</v>
      </c>
      <c r="B29">
        <f t="shared" si="3"/>
        <v>27</v>
      </c>
      <c r="C29">
        <f t="shared" si="3"/>
        <v>28</v>
      </c>
      <c r="D29" s="36">
        <v>30.1</v>
      </c>
      <c r="E29">
        <v>0.33124266987679485</v>
      </c>
      <c r="F29">
        <v>23711.200000000001</v>
      </c>
      <c r="G29">
        <v>30614.5</v>
      </c>
      <c r="H29">
        <v>0.33124266987679485</v>
      </c>
      <c r="I29">
        <v>0.11613678714513202</v>
      </c>
      <c r="J29">
        <f t="shared" si="1"/>
        <v>0.96776046967913698</v>
      </c>
      <c r="K29">
        <v>2.6487930735975781E-3</v>
      </c>
      <c r="L29" s="39">
        <f t="shared" si="2"/>
        <v>0.97719247157847167</v>
      </c>
      <c r="M29">
        <v>0.44737945702192683</v>
      </c>
    </row>
    <row r="30" spans="1:13">
      <c r="A30" t="s">
        <v>215</v>
      </c>
      <c r="B30">
        <f t="shared" si="3"/>
        <v>28</v>
      </c>
      <c r="C30">
        <f t="shared" si="3"/>
        <v>29</v>
      </c>
      <c r="D30" s="36">
        <v>32</v>
      </c>
      <c r="E30">
        <v>0.29500384224203913</v>
      </c>
      <c r="F30">
        <v>19487.2</v>
      </c>
      <c r="G30">
        <v>30826.5</v>
      </c>
      <c r="H30">
        <v>0.29500384224203913</v>
      </c>
      <c r="I30">
        <v>9.9629619522335913E-2</v>
      </c>
      <c r="J30">
        <f t="shared" si="1"/>
        <v>0.83020729049788378</v>
      </c>
      <c r="K30">
        <v>7.9552715959265309E-4</v>
      </c>
      <c r="L30" s="39">
        <f t="shared" si="2"/>
        <v>0.99201515409366492</v>
      </c>
      <c r="M30">
        <v>0.39463346176437497</v>
      </c>
    </row>
    <row r="31" spans="1:13">
      <c r="A31" t="s">
        <v>215</v>
      </c>
      <c r="B31">
        <f t="shared" si="3"/>
        <v>29</v>
      </c>
      <c r="C31">
        <f t="shared" si="3"/>
        <v>30</v>
      </c>
      <c r="D31" s="36">
        <v>30.2</v>
      </c>
      <c r="E31">
        <v>0.34687265072705792</v>
      </c>
      <c r="F31">
        <v>22896.2</v>
      </c>
      <c r="G31">
        <v>33548.5</v>
      </c>
      <c r="H31">
        <v>0.34687265072705792</v>
      </c>
      <c r="I31">
        <v>8.4474647649100995E-2</v>
      </c>
      <c r="J31">
        <f t="shared" si="1"/>
        <v>0.70392187259935113</v>
      </c>
      <c r="K31">
        <v>1.8291320419411251E-3</v>
      </c>
      <c r="L31" s="39">
        <f t="shared" si="2"/>
        <v>0.97834697044799579</v>
      </c>
      <c r="M31">
        <v>0.43134729837615893</v>
      </c>
    </row>
    <row r="32" spans="1:13">
      <c r="A32" t="s">
        <v>215</v>
      </c>
      <c r="B32">
        <f t="shared" si="3"/>
        <v>30</v>
      </c>
      <c r="C32">
        <f t="shared" si="3"/>
        <v>31</v>
      </c>
      <c r="D32" s="36">
        <v>32.4</v>
      </c>
      <c r="E32">
        <v>0.29756353162657795</v>
      </c>
      <c r="F32">
        <v>21822.2</v>
      </c>
      <c r="G32">
        <v>31378.5</v>
      </c>
      <c r="H32">
        <v>0.29756353162657795</v>
      </c>
      <c r="I32">
        <v>0.13480848927959491</v>
      </c>
      <c r="J32">
        <f t="shared" si="1"/>
        <v>1.1233505774438339</v>
      </c>
      <c r="K32">
        <v>1.1157629002435687E-4</v>
      </c>
      <c r="L32" s="39">
        <f t="shared" si="2"/>
        <v>0.99917233483869883</v>
      </c>
      <c r="M32">
        <v>0.43237202090617277</v>
      </c>
    </row>
    <row r="33" spans="1:13">
      <c r="A33" t="s">
        <v>215</v>
      </c>
      <c r="B33">
        <f t="shared" si="3"/>
        <v>31</v>
      </c>
      <c r="C33">
        <f t="shared" si="3"/>
        <v>32</v>
      </c>
      <c r="D33" s="36">
        <v>31.7</v>
      </c>
      <c r="E33">
        <v>0.28336196560107918</v>
      </c>
      <c r="F33">
        <v>18415.2</v>
      </c>
      <c r="G33">
        <v>32455.5</v>
      </c>
      <c r="H33">
        <v>0.28336196560107918</v>
      </c>
      <c r="I33">
        <v>0.19920345012005641</v>
      </c>
      <c r="J33">
        <f t="shared" si="1"/>
        <v>1.6599496954309447</v>
      </c>
      <c r="K33">
        <v>5.0043575845356986E-3</v>
      </c>
      <c r="L33" s="39">
        <f t="shared" si="2"/>
        <v>0.97487815807648071</v>
      </c>
      <c r="M33">
        <v>0.48256541572113554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空白表格</vt:lpstr>
      <vt:lpstr>第一次EA數據</vt:lpstr>
      <vt:lpstr>面積總碳量</vt:lpstr>
      <vt:lpstr>第二次EA數據</vt:lpstr>
      <vt:lpstr>WZW-A</vt:lpstr>
      <vt:lpstr>WZW-A圖</vt:lpstr>
      <vt:lpstr>WZW-B</vt:lpstr>
      <vt:lpstr>WZW-B圖</vt:lpstr>
      <vt:lpstr>WZW-C</vt:lpstr>
      <vt:lpstr>WZW-C圖</vt:lpstr>
      <vt:lpstr>ABC比較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Wan</dc:creator>
  <cp:lastModifiedBy>陳威仁</cp:lastModifiedBy>
  <dcterms:created xsi:type="dcterms:W3CDTF">2021-11-17T11:45:31Z</dcterms:created>
  <dcterms:modified xsi:type="dcterms:W3CDTF">2023-01-15T07:37:52Z</dcterms:modified>
</cp:coreProperties>
</file>