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flow podrobné" sheetId="1" r:id="rId4"/>
    <sheet state="visible" name="Výtah čísel NEHOTOVÉ" sheetId="2" r:id="rId5"/>
    <sheet state="visible" name="Náklady" sheetId="3" r:id="rId6"/>
    <sheet state="visible" name="Platební brána" sheetId="4" r:id="rId7"/>
  </sheets>
  <definedNames>
    <definedName name="vyrobniRezieRychlost">'Náklady'!$I$8</definedName>
    <definedName name="podnikatelVydaje">'Náklady'!$I$5</definedName>
    <definedName name="rozjezdUroky">'Cashflow podrobné'!$R$20</definedName>
    <definedName name="podnikatelHodiny">'Náklady'!$L$22</definedName>
    <definedName name="kusCena">'Náklady'!$M$15</definedName>
    <definedName name="rezervaSazba">'Náklady'!$L$6</definedName>
    <definedName name="nakladyMesicniRezerva">'Náklady'!$M$7</definedName>
    <definedName name="vydajeRocni">'Výtah čísel NEHOTOVÉ'!$E$15</definedName>
    <definedName name="zrizovaci">'Výtah čísel NEHOTOVÉ'!$C$16:$C$18</definedName>
    <definedName name="kapital">'Cashflow podrobné'!$D$29</definedName>
    <definedName name="rozjezdMzdy">'Cashflow podrobné'!$R$14</definedName>
    <definedName name="preziti">'Výtah čísel NEHOTOVÉ'!$J$23</definedName>
    <definedName name="neprimeNaklady">'Náklady'!$F$19</definedName>
    <definedName name="podnikatelSazba">'Náklady'!$M$22</definedName>
    <definedName name="zrizovaciSRO">'Výtah čísel NEHOTOVÉ'!$E$16</definedName>
    <definedName name="rozjezdPrime">'Cashflow podrobné'!$R$9</definedName>
    <definedName name="kusPrimeNaklady">'Náklady'!$C$15</definedName>
    <definedName name="kapitalUrok">'Cashflow podrobné'!$C$30</definedName>
    <definedName name="rozjezdMarketing">'Cashflow podrobné'!$R$11</definedName>
    <definedName name="rozjezdSpravni">'Cashflow podrobné'!$R$16</definedName>
    <definedName name="rozjezdKusy">#REF!</definedName>
    <definedName name="kusPocetMesicne">'Náklady'!$C$19</definedName>
    <definedName name="zakazniciPrirustek">'Cashflow podrobné'!$C$8</definedName>
    <definedName name="marze">'Náklady'!$M$14</definedName>
    <definedName name="prijmyRocni">'Výtah čísel NEHOTOVÉ'!$F$8</definedName>
    <definedName name="vyrobniRezie">'Náklady'!$F$6</definedName>
    <definedName name="rozjezdZvrat">'Cashflow podrobné'!$C$35</definedName>
    <definedName name="zakazniciPocatek">'Cashflow podrobné'!$D$5</definedName>
    <definedName name="zrizovaciVzor">'Výtah čísel NEHOTOVÉ'!$E$17</definedName>
    <definedName name="kusNakldy">'Náklady'!$M$11</definedName>
    <definedName name="rozjezdPodnikatel">'Cashflow podrobné'!$R$18</definedName>
    <definedName name="rozjezdObrat">'Cashflow podrobné'!$D$6:$O$6</definedName>
    <definedName name="rezerva">'Náklady'!$M$6</definedName>
    <definedName name="odbytovaRezie">'Náklady'!$F$18</definedName>
    <definedName name="spravniRezie">'Náklady'!$F$14</definedName>
    <definedName name="nakladyMesicni">'Náklady'!$M$5</definedName>
    <definedName name="zvrat">'Náklady'!$M$18</definedName>
  </definedNames>
  <calcPr/>
  <extLst>
    <ext uri="GoogleSheetsCustomDataVersion1">
      <go:sheetsCustomData xmlns:go="http://customooxmlschemas.google.com/" r:id="rId8" roundtripDataSignature="AMtx7mhiKv8OGW3GTjpe+QvoipK0+rqPxQ=="/>
    </ext>
  </extLst>
</workbook>
</file>

<file path=xl/sharedStrings.xml><?xml version="1.0" encoding="utf-8"?>
<sst xmlns="http://schemas.openxmlformats.org/spreadsheetml/2006/main" count="136" uniqueCount="128">
  <si>
    <t>Měsíc</t>
  </si>
  <si>
    <t>Výnosy</t>
  </si>
  <si>
    <t>Prodaných samolepek</t>
  </si>
  <si>
    <t>Prodej celkem</t>
  </si>
  <si>
    <t>Celkem za rok</t>
  </si>
  <si>
    <t>Měsíční zákaznický přírustek</t>
  </si>
  <si>
    <t>Příjmy</t>
  </si>
  <si>
    <t>Přímé náklady</t>
  </si>
  <si>
    <t>Přímé náklady/výroba</t>
  </si>
  <si>
    <t>Výroba</t>
  </si>
  <si>
    <t>Nepřímé celkem</t>
  </si>
  <si>
    <t xml:space="preserve">    Marketing</t>
  </si>
  <si>
    <t>Hrubá marže</t>
  </si>
  <si>
    <t>Nepřímé náklady</t>
  </si>
  <si>
    <t>Marketing</t>
  </si>
  <si>
    <t xml:space="preserve">    Mzdy</t>
  </si>
  <si>
    <t xml:space="preserve">    Z obratu</t>
  </si>
  <si>
    <t xml:space="preserve">    Vstup na trh</t>
  </si>
  <si>
    <t xml:space="preserve">    Správní režie</t>
  </si>
  <si>
    <t>Výrobní režie</t>
  </si>
  <si>
    <t xml:space="preserve">    Brigádník DPP, 150/h, 50 kusů/h</t>
  </si>
  <si>
    <t xml:space="preserve">    Mzda podnikatele</t>
  </si>
  <si>
    <t>Správní režie</t>
  </si>
  <si>
    <t>Cashflow za rok</t>
  </si>
  <si>
    <t>Mzda podnikatele</t>
  </si>
  <si>
    <t>Úroky</t>
  </si>
  <si>
    <t>Zřizovací</t>
  </si>
  <si>
    <t>Kapital</t>
  </si>
  <si>
    <t xml:space="preserve">    S.R.O.</t>
  </si>
  <si>
    <t>Rezerva</t>
  </si>
  <si>
    <t xml:space="preserve">    Průmyslový vzor</t>
  </si>
  <si>
    <t>Ochraná známka</t>
  </si>
  <si>
    <t>Rezerva/příležitostné/právník</t>
  </si>
  <si>
    <t>Provozní cash-flow</t>
  </si>
  <si>
    <t>Financování</t>
  </si>
  <si>
    <t>Počáteční kapitál</t>
  </si>
  <si>
    <t>Úrok, jednoduché úročení</t>
  </si>
  <si>
    <t>Cash-flow provoz + financování (měsíčně)</t>
  </si>
  <si>
    <t>Cash kumulovaně</t>
  </si>
  <si>
    <t>Bod zvratu</t>
  </si>
  <si>
    <t>(2) splatíme-li za rok úvěr, kolik nám zbude?</t>
  </si>
  <si>
    <t>(4) jak realistický je odhad výnosů, co kdyby rostl počet uživatelů pomaleji / rychleji?</t>
  </si>
  <si>
    <t>(8) co kdybyste byli plátci DPH?</t>
  </si>
  <si>
    <t>Finanční plán na 1. rok podnikání</t>
  </si>
  <si>
    <t>Cashflow</t>
  </si>
  <si>
    <t>Cena</t>
  </si>
  <si>
    <t>Kusy</t>
  </si>
  <si>
    <t>Kapitál</t>
  </si>
  <si>
    <t>B2C</t>
  </si>
  <si>
    <t>Výdaje</t>
  </si>
  <si>
    <t>s.r.o.</t>
  </si>
  <si>
    <t>průmyslový vzor</t>
  </si>
  <si>
    <t>ochranná známka</t>
  </si>
  <si>
    <t>Materiály</t>
  </si>
  <si>
    <t>Mzdy</t>
  </si>
  <si>
    <t>Správní</t>
  </si>
  <si>
    <t>Kapitál na rozjezd</t>
  </si>
  <si>
    <t>Naše mzdy</t>
  </si>
  <si>
    <t>Doba přežití při prodeji 0</t>
  </si>
  <si>
    <t>Splacení kapitálu</t>
  </si>
  <si>
    <t>Výroba (přímé)</t>
  </si>
  <si>
    <t>Ostatní (nepřímé)</t>
  </si>
  <si>
    <t>Výdaje podnikatele</t>
  </si>
  <si>
    <t>Důležité metriky a čísla</t>
  </si>
  <si>
    <t>přímý materiál</t>
  </si>
  <si>
    <t>výrobní režie</t>
  </si>
  <si>
    <t>Výplata</t>
  </si>
  <si>
    <t>samolepka (při 100 kusech)</t>
  </si>
  <si>
    <t>mzda brigádník DPP, 150/h, 60 objednávek/h</t>
  </si>
  <si>
    <t>Celkové měsíční náklady</t>
  </si>
  <si>
    <t>samolepka vlastní</t>
  </si>
  <si>
    <t>Osobní výdeje celkem</t>
  </si>
  <si>
    <t>Celkové měsíční náklady na výrobu</t>
  </si>
  <si>
    <t>ořez</t>
  </si>
  <si>
    <t>výrobní režie celkem</t>
  </si>
  <si>
    <t>správní režie</t>
  </si>
  <si>
    <t>celková částka, která se musí v měsíci min. vydělat</t>
  </si>
  <si>
    <t>přímý materiál celkem</t>
  </si>
  <si>
    <t>virtuální sídlo</t>
  </si>
  <si>
    <t>Za hodinu zkompletuje</t>
  </si>
  <si>
    <t>ostatní přímé náklady</t>
  </si>
  <si>
    <t>telefon</t>
  </si>
  <si>
    <t>obal na samolepku</t>
  </si>
  <si>
    <t>hosting, doména (wedos)</t>
  </si>
  <si>
    <t>Nákladová cena 1 výrobku</t>
  </si>
  <si>
    <t>balení na dopravu</t>
  </si>
  <si>
    <t>platební brána (comgate)</t>
  </si>
  <si>
    <t>nákladová cena výrobku (vč. rezervy a mzdových nákladů)</t>
  </si>
  <si>
    <t>platební brána (1 %, comgate/confirmo při 200 Kč transakci)</t>
  </si>
  <si>
    <t>učetnictví</t>
  </si>
  <si>
    <t>Cena výrobku, marže</t>
  </si>
  <si>
    <t>ostatní přímé náklady celkem</t>
  </si>
  <si>
    <t>správní režie celkem</t>
  </si>
  <si>
    <t>Výše marže</t>
  </si>
  <si>
    <t>Podle validace bude 89 Kč</t>
  </si>
  <si>
    <t>Přímé celkem</t>
  </si>
  <si>
    <t>odbytová režie</t>
  </si>
  <si>
    <t>Konečná cena 1 výrobku (za tuto budeme prodávat)</t>
  </si>
  <si>
    <t>Hodnota z validace: 125 Kč (mezi 60-200 Kč)</t>
  </si>
  <si>
    <t>Marketing (30kč/1ks, odhad)</t>
  </si>
  <si>
    <t>Vypočítaná cena 1 výrobků (návrh podle výpočtu)</t>
  </si>
  <si>
    <t>Bod zvratu, měsíční</t>
  </si>
  <si>
    <t>Počet výrobků vyrobených za měsíc</t>
  </si>
  <si>
    <t>odbytová režie celkem</t>
  </si>
  <si>
    <t>kolik výrobků zvládnete vyrobit za 1 měsíc</t>
  </si>
  <si>
    <t>Nepřímé náklady celkem</t>
  </si>
  <si>
    <t>Cena za 1 hodinu vaší práce</t>
  </si>
  <si>
    <t>hodin/měsíc</t>
  </si>
  <si>
    <t>cena za hodinu</t>
  </si>
  <si>
    <t>Naše hodinová sazba</t>
  </si>
  <si>
    <t>Objem</t>
  </si>
  <si>
    <t>Objednavek</t>
  </si>
  <si>
    <t>Z transakce</t>
  </si>
  <si>
    <t>Procento</t>
  </si>
  <si>
    <t>Koruny</t>
  </si>
  <si>
    <t>Mesicne</t>
  </si>
  <si>
    <t>Aktivace</t>
  </si>
  <si>
    <t>Comgate</t>
  </si>
  <si>
    <t>Barion</t>
  </si>
  <si>
    <t>GoPay</t>
  </si>
  <si>
    <t>6 mesicu zdarma</t>
  </si>
  <si>
    <t>ThePay</t>
  </si>
  <si>
    <t>ecom poplatek 0.2%</t>
  </si>
  <si>
    <t>umisteni banneru</t>
  </si>
  <si>
    <t>PayU</t>
  </si>
  <si>
    <t>ČSOB</t>
  </si>
  <si>
    <t>2 roky</t>
  </si>
  <si>
    <t>Pays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</si>
</sst>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[$ Kč]"/>
    <numFmt numFmtId="165" formatCode="#,##0[$ Kč]_(&quot;/ks&quot;"/>
    <numFmt numFmtId="166" formatCode="#,##0.00[$ Kč]"/>
    <numFmt numFmtId="167" formatCode="0%_(&quot;z kapitálu&quot;"/>
    <numFmt numFmtId="168" formatCode="0%_(&quot;p.a.&quot;"/>
    <numFmt numFmtId="169" formatCode="0_(&quot;měsíců&quot;"/>
    <numFmt numFmtId="170" formatCode="0_(&quot;ks/měsíc&quot;"/>
    <numFmt numFmtId="171" formatCode="_-* #,##0\ &quot;CZK&quot;_-;\-* #,##0\ &quot;CZK&quot;_-;_-* &quot;-&quot;??\ &quot;CZK&quot;_-;_-@"/>
    <numFmt numFmtId="172" formatCode="_-* #,##0.00\ &quot;CZK&quot;_-;\-* #,##0.00\ &quot;CZK&quot;_-;_-* &quot;-&quot;??\ &quot;CZK&quot;_-;_-@"/>
    <numFmt numFmtId="173" formatCode="_-* #,##0.00\ &quot;CZK&quot;_-;\-* #,##0.00\ &quot;CZK&quot;_-;_-* &quot;-&quot;??.00\ &quot;CZK&quot;_-;_-@"/>
    <numFmt numFmtId="174" formatCode="#,##0_ ;\-#,##0\ "/>
    <numFmt numFmtId="175" formatCode="_-* #,##0.00\ _K_č_-;\-* #,##0.00\ _K_č_-;_-* &quot;-&quot;??\ _K_č_-;_-@"/>
    <numFmt numFmtId="176" formatCode="0.0%"/>
  </numFmts>
  <fonts count="22">
    <font>
      <sz val="12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/>
    <font>
      <sz val="12.0"/>
      <color rgb="FF000000"/>
      <name val="Calibri"/>
    </font>
    <font>
      <color rgb="FF000000"/>
      <name val="Calibri"/>
    </font>
    <font>
      <i/>
      <sz val="12.0"/>
      <color rgb="FF000000"/>
      <name val="Calibri"/>
    </font>
    <font>
      <b/>
      <sz val="12.0"/>
      <color rgb="FF980000"/>
      <name val="Calibri"/>
    </font>
    <font>
      <i/>
      <color rgb="FF000000"/>
      <name val="Calibri"/>
    </font>
    <font>
      <b/>
      <sz val="12.0"/>
      <color rgb="FFFF0000"/>
      <name val="Calibri"/>
    </font>
    <font>
      <sz val="12.0"/>
      <color rgb="FFFF0000"/>
      <name val="Calibri"/>
    </font>
    <font>
      <color rgb="FF000000"/>
      <name val="Roboto"/>
    </font>
    <font>
      <b/>
      <color rgb="FF000000"/>
      <name val="Calibri"/>
    </font>
    <font>
      <sz val="12.0"/>
      <color theme="1"/>
      <name val="Arial"/>
    </font>
    <font>
      <b/>
      <sz val="10.0"/>
      <color theme="1"/>
      <name val="Arial"/>
    </font>
    <font>
      <b/>
      <sz val="11.0"/>
      <color rgb="FFFFFFFF"/>
      <name val="Arial"/>
    </font>
    <font>
      <sz val="12.0"/>
      <color theme="0"/>
      <name val="Arial"/>
    </font>
    <font>
      <sz val="11.0"/>
      <color rgb="FFFFFFFF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sz val="11.0"/>
      <color rgb="FF000000"/>
      <name val="Nunito"/>
    </font>
    <font>
      <color theme="1"/>
      <name val="Calibri"/>
    </font>
  </fonts>
  <fills count="3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D666"/>
        <bgColor rgb="FFFFD666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67C73"/>
        <bgColor rgb="FFE67C73"/>
      </patternFill>
    </fill>
    <fill>
      <patternFill patternType="solid">
        <fgColor rgb="FFD5A6BD"/>
        <bgColor rgb="FFD5A6BD"/>
      </patternFill>
    </fill>
    <fill>
      <patternFill patternType="solid">
        <fgColor rgb="FF00458A"/>
        <bgColor rgb="FF00458A"/>
      </patternFill>
    </fill>
    <fill>
      <patternFill patternType="solid">
        <fgColor rgb="FFD9D2E9"/>
        <bgColor rgb="FFD9D2E9"/>
      </patternFill>
    </fill>
    <fill>
      <patternFill patternType="solid">
        <fgColor rgb="FF6FA8DC"/>
        <bgColor rgb="FF6FA8DC"/>
      </patternFill>
    </fill>
    <fill>
      <patternFill patternType="solid">
        <fgColor rgb="FF0091C4"/>
        <bgColor rgb="FF0091C4"/>
      </patternFill>
    </fill>
    <fill>
      <patternFill patternType="solid">
        <fgColor rgb="FFFBECCF"/>
        <bgColor rgb="FFFBECCF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</fills>
  <borders count="104">
    <border/>
    <border>
      <left/>
      <right/>
      <top/>
      <bottom/>
    </border>
    <border>
      <left/>
      <right/>
      <top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top/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</border>
    <border>
      <left style="medium">
        <color rgb="FF000000"/>
      </left>
      <right/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/>
    </border>
    <border>
      <left/>
      <top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/>
    </border>
    <border>
      <left/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</border>
    <border>
      <left/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A5A5A5"/>
      </bottom>
    </border>
    <border>
      <right style="thin">
        <color rgb="FF000000"/>
      </right>
      <top/>
      <bottom style="thin">
        <color rgb="FFA5A5A5"/>
      </bottom>
    </border>
    <border>
      <left style="thin">
        <color rgb="FF000000"/>
      </left>
      <bottom style="thin">
        <color rgb="FFA5A5A5"/>
      </bottom>
    </border>
    <border>
      <right style="thin">
        <color rgb="FF000000"/>
      </right>
      <bottom style="thin">
        <color rgb="FFA5A5A5"/>
      </bottom>
    </border>
    <border>
      <left style="thin">
        <color rgb="FF000000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BFBFBF"/>
      </top>
      <bottom style="thin">
        <color rgb="FFA5A5A5"/>
      </bottom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A5A5A5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A5A5A5"/>
      </right>
      <top/>
      <bottom style="thin">
        <color rgb="FF000000"/>
      </bottom>
    </border>
    <border>
      <left style="thin">
        <color rgb="FFA5A5A5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A5A5A5"/>
      </right>
    </border>
    <border>
      <left style="thin">
        <color rgb="FFA5A5A5"/>
      </left>
      <right style="hair">
        <color rgb="FFBFBFBF"/>
      </right>
    </border>
    <border>
      <left style="thin">
        <color rgb="FFA5A5A5"/>
      </left>
      <right style="thin">
        <color rgb="FF000000"/>
      </right>
      <top style="thin">
        <color rgb="FFA5A5A5"/>
      </top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right style="hair">
        <color rgb="FFBFBFBF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000000"/>
      </right>
      <top style="thin">
        <color rgb="FFA5A5A5"/>
      </top>
      <bottom/>
    </border>
    <border>
      <left style="thin">
        <color rgb="FF000000"/>
      </left>
      <bottom style="thin">
        <color rgb="FFBFBFBF"/>
      </bottom>
    </border>
    <border>
      <right style="thin">
        <color rgb="FF000000"/>
      </right>
      <bottom style="thin">
        <color rgb="FFBFBFBF"/>
      </bottom>
    </border>
    <border>
      <left style="thin">
        <color rgb="FF000000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000000"/>
      </right>
      <bottom style="thin">
        <color rgb="FFA5A5A5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right style="hair">
        <color rgb="FFBFBFBF"/>
      </right>
      <bottom style="thin">
        <color rgb="FFA5A5A5"/>
      </bottom>
    </border>
    <border>
      <left style="thin">
        <color rgb="FFA5A5A5"/>
      </left>
      <right style="hair">
        <color rgb="FFBFBFBF"/>
      </right>
      <bottom style="thin">
        <color rgb="FFA5A5A5"/>
      </bottom>
    </border>
    <border>
      <left style="thin">
        <color rgb="FF000000"/>
      </left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thin">
        <color rgb="FF000000"/>
      </right>
      <top/>
      <bottom style="thin">
        <color rgb="FFA5A5A5"/>
      </bottom>
    </border>
    <border>
      <left style="thin">
        <color rgb="FF000000"/>
      </left>
      <top style="thin">
        <color rgb="FFA5A5A5"/>
      </top>
      <bottom style="thin">
        <color rgb="FFA5A5A5"/>
      </bottom>
    </border>
    <border>
      <right style="hair">
        <color rgb="FFBFBFBF"/>
      </right>
      <top style="thin">
        <color rgb="FFA5A5A5"/>
      </top>
      <bottom style="thin">
        <color rgb="FFA5A5A5"/>
      </bottom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top style="thin">
        <color rgb="FFBFBFBF"/>
      </top>
      <bottom style="thin">
        <color rgb="FFBFBFBF"/>
      </bottom>
    </border>
    <border>
      <right style="thin">
        <color rgb="FF000000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A5A5A5"/>
      </right>
      <bottom style="thin">
        <color rgb="FF000000"/>
      </bottom>
    </border>
    <border>
      <left style="thin">
        <color rgb="FFA5A5A5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000000"/>
      </bottom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readingOrder="0" shrinkToFit="0" vertical="center" wrapText="0"/>
    </xf>
    <xf borderId="5" fillId="0" fontId="3" numFmtId="0" xfId="0" applyBorder="1" applyFont="1"/>
    <xf borderId="6" fillId="3" fontId="4" numFmtId="0" xfId="0" applyAlignment="1" applyBorder="1" applyFont="1">
      <alignment horizontal="center" readingOrder="0" shrinkToFit="0" vertical="center" wrapText="0"/>
    </xf>
    <xf borderId="5" fillId="3" fontId="4" numFmtId="0" xfId="0" applyAlignment="1" applyBorder="1" applyFont="1">
      <alignment horizontal="center" readingOrder="0" shrinkToFit="0" vertical="center" wrapText="0"/>
    </xf>
    <xf borderId="7" fillId="4" fontId="4" numFmtId="0" xfId="0" applyAlignment="1" applyBorder="1" applyFill="1" applyFont="1">
      <alignment shrinkToFit="0" vertical="bottom" wrapText="0"/>
    </xf>
    <xf borderId="8" fillId="5" fontId="5" numFmtId="0" xfId="0" applyAlignment="1" applyBorder="1" applyFill="1" applyFont="1">
      <alignment horizontal="left" readingOrder="0" shrinkToFit="0" vertical="bottom" wrapText="0"/>
    </xf>
    <xf borderId="7" fillId="4" fontId="2" numFmtId="0" xfId="0" applyAlignment="1" applyBorder="1" applyFont="1">
      <alignment horizontal="right" shrinkToFit="0" vertical="bottom" wrapText="0"/>
    </xf>
    <xf borderId="0" fillId="4" fontId="2" numFmtId="0" xfId="0" applyAlignment="1" applyFont="1">
      <alignment horizontal="right" shrinkToFit="0" vertical="bottom" wrapText="0"/>
    </xf>
    <xf borderId="8" fillId="4" fontId="2" numFmtId="0" xfId="0" applyAlignment="1" applyBorder="1" applyFont="1">
      <alignment horizontal="right" shrinkToFit="0" vertical="bottom" wrapText="0"/>
    </xf>
    <xf borderId="9" fillId="6" fontId="2" numFmtId="0" xfId="0" applyAlignment="1" applyBorder="1" applyFill="1" applyFont="1">
      <alignment readingOrder="0" shrinkToFit="0" vertical="bottom" wrapText="0"/>
    </xf>
    <xf borderId="10" fillId="0" fontId="3" numFmtId="0" xfId="0" applyBorder="1" applyFont="1"/>
    <xf borderId="9" fillId="6" fontId="2" numFmtId="164" xfId="0" applyAlignment="1" applyBorder="1" applyFont="1" applyNumberFormat="1">
      <alignment horizontal="right" readingOrder="0" shrinkToFit="0" vertical="bottom" wrapText="0"/>
    </xf>
    <xf borderId="11" fillId="6" fontId="2" numFmtId="164" xfId="0" applyAlignment="1" applyBorder="1" applyFont="1" applyNumberFormat="1">
      <alignment horizontal="right" readingOrder="0" shrinkToFit="0" vertical="bottom" wrapText="0"/>
    </xf>
    <xf borderId="7" fillId="7" fontId="4" numFmtId="0" xfId="0" applyAlignment="1" applyBorder="1" applyFill="1" applyFont="1">
      <alignment readingOrder="0" shrinkToFit="0" vertical="bottom" wrapText="0"/>
    </xf>
    <xf borderId="8" fillId="5" fontId="5" numFmtId="164" xfId="0" applyAlignment="1" applyBorder="1" applyFont="1" applyNumberFormat="1">
      <alignment horizontal="left" readingOrder="0" shrinkToFit="0" vertical="bottom" wrapText="0"/>
    </xf>
    <xf borderId="0" fillId="7" fontId="4" numFmtId="3" xfId="0" applyAlignment="1" applyFont="1" applyNumberFormat="1">
      <alignment horizontal="right" readingOrder="0" shrinkToFit="0" vertical="bottom" wrapText="0"/>
    </xf>
    <xf borderId="8" fillId="7" fontId="4" numFmtId="3" xfId="0" applyAlignment="1" applyBorder="1" applyFont="1" applyNumberFormat="1">
      <alignment horizontal="right" readingOrder="0" shrinkToFit="0" vertical="bottom" wrapText="0"/>
    </xf>
    <xf borderId="3" fillId="2" fontId="1" numFmtId="3" xfId="0" applyBorder="1" applyFont="1" applyNumberFormat="1"/>
    <xf borderId="0" fillId="7" fontId="4" numFmtId="164" xfId="0" applyAlignment="1" applyFont="1" applyNumberFormat="1">
      <alignment shrinkToFit="0" vertical="bottom" wrapText="0"/>
    </xf>
    <xf borderId="8" fillId="7" fontId="4" numFmtId="164" xfId="0" applyAlignment="1" applyBorder="1" applyFont="1" applyNumberFormat="1">
      <alignment shrinkToFit="0" vertical="bottom" wrapText="0"/>
    </xf>
    <xf borderId="7" fillId="7" fontId="4" numFmtId="0" xfId="0" applyAlignment="1" applyBorder="1" applyFont="1">
      <alignment shrinkToFit="0" vertical="bottom" wrapText="0"/>
    </xf>
    <xf borderId="0" fillId="7" fontId="4" numFmtId="0" xfId="0" applyAlignment="1" applyFont="1">
      <alignment shrinkToFit="0" vertical="bottom" wrapText="0"/>
    </xf>
    <xf borderId="8" fillId="7" fontId="4" numFmtId="0" xfId="0" applyAlignment="1" applyBorder="1" applyFont="1">
      <alignment shrinkToFit="0" vertical="bottom" wrapText="0"/>
    </xf>
    <xf borderId="12" fillId="2" fontId="1" numFmtId="0" xfId="0" applyBorder="1" applyFont="1"/>
    <xf borderId="9" fillId="8" fontId="1" numFmtId="0" xfId="0" applyAlignment="1" applyBorder="1" applyFill="1" applyFont="1">
      <alignment horizontal="center" readingOrder="0"/>
    </xf>
    <xf borderId="7" fillId="7" fontId="6" numFmtId="0" xfId="0" applyAlignment="1" applyBorder="1" applyFont="1">
      <alignment readingOrder="0" shrinkToFit="0" vertical="bottom" wrapText="0"/>
    </xf>
    <xf borderId="8" fillId="5" fontId="5" numFmtId="9" xfId="0" applyAlignment="1" applyBorder="1" applyFont="1" applyNumberFormat="1">
      <alignment horizontal="left" readingOrder="0" shrinkToFit="0" vertical="bottom" wrapText="0"/>
    </xf>
    <xf borderId="11" fillId="8" fontId="1" numFmtId="0" xfId="0" applyAlignment="1" applyBorder="1" applyFont="1">
      <alignment readingOrder="0"/>
    </xf>
    <xf borderId="11" fillId="8" fontId="1" numFmtId="164" xfId="0" applyBorder="1" applyFont="1" applyNumberFormat="1"/>
    <xf borderId="9" fillId="9" fontId="2" numFmtId="0" xfId="0" applyAlignment="1" applyBorder="1" applyFill="1" applyFont="1">
      <alignment readingOrder="0" shrinkToFit="0" vertical="bottom" wrapText="0"/>
    </xf>
    <xf borderId="4" fillId="9" fontId="7" numFmtId="164" xfId="0" applyAlignment="1" applyBorder="1" applyFont="1" applyNumberFormat="1">
      <alignment horizontal="right" readingOrder="0" shrinkToFit="0" vertical="bottom" wrapText="0"/>
    </xf>
    <xf borderId="13" fillId="9" fontId="7" numFmtId="164" xfId="0" applyAlignment="1" applyBorder="1" applyFont="1" applyNumberFormat="1">
      <alignment horizontal="right" readingOrder="0" shrinkToFit="0" vertical="bottom" wrapText="0"/>
    </xf>
    <xf borderId="7" fillId="10" fontId="4" numFmtId="0" xfId="0" applyAlignment="1" applyBorder="1" applyFill="1" applyFont="1">
      <alignment readingOrder="0" shrinkToFit="0" vertical="bottom" wrapText="0"/>
    </xf>
    <xf borderId="8" fillId="5" fontId="5" numFmtId="165" xfId="0" applyAlignment="1" applyBorder="1" applyFont="1" applyNumberFormat="1">
      <alignment horizontal="left" readingOrder="0" shrinkToFit="0" vertical="bottom" wrapText="0"/>
    </xf>
    <xf borderId="0" fillId="10" fontId="4" numFmtId="164" xfId="0" applyAlignment="1" applyFont="1" applyNumberFormat="1">
      <alignment shrinkToFit="0" vertical="bottom" wrapText="0"/>
    </xf>
    <xf borderId="8" fillId="10" fontId="4" numFmtId="164" xfId="0" applyAlignment="1" applyBorder="1" applyFont="1" applyNumberFormat="1">
      <alignment shrinkToFit="0" vertical="bottom" wrapText="0"/>
    </xf>
    <xf borderId="7" fillId="10" fontId="4" numFmtId="0" xfId="0" applyAlignment="1" applyBorder="1" applyFont="1">
      <alignment shrinkToFit="0" vertical="bottom" wrapText="0"/>
    </xf>
    <xf borderId="0" fillId="10" fontId="4" numFmtId="0" xfId="0" applyAlignment="1" applyFont="1">
      <alignment shrinkToFit="0" vertical="bottom" wrapText="0"/>
    </xf>
    <xf borderId="8" fillId="10" fontId="4" numFmtId="0" xfId="0" applyAlignment="1" applyBorder="1" applyFont="1">
      <alignment shrinkToFit="0" vertical="bottom" wrapText="0"/>
    </xf>
    <xf borderId="13" fillId="8" fontId="1" numFmtId="0" xfId="0" applyAlignment="1" applyBorder="1" applyFont="1">
      <alignment horizontal="left" readingOrder="0" vertical="center"/>
    </xf>
    <xf borderId="11" fillId="8" fontId="1" numFmtId="166" xfId="0" applyBorder="1" applyFont="1" applyNumberFormat="1"/>
    <xf borderId="7" fillId="10" fontId="6" numFmtId="1" xfId="0" applyAlignment="1" applyBorder="1" applyFont="1" applyNumberFormat="1">
      <alignment readingOrder="0" shrinkToFit="0" vertical="bottom" wrapText="0"/>
    </xf>
    <xf borderId="8" fillId="5" fontId="8" numFmtId="1" xfId="0" applyAlignment="1" applyBorder="1" applyFont="1" applyNumberFormat="1">
      <alignment horizontal="left" readingOrder="0" shrinkToFit="0" vertical="bottom" wrapText="0"/>
    </xf>
    <xf borderId="0" fillId="10" fontId="6" numFmtId="164" xfId="0" applyAlignment="1" applyFont="1" applyNumberFormat="1">
      <alignment shrinkToFit="0" vertical="bottom" wrapText="0"/>
    </xf>
    <xf borderId="14" fillId="0" fontId="3" numFmtId="0" xfId="0" applyBorder="1" applyFont="1"/>
    <xf borderId="11" fillId="8" fontId="1" numFmtId="0" xfId="0" applyBorder="1" applyFont="1"/>
    <xf borderId="9" fillId="11" fontId="2" numFmtId="0" xfId="0" applyAlignment="1" applyBorder="1" applyFill="1" applyFont="1">
      <alignment readingOrder="0" shrinkToFit="0" vertical="bottom" wrapText="0"/>
    </xf>
    <xf borderId="4" fillId="11" fontId="9" numFmtId="164" xfId="0" applyAlignment="1" applyBorder="1" applyFont="1" applyNumberFormat="1">
      <alignment horizontal="right" readingOrder="0" shrinkToFit="0" vertical="bottom" wrapText="0"/>
    </xf>
    <xf borderId="15" fillId="0" fontId="3" numFmtId="0" xfId="0" applyBorder="1" applyFont="1"/>
    <xf borderId="7" fillId="12" fontId="4" numFmtId="0" xfId="0" applyAlignment="1" applyBorder="1" applyFill="1" applyFont="1">
      <alignment readingOrder="0" shrinkToFit="0" vertical="bottom" wrapText="0"/>
    </xf>
    <xf borderId="0" fillId="12" fontId="10" numFmtId="164" xfId="0" applyAlignment="1" applyFont="1" applyNumberFormat="1">
      <alignment horizontal="right" readingOrder="0" shrinkToFit="0" vertical="bottom" wrapText="0"/>
    </xf>
    <xf borderId="8" fillId="12" fontId="10" numFmtId="164" xfId="0" applyAlignment="1" applyBorder="1" applyFont="1" applyNumberFormat="1">
      <alignment horizontal="right" readingOrder="0" shrinkToFit="0" vertical="bottom" wrapText="0"/>
    </xf>
    <xf borderId="0" fillId="12" fontId="10" numFmtId="166" xfId="0" applyAlignment="1" applyFont="1" applyNumberFormat="1">
      <alignment horizontal="right" readingOrder="0" shrinkToFit="0" vertical="bottom" wrapText="0"/>
    </xf>
    <xf borderId="8" fillId="5" fontId="5" numFmtId="167" xfId="0" applyAlignment="1" applyBorder="1" applyFont="1" applyNumberFormat="1">
      <alignment horizontal="left" readingOrder="0" shrinkToFit="0" vertical="bottom" wrapText="0"/>
    </xf>
    <xf borderId="0" fillId="12" fontId="10" numFmtId="0" xfId="0" applyAlignment="1" applyFont="1">
      <alignment horizontal="right" readingOrder="0" shrinkToFit="0" vertical="bottom" wrapText="0"/>
    </xf>
    <xf borderId="8" fillId="12" fontId="10" numFmtId="0" xfId="0" applyAlignment="1" applyBorder="1" applyFont="1">
      <alignment horizontal="right" readingOrder="0" shrinkToFit="0" vertical="bottom" wrapText="0"/>
    </xf>
    <xf borderId="11" fillId="8" fontId="1" numFmtId="4" xfId="0" applyBorder="1" applyFont="1" applyNumberFormat="1"/>
    <xf borderId="8" fillId="5" fontId="5" numFmtId="0" xfId="0" applyAlignment="1" applyBorder="1" applyFont="1">
      <alignment horizontal="left" shrinkToFit="0" vertical="bottom" wrapText="0"/>
    </xf>
    <xf borderId="0" fillId="12" fontId="4" numFmtId="0" xfId="0" applyAlignment="1" applyFont="1">
      <alignment shrinkToFit="0" vertical="bottom" wrapText="0"/>
    </xf>
    <xf borderId="8" fillId="12" fontId="4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9" fillId="13" fontId="2" numFmtId="0" xfId="0" applyAlignment="1" applyBorder="1" applyFill="1" applyFont="1">
      <alignment readingOrder="0" shrinkToFit="0" vertical="bottom" wrapText="0"/>
    </xf>
    <xf borderId="9" fillId="13" fontId="9" numFmtId="164" xfId="0" applyAlignment="1" applyBorder="1" applyFont="1" applyNumberFormat="1">
      <alignment horizontal="right" readingOrder="0" shrinkToFit="0" vertical="bottom" wrapText="0"/>
    </xf>
    <xf borderId="11" fillId="13" fontId="9" numFmtId="164" xfId="0" applyAlignment="1" applyBorder="1" applyFont="1" applyNumberFormat="1">
      <alignment horizontal="right" readingOrder="0" shrinkToFit="0" vertical="bottom" wrapText="0"/>
    </xf>
    <xf borderId="0" fillId="4" fontId="4" numFmtId="0" xfId="0" applyAlignment="1" applyFont="1">
      <alignment shrinkToFit="0" vertical="bottom" wrapText="0"/>
    </xf>
    <xf borderId="8" fillId="4" fontId="4" numFmtId="0" xfId="0" applyAlignment="1" applyBorder="1" applyFont="1">
      <alignment shrinkToFit="0" vertical="bottom" wrapText="0"/>
    </xf>
    <xf borderId="9" fillId="14" fontId="2" numFmtId="0" xfId="0" applyAlignment="1" applyBorder="1" applyFill="1" applyFont="1">
      <alignment readingOrder="0" shrinkToFit="0" vertical="bottom" wrapText="0"/>
    </xf>
    <xf borderId="9" fillId="14" fontId="2" numFmtId="164" xfId="0" applyAlignment="1" applyBorder="1" applyFont="1" applyNumberFormat="1">
      <alignment horizontal="right" readingOrder="0" shrinkToFit="0" vertical="bottom" wrapText="0"/>
    </xf>
    <xf borderId="11" fillId="14" fontId="2" numFmtId="164" xfId="0" applyAlignment="1" applyBorder="1" applyFont="1" applyNumberFormat="1">
      <alignment horizontal="right" readingOrder="0" shrinkToFit="0" vertical="bottom" wrapText="0"/>
    </xf>
    <xf borderId="7" fillId="14" fontId="4" numFmtId="0" xfId="0" applyAlignment="1" applyBorder="1" applyFont="1">
      <alignment readingOrder="0" shrinkToFit="0" vertical="bottom" wrapText="0"/>
    </xf>
    <xf borderId="8" fillId="14" fontId="5" numFmtId="0" xfId="0" applyAlignment="1" applyBorder="1" applyFont="1">
      <alignment horizontal="left" shrinkToFit="0" vertical="bottom" wrapText="0"/>
    </xf>
    <xf borderId="7" fillId="14" fontId="4" numFmtId="164" xfId="0" applyAlignment="1" applyBorder="1" applyFont="1" applyNumberFormat="1">
      <alignment horizontal="right" readingOrder="0" shrinkToFit="0" vertical="bottom" wrapText="0"/>
    </xf>
    <xf borderId="0" fillId="14" fontId="4" numFmtId="0" xfId="0" applyAlignment="1" applyFont="1">
      <alignment shrinkToFit="0" vertical="bottom" wrapText="0"/>
    </xf>
    <xf borderId="0" fillId="14" fontId="4" numFmtId="0" xfId="0" applyAlignment="1" applyFont="1">
      <alignment readingOrder="0" shrinkToFit="0" vertical="bottom" wrapText="0"/>
    </xf>
    <xf borderId="0" fillId="14" fontId="11" numFmtId="0" xfId="0" applyAlignment="1" applyFont="1">
      <alignment readingOrder="0"/>
    </xf>
    <xf borderId="8" fillId="14" fontId="10" numFmtId="164" xfId="0" applyAlignment="1" applyBorder="1" applyFont="1" applyNumberFormat="1">
      <alignment horizontal="right" readingOrder="0" shrinkToFit="0" vertical="bottom" wrapText="0"/>
    </xf>
    <xf borderId="8" fillId="14" fontId="5" numFmtId="168" xfId="0" applyAlignment="1" applyBorder="1" applyFont="1" applyNumberFormat="1">
      <alignment horizontal="left" readingOrder="0" shrinkToFit="0" vertical="bottom" wrapText="0"/>
    </xf>
    <xf borderId="0" fillId="14" fontId="10" numFmtId="164" xfId="0" applyAlignment="1" applyFont="1" applyNumberFormat="1">
      <alignment horizontal="right" readingOrder="0" shrinkToFit="0" vertical="bottom" wrapText="0"/>
    </xf>
    <xf borderId="7" fillId="14" fontId="4" numFmtId="0" xfId="0" applyAlignment="1" applyBorder="1" applyFont="1">
      <alignment shrinkToFit="0" vertical="bottom" wrapText="0"/>
    </xf>
    <xf borderId="8" fillId="14" fontId="4" numFmtId="0" xfId="0" applyAlignment="1" applyBorder="1" applyFont="1">
      <alignment shrinkToFit="0" vertical="bottom" wrapText="0"/>
    </xf>
    <xf borderId="4" fillId="13" fontId="2" numFmtId="0" xfId="0" applyAlignment="1" applyBorder="1" applyFont="1">
      <alignment readingOrder="0" shrinkToFit="0" vertical="bottom" wrapText="0"/>
    </xf>
    <xf borderId="16" fillId="13" fontId="2" numFmtId="4" xfId="0" applyAlignment="1" applyBorder="1" applyFont="1" applyNumberFormat="1">
      <alignment horizontal="right" readingOrder="0" shrinkToFit="0" vertical="bottom" wrapText="0"/>
    </xf>
    <xf borderId="10" fillId="13" fontId="2" numFmtId="4" xfId="0" applyAlignment="1" applyBorder="1" applyFont="1" applyNumberFormat="1">
      <alignment horizontal="right" readingOrder="0" shrinkToFit="0" vertical="bottom" wrapText="0"/>
    </xf>
    <xf borderId="10" fillId="13" fontId="12" numFmtId="0" xfId="0" applyAlignment="1" applyBorder="1" applyFont="1">
      <alignment horizontal="left" shrinkToFit="0" vertical="bottom" wrapText="0"/>
    </xf>
    <xf borderId="17" fillId="13" fontId="2" numFmtId="4" xfId="0" applyAlignment="1" applyBorder="1" applyFont="1" applyNumberFormat="1">
      <alignment horizontal="right" readingOrder="0" shrinkToFit="0" vertical="bottom" wrapText="0"/>
    </xf>
    <xf borderId="18" fillId="13" fontId="2" numFmtId="4" xfId="0" applyAlignment="1" applyBorder="1" applyFont="1" applyNumberFormat="1">
      <alignment horizontal="right" readingOrder="0" shrinkToFit="0" vertical="bottom" wrapText="0"/>
    </xf>
    <xf borderId="19" fillId="13" fontId="2" numFmtId="4" xfId="0" applyAlignment="1" applyBorder="1" applyFont="1" applyNumberFormat="1">
      <alignment horizontal="right" readingOrder="0" shrinkToFit="0" vertical="bottom" wrapText="0"/>
    </xf>
    <xf borderId="20" fillId="2" fontId="1" numFmtId="0" xfId="0" applyBorder="1" applyFont="1"/>
    <xf borderId="1" fillId="2" fontId="1" numFmtId="3" xfId="0" applyBorder="1" applyFont="1" applyNumberFormat="1"/>
    <xf borderId="1" fillId="2" fontId="13" numFmtId="0" xfId="0" applyAlignment="1" applyBorder="1" applyFont="1">
      <alignment readingOrder="0"/>
    </xf>
    <xf borderId="1" fillId="2" fontId="13" numFmtId="0" xfId="0" applyBorder="1" applyFont="1"/>
    <xf borderId="21" fillId="15" fontId="14" numFmtId="0" xfId="0" applyAlignment="1" applyBorder="1" applyFill="1" applyFont="1">
      <alignment readingOrder="0"/>
    </xf>
    <xf borderId="22" fillId="0" fontId="3" numFmtId="0" xfId="0" applyBorder="1" applyFont="1"/>
    <xf borderId="23" fillId="0" fontId="3" numFmtId="0" xfId="0" applyBorder="1" applyFont="1"/>
    <xf borderId="24" fillId="15" fontId="14" numFmtId="164" xfId="0" applyBorder="1" applyFont="1" applyNumberFormat="1"/>
    <xf borderId="25" fillId="2" fontId="1" numFmtId="0" xfId="0" applyBorder="1" applyFont="1"/>
    <xf borderId="26" fillId="7" fontId="14" numFmtId="0" xfId="0" applyAlignment="1" applyBorder="1" applyFont="1">
      <alignment readingOrder="0"/>
    </xf>
    <xf borderId="27" fillId="0" fontId="3" numFmtId="0" xfId="0" applyBorder="1" applyFont="1"/>
    <xf borderId="28" fillId="0" fontId="3" numFmtId="0" xfId="0" applyBorder="1" applyFont="1"/>
    <xf borderId="29" fillId="7" fontId="14" numFmtId="166" xfId="0" applyBorder="1" applyFont="1" applyNumberFormat="1"/>
    <xf borderId="30" fillId="2" fontId="1" numFmtId="0" xfId="0" applyBorder="1" applyFont="1"/>
    <xf borderId="31" fillId="2" fontId="1" numFmtId="0" xfId="0" applyAlignment="1" applyBorder="1" applyFont="1">
      <alignment readingOrder="0"/>
    </xf>
    <xf borderId="32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33" fillId="2" fontId="1" numFmtId="164" xfId="0" applyBorder="1" applyFont="1" applyNumberFormat="1"/>
    <xf borderId="34" fillId="2" fontId="1" numFmtId="0" xfId="0" applyAlignment="1" applyBorder="1" applyFont="1">
      <alignment readingOrder="0"/>
    </xf>
    <xf borderId="35" fillId="2" fontId="1" numFmtId="0" xfId="0" applyAlignment="1" applyBorder="1" applyFont="1">
      <alignment readingOrder="0"/>
    </xf>
    <xf borderId="36" fillId="2" fontId="1" numFmtId="164" xfId="0" applyAlignment="1" applyBorder="1" applyFont="1" applyNumberFormat="1">
      <alignment readingOrder="0"/>
    </xf>
    <xf borderId="36" fillId="2" fontId="1" numFmtId="0" xfId="0" applyAlignment="1" applyBorder="1" applyFont="1">
      <alignment readingOrder="0"/>
    </xf>
    <xf borderId="37" fillId="2" fontId="1" numFmtId="164" xfId="0" applyBorder="1" applyFont="1" applyNumberFormat="1"/>
    <xf borderId="38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readingOrder="0"/>
    </xf>
    <xf borderId="39" fillId="2" fontId="1" numFmtId="0" xfId="0" applyBorder="1" applyFont="1"/>
    <xf borderId="40" fillId="10" fontId="14" numFmtId="0" xfId="0" applyAlignment="1" applyBorder="1" applyFont="1">
      <alignment readingOrder="0"/>
    </xf>
    <xf borderId="41" fillId="0" fontId="3" numFmtId="0" xfId="0" applyBorder="1" applyFont="1"/>
    <xf borderId="42" fillId="0" fontId="3" numFmtId="0" xfId="0" applyBorder="1" applyFont="1"/>
    <xf borderId="43" fillId="10" fontId="14" numFmtId="164" xfId="0" applyBorder="1" applyFont="1" applyNumberFormat="1"/>
    <xf borderId="44" fillId="2" fontId="1" numFmtId="0" xfId="0" applyAlignment="1" applyBorder="1" applyFont="1">
      <alignment horizontal="left" readingOrder="0" vertical="center"/>
    </xf>
    <xf borderId="39" fillId="2" fontId="1" numFmtId="164" xfId="0" applyAlignment="1" applyBorder="1" applyFont="1" applyNumberFormat="1">
      <alignment horizontal="left" vertical="center"/>
    </xf>
    <xf borderId="45" fillId="2" fontId="1" numFmtId="0" xfId="0" applyAlignment="1" applyBorder="1" applyFont="1">
      <alignment readingOrder="0"/>
    </xf>
    <xf borderId="46" fillId="2" fontId="1" numFmtId="164" xfId="0" applyAlignment="1" applyBorder="1" applyFont="1" applyNumberFormat="1">
      <alignment readingOrder="0"/>
    </xf>
    <xf borderId="7" fillId="0" fontId="3" numFmtId="0" xfId="0" applyBorder="1" applyFont="1"/>
    <xf borderId="47" fillId="0" fontId="3" numFmtId="0" xfId="0" applyBorder="1" applyFont="1"/>
    <xf borderId="48" fillId="2" fontId="1" numFmtId="0" xfId="0" applyAlignment="1" applyBorder="1" applyFont="1">
      <alignment readingOrder="0"/>
    </xf>
    <xf borderId="10" fillId="2" fontId="1" numFmtId="164" xfId="0" applyAlignment="1" applyBorder="1" applyFont="1" applyNumberFormat="1">
      <alignment readingOrder="0"/>
    </xf>
    <xf borderId="17" fillId="0" fontId="3" numFmtId="0" xfId="0" applyBorder="1" applyFont="1"/>
    <xf borderId="49" fillId="0" fontId="3" numFmtId="0" xfId="0" applyBorder="1" applyFont="1"/>
    <xf borderId="9" fillId="2" fontId="1" numFmtId="0" xfId="0" applyAlignment="1" applyBorder="1" applyFont="1">
      <alignment horizontal="left" readingOrder="0" vertical="center"/>
    </xf>
    <xf borderId="16" fillId="0" fontId="3" numFmtId="0" xfId="0" applyBorder="1" applyFont="1"/>
    <xf borderId="50" fillId="0" fontId="3" numFmtId="0" xfId="0" applyBorder="1" applyFont="1"/>
    <xf borderId="10" fillId="2" fontId="1" numFmtId="164" xfId="0" applyBorder="1" applyFont="1" applyNumberFormat="1"/>
    <xf borderId="4" fillId="2" fontId="1" numFmtId="0" xfId="0" applyAlignment="1" applyBorder="1" applyFont="1">
      <alignment horizontal="left" readingOrder="0" vertical="center"/>
    </xf>
    <xf borderId="51" fillId="16" fontId="1" numFmtId="0" xfId="0" applyAlignment="1" applyBorder="1" applyFill="1" applyFont="1">
      <alignment readingOrder="0"/>
    </xf>
    <xf borderId="29" fillId="16" fontId="1" numFmtId="164" xfId="0" applyBorder="1" applyFont="1" applyNumberFormat="1"/>
    <xf borderId="52" fillId="17" fontId="1" numFmtId="0" xfId="0" applyAlignment="1" applyBorder="1" applyFill="1" applyFont="1">
      <alignment readingOrder="0"/>
    </xf>
    <xf borderId="53" fillId="17" fontId="1" numFmtId="169" xfId="0" applyBorder="1" applyFont="1" applyNumberFormat="1"/>
    <xf borderId="11" fillId="2" fontId="1" numFmtId="164" xfId="0" applyBorder="1" applyFont="1" applyNumberFormat="1"/>
    <xf borderId="1" fillId="2" fontId="1" numFmtId="170" xfId="0" applyBorder="1" applyFont="1" applyNumberFormat="1"/>
    <xf borderId="1" fillId="2" fontId="1" numFmtId="169" xfId="0" applyBorder="1" applyFont="1" applyNumberFormat="1"/>
    <xf borderId="11" fillId="2" fontId="1" numFmtId="164" xfId="0" applyAlignment="1" applyBorder="1" applyFont="1" applyNumberFormat="1">
      <alignment readingOrder="0"/>
    </xf>
    <xf borderId="54" fillId="18" fontId="15" numFmtId="0" xfId="0" applyAlignment="1" applyBorder="1" applyFill="1" applyFont="1">
      <alignment horizontal="left" readingOrder="0" shrinkToFit="0" vertical="center" wrapText="1"/>
    </xf>
    <xf borderId="55" fillId="18" fontId="16" numFmtId="0" xfId="0" applyBorder="1" applyFont="1"/>
    <xf borderId="12" fillId="2" fontId="13" numFmtId="0" xfId="0" applyBorder="1" applyFont="1"/>
    <xf borderId="4" fillId="18" fontId="15" numFmtId="0" xfId="0" applyAlignment="1" applyBorder="1" applyFont="1">
      <alignment horizontal="left" readingOrder="0" shrinkToFit="0" vertical="center" wrapText="1"/>
    </xf>
    <xf borderId="6" fillId="0" fontId="3" numFmtId="0" xfId="0" applyBorder="1" applyFont="1"/>
    <xf borderId="3" fillId="2" fontId="13" numFmtId="0" xfId="0" applyBorder="1" applyFont="1"/>
    <xf borderId="56" fillId="19" fontId="14" numFmtId="0" xfId="0" applyAlignment="1" applyBorder="1" applyFill="1" applyFont="1">
      <alignment horizontal="center" readingOrder="0" shrinkToFit="0" vertical="center" wrapText="1"/>
    </xf>
    <xf borderId="57" fillId="0" fontId="3" numFmtId="0" xfId="0" applyBorder="1" applyFont="1"/>
    <xf borderId="58" fillId="7" fontId="14" numFmtId="0" xfId="0" applyAlignment="1" applyBorder="1" applyFont="1">
      <alignment horizontal="center" readingOrder="0" shrinkToFit="0" vertical="center" wrapText="1"/>
    </xf>
    <xf borderId="59" fillId="0" fontId="3" numFmtId="0" xfId="0" applyBorder="1" applyFont="1"/>
    <xf borderId="60" fillId="0" fontId="1" numFmtId="0" xfId="0" applyAlignment="1" applyBorder="1" applyFont="1">
      <alignment horizontal="left" readingOrder="0" shrinkToFit="0" vertical="center" wrapText="1"/>
    </xf>
    <xf borderId="61" fillId="0" fontId="1" numFmtId="171" xfId="0" applyAlignment="1" applyBorder="1" applyFont="1" applyNumberFormat="1">
      <alignment horizontal="center" readingOrder="0" shrinkToFit="0" vertical="center" wrapText="1"/>
    </xf>
    <xf borderId="44" fillId="2" fontId="1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19" fontId="1" numFmtId="171" xfId="0" applyAlignment="1" applyBorder="1" applyFont="1" applyNumberFormat="1">
      <alignment horizontal="left" readingOrder="0" shrinkToFit="0" vertical="center" wrapText="1"/>
    </xf>
    <xf borderId="65" fillId="19" fontId="1" numFmtId="171" xfId="0" applyAlignment="1" applyBorder="1" applyFont="1" applyNumberFormat="1">
      <alignment horizontal="center" readingOrder="0" shrinkToFit="0" vertical="center" wrapText="1"/>
    </xf>
    <xf borderId="64" fillId="7" fontId="1" numFmtId="171" xfId="0" applyAlignment="1" applyBorder="1" applyFont="1" applyNumberFormat="1">
      <alignment horizontal="left" readingOrder="0" shrinkToFit="0" vertical="center" wrapText="1"/>
    </xf>
    <xf borderId="65" fillId="7" fontId="1" numFmtId="171" xfId="0" applyAlignment="1" applyBorder="1" applyFont="1" applyNumberFormat="1">
      <alignment horizontal="center" readingOrder="0" shrinkToFit="0" vertical="center" wrapText="1"/>
    </xf>
    <xf borderId="64" fillId="2" fontId="1" numFmtId="0" xfId="0" applyAlignment="1" applyBorder="1" applyFont="1">
      <alignment horizontal="left" shrinkToFit="0" vertical="center" wrapText="1"/>
    </xf>
    <xf borderId="65" fillId="2" fontId="1" numFmtId="171" xfId="0" applyAlignment="1" applyBorder="1" applyFont="1" applyNumberFormat="1">
      <alignment horizontal="center" shrinkToFit="0" vertical="center" wrapText="1"/>
    </xf>
    <xf borderId="66" fillId="20" fontId="17" numFmtId="0" xfId="0" applyAlignment="1" applyBorder="1" applyFill="1" applyFont="1">
      <alignment horizontal="left" readingOrder="0" shrinkToFit="0" vertical="center" wrapText="1"/>
    </xf>
    <xf borderId="67" fillId="0" fontId="3" numFmtId="0" xfId="0" applyBorder="1" applyFont="1"/>
    <xf borderId="68" fillId="0" fontId="3" numFmtId="0" xfId="0" applyBorder="1" applyFont="1"/>
    <xf borderId="64" fillId="19" fontId="1" numFmtId="171" xfId="0" applyAlignment="1" applyBorder="1" applyFont="1" applyNumberFormat="1">
      <alignment horizontal="left" shrinkToFit="0" vertical="center" wrapText="1"/>
    </xf>
    <xf borderId="65" fillId="19" fontId="1" numFmtId="171" xfId="0" applyAlignment="1" applyBorder="1" applyFont="1" applyNumberFormat="1">
      <alignment horizontal="center" shrinkToFit="0" vertical="center" wrapText="1"/>
    </xf>
    <xf borderId="69" fillId="21" fontId="18" numFmtId="0" xfId="0" applyAlignment="1" applyBorder="1" applyFill="1" applyFont="1">
      <alignment horizontal="left" readingOrder="0" shrinkToFit="0" vertical="center" wrapText="1"/>
    </xf>
    <xf borderId="70" fillId="22" fontId="14" numFmtId="171" xfId="0" applyAlignment="1" applyBorder="1" applyFill="1" applyFont="1" applyNumberFormat="1">
      <alignment horizontal="center" shrinkToFit="0" vertical="center" wrapText="1"/>
    </xf>
    <xf borderId="71" fillId="0" fontId="1" numFmtId="0" xfId="0" applyAlignment="1" applyBorder="1" applyFont="1">
      <alignment horizontal="left" readingOrder="0" shrinkToFit="0" vertical="center" wrapText="1"/>
    </xf>
    <xf borderId="72" fillId="0" fontId="1" numFmtId="10" xfId="0" applyAlignment="1" applyBorder="1" applyFont="1" applyNumberFormat="1">
      <alignment horizontal="center" shrinkToFit="0" vertical="center" wrapText="1"/>
    </xf>
    <xf borderId="73" fillId="22" fontId="1" numFmtId="171" xfId="0" applyAlignment="1" applyBorder="1" applyFont="1" applyNumberFormat="1">
      <alignment horizontal="center" shrinkToFit="0" vertical="center" wrapText="1"/>
    </xf>
    <xf borderId="74" fillId="23" fontId="1" numFmtId="171" xfId="0" applyAlignment="1" applyBorder="1" applyFill="1" applyFont="1" applyNumberFormat="1">
      <alignment horizontal="left" shrinkToFit="0" vertical="center" wrapText="1"/>
    </xf>
    <xf borderId="75" fillId="23" fontId="1" numFmtId="171" xfId="0" applyAlignment="1" applyBorder="1" applyFont="1" applyNumberFormat="1">
      <alignment horizontal="center" shrinkToFit="0" vertical="center" wrapText="1"/>
    </xf>
    <xf borderId="64" fillId="0" fontId="1" numFmtId="0" xfId="0" applyAlignment="1" applyBorder="1" applyFont="1">
      <alignment horizontal="left" readingOrder="0" shrinkToFit="0" vertical="center" wrapText="1"/>
    </xf>
    <xf borderId="76" fillId="0" fontId="1" numFmtId="9" xfId="0" applyAlignment="1" applyBorder="1" applyFont="1" applyNumberFormat="1">
      <alignment horizontal="center" readingOrder="0" shrinkToFit="0" vertical="center" wrapText="1"/>
    </xf>
    <xf borderId="65" fillId="22" fontId="1" numFmtId="171" xfId="0" applyAlignment="1" applyBorder="1" applyFont="1" applyNumberFormat="1">
      <alignment horizontal="center" shrinkToFit="0" vertical="center" wrapText="1"/>
    </xf>
    <xf borderId="77" fillId="19" fontId="1" numFmtId="171" xfId="0" applyAlignment="1" applyBorder="1" applyFont="1" applyNumberFormat="1">
      <alignment horizontal="left" shrinkToFit="0" vertical="center" wrapText="1"/>
    </xf>
    <xf borderId="78" fillId="19" fontId="1" numFmtId="171" xfId="0" applyAlignment="1" applyBorder="1" applyFont="1" applyNumberFormat="1">
      <alignment horizontal="center" shrinkToFit="0" vertical="center" wrapText="1"/>
    </xf>
    <xf borderId="79" fillId="24" fontId="14" numFmtId="171" xfId="0" applyAlignment="1" applyBorder="1" applyFill="1" applyFont="1" applyNumberFormat="1">
      <alignment horizontal="center" readingOrder="0" shrinkToFit="0" vertical="center" wrapText="1"/>
    </xf>
    <xf borderId="80" fillId="0" fontId="3" numFmtId="0" xfId="0" applyBorder="1" applyFont="1"/>
    <xf borderId="81" fillId="0" fontId="1" numFmtId="0" xfId="0" applyAlignment="1" applyBorder="1" applyFont="1">
      <alignment horizontal="left" shrinkToFit="0" vertical="center" wrapText="1"/>
    </xf>
    <xf borderId="82" fillId="0" fontId="1" numFmtId="0" xfId="0" applyAlignment="1" applyBorder="1" applyFont="1">
      <alignment horizontal="left" shrinkToFit="0" vertical="center" wrapText="1"/>
    </xf>
    <xf borderId="73" fillId="22" fontId="19" numFmtId="171" xfId="0" applyAlignment="1" applyBorder="1" applyFont="1" applyNumberFormat="1">
      <alignment horizontal="center" shrinkToFit="0" vertical="center" wrapText="1"/>
    </xf>
    <xf borderId="64" fillId="25" fontId="1" numFmtId="171" xfId="0" applyAlignment="1" applyBorder="1" applyFill="1" applyFont="1" applyNumberFormat="1">
      <alignment horizontal="left" shrinkToFit="0" vertical="center" wrapText="1"/>
    </xf>
    <xf borderId="65" fillId="25" fontId="1" numFmtId="171" xfId="0" applyAlignment="1" applyBorder="1" applyFont="1" applyNumberFormat="1">
      <alignment horizontal="center" readingOrder="0" shrinkToFit="0" vertical="center" wrapText="1"/>
    </xf>
    <xf borderId="60" fillId="24" fontId="1" numFmtId="171" xfId="0" applyAlignment="1" applyBorder="1" applyFont="1" applyNumberFormat="1">
      <alignment horizontal="left" shrinkToFit="0" vertical="center" wrapText="1"/>
    </xf>
    <xf borderId="83" fillId="24" fontId="1" numFmtId="171" xfId="0" applyAlignment="1" applyBorder="1" applyFont="1" applyNumberFormat="1">
      <alignment horizontal="center" shrinkToFit="0" vertical="center" wrapText="1"/>
    </xf>
    <xf borderId="84" fillId="2" fontId="1" numFmtId="0" xfId="0" applyBorder="1" applyFont="1"/>
    <xf borderId="85" fillId="2" fontId="1" numFmtId="0" xfId="0" applyBorder="1" applyFont="1"/>
    <xf borderId="56" fillId="3" fontId="14" numFmtId="171" xfId="0" applyAlignment="1" applyBorder="1" applyFont="1" applyNumberFormat="1">
      <alignment horizontal="center" readingOrder="0" shrinkToFit="0" vertical="center" wrapText="1"/>
    </xf>
    <xf borderId="64" fillId="24" fontId="1" numFmtId="171" xfId="0" applyAlignment="1" applyBorder="1" applyFont="1" applyNumberFormat="1">
      <alignment horizontal="left" shrinkToFit="0" vertical="center" wrapText="1"/>
    </xf>
    <xf borderId="65" fillId="24" fontId="1" numFmtId="171" xfId="0" applyAlignment="1" applyBorder="1" applyFont="1" applyNumberFormat="1">
      <alignment horizontal="center" readingOrder="0" shrinkToFit="0" vertical="center" wrapText="1"/>
    </xf>
    <xf borderId="64" fillId="3" fontId="1" numFmtId="171" xfId="0" applyAlignment="1" applyBorder="1" applyFont="1" applyNumberFormat="1">
      <alignment horizontal="left" shrinkToFit="0" vertical="center" wrapText="1"/>
    </xf>
    <xf borderId="65" fillId="3" fontId="1" numFmtId="171" xfId="0" applyAlignment="1" applyBorder="1" applyFont="1" applyNumberFormat="1">
      <alignment horizontal="center" readingOrder="0" shrinkToFit="0" vertical="center" wrapText="1"/>
    </xf>
    <xf borderId="64" fillId="24" fontId="1" numFmtId="171" xfId="0" applyAlignment="1" applyBorder="1" applyFont="1" applyNumberFormat="1">
      <alignment horizontal="left" readingOrder="0" shrinkToFit="0" vertical="center" wrapText="1"/>
    </xf>
    <xf borderId="64" fillId="3" fontId="1" numFmtId="171" xfId="0" applyAlignment="1" applyBorder="1" applyFont="1" applyNumberFormat="1">
      <alignment horizontal="left" readingOrder="0" shrinkToFit="0" vertical="center" wrapText="1"/>
    </xf>
    <xf borderId="65" fillId="3" fontId="1" numFmtId="171" xfId="0" applyAlignment="1" applyBorder="1" applyFont="1" applyNumberFormat="1">
      <alignment horizontal="center" shrinkToFit="0" vertical="center" wrapText="1"/>
    </xf>
    <xf borderId="58" fillId="0" fontId="1" numFmtId="172" xfId="0" applyAlignment="1" applyBorder="1" applyFont="1" applyNumberFormat="1">
      <alignment horizontal="left" readingOrder="0" shrinkToFit="0" vertical="center" wrapText="1"/>
    </xf>
    <xf borderId="86" fillId="0" fontId="3" numFmtId="0" xfId="0" applyBorder="1" applyFont="1"/>
    <xf borderId="87" fillId="22" fontId="1" numFmtId="172" xfId="0" applyAlignment="1" applyBorder="1" applyFont="1" applyNumberFormat="1">
      <alignment horizontal="center" shrinkToFit="0" vertical="center" wrapText="1"/>
    </xf>
    <xf borderId="77" fillId="3" fontId="1" numFmtId="171" xfId="0" applyAlignment="1" applyBorder="1" applyFont="1" applyNumberFormat="1">
      <alignment horizontal="left" readingOrder="0" shrinkToFit="0" vertical="center" wrapText="1"/>
    </xf>
    <xf borderId="78" fillId="3" fontId="1" numFmtId="171" xfId="0" applyAlignment="1" applyBorder="1" applyFont="1" applyNumberFormat="1">
      <alignment horizontal="center" readingOrder="0" shrinkToFit="0" vertical="center" wrapText="1"/>
    </xf>
    <xf borderId="77" fillId="26" fontId="1" numFmtId="171" xfId="0" applyAlignment="1" applyBorder="1" applyFill="1" applyFont="1" applyNumberFormat="1">
      <alignment horizontal="left" readingOrder="0" shrinkToFit="0" vertical="center" wrapText="1"/>
    </xf>
    <xf borderId="78" fillId="26" fontId="1" numFmtId="171" xfId="0" applyAlignment="1" applyBorder="1" applyFont="1" applyNumberFormat="1">
      <alignment horizontal="center" readingOrder="0" shrinkToFit="0" vertical="center" wrapText="1"/>
    </xf>
    <xf borderId="74" fillId="27" fontId="1" numFmtId="171" xfId="0" applyAlignment="1" applyBorder="1" applyFill="1" applyFont="1" applyNumberFormat="1">
      <alignment horizontal="left" shrinkToFit="0" vertical="center" wrapText="1"/>
    </xf>
    <xf borderId="75" fillId="27" fontId="1" numFmtId="171" xfId="0" applyAlignment="1" applyBorder="1" applyFont="1" applyNumberFormat="1">
      <alignment horizontal="center" shrinkToFit="0" vertical="center" wrapText="1"/>
    </xf>
    <xf borderId="87" fillId="0" fontId="1" numFmtId="10" xfId="0" applyAlignment="1" applyBorder="1" applyFont="1" applyNumberFormat="1">
      <alignment horizontal="right" readingOrder="0" shrinkToFit="0" vertical="center" wrapText="1"/>
    </xf>
    <xf borderId="88" fillId="21" fontId="18" numFmtId="171" xfId="0" applyAlignment="1" applyBorder="1" applyFont="1" applyNumberFormat="1">
      <alignment horizontal="left" readingOrder="0" shrinkToFit="0" vertical="center" wrapText="1"/>
    </xf>
    <xf borderId="89" fillId="22" fontId="14" numFmtId="171" xfId="0" applyAlignment="1" applyBorder="1" applyFont="1" applyNumberFormat="1">
      <alignment horizontal="center" shrinkToFit="0" vertical="center" wrapText="1"/>
    </xf>
    <xf borderId="79" fillId="28" fontId="14" numFmtId="171" xfId="0" applyAlignment="1" applyBorder="1" applyFill="1" applyFont="1" applyNumberFormat="1">
      <alignment horizontal="center" readingOrder="0" shrinkToFit="0" vertical="center" wrapText="1"/>
    </xf>
    <xf borderId="90" fillId="0" fontId="1" numFmtId="172" xfId="0" applyAlignment="1" applyBorder="1" applyFont="1" applyNumberFormat="1">
      <alignment horizontal="left" readingOrder="0" shrinkToFit="0" vertical="center" wrapText="1"/>
    </xf>
    <xf borderId="91" fillId="0" fontId="3" numFmtId="0" xfId="0" applyBorder="1" applyFont="1"/>
    <xf borderId="76" fillId="22" fontId="19" numFmtId="172" xfId="0" applyAlignment="1" applyBorder="1" applyFont="1" applyNumberFormat="1">
      <alignment horizontal="center" readingOrder="0" shrinkToFit="0" vertical="center" wrapText="1"/>
    </xf>
    <xf borderId="0" fillId="0" fontId="20" numFmtId="0" xfId="0" applyAlignment="1" applyFont="1">
      <alignment readingOrder="0"/>
    </xf>
    <xf borderId="60" fillId="28" fontId="1" numFmtId="171" xfId="0" applyAlignment="1" applyBorder="1" applyFont="1" applyNumberFormat="1">
      <alignment horizontal="left" readingOrder="0" shrinkToFit="0" vertical="center" wrapText="1"/>
    </xf>
    <xf borderId="83" fillId="28" fontId="1" numFmtId="171" xfId="0" applyAlignment="1" applyBorder="1" applyFont="1" applyNumberFormat="1">
      <alignment horizontal="center" readingOrder="0" shrinkToFit="0" vertical="center" wrapText="1"/>
    </xf>
    <xf borderId="84" fillId="2" fontId="1" numFmtId="0" xfId="0" applyAlignment="1" applyBorder="1" applyFont="1">
      <alignment readingOrder="0"/>
    </xf>
    <xf borderId="65" fillId="22" fontId="1" numFmtId="173" xfId="0" applyAlignment="1" applyBorder="1" applyFont="1" applyNumberFormat="1">
      <alignment horizontal="center" shrinkToFit="0" vertical="center" wrapText="1"/>
    </xf>
    <xf borderId="92" fillId="2" fontId="1" numFmtId="0" xfId="0" applyBorder="1" applyFont="1"/>
    <xf borderId="93" fillId="2" fontId="1" numFmtId="0" xfId="0" applyBorder="1" applyFont="1"/>
    <xf borderId="7" fillId="28" fontId="21" numFmtId="0" xfId="0" applyBorder="1" applyFont="1"/>
    <xf borderId="8" fillId="28" fontId="21" numFmtId="0" xfId="0" applyBorder="1" applyFont="1"/>
    <xf borderId="7" fillId="20" fontId="17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4" fillId="21" fontId="18" numFmtId="0" xfId="0" applyAlignment="1" applyBorder="1" applyFont="1">
      <alignment horizontal="left" readingOrder="0" shrinkToFit="0" vertical="center" wrapText="1"/>
    </xf>
    <xf borderId="95" fillId="0" fontId="3" numFmtId="0" xfId="0" applyBorder="1" applyFont="1"/>
    <xf borderId="74" fillId="29" fontId="1" numFmtId="171" xfId="0" applyAlignment="1" applyBorder="1" applyFill="1" applyFont="1" applyNumberFormat="1">
      <alignment horizontal="left" shrinkToFit="0" vertical="center" wrapText="1"/>
    </xf>
    <xf borderId="75" fillId="29" fontId="1" numFmtId="171" xfId="0" applyAlignment="1" applyBorder="1" applyFont="1" applyNumberFormat="1">
      <alignment horizontal="center" shrinkToFit="0" vertical="center" wrapText="1"/>
    </xf>
    <xf borderId="7" fillId="0" fontId="1" numFmtId="172" xfId="0" applyAlignment="1" applyBorder="1" applyFont="1" applyNumberFormat="1">
      <alignment horizontal="left" readingOrder="0" shrinkToFit="0" vertical="center" wrapText="1"/>
    </xf>
    <xf borderId="0" fillId="22" fontId="19" numFmtId="174" xfId="0" applyAlignment="1" applyFont="1" applyNumberFormat="1">
      <alignment horizontal="right" shrinkToFit="0" vertical="center" wrapText="1"/>
    </xf>
    <xf borderId="96" fillId="0" fontId="1" numFmtId="0" xfId="0" applyAlignment="1" applyBorder="1" applyFont="1">
      <alignment horizontal="left" shrinkToFit="0" vertical="center" wrapText="1"/>
    </xf>
    <xf borderId="97" fillId="0" fontId="1" numFmtId="3" xfId="0" applyAlignment="1" applyBorder="1" applyFont="1" applyNumberFormat="1">
      <alignment horizontal="right" readingOrder="0" shrinkToFit="0" wrapText="1"/>
    </xf>
    <xf borderId="96" fillId="21" fontId="18" numFmtId="171" xfId="0" applyAlignment="1" applyBorder="1" applyFont="1" applyNumberFormat="1">
      <alignment horizontal="left" readingOrder="0" shrinkToFit="0" vertical="center" wrapText="1"/>
    </xf>
    <xf borderId="97" fillId="22" fontId="14" numFmtId="171" xfId="0" applyAlignment="1" applyBorder="1" applyFont="1" applyNumberFormat="1">
      <alignment horizontal="center" shrinkToFit="0" vertical="center" wrapText="1"/>
    </xf>
    <xf borderId="98" fillId="2" fontId="1" numFmtId="0" xfId="0" applyBorder="1" applyFont="1"/>
    <xf borderId="99" fillId="2" fontId="1" numFmtId="0" xfId="0" applyBorder="1" applyFont="1"/>
    <xf borderId="20" fillId="2" fontId="13" numFmtId="0" xfId="0" applyBorder="1" applyFont="1"/>
    <xf borderId="60" fillId="0" fontId="1" numFmtId="0" xfId="0" applyAlignment="1" applyBorder="1" applyFont="1">
      <alignment horizontal="left" shrinkToFit="0" vertical="center" wrapText="1"/>
    </xf>
    <xf borderId="100" fillId="0" fontId="1" numFmtId="0" xfId="0" applyAlignment="1" applyBorder="1" applyFont="1">
      <alignment horizontal="left" readingOrder="0" shrinkToFit="0" vertical="center" wrapText="1"/>
    </xf>
    <xf borderId="83" fillId="0" fontId="1" numFmtId="0" xfId="0" applyAlignment="1" applyBorder="1" applyFont="1">
      <alignment horizontal="left" shrinkToFit="0" vertical="center" wrapText="1"/>
    </xf>
    <xf borderId="101" fillId="0" fontId="1" numFmtId="0" xfId="0" applyAlignment="1" applyBorder="1" applyFont="1">
      <alignment horizontal="left" readingOrder="0" shrinkToFit="0" vertical="center" wrapText="1"/>
    </xf>
    <xf borderId="102" fillId="0" fontId="1" numFmtId="0" xfId="0" applyAlignment="1" applyBorder="1" applyFont="1">
      <alignment horizontal="center" readingOrder="0" shrinkToFit="0" vertical="center" wrapText="1"/>
    </xf>
    <xf borderId="103" fillId="22" fontId="1" numFmtId="175" xfId="0" applyAlignment="1" applyBorder="1" applyFont="1" applyNumberFormat="1">
      <alignment horizontal="center" shrinkToFit="0" vertical="center" wrapText="1"/>
    </xf>
    <xf borderId="1" fillId="2" fontId="13" numFmtId="4" xfId="0" applyAlignment="1" applyBorder="1" applyFont="1" applyNumberFormat="1">
      <alignment readingOrder="0"/>
    </xf>
    <xf borderId="1" fillId="2" fontId="13" numFmtId="4" xfId="0" applyBorder="1" applyFont="1" applyNumberFormat="1"/>
    <xf borderId="0" fillId="2" fontId="13" numFmtId="0" xfId="0" applyFont="1"/>
    <xf borderId="0" fillId="0" fontId="21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0" fillId="0" fontId="21" numFmtId="4" xfId="0" applyAlignment="1" applyFont="1" applyNumberFormat="1">
      <alignment readingOrder="0"/>
    </xf>
    <xf borderId="0" fillId="0" fontId="21" numFmtId="0" xfId="0" applyFont="1"/>
    <xf borderId="0" fillId="30" fontId="21" numFmtId="0" xfId="0" applyAlignment="1" applyFill="1" applyFont="1">
      <alignment readingOrder="0"/>
    </xf>
    <xf borderId="0" fillId="30" fontId="21" numFmtId="176" xfId="0" applyAlignment="1" applyFont="1" applyNumberFormat="1">
      <alignment readingOrder="0"/>
    </xf>
    <xf borderId="0" fillId="30" fontId="21" numFmtId="0" xfId="0" applyFont="1"/>
    <xf borderId="0" fillId="0" fontId="21" numFmtId="176" xfId="0" applyAlignment="1" applyFont="1" applyNumberFormat="1">
      <alignment readingOrder="0"/>
    </xf>
  </cellXfs>
  <cellStyles count="1">
    <cellStyle xfId="0" name="Normal" builtinId="0"/>
  </cellStyles>
  <dxfs count="4">
    <dxf>
      <font>
        <b/>
        <color rgb="FFFF0000"/>
      </font>
      <fill>
        <patternFill patternType="none"/>
      </fill>
      <border/>
    </dxf>
    <dxf>
      <font>
        <color rgb="FF274E13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847725</xdr:colOff>
      <xdr:row>37</xdr:row>
      <xdr:rowOff>95250</xdr:rowOff>
    </xdr:from>
    <xdr:ext cx="4857750" cy="3533775"/>
    <xdr:pic>
      <xdr:nvPicPr>
        <xdr:cNvPr id="374851550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38</xdr:row>
      <xdr:rowOff>28575</xdr:rowOff>
    </xdr:from>
    <xdr:ext cx="4686300" cy="2895600"/>
    <xdr:pic>
      <xdr:nvPicPr>
        <xdr:cNvPr id="779860065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EE7B08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7.78"/>
    <col customWidth="1" min="2" max="2" width="27.78"/>
    <col customWidth="1" min="3" max="3" width="11.22"/>
    <col customWidth="1" min="16" max="16" width="4.44"/>
    <col customWidth="1" min="17" max="17" width="15.44"/>
  </cols>
  <sheetData>
    <row r="1" ht="27.0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26.25" customHeight="1">
      <c r="A2" s="1"/>
      <c r="B2" s="4" t="s">
        <v>0</v>
      </c>
      <c r="C2" s="5"/>
      <c r="D2" s="6">
        <v>1.0</v>
      </c>
      <c r="E2" s="6">
        <v>2.0</v>
      </c>
      <c r="F2" s="6">
        <v>3.0</v>
      </c>
      <c r="G2" s="6">
        <v>4.0</v>
      </c>
      <c r="H2" s="6">
        <v>5.0</v>
      </c>
      <c r="I2" s="6">
        <v>6.0</v>
      </c>
      <c r="J2" s="6">
        <v>7.0</v>
      </c>
      <c r="K2" s="6">
        <v>8.0</v>
      </c>
      <c r="L2" s="6">
        <v>9.0</v>
      </c>
      <c r="M2" s="6">
        <v>10.0</v>
      </c>
      <c r="N2" s="6">
        <v>11.0</v>
      </c>
      <c r="O2" s="7">
        <v>12.0</v>
      </c>
      <c r="P2" s="3"/>
      <c r="Q2" s="3"/>
      <c r="R2" s="3"/>
      <c r="S2" s="3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ht="5.25" customHeight="1">
      <c r="A3" s="1"/>
      <c r="B3" s="8"/>
      <c r="C3" s="9"/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3"/>
      <c r="Q3" s="3"/>
      <c r="R3" s="3"/>
      <c r="S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>
      <c r="A4" s="1"/>
      <c r="B4" s="13" t="s">
        <v>1</v>
      </c>
      <c r="C4" s="14"/>
      <c r="D4" s="15">
        <f t="shared" ref="D4:O4" si="1">SUM(D6)</f>
        <v>17800</v>
      </c>
      <c r="E4" s="15">
        <f t="shared" si="1"/>
        <v>25632</v>
      </c>
      <c r="F4" s="15">
        <f t="shared" si="1"/>
        <v>30758.4</v>
      </c>
      <c r="G4" s="15">
        <f t="shared" si="1"/>
        <v>36910.08</v>
      </c>
      <c r="H4" s="15">
        <f t="shared" si="1"/>
        <v>44292.096</v>
      </c>
      <c r="I4" s="15">
        <f t="shared" si="1"/>
        <v>53150.5152</v>
      </c>
      <c r="J4" s="15">
        <f t="shared" si="1"/>
        <v>63780.61824</v>
      </c>
      <c r="K4" s="15">
        <f t="shared" si="1"/>
        <v>76536.74189</v>
      </c>
      <c r="L4" s="15">
        <f t="shared" si="1"/>
        <v>91844.09027</v>
      </c>
      <c r="M4" s="15">
        <f t="shared" si="1"/>
        <v>110212.9083</v>
      </c>
      <c r="N4" s="15">
        <f t="shared" si="1"/>
        <v>132255.49</v>
      </c>
      <c r="O4" s="16">
        <f t="shared" si="1"/>
        <v>158706.588</v>
      </c>
      <c r="P4" s="3"/>
      <c r="Q4" s="3"/>
      <c r="R4" s="3"/>
      <c r="S4" s="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>
      <c r="A5" s="1"/>
      <c r="B5" s="17" t="s">
        <v>2</v>
      </c>
      <c r="C5" s="18">
        <f>kusCena</f>
        <v>89</v>
      </c>
      <c r="D5" s="19">
        <v>200.0</v>
      </c>
      <c r="E5" s="19">
        <f>zakazniciPocatek*(1+zakazniciPrirustek)^E2</f>
        <v>288</v>
      </c>
      <c r="F5" s="19">
        <f>zakazniciPocatek*(1+zakazniciPrirustek)^F2</f>
        <v>345.6</v>
      </c>
      <c r="G5" s="19">
        <f>zakazniciPocatek*(1+zakazniciPrirustek)^G2</f>
        <v>414.72</v>
      </c>
      <c r="H5" s="19">
        <f>zakazniciPocatek*(1+zakazniciPrirustek)^H2</f>
        <v>497.664</v>
      </c>
      <c r="I5" s="19">
        <f>zakazniciPocatek*(1+zakazniciPrirustek)^I2</f>
        <v>597.1968</v>
      </c>
      <c r="J5" s="19">
        <f>zakazniciPocatek*(1+zakazniciPrirustek)^J2</f>
        <v>716.63616</v>
      </c>
      <c r="K5" s="19">
        <f>zakazniciPocatek*(1+zakazniciPrirustek)^K2</f>
        <v>859.963392</v>
      </c>
      <c r="L5" s="19">
        <f>zakazniciPocatek*(1+zakazniciPrirustek)^L2</f>
        <v>1031.95607</v>
      </c>
      <c r="M5" s="19">
        <f>zakazniciPocatek*(1+zakazniciPrirustek)^M2</f>
        <v>1238.347284</v>
      </c>
      <c r="N5" s="19">
        <f>zakazniciPocatek*(1+zakazniciPrirustek)^N2</f>
        <v>1486.016741</v>
      </c>
      <c r="O5" s="20">
        <f>zakazniciPocatek*(1+zakazniciPrirustek)^O2</f>
        <v>1783.22009</v>
      </c>
      <c r="P5" s="3"/>
      <c r="Q5" s="21">
        <f>SUM(D5:O5)</f>
        <v>9459.320538</v>
      </c>
      <c r="R5" s="3"/>
      <c r="S5" s="3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/>
      <c r="B6" s="17" t="s">
        <v>3</v>
      </c>
      <c r="C6" s="18"/>
      <c r="D6" s="22">
        <f>zakazniciPocatek*kusCena</f>
        <v>17800</v>
      </c>
      <c r="E6" s="22">
        <f>zakazniciPocatek*(1+zakazniciPrirustek)^E2*kusCena</f>
        <v>25632</v>
      </c>
      <c r="F6" s="22">
        <f>zakazniciPocatek*(1+zakazniciPrirustek)^F2*kusCena</f>
        <v>30758.4</v>
      </c>
      <c r="G6" s="22">
        <f>zakazniciPocatek*(1+zakazniciPrirustek)^G2*kusCena</f>
        <v>36910.08</v>
      </c>
      <c r="H6" s="22">
        <f>zakazniciPocatek*(1+zakazniciPrirustek)^H2*kusCena</f>
        <v>44292.096</v>
      </c>
      <c r="I6" s="22">
        <f>zakazniciPocatek*(1+zakazniciPrirustek)^I2*kusCena</f>
        <v>53150.5152</v>
      </c>
      <c r="J6" s="22">
        <f>zakazniciPocatek*(1+zakazniciPrirustek)^J2*kusCena</f>
        <v>63780.61824</v>
      </c>
      <c r="K6" s="22">
        <f>zakazniciPocatek*(1+zakazniciPrirustek)^K2*kusCena</f>
        <v>76536.74189</v>
      </c>
      <c r="L6" s="22">
        <f>zakazniciPocatek*(1+zakazniciPrirustek)^L2*kusCena</f>
        <v>91844.09027</v>
      </c>
      <c r="M6" s="22">
        <f>zakazniciPocatek*(1+zakazniciPrirustek)^M2*kusCena</f>
        <v>110212.9083</v>
      </c>
      <c r="N6" s="22">
        <f>zakazniciPocatek*(1+zakazniciPrirustek)^N2*kusCena</f>
        <v>132255.49</v>
      </c>
      <c r="O6" s="23">
        <f>zakazniciPocatek*(1+zakazniciPrirustek)^O2*kusCena</f>
        <v>158706.588</v>
      </c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/>
      <c r="B7" s="17"/>
      <c r="C7" s="18"/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7"/>
      <c r="Q7" s="28" t="s">
        <v>4</v>
      </c>
      <c r="R7" s="14"/>
      <c r="S7" s="3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1"/>
      <c r="B8" s="29" t="s">
        <v>5</v>
      </c>
      <c r="C8" s="30">
        <v>0.2</v>
      </c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7"/>
      <c r="Q8" s="31" t="s">
        <v>6</v>
      </c>
      <c r="R8" s="32">
        <f>SUM(D4:O4)</f>
        <v>841879.5279</v>
      </c>
      <c r="S8" s="3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>
      <c r="A9" s="1"/>
      <c r="B9" s="33" t="s">
        <v>7</v>
      </c>
      <c r="C9" s="14"/>
      <c r="D9" s="34">
        <f t="shared" ref="D9:O9" si="2">SUM(D10:D11)</f>
        <v>-6000</v>
      </c>
      <c r="E9" s="34">
        <f t="shared" si="2"/>
        <v>-8640</v>
      </c>
      <c r="F9" s="34">
        <f t="shared" si="2"/>
        <v>-10368</v>
      </c>
      <c r="G9" s="34">
        <f t="shared" si="2"/>
        <v>-12441.6</v>
      </c>
      <c r="H9" s="34">
        <f t="shared" si="2"/>
        <v>-14929.92</v>
      </c>
      <c r="I9" s="34">
        <f t="shared" si="2"/>
        <v>-17915.904</v>
      </c>
      <c r="J9" s="34">
        <f t="shared" si="2"/>
        <v>-21499.0848</v>
      </c>
      <c r="K9" s="34">
        <f t="shared" si="2"/>
        <v>-25798.90176</v>
      </c>
      <c r="L9" s="34">
        <f t="shared" si="2"/>
        <v>-30958.68211</v>
      </c>
      <c r="M9" s="34">
        <f t="shared" si="2"/>
        <v>-37150.41853</v>
      </c>
      <c r="N9" s="34">
        <f t="shared" si="2"/>
        <v>-44580.50224</v>
      </c>
      <c r="O9" s="35">
        <f t="shared" si="2"/>
        <v>-53496.60269</v>
      </c>
      <c r="P9" s="27"/>
      <c r="Q9" s="31" t="s">
        <v>8</v>
      </c>
      <c r="R9" s="32">
        <f>SUM(D9:O9)</f>
        <v>-283779.6161</v>
      </c>
      <c r="S9" s="3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/>
      <c r="B10" s="36" t="s">
        <v>9</v>
      </c>
      <c r="C10" s="37">
        <f>kusPrimeNaklady</f>
        <v>30</v>
      </c>
      <c r="D10" s="38">
        <f>D5*kusPrimeNaklady*-1</f>
        <v>-6000</v>
      </c>
      <c r="E10" s="38">
        <f>E5*kusPrimeNaklady*-1</f>
        <v>-8640</v>
      </c>
      <c r="F10" s="38">
        <f>F5*kusPrimeNaklady*-1</f>
        <v>-10368</v>
      </c>
      <c r="G10" s="38">
        <f>G5*kusPrimeNaklady*-1</f>
        <v>-12441.6</v>
      </c>
      <c r="H10" s="38">
        <f>H5*kusPrimeNaklady*-1</f>
        <v>-14929.92</v>
      </c>
      <c r="I10" s="38">
        <f>I5*kusPrimeNaklady*-1</f>
        <v>-17915.904</v>
      </c>
      <c r="J10" s="38">
        <f>J5*kusPrimeNaklady*-1</f>
        <v>-21499.0848</v>
      </c>
      <c r="K10" s="38">
        <f>K5*kusPrimeNaklady*-1</f>
        <v>-25798.90176</v>
      </c>
      <c r="L10" s="38">
        <f>L5*kusPrimeNaklady*-1</f>
        <v>-30958.68211</v>
      </c>
      <c r="M10" s="38">
        <f>M5*kusPrimeNaklady*-1</f>
        <v>-37150.41853</v>
      </c>
      <c r="N10" s="38">
        <f>N5*kusPrimeNaklady*-1</f>
        <v>-44580.50224</v>
      </c>
      <c r="O10" s="39">
        <f>O5*kusPrimeNaklady*-1</f>
        <v>-53496.60269</v>
      </c>
      <c r="P10" s="27"/>
      <c r="Q10" s="31" t="s">
        <v>10</v>
      </c>
      <c r="R10" s="32">
        <f>SUM(D13:O13)</f>
        <v>-479809.6161</v>
      </c>
      <c r="S10" s="3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>
      <c r="A11" s="1"/>
      <c r="B11" s="36"/>
      <c r="C11" s="9"/>
      <c r="D11" s="40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27"/>
      <c r="Q11" s="43" t="s">
        <v>11</v>
      </c>
      <c r="R11" s="44">
        <f>SUM(D15:O16)</f>
        <v>-308779.6161</v>
      </c>
      <c r="S11" s="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>
      <c r="A12" s="1"/>
      <c r="B12" s="45" t="s">
        <v>12</v>
      </c>
      <c r="C12" s="46"/>
      <c r="D12" s="47">
        <f t="shared" ref="D12:O12" si="3">D4+D9</f>
        <v>11800</v>
      </c>
      <c r="E12" s="47">
        <f t="shared" si="3"/>
        <v>16992</v>
      </c>
      <c r="F12" s="47">
        <f t="shared" si="3"/>
        <v>20390.4</v>
      </c>
      <c r="G12" s="47">
        <f t="shared" si="3"/>
        <v>24468.48</v>
      </c>
      <c r="H12" s="47">
        <f t="shared" si="3"/>
        <v>29362.176</v>
      </c>
      <c r="I12" s="47">
        <f t="shared" si="3"/>
        <v>35234.6112</v>
      </c>
      <c r="J12" s="47">
        <f t="shared" si="3"/>
        <v>42281.53344</v>
      </c>
      <c r="K12" s="47">
        <f t="shared" si="3"/>
        <v>50737.84013</v>
      </c>
      <c r="L12" s="47">
        <f t="shared" si="3"/>
        <v>60885.40815</v>
      </c>
      <c r="M12" s="47">
        <f t="shared" si="3"/>
        <v>73062.48978</v>
      </c>
      <c r="N12" s="47">
        <f t="shared" si="3"/>
        <v>87674.98774</v>
      </c>
      <c r="O12" s="47">
        <f t="shared" si="3"/>
        <v>105209.9853</v>
      </c>
      <c r="P12" s="27"/>
      <c r="Q12" s="48"/>
      <c r="R12" s="49"/>
      <c r="S12" s="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>
      <c r="A13" s="1"/>
      <c r="B13" s="50" t="s">
        <v>13</v>
      </c>
      <c r="C13" s="14"/>
      <c r="D13" s="51">
        <f t="shared" ref="D13:O13" si="4">SUM(D14:D25)</f>
        <v>-53190</v>
      </c>
      <c r="E13" s="51">
        <f t="shared" si="4"/>
        <v>-15130</v>
      </c>
      <c r="F13" s="51">
        <f t="shared" si="4"/>
        <v>-22008</v>
      </c>
      <c r="G13" s="51">
        <f t="shared" si="4"/>
        <v>-24381.6</v>
      </c>
      <c r="H13" s="51">
        <f t="shared" si="4"/>
        <v>-27019.92</v>
      </c>
      <c r="I13" s="51">
        <f t="shared" si="4"/>
        <v>-30305.904</v>
      </c>
      <c r="J13" s="51">
        <f t="shared" si="4"/>
        <v>-43339.0848</v>
      </c>
      <c r="K13" s="51">
        <f t="shared" si="4"/>
        <v>-39088.90176</v>
      </c>
      <c r="L13" s="51">
        <f t="shared" si="4"/>
        <v>-44698.68211</v>
      </c>
      <c r="M13" s="51">
        <f t="shared" si="4"/>
        <v>-51490.41853</v>
      </c>
      <c r="N13" s="51">
        <f t="shared" si="4"/>
        <v>-59670.50224</v>
      </c>
      <c r="O13" s="51">
        <f t="shared" si="4"/>
        <v>-69486.60269</v>
      </c>
      <c r="P13" s="27"/>
      <c r="Q13" s="52"/>
      <c r="R13" s="49"/>
      <c r="S13" s="3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>
      <c r="A14" s="1"/>
      <c r="B14" s="53" t="s">
        <v>14</v>
      </c>
      <c r="C14" s="30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5"/>
      <c r="P14" s="27"/>
      <c r="Q14" s="31" t="s">
        <v>15</v>
      </c>
      <c r="R14" s="32">
        <f>SUM(D18:O18)</f>
        <v>-40950</v>
      </c>
      <c r="S14" s="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>
      <c r="A15" s="1"/>
      <c r="B15" s="53" t="s">
        <v>16</v>
      </c>
      <c r="C15" s="37">
        <v>30.0</v>
      </c>
      <c r="D15" s="56">
        <f t="shared" ref="D15:O15" si="5">D5*$C$15*-1</f>
        <v>-6000</v>
      </c>
      <c r="E15" s="56">
        <f t="shared" si="5"/>
        <v>-8640</v>
      </c>
      <c r="F15" s="56">
        <f t="shared" si="5"/>
        <v>-10368</v>
      </c>
      <c r="G15" s="56">
        <f t="shared" si="5"/>
        <v>-12441.6</v>
      </c>
      <c r="H15" s="56">
        <f t="shared" si="5"/>
        <v>-14929.92</v>
      </c>
      <c r="I15" s="56">
        <f t="shared" si="5"/>
        <v>-17915.904</v>
      </c>
      <c r="J15" s="56">
        <f t="shared" si="5"/>
        <v>-21499.0848</v>
      </c>
      <c r="K15" s="56">
        <f t="shared" si="5"/>
        <v>-25798.90176</v>
      </c>
      <c r="L15" s="56">
        <f t="shared" si="5"/>
        <v>-30958.68211</v>
      </c>
      <c r="M15" s="56">
        <f t="shared" si="5"/>
        <v>-37150.41853</v>
      </c>
      <c r="N15" s="56">
        <f t="shared" si="5"/>
        <v>-44580.50224</v>
      </c>
      <c r="O15" s="56">
        <f t="shared" si="5"/>
        <v>-53496.60269</v>
      </c>
      <c r="P15" s="27"/>
      <c r="Q15" s="31"/>
      <c r="R15" s="49"/>
      <c r="S15" s="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>
      <c r="A16" s="1"/>
      <c r="B16" s="53" t="s">
        <v>17</v>
      </c>
      <c r="C16" s="57">
        <v>0.5</v>
      </c>
      <c r="D16" s="54">
        <f>kapital*C16*-1</f>
        <v>-25000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  <c r="P16" s="27"/>
      <c r="Q16" s="31" t="s">
        <v>18</v>
      </c>
      <c r="R16" s="32">
        <f>SUM(D19:O19)</f>
        <v>-31080</v>
      </c>
      <c r="S16" s="3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>
      <c r="A17" s="1"/>
      <c r="B17" s="53" t="s">
        <v>19</v>
      </c>
      <c r="C17" s="9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5"/>
      <c r="P17" s="27"/>
      <c r="Q17" s="31"/>
      <c r="R17" s="49"/>
      <c r="S17" s="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>
      <c r="A18" s="1"/>
      <c r="B18" s="53" t="s">
        <v>20</v>
      </c>
      <c r="C18" s="9"/>
      <c r="D18" s="54">
        <f>-150*ROUNDUP(D5/vyrobniRezieRychlost)-1000</f>
        <v>-1600</v>
      </c>
      <c r="E18" s="54">
        <f>-150*ROUNDUP(E5/vyrobniRezieRychlost)-1000</f>
        <v>-1900</v>
      </c>
      <c r="F18" s="54">
        <f>-150*ROUNDUP(F5/vyrobniRezieRychlost)-1000</f>
        <v>-2050</v>
      </c>
      <c r="G18" s="54">
        <f>-150*ROUNDUP(G5/vyrobniRezieRychlost)-1000</f>
        <v>-2350</v>
      </c>
      <c r="H18" s="54">
        <f>-150*ROUNDUP(H5/vyrobniRezieRychlost)-1000</f>
        <v>-2500</v>
      </c>
      <c r="I18" s="54">
        <f>-150*ROUNDUP(I5/vyrobniRezieRychlost)-1000</f>
        <v>-2800</v>
      </c>
      <c r="J18" s="54">
        <f>-150*ROUNDUP(J5/vyrobniRezieRychlost)-1000</f>
        <v>-3250</v>
      </c>
      <c r="K18" s="54">
        <f>-150*ROUNDUP(K5/vyrobniRezieRychlost)-1000</f>
        <v>-3700</v>
      </c>
      <c r="L18" s="54">
        <f>-150*ROUNDUP(L5/vyrobniRezieRychlost)-1000</f>
        <v>-4150</v>
      </c>
      <c r="M18" s="54">
        <f>-150*ROUNDUP(M5/vyrobniRezieRychlost)-1000</f>
        <v>-4750</v>
      </c>
      <c r="N18" s="54">
        <f>-150*ROUNDUP(N5/vyrobniRezieRychlost)-1000</f>
        <v>-5500</v>
      </c>
      <c r="O18" s="54">
        <f>-150*ROUNDUP(O5/vyrobniRezieRychlost)-1000</f>
        <v>-6400</v>
      </c>
      <c r="P18" s="27"/>
      <c r="Q18" s="31" t="s">
        <v>21</v>
      </c>
      <c r="R18" s="32">
        <f>SUM(D20:O20)</f>
        <v>-50000</v>
      </c>
      <c r="S18" s="3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>
      <c r="A19" s="1"/>
      <c r="B19" s="53" t="s">
        <v>22</v>
      </c>
      <c r="C19" s="9"/>
      <c r="D19" s="54">
        <f>spravniRezie*-1</f>
        <v>-2590</v>
      </c>
      <c r="E19" s="54">
        <f>spravniRezie*-1</f>
        <v>-2590</v>
      </c>
      <c r="F19" s="54">
        <f>spravniRezie*-1</f>
        <v>-2590</v>
      </c>
      <c r="G19" s="54">
        <f>spravniRezie*-1</f>
        <v>-2590</v>
      </c>
      <c r="H19" s="54">
        <f>spravniRezie*-1</f>
        <v>-2590</v>
      </c>
      <c r="I19" s="54">
        <f>spravniRezie*-1</f>
        <v>-2590</v>
      </c>
      <c r="J19" s="54">
        <f>spravniRezie*-1</f>
        <v>-2590</v>
      </c>
      <c r="K19" s="54">
        <f>spravniRezie*-1</f>
        <v>-2590</v>
      </c>
      <c r="L19" s="54">
        <f>spravniRezie*-1</f>
        <v>-2590</v>
      </c>
      <c r="M19" s="54">
        <f>spravniRezie*-1</f>
        <v>-2590</v>
      </c>
      <c r="N19" s="54">
        <f>spravniRezie*-1</f>
        <v>-2590</v>
      </c>
      <c r="O19" s="55">
        <f>spravniRezie*-1</f>
        <v>-2590</v>
      </c>
      <c r="P19" s="27"/>
      <c r="Q19" s="31" t="s">
        <v>23</v>
      </c>
      <c r="R19" s="60">
        <f>SUM(D32:O32)</f>
        <v>75790.2956</v>
      </c>
      <c r="S19" s="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>
      <c r="A20" s="1"/>
      <c r="B20" s="53" t="s">
        <v>24</v>
      </c>
      <c r="C20" s="9"/>
      <c r="D20" s="54"/>
      <c r="E20" s="54"/>
      <c r="F20" s="54">
        <f>podnikatelVydaje*-1</f>
        <v>-5000</v>
      </c>
      <c r="G20" s="54">
        <f>podnikatelVydaje*-1</f>
        <v>-5000</v>
      </c>
      <c r="H20" s="54">
        <f>podnikatelVydaje*-1</f>
        <v>-5000</v>
      </c>
      <c r="I20" s="54">
        <f>podnikatelVydaje*-1</f>
        <v>-5000</v>
      </c>
      <c r="J20" s="54">
        <f>podnikatelVydaje*-1</f>
        <v>-5000</v>
      </c>
      <c r="K20" s="54">
        <f>podnikatelVydaje*-1</f>
        <v>-5000</v>
      </c>
      <c r="L20" s="54">
        <f>podnikatelVydaje*-1</f>
        <v>-5000</v>
      </c>
      <c r="M20" s="54">
        <f>podnikatelVydaje*-1</f>
        <v>-5000</v>
      </c>
      <c r="N20" s="54">
        <f>podnikatelVydaje*-1</f>
        <v>-5000</v>
      </c>
      <c r="O20" s="55">
        <f>podnikatelVydaje*-1</f>
        <v>-5000</v>
      </c>
      <c r="P20" s="27"/>
      <c r="Q20" s="31" t="s">
        <v>25</v>
      </c>
      <c r="R20" s="32">
        <f>SUM(D28:O28)</f>
        <v>-2500</v>
      </c>
      <c r="S20" s="3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>
      <c r="A21" s="1"/>
      <c r="B21" s="53" t="s">
        <v>26</v>
      </c>
      <c r="C21" s="61"/>
      <c r="D21" s="54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3"/>
      <c r="P21" s="27"/>
      <c r="Q21" s="64" t="s">
        <v>27</v>
      </c>
      <c r="R21" s="65">
        <f>kapital</f>
        <v>50000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>
      <c r="A22" s="1"/>
      <c r="B22" s="53" t="s">
        <v>28</v>
      </c>
      <c r="C22" s="61"/>
      <c r="D22" s="54">
        <f>zrizovaciSRO</f>
        <v>-9000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3"/>
      <c r="P22" s="27"/>
      <c r="Q22" s="64" t="s">
        <v>29</v>
      </c>
      <c r="R22" s="65">
        <f>SUM(D25:O25)</f>
        <v>-24000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>
      <c r="A23" s="1"/>
      <c r="B23" s="53" t="s">
        <v>30</v>
      </c>
      <c r="C23" s="61"/>
      <c r="D23" s="54">
        <f>zrizovaciVzor</f>
        <v>-7000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3"/>
      <c r="P23" s="2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>
      <c r="A24" s="1"/>
      <c r="B24" s="53" t="s">
        <v>31</v>
      </c>
      <c r="C24" s="61"/>
      <c r="D24" s="54"/>
      <c r="E24" s="54"/>
      <c r="F24" s="54"/>
      <c r="G24" s="54"/>
      <c r="H24" s="54"/>
      <c r="I24" s="54"/>
      <c r="J24" s="54">
        <v>-9000.0</v>
      </c>
      <c r="K24" s="54"/>
      <c r="L24" s="54"/>
      <c r="M24" s="54"/>
      <c r="N24" s="54"/>
      <c r="O24" s="54"/>
      <c r="P24" s="27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>
      <c r="A25" s="1"/>
      <c r="B25" s="53" t="s">
        <v>32</v>
      </c>
      <c r="C25" s="9">
        <v>2000.0</v>
      </c>
      <c r="D25" s="54">
        <f t="shared" ref="D25:O25" si="6">$C$25*-1</f>
        <v>-2000</v>
      </c>
      <c r="E25" s="54">
        <f t="shared" si="6"/>
        <v>-2000</v>
      </c>
      <c r="F25" s="54">
        <f t="shared" si="6"/>
        <v>-2000</v>
      </c>
      <c r="G25" s="54">
        <f t="shared" si="6"/>
        <v>-2000</v>
      </c>
      <c r="H25" s="54">
        <f t="shared" si="6"/>
        <v>-2000</v>
      </c>
      <c r="I25" s="54">
        <f t="shared" si="6"/>
        <v>-2000</v>
      </c>
      <c r="J25" s="54">
        <f t="shared" si="6"/>
        <v>-2000</v>
      </c>
      <c r="K25" s="54">
        <f t="shared" si="6"/>
        <v>-2000</v>
      </c>
      <c r="L25" s="54">
        <f t="shared" si="6"/>
        <v>-2000</v>
      </c>
      <c r="M25" s="54">
        <f t="shared" si="6"/>
        <v>-2000</v>
      </c>
      <c r="N25" s="54">
        <f t="shared" si="6"/>
        <v>-2000</v>
      </c>
      <c r="O25" s="54">
        <f t="shared" si="6"/>
        <v>-2000</v>
      </c>
      <c r="P25" s="27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>
      <c r="A26" s="1"/>
      <c r="B26" s="66" t="s">
        <v>33</v>
      </c>
      <c r="C26" s="14"/>
      <c r="D26" s="67">
        <f t="shared" ref="D26:O26" si="7">D4+D9+D13</f>
        <v>-41390</v>
      </c>
      <c r="E26" s="67">
        <f t="shared" si="7"/>
        <v>1862</v>
      </c>
      <c r="F26" s="67">
        <f t="shared" si="7"/>
        <v>-1617.6</v>
      </c>
      <c r="G26" s="67">
        <f t="shared" si="7"/>
        <v>86.88</v>
      </c>
      <c r="H26" s="67">
        <f t="shared" si="7"/>
        <v>2342.256</v>
      </c>
      <c r="I26" s="67">
        <f t="shared" si="7"/>
        <v>4928.7072</v>
      </c>
      <c r="J26" s="67">
        <f t="shared" si="7"/>
        <v>-1057.55136</v>
      </c>
      <c r="K26" s="67">
        <f t="shared" si="7"/>
        <v>11648.93837</v>
      </c>
      <c r="L26" s="67">
        <f t="shared" si="7"/>
        <v>16186.72604</v>
      </c>
      <c r="M26" s="67">
        <f t="shared" si="7"/>
        <v>21572.07125</v>
      </c>
      <c r="N26" s="67">
        <f t="shared" si="7"/>
        <v>28004.4855</v>
      </c>
      <c r="O26" s="68">
        <f t="shared" si="7"/>
        <v>35723.3826</v>
      </c>
      <c r="P26" s="2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>
      <c r="A27" s="1"/>
      <c r="B27" s="8"/>
      <c r="C27" s="61"/>
      <c r="D27" s="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P27" s="2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>
      <c r="A28" s="1"/>
      <c r="B28" s="71" t="s">
        <v>34</v>
      </c>
      <c r="C28" s="14"/>
      <c r="D28" s="72">
        <f t="shared" ref="D28:O28" si="8">SUM(D29:D31)</f>
        <v>49791.66667</v>
      </c>
      <c r="E28" s="72">
        <f t="shared" si="8"/>
        <v>-208.3333333</v>
      </c>
      <c r="F28" s="72">
        <f t="shared" si="8"/>
        <v>-208.3333333</v>
      </c>
      <c r="G28" s="72">
        <f t="shared" si="8"/>
        <v>-208.3333333</v>
      </c>
      <c r="H28" s="72">
        <f t="shared" si="8"/>
        <v>-208.3333333</v>
      </c>
      <c r="I28" s="72">
        <f t="shared" si="8"/>
        <v>-208.3333333</v>
      </c>
      <c r="J28" s="72">
        <f t="shared" si="8"/>
        <v>-208.3333333</v>
      </c>
      <c r="K28" s="72">
        <f t="shared" si="8"/>
        <v>-208.3333333</v>
      </c>
      <c r="L28" s="72">
        <f t="shared" si="8"/>
        <v>-208.3333333</v>
      </c>
      <c r="M28" s="72">
        <f t="shared" si="8"/>
        <v>-208.3333333</v>
      </c>
      <c r="N28" s="72">
        <f t="shared" si="8"/>
        <v>-208.3333333</v>
      </c>
      <c r="O28" s="73">
        <f t="shared" si="8"/>
        <v>-50208.33333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>
      <c r="A29" s="1"/>
      <c r="B29" s="74" t="s">
        <v>35</v>
      </c>
      <c r="C29" s="75"/>
      <c r="D29" s="76">
        <v>50000.0</v>
      </c>
      <c r="E29" s="77"/>
      <c r="F29" s="77"/>
      <c r="G29" s="78"/>
      <c r="H29" s="79"/>
      <c r="I29" s="79"/>
      <c r="J29" s="79"/>
      <c r="K29" s="79"/>
      <c r="L29" s="79"/>
      <c r="M29" s="79"/>
      <c r="N29" s="79"/>
      <c r="O29" s="80">
        <f>D29*-1</f>
        <v>-50000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>
      <c r="A30" s="1"/>
      <c r="B30" s="74" t="s">
        <v>36</v>
      </c>
      <c r="C30" s="81">
        <v>0.05</v>
      </c>
      <c r="D30" s="82">
        <f>kapital*kapitalUrok*1/12*-1</f>
        <v>-208.3333333</v>
      </c>
      <c r="E30" s="82">
        <f>kapital*kapitalUrok*1/12*-1</f>
        <v>-208.3333333</v>
      </c>
      <c r="F30" s="82">
        <f>kapital*kapitalUrok*1/12*-1</f>
        <v>-208.3333333</v>
      </c>
      <c r="G30" s="82">
        <f>kapital*kapitalUrok*1/12*-1</f>
        <v>-208.3333333</v>
      </c>
      <c r="H30" s="82">
        <f>kapital*kapitalUrok*1/12*-1</f>
        <v>-208.3333333</v>
      </c>
      <c r="I30" s="82">
        <f>kapital*kapitalUrok*1/12*-1</f>
        <v>-208.3333333</v>
      </c>
      <c r="J30" s="82">
        <f>kapital*kapitalUrok*1/12*-1</f>
        <v>-208.3333333</v>
      </c>
      <c r="K30" s="82">
        <f>kapital*kapitalUrok*1/12*-1</f>
        <v>-208.3333333</v>
      </c>
      <c r="L30" s="82">
        <f>kapital*kapitalUrok*1/12*-1</f>
        <v>-208.3333333</v>
      </c>
      <c r="M30" s="82">
        <f>kapital*kapitalUrok*1/12*-1</f>
        <v>-208.3333333</v>
      </c>
      <c r="N30" s="82">
        <f>kapital*kapitalUrok*1/12*-1</f>
        <v>-208.3333333</v>
      </c>
      <c r="O30" s="80">
        <f>kapital*kapitalUrok*1/12*-1</f>
        <v>-208.3333333</v>
      </c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>
      <c r="A31" s="1"/>
      <c r="B31" s="83"/>
      <c r="C31" s="75"/>
      <c r="D31" s="83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8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>
      <c r="A32" s="1"/>
      <c r="B32" s="85" t="s">
        <v>37</v>
      </c>
      <c r="C32" s="5"/>
      <c r="D32" s="86">
        <f t="shared" ref="D32:O32" si="9">D26+D28</f>
        <v>8401.666667</v>
      </c>
      <c r="E32" s="86">
        <f t="shared" si="9"/>
        <v>1653.666667</v>
      </c>
      <c r="F32" s="86">
        <f t="shared" si="9"/>
        <v>-1825.933333</v>
      </c>
      <c r="G32" s="86">
        <f t="shared" si="9"/>
        <v>-121.4533333</v>
      </c>
      <c r="H32" s="86">
        <f t="shared" si="9"/>
        <v>2133.922667</v>
      </c>
      <c r="I32" s="86">
        <f t="shared" si="9"/>
        <v>4720.373867</v>
      </c>
      <c r="J32" s="86">
        <f t="shared" si="9"/>
        <v>-1265.884693</v>
      </c>
      <c r="K32" s="86">
        <f t="shared" si="9"/>
        <v>11440.60503</v>
      </c>
      <c r="L32" s="86">
        <f t="shared" si="9"/>
        <v>15978.39271</v>
      </c>
      <c r="M32" s="86">
        <f t="shared" si="9"/>
        <v>21363.73792</v>
      </c>
      <c r="N32" s="86">
        <f t="shared" si="9"/>
        <v>27796.15217</v>
      </c>
      <c r="O32" s="87">
        <f t="shared" si="9"/>
        <v>-14484.95073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>
      <c r="A33" s="1"/>
      <c r="B33" s="66" t="s">
        <v>38</v>
      </c>
      <c r="C33" s="88"/>
      <c r="D33" s="89">
        <f>D32</f>
        <v>8401.666667</v>
      </c>
      <c r="E33" s="90">
        <f t="shared" ref="E33:O33" si="10">D33+E32</f>
        <v>10055.33333</v>
      </c>
      <c r="F33" s="90">
        <f t="shared" si="10"/>
        <v>8229.4</v>
      </c>
      <c r="G33" s="90">
        <f t="shared" si="10"/>
        <v>8107.946667</v>
      </c>
      <c r="H33" s="90">
        <f t="shared" si="10"/>
        <v>10241.86933</v>
      </c>
      <c r="I33" s="90">
        <f t="shared" si="10"/>
        <v>14962.2432</v>
      </c>
      <c r="J33" s="90">
        <f t="shared" si="10"/>
        <v>13696.35851</v>
      </c>
      <c r="K33" s="90">
        <f t="shared" si="10"/>
        <v>25136.96354</v>
      </c>
      <c r="L33" s="90">
        <f t="shared" si="10"/>
        <v>41115.35625</v>
      </c>
      <c r="M33" s="90">
        <f t="shared" si="10"/>
        <v>62479.09417</v>
      </c>
      <c r="N33" s="90">
        <f t="shared" si="10"/>
        <v>90275.24633</v>
      </c>
      <c r="O33" s="91">
        <f t="shared" si="10"/>
        <v>75790.2956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92"/>
      <c r="R34" s="92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>
      <c r="A35" s="1"/>
      <c r="B35" s="64" t="s">
        <v>39</v>
      </c>
      <c r="C35" s="1">
        <f>MATCH("Ano", D35:O35,0)-1</f>
        <v>1</v>
      </c>
      <c r="E35" s="1" t="str">
        <f t="shared" ref="E35:O35" si="11">IF(E33&gt;D33, "Ano", "-")</f>
        <v>Ano</v>
      </c>
      <c r="F35" s="1" t="str">
        <f t="shared" si="11"/>
        <v>-</v>
      </c>
      <c r="G35" s="1" t="str">
        <f t="shared" si="11"/>
        <v>-</v>
      </c>
      <c r="H35" s="1" t="str">
        <f t="shared" si="11"/>
        <v>Ano</v>
      </c>
      <c r="I35" s="1" t="str">
        <f t="shared" si="11"/>
        <v>Ano</v>
      </c>
      <c r="J35" s="1" t="str">
        <f t="shared" si="11"/>
        <v>-</v>
      </c>
      <c r="K35" s="1" t="str">
        <f t="shared" si="11"/>
        <v>Ano</v>
      </c>
      <c r="L35" s="1" t="str">
        <f t="shared" si="11"/>
        <v>Ano</v>
      </c>
      <c r="M35" s="1" t="str">
        <f t="shared" si="11"/>
        <v>Ano</v>
      </c>
      <c r="N35" s="1" t="str">
        <f t="shared" si="11"/>
        <v>Ano</v>
      </c>
      <c r="O35" s="1" t="str">
        <f t="shared" si="11"/>
        <v>-</v>
      </c>
      <c r="P35" s="1"/>
      <c r="Q35" s="92"/>
      <c r="R35" s="92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>
      <c r="A36" s="1"/>
      <c r="B36" s="64"/>
      <c r="C36" s="93">
        <f>(D18+D19-podnikatelVydaje+D30+D25)/(kusCena-kusPrimeNaklady-C15)*-1</f>
        <v>393.045977</v>
      </c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>
      <c r="A57" s="1"/>
      <c r="B57" s="1" t="s">
        <v>40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>
      <c r="A58" s="1"/>
      <c r="B58" s="1" t="s">
        <v>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>
      <c r="A59" s="1"/>
      <c r="B59" s="1" t="s">
        <v>42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9">
    <mergeCell ref="B28:C28"/>
    <mergeCell ref="B32:C32"/>
    <mergeCell ref="B2:C2"/>
    <mergeCell ref="B4:C4"/>
    <mergeCell ref="Q7:R7"/>
    <mergeCell ref="B9:C9"/>
    <mergeCell ref="Q11:Q13"/>
    <mergeCell ref="B13:C13"/>
    <mergeCell ref="B26:C26"/>
  </mergeCells>
  <conditionalFormatting sqref="D32:O33">
    <cfRule type="cellIs" dxfId="0" priority="1" operator="lessThan">
      <formula>0</formula>
    </cfRule>
  </conditionalFormatting>
  <conditionalFormatting sqref="D26:O26">
    <cfRule type="cellIs" dxfId="1" priority="2" operator="greaterThan">
      <formula>0</formula>
    </cfRule>
  </conditionalFormatting>
  <conditionalFormatting sqref="D32:O33">
    <cfRule type="cellIs" dxfId="1" priority="3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11.44"/>
    <col customWidth="1" min="4" max="4" width="9.78"/>
    <col customWidth="1" min="9" max="9" width="20.67"/>
    <col customWidth="1" min="12" max="12" width="15.67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</row>
    <row r="2">
      <c r="A2" s="1"/>
      <c r="B2" s="94" t="s">
        <v>43</v>
      </c>
      <c r="C2" s="94"/>
      <c r="D2" s="95"/>
      <c r="E2" s="95"/>
      <c r="F2" s="9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27"/>
      <c r="B4" s="96" t="s">
        <v>44</v>
      </c>
      <c r="C4" s="97"/>
      <c r="D4" s="97"/>
      <c r="E4" s="98"/>
      <c r="F4" s="99">
        <f>F8+E15</f>
        <v>108790.2956</v>
      </c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3"/>
      <c r="B5" s="100"/>
      <c r="C5" s="100"/>
      <c r="D5" s="100"/>
      <c r="E5" s="100"/>
      <c r="F5" s="100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3"/>
      <c r="B6" s="3"/>
      <c r="C6" s="3"/>
      <c r="D6" s="3"/>
      <c r="E6" s="3"/>
      <c r="F6" s="3"/>
      <c r="G6" s="3"/>
      <c r="H6" s="1"/>
      <c r="I6" s="1"/>
      <c r="J6" s="1"/>
      <c r="K6" s="1"/>
      <c r="N6" s="1"/>
      <c r="O6" s="1"/>
      <c r="P6" s="1"/>
      <c r="Q6" s="1"/>
      <c r="R6" s="1"/>
      <c r="S6" s="1"/>
    </row>
    <row r="7">
      <c r="A7" s="3"/>
      <c r="B7" s="3"/>
      <c r="C7" s="3"/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01" t="s">
        <v>6</v>
      </c>
      <c r="C8" s="102"/>
      <c r="D8" s="102"/>
      <c r="E8" s="103"/>
      <c r="F8" s="104">
        <f>SUM(F9:F11)</f>
        <v>881879.5279</v>
      </c>
      <c r="G8" s="1"/>
      <c r="H8" s="1"/>
      <c r="I8" s="64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05"/>
      <c r="B9" s="106"/>
      <c r="C9" s="64"/>
      <c r="D9" s="64" t="s">
        <v>45</v>
      </c>
      <c r="E9" s="64" t="s">
        <v>46</v>
      </c>
      <c r="F9" s="107"/>
      <c r="G9" s="1"/>
      <c r="H9" s="1"/>
      <c r="I9" s="64"/>
      <c r="J9" s="64"/>
      <c r="K9" s="1"/>
      <c r="L9" s="1"/>
      <c r="M9" s="1"/>
      <c r="N9" s="1"/>
      <c r="O9" s="1"/>
      <c r="P9" s="1"/>
      <c r="Q9" s="1"/>
      <c r="R9" s="1"/>
      <c r="S9" s="1"/>
    </row>
    <row r="10">
      <c r="A10" s="105"/>
      <c r="B10" s="106" t="s">
        <v>47</v>
      </c>
      <c r="C10" s="108">
        <v>40000.0</v>
      </c>
      <c r="D10" s="109"/>
      <c r="E10" s="109"/>
      <c r="F10" s="110">
        <f>SUM(C10:E10)</f>
        <v>40000</v>
      </c>
      <c r="G10" s="1"/>
      <c r="H10" s="1"/>
      <c r="I10" s="64"/>
      <c r="J10" s="64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11" t="s">
        <v>48</v>
      </c>
      <c r="C11" s="112"/>
      <c r="D11" s="113">
        <f>kusCena</f>
        <v>89</v>
      </c>
      <c r="E11" s="114" t="str">
        <f>rozjezdKusy</f>
        <v>#REF!</v>
      </c>
      <c r="F11" s="115">
        <f>SUM(rozjezdObrat)</f>
        <v>841879.5279</v>
      </c>
      <c r="G11" s="1"/>
      <c r="H11" s="1"/>
      <c r="I11" s="64"/>
      <c r="J11" s="64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16"/>
      <c r="C12" s="116"/>
      <c r="D12" s="117"/>
      <c r="E12" s="109"/>
      <c r="F12" s="118"/>
      <c r="G12" s="1"/>
      <c r="H12" s="1"/>
      <c r="I12" s="64"/>
      <c r="J12" s="64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16"/>
      <c r="C13" s="116"/>
      <c r="D13" s="117"/>
      <c r="E13" s="109"/>
      <c r="F13" s="118"/>
      <c r="G13" s="1"/>
      <c r="H13" s="1"/>
      <c r="I13" s="64"/>
      <c r="J13" s="64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2"/>
      <c r="C14" s="2"/>
      <c r="D14" s="2"/>
      <c r="E14" s="2"/>
      <c r="F14" s="1"/>
      <c r="G14" s="64"/>
      <c r="H14" s="64"/>
      <c r="I14" s="64"/>
      <c r="J14" s="64"/>
      <c r="K14" s="1"/>
      <c r="L14" s="1"/>
      <c r="M14" s="1"/>
      <c r="N14" s="1"/>
      <c r="O14" s="1"/>
      <c r="P14" s="1"/>
      <c r="Q14" s="1"/>
      <c r="R14" s="1"/>
      <c r="S14" s="1"/>
    </row>
    <row r="15">
      <c r="A15" s="105"/>
      <c r="B15" s="119" t="s">
        <v>49</v>
      </c>
      <c r="C15" s="120"/>
      <c r="D15" s="121"/>
      <c r="E15" s="122">
        <f>SUM(E16:E25)</f>
        <v>-773089.2323</v>
      </c>
      <c r="F15" s="3"/>
      <c r="G15" s="3"/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B16" s="123" t="s">
        <v>26</v>
      </c>
      <c r="C16" s="124">
        <f>zrizovaciSRO+zrizovaciVzor</f>
        <v>-16000</v>
      </c>
      <c r="D16" s="125" t="s">
        <v>50</v>
      </c>
      <c r="E16" s="126">
        <v>-9000.0</v>
      </c>
      <c r="F16" s="3"/>
      <c r="G16" s="3"/>
      <c r="H16" s="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05"/>
      <c r="B17" s="127"/>
      <c r="C17" s="128"/>
      <c r="D17" s="129" t="s">
        <v>51</v>
      </c>
      <c r="E17" s="130">
        <v>-7000.0</v>
      </c>
      <c r="F17" s="3"/>
      <c r="G17" s="3"/>
      <c r="H17" s="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05"/>
      <c r="B18" s="131"/>
      <c r="C18" s="132"/>
      <c r="D18" s="129" t="s">
        <v>52</v>
      </c>
      <c r="E18" s="130"/>
      <c r="F18" s="3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05"/>
      <c r="B19" s="133" t="s">
        <v>14</v>
      </c>
      <c r="C19" s="134"/>
      <c r="D19" s="135"/>
      <c r="E19" s="136">
        <f>rozjezdMarketing</f>
        <v>-308779.6161</v>
      </c>
      <c r="F19" s="3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B20" s="137" t="s">
        <v>9</v>
      </c>
      <c r="C20" s="124">
        <f>SUM(E20:E21)</f>
        <v>-324729.6161</v>
      </c>
      <c r="D20" s="129" t="s">
        <v>53</v>
      </c>
      <c r="E20" s="136">
        <f>rozjezdPrime</f>
        <v>-283779.6161</v>
      </c>
      <c r="F20" s="3"/>
      <c r="G20" s="3"/>
      <c r="H20" s="1"/>
      <c r="I20" s="92"/>
      <c r="J20" s="92"/>
      <c r="K20" s="92"/>
      <c r="L20" s="1"/>
      <c r="M20" s="1"/>
      <c r="N20" s="1"/>
      <c r="O20" s="1"/>
      <c r="P20" s="1"/>
      <c r="Q20" s="1"/>
      <c r="R20" s="1"/>
      <c r="S20" s="1"/>
    </row>
    <row r="21">
      <c r="A21" s="105"/>
      <c r="B21" s="131"/>
      <c r="C21" s="132"/>
      <c r="D21" s="129" t="s">
        <v>54</v>
      </c>
      <c r="E21" s="136">
        <f>rozjezdMzdy</f>
        <v>-40950</v>
      </c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A22" s="105"/>
      <c r="B22" s="133" t="s">
        <v>55</v>
      </c>
      <c r="C22" s="134"/>
      <c r="D22" s="135"/>
      <c r="E22" s="136">
        <f>rozjezdSpravni</f>
        <v>-31080</v>
      </c>
      <c r="F22" s="3"/>
      <c r="G22" s="3"/>
      <c r="H22" s="105"/>
      <c r="I22" s="138" t="s">
        <v>56</v>
      </c>
      <c r="J22" s="139">
        <f>kapital</f>
        <v>50000</v>
      </c>
      <c r="K22" s="3"/>
      <c r="L22" s="1"/>
      <c r="M22" s="1"/>
      <c r="N22" s="1"/>
      <c r="O22" s="1"/>
      <c r="P22" s="1"/>
      <c r="Q22" s="1"/>
      <c r="R22" s="1"/>
      <c r="S22" s="1"/>
    </row>
    <row r="23">
      <c r="A23" s="105"/>
      <c r="B23" s="133" t="s">
        <v>57</v>
      </c>
      <c r="C23" s="134"/>
      <c r="D23" s="135"/>
      <c r="E23" s="136">
        <f>rozjezdPodnikatel</f>
        <v>-50000</v>
      </c>
      <c r="F23" s="3"/>
      <c r="G23" s="3"/>
      <c r="H23" s="1"/>
      <c r="I23" s="140" t="s">
        <v>58</v>
      </c>
      <c r="J23" s="141">
        <f>((kapital+zrizovaciSRO+zrizovaciVzor)/spravniRezie)</f>
        <v>13.12741313</v>
      </c>
      <c r="K23" s="1"/>
      <c r="L23" s="1"/>
      <c r="M23" s="1"/>
      <c r="N23" s="1"/>
      <c r="O23" s="1"/>
      <c r="P23" s="1"/>
      <c r="Q23" s="1"/>
      <c r="R23" s="1"/>
      <c r="S23" s="1"/>
    </row>
    <row r="24">
      <c r="A24" s="105"/>
      <c r="B24" s="133" t="s">
        <v>25</v>
      </c>
      <c r="C24" s="134"/>
      <c r="D24" s="14"/>
      <c r="E24" s="142">
        <f>rozjezdUroky</f>
        <v>-2500</v>
      </c>
      <c r="F24" s="3"/>
      <c r="G24" s="3"/>
      <c r="H24" s="1"/>
      <c r="I24" s="64" t="s">
        <v>39</v>
      </c>
      <c r="J24" s="143">
        <f>1600</f>
        <v>1600</v>
      </c>
      <c r="K24" s="144">
        <f>rozjezdZvrat</f>
        <v>1</v>
      </c>
      <c r="L24" s="1"/>
      <c r="M24" s="1"/>
      <c r="N24" s="1"/>
      <c r="O24" s="1"/>
      <c r="P24" s="1"/>
      <c r="Q24" s="1"/>
      <c r="R24" s="1"/>
      <c r="S24" s="1"/>
    </row>
    <row r="25">
      <c r="A25" s="105"/>
      <c r="B25" s="133" t="s">
        <v>59</v>
      </c>
      <c r="C25" s="134"/>
      <c r="D25" s="14"/>
      <c r="E25" s="145">
        <v>-40000.0</v>
      </c>
      <c r="F25" s="3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1"/>
      <c r="B26" s="92"/>
      <c r="C26" s="92"/>
      <c r="D26" s="92"/>
      <c r="E26" s="9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</sheetData>
  <mergeCells count="12">
    <mergeCell ref="C20:C21"/>
    <mergeCell ref="B22:D22"/>
    <mergeCell ref="B23:D23"/>
    <mergeCell ref="B24:D24"/>
    <mergeCell ref="B25:D25"/>
    <mergeCell ref="B4:E4"/>
    <mergeCell ref="B8:E8"/>
    <mergeCell ref="B15:D15"/>
    <mergeCell ref="B16:B18"/>
    <mergeCell ref="C16:C18"/>
    <mergeCell ref="B19:D19"/>
    <mergeCell ref="B20:B21"/>
  </mergeCells>
  <conditionalFormatting sqref="F4">
    <cfRule type="cellIs" dxfId="2" priority="1" operator="greaterThan">
      <formula>0</formula>
    </cfRule>
  </conditionalFormatting>
  <conditionalFormatting sqref="F4">
    <cfRule type="cellIs" dxfId="3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36.89"/>
    <col customWidth="1" min="3" max="3" width="8.44"/>
    <col customWidth="1" min="4" max="4" width="2.67"/>
    <col customWidth="1" min="5" max="5" width="40.0"/>
    <col customWidth="1" min="6" max="6" width="9.56"/>
    <col customWidth="1" min="7" max="7" width="3.0"/>
    <col customWidth="1" min="8" max="8" width="22.0"/>
    <col customWidth="1" min="9" max="9" width="9.67"/>
    <col customWidth="1" min="10" max="10" width="3.44"/>
    <col customWidth="1" min="11" max="11" width="39.56"/>
    <col customWidth="1" min="12" max="12" width="9.0"/>
    <col customWidth="1" min="13" max="13" width="14.67"/>
    <col customWidth="1" min="14" max="26" width="8.44"/>
  </cols>
  <sheetData>
    <row r="1" ht="30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46" t="s">
        <v>60</v>
      </c>
      <c r="C2" s="147"/>
      <c r="D2" s="148"/>
      <c r="E2" s="146" t="s">
        <v>61</v>
      </c>
      <c r="F2" s="147"/>
      <c r="G2" s="148"/>
      <c r="H2" s="146" t="s">
        <v>62</v>
      </c>
      <c r="I2" s="147"/>
      <c r="J2" s="148"/>
      <c r="K2" s="149" t="s">
        <v>63</v>
      </c>
      <c r="L2" s="150"/>
      <c r="M2" s="5"/>
      <c r="N2" s="151"/>
      <c r="O2" s="1"/>
      <c r="P2" s="1"/>
      <c r="Q2" s="1"/>
      <c r="R2" s="1"/>
      <c r="S2" s="1"/>
      <c r="T2" s="1"/>
      <c r="U2" s="1"/>
      <c r="V2" s="1"/>
      <c r="W2" s="95"/>
      <c r="X2" s="95"/>
      <c r="Y2" s="95"/>
      <c r="Z2" s="95"/>
    </row>
    <row r="3" ht="18.0" customHeight="1">
      <c r="A3" s="105"/>
      <c r="B3" s="152" t="s">
        <v>64</v>
      </c>
      <c r="C3" s="153"/>
      <c r="D3" s="27"/>
      <c r="E3" s="154" t="s">
        <v>65</v>
      </c>
      <c r="F3" s="155"/>
      <c r="G3" s="27"/>
      <c r="H3" s="156" t="s">
        <v>66</v>
      </c>
      <c r="I3" s="157">
        <v>5000.0</v>
      </c>
      <c r="J3" s="27"/>
      <c r="K3" s="158"/>
      <c r="L3" s="159"/>
      <c r="M3" s="160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05"/>
      <c r="B4" s="161" t="s">
        <v>67</v>
      </c>
      <c r="C4" s="162">
        <v>8.0</v>
      </c>
      <c r="D4" s="27"/>
      <c r="E4" s="163" t="s">
        <v>68</v>
      </c>
      <c r="F4" s="164">
        <f>kusPocetMesicne/60*150+1000</f>
        <v>5500</v>
      </c>
      <c r="G4" s="27"/>
      <c r="H4" s="165"/>
      <c r="I4" s="166"/>
      <c r="J4" s="27"/>
      <c r="K4" s="167" t="s">
        <v>69</v>
      </c>
      <c r="L4" s="168"/>
      <c r="M4" s="169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170" t="s">
        <v>70</v>
      </c>
      <c r="C5" s="171"/>
      <c r="D5" s="27"/>
      <c r="E5" s="163"/>
      <c r="F5" s="164"/>
      <c r="G5" s="27"/>
      <c r="H5" s="172" t="s">
        <v>71</v>
      </c>
      <c r="I5" s="173">
        <f>SUM(I3:I4)</f>
        <v>5000</v>
      </c>
      <c r="J5" s="27"/>
      <c r="K5" s="174" t="s">
        <v>72</v>
      </c>
      <c r="L5" s="175"/>
      <c r="M5" s="176" t="str">
        <f>kusPrimeNaklady*kusPocetMesicne+neprimeNaklady+podnikatelVydaje</f>
        <v>#REF!</v>
      </c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170" t="s">
        <v>73</v>
      </c>
      <c r="C6" s="162">
        <v>3.0</v>
      </c>
      <c r="D6" s="27"/>
      <c r="E6" s="177" t="s">
        <v>74</v>
      </c>
      <c r="F6" s="178">
        <f>SUM(F4:F5)</f>
        <v>5500</v>
      </c>
      <c r="G6" s="27"/>
      <c r="H6" s="1"/>
      <c r="I6" s="1"/>
      <c r="J6" s="27"/>
      <c r="K6" s="179" t="s">
        <v>29</v>
      </c>
      <c r="L6" s="180">
        <v>0.1</v>
      </c>
      <c r="M6" s="181" t="str">
        <f>nakladyMesicni*rezervaSazba</f>
        <v>#REF!</v>
      </c>
      <c r="N6" s="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182"/>
      <c r="C7" s="183"/>
      <c r="D7" s="27"/>
      <c r="E7" s="184" t="s">
        <v>75</v>
      </c>
      <c r="F7" s="185"/>
      <c r="G7" s="3"/>
      <c r="H7" s="1"/>
      <c r="I7" s="1"/>
      <c r="J7" s="105"/>
      <c r="K7" s="186" t="s">
        <v>76</v>
      </c>
      <c r="L7" s="187"/>
      <c r="M7" s="188" t="str">
        <f>nakladyMesicni+rezerva</f>
        <v>#REF!</v>
      </c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0" customHeight="1">
      <c r="A8" s="1"/>
      <c r="B8" s="189" t="s">
        <v>77</v>
      </c>
      <c r="C8" s="190">
        <f>SUM(C4:C7)</f>
        <v>11</v>
      </c>
      <c r="D8" s="27"/>
      <c r="E8" s="191" t="s">
        <v>78</v>
      </c>
      <c r="F8" s="192">
        <v>200.0</v>
      </c>
      <c r="G8" s="3"/>
      <c r="H8" s="64" t="s">
        <v>79</v>
      </c>
      <c r="I8" s="64">
        <v>50.0</v>
      </c>
      <c r="J8" s="105"/>
      <c r="K8" s="193"/>
      <c r="L8" s="1"/>
      <c r="M8" s="194"/>
      <c r="N8" s="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customHeight="1">
      <c r="A9" s="1"/>
      <c r="B9" s="195" t="s">
        <v>80</v>
      </c>
      <c r="C9" s="153"/>
      <c r="D9" s="27"/>
      <c r="E9" s="196" t="s">
        <v>81</v>
      </c>
      <c r="F9" s="197">
        <v>80.0</v>
      </c>
      <c r="G9" s="3"/>
      <c r="H9" s="1"/>
      <c r="I9" s="1"/>
      <c r="J9" s="105"/>
      <c r="K9" s="193"/>
      <c r="M9" s="194"/>
      <c r="N9" s="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05"/>
      <c r="B10" s="198" t="s">
        <v>82</v>
      </c>
      <c r="C10" s="199">
        <v>7.0</v>
      </c>
      <c r="D10" s="27"/>
      <c r="E10" s="200" t="s">
        <v>83</v>
      </c>
      <c r="F10" s="197">
        <v>160.0</v>
      </c>
      <c r="G10" s="3"/>
      <c r="H10" s="1"/>
      <c r="I10" s="1"/>
      <c r="J10" s="105"/>
      <c r="K10" s="167" t="s">
        <v>84</v>
      </c>
      <c r="L10" s="168"/>
      <c r="M10" s="169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0" customHeight="1">
      <c r="A11" s="1"/>
      <c r="B11" s="201" t="s">
        <v>85</v>
      </c>
      <c r="C11" s="202">
        <v>10.0</v>
      </c>
      <c r="D11" s="27"/>
      <c r="E11" s="200" t="s">
        <v>86</v>
      </c>
      <c r="F11" s="197">
        <v>150.0</v>
      </c>
      <c r="G11" s="3"/>
      <c r="H11" s="1"/>
      <c r="I11" s="1"/>
      <c r="J11" s="105"/>
      <c r="K11" s="203" t="s">
        <v>87</v>
      </c>
      <c r="L11" s="204"/>
      <c r="M11" s="205" t="str">
        <f>nakladyMesicniRezerva/kusPocetMesicne</f>
        <v>#REF!</v>
      </c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0" customHeight="1">
      <c r="A12" s="1"/>
      <c r="B12" s="206" t="s">
        <v>88</v>
      </c>
      <c r="C12" s="207">
        <v>2.0</v>
      </c>
      <c r="D12" s="27"/>
      <c r="E12" s="200" t="s">
        <v>89</v>
      </c>
      <c r="F12" s="197">
        <v>2000.0</v>
      </c>
      <c r="G12" s="3"/>
      <c r="H12" s="1"/>
      <c r="I12" s="1"/>
      <c r="J12" s="105"/>
      <c r="K12" s="193"/>
      <c r="L12" s="1"/>
      <c r="M12" s="194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"/>
      <c r="B13" s="206"/>
      <c r="C13" s="207"/>
      <c r="D13" s="27"/>
      <c r="E13" s="200"/>
      <c r="F13" s="197"/>
      <c r="G13" s="3"/>
      <c r="H13" s="1"/>
      <c r="I13" s="1"/>
      <c r="J13" s="105"/>
      <c r="K13" s="167" t="s">
        <v>90</v>
      </c>
      <c r="L13" s="168"/>
      <c r="M13" s="169"/>
      <c r="N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"/>
      <c r="B14" s="208" t="s">
        <v>91</v>
      </c>
      <c r="C14" s="209">
        <f>SUM(C10:C13)</f>
        <v>19</v>
      </c>
      <c r="D14" s="27"/>
      <c r="E14" s="210" t="s">
        <v>92</v>
      </c>
      <c r="F14" s="211">
        <f>SUM(F8:F13)</f>
        <v>2590</v>
      </c>
      <c r="G14" s="3"/>
      <c r="H14" s="1"/>
      <c r="I14" s="1"/>
      <c r="J14" s="105"/>
      <c r="K14" s="203" t="s">
        <v>93</v>
      </c>
      <c r="L14" s="204"/>
      <c r="M14" s="212">
        <v>0.3</v>
      </c>
      <c r="N14" s="194" t="s">
        <v>94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213" t="s">
        <v>95</v>
      </c>
      <c r="C15" s="214">
        <f>C14+C8</f>
        <v>30</v>
      </c>
      <c r="D15" s="27"/>
      <c r="E15" s="215" t="s">
        <v>96</v>
      </c>
      <c r="F15" s="185"/>
      <c r="G15" s="3"/>
      <c r="H15" s="1"/>
      <c r="I15" s="1"/>
      <c r="J15" s="105"/>
      <c r="K15" s="216" t="s">
        <v>97</v>
      </c>
      <c r="L15" s="217"/>
      <c r="M15" s="218">
        <v>89.0</v>
      </c>
      <c r="O15" s="219" t="s">
        <v>98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93"/>
      <c r="C16" s="194"/>
      <c r="D16" s="27"/>
      <c r="E16" s="220" t="s">
        <v>99</v>
      </c>
      <c r="F16" s="221" t="str">
        <f>30*(rozjezdKusy/12)</f>
        <v>#REF!</v>
      </c>
      <c r="G16" s="3"/>
      <c r="H16" s="1"/>
      <c r="I16" s="1"/>
      <c r="J16" s="105"/>
      <c r="K16" s="222" t="s">
        <v>100</v>
      </c>
      <c r="L16" s="1"/>
      <c r="M16" s="223" t="str">
        <f>kusNakldy*(1+marze)</f>
        <v>#REF!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"/>
      <c r="B17" s="224"/>
      <c r="C17" s="225"/>
      <c r="D17" s="27"/>
      <c r="E17" s="226"/>
      <c r="F17" s="227"/>
      <c r="G17" s="3"/>
      <c r="H17" s="1"/>
      <c r="I17" s="1"/>
      <c r="J17" s="105"/>
      <c r="K17" s="228" t="s">
        <v>101</v>
      </c>
      <c r="M17" s="22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"/>
      <c r="B18" s="230" t="s">
        <v>102</v>
      </c>
      <c r="C18" s="231"/>
      <c r="D18" s="27"/>
      <c r="E18" s="232" t="s">
        <v>103</v>
      </c>
      <c r="F18" s="233" t="str">
        <f>SUM(F15:F17)</f>
        <v>#REF!</v>
      </c>
      <c r="G18" s="3"/>
      <c r="H18" s="1"/>
      <c r="I18" s="1"/>
      <c r="J18" s="105"/>
      <c r="K18" s="234" t="s">
        <v>101</v>
      </c>
      <c r="M18" s="235" t="str">
        <f>(vyrobniRezie+podnikatelVydaje+spravniRezie+odbytovaRezie)/(kusCena-kusPrimeNaklady)</f>
        <v>#REF!</v>
      </c>
      <c r="N18" s="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05"/>
      <c r="B19" s="236" t="s">
        <v>104</v>
      </c>
      <c r="C19" s="237">
        <v>1800.0</v>
      </c>
      <c r="D19" s="27"/>
      <c r="E19" s="238" t="s">
        <v>105</v>
      </c>
      <c r="F19" s="239" t="str">
        <f>F18+F14+F6</f>
        <v>#REF!</v>
      </c>
      <c r="G19" s="3"/>
      <c r="I19" s="1"/>
      <c r="J19" s="105"/>
      <c r="K19" s="240"/>
      <c r="L19" s="92"/>
      <c r="M19" s="24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"/>
      <c r="B20" s="242"/>
      <c r="C20" s="242"/>
      <c r="D20" s="27"/>
      <c r="E20" s="95"/>
      <c r="F20" s="95"/>
      <c r="G20" s="3"/>
      <c r="H20" s="64"/>
      <c r="I20" s="1"/>
      <c r="J20" s="1"/>
      <c r="K20" s="167" t="s">
        <v>106</v>
      </c>
      <c r="L20" s="168"/>
      <c r="M20" s="16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"/>
      <c r="B21" s="242"/>
      <c r="C21" s="242"/>
      <c r="D21" s="105"/>
      <c r="E21" s="95"/>
      <c r="F21" s="95"/>
      <c r="G21" s="3"/>
      <c r="H21" s="1"/>
      <c r="I21" s="1"/>
      <c r="J21" s="1"/>
      <c r="K21" s="243"/>
      <c r="L21" s="244" t="s">
        <v>107</v>
      </c>
      <c r="M21" s="245" t="s">
        <v>108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"/>
      <c r="B22" s="242"/>
      <c r="C22" s="242"/>
      <c r="D22" s="105"/>
      <c r="E22" s="95"/>
      <c r="F22" s="95" t="str">
        <f>rozjezdKusy/12</f>
        <v>#REF!</v>
      </c>
      <c r="G22" s="3"/>
      <c r="H22" s="1"/>
      <c r="I22" s="1"/>
      <c r="J22" s="1"/>
      <c r="K22" s="246" t="s">
        <v>109</v>
      </c>
      <c r="L22" s="247">
        <v>80.0</v>
      </c>
      <c r="M22" s="248">
        <f>(podnikatelVydaje*(1+rezervaSazba))/podnikatelHodiny</f>
        <v>68.75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"/>
      <c r="B23" s="95"/>
      <c r="C23" s="95"/>
      <c r="D23" s="105"/>
      <c r="E23" s="95"/>
      <c r="F23" s="95" t="str">
        <f>15*F22</f>
        <v>#REF!</v>
      </c>
      <c r="G23" s="3"/>
      <c r="H23" s="1"/>
      <c r="I23" s="1"/>
      <c r="J23" s="1"/>
      <c r="K23" s="92"/>
      <c r="L23" s="92"/>
      <c r="M23" s="9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"/>
      <c r="B24" s="95"/>
      <c r="C24" s="95"/>
      <c r="D24" s="105"/>
      <c r="E24" s="95"/>
      <c r="F24" s="9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"/>
      <c r="B25" s="95"/>
      <c r="C25" s="95"/>
      <c r="D25" s="95"/>
      <c r="E25" s="95"/>
      <c r="F25" s="9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"/>
      <c r="B26" s="95"/>
      <c r="C26" s="95"/>
      <c r="D26" s="95"/>
      <c r="E26" s="95"/>
      <c r="F26" s="9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"/>
      <c r="B27" s="95"/>
      <c r="C27" s="95"/>
      <c r="D27" s="95"/>
      <c r="E27" s="95"/>
      <c r="F27" s="9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"/>
      <c r="B28" s="95"/>
      <c r="C28" s="95"/>
      <c r="D28" s="95"/>
      <c r="E28" s="95"/>
      <c r="F28" s="95"/>
      <c r="G28" s="1"/>
      <c r="H28" s="1"/>
      <c r="I28" s="1"/>
      <c r="J28" s="1"/>
      <c r="K28" s="1"/>
      <c r="L28" s="249"/>
      <c r="M28" s="95"/>
      <c r="N28" s="95"/>
      <c r="O28" s="95"/>
      <c r="P28" s="95"/>
      <c r="Q28" s="95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"/>
      <c r="B29" s="95"/>
      <c r="C29" s="95"/>
      <c r="D29" s="95"/>
      <c r="E29" s="95"/>
      <c r="F29" s="95"/>
      <c r="G29" s="1"/>
      <c r="H29" s="1"/>
      <c r="I29" s="1"/>
      <c r="J29" s="1"/>
      <c r="K29" s="1"/>
      <c r="L29" s="250"/>
      <c r="M29" s="95"/>
      <c r="N29" s="95"/>
      <c r="O29" s="95"/>
      <c r="P29" s="95"/>
      <c r="Q29" s="95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"/>
      <c r="B30" s="95"/>
      <c r="C30" s="95"/>
      <c r="D30" s="95"/>
      <c r="E30" s="95"/>
      <c r="F30" s="95"/>
      <c r="G30" s="1"/>
      <c r="H30" s="1"/>
      <c r="I30" s="1"/>
      <c r="J30" s="1"/>
      <c r="K30" s="1"/>
      <c r="L30" s="250"/>
      <c r="M30" s="95"/>
      <c r="N30" s="95"/>
      <c r="O30" s="95"/>
      <c r="P30" s="95"/>
      <c r="Q30" s="95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250"/>
      <c r="M31" s="95"/>
      <c r="N31" s="95"/>
      <c r="O31" s="95"/>
      <c r="P31" s="95"/>
      <c r="Q31" s="95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95"/>
      <c r="C32" s="95"/>
      <c r="D32" s="95"/>
      <c r="E32" s="95"/>
      <c r="F32" s="95"/>
      <c r="G32" s="1"/>
      <c r="H32" s="95"/>
      <c r="I32" s="95"/>
      <c r="J32" s="1"/>
      <c r="K32" s="95"/>
      <c r="L32" s="95"/>
      <c r="M32" s="95"/>
      <c r="N32" s="95"/>
      <c r="O32" s="95"/>
      <c r="P32" s="95"/>
      <c r="Q32" s="95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95"/>
      <c r="C33" s="95"/>
      <c r="D33" s="95"/>
      <c r="E33" s="95"/>
      <c r="F33" s="95"/>
      <c r="G33" s="1"/>
      <c r="H33" s="95"/>
      <c r="I33" s="95"/>
      <c r="J33" s="1"/>
      <c r="K33" s="1"/>
      <c r="L33" s="1"/>
      <c r="M33" s="1"/>
      <c r="N33" s="95"/>
      <c r="O33" s="95"/>
      <c r="P33" s="95"/>
      <c r="Q33" s="95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95"/>
      <c r="C34" s="95"/>
      <c r="D34" s="95"/>
      <c r="E34" s="95"/>
      <c r="F34" s="95"/>
      <c r="G34" s="1"/>
      <c r="H34" s="95"/>
      <c r="I34" s="95"/>
      <c r="J34" s="1"/>
      <c r="K34" s="1"/>
      <c r="L34" s="1"/>
      <c r="M34" s="1"/>
      <c r="N34" s="95"/>
      <c r="O34" s="95"/>
      <c r="P34" s="95"/>
      <c r="Q34" s="95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95"/>
      <c r="C35" s="95"/>
      <c r="D35" s="95"/>
      <c r="E35" s="95"/>
      <c r="F35" s="95"/>
      <c r="G35" s="1"/>
      <c r="H35" s="95"/>
      <c r="I35" s="95"/>
      <c r="J35" s="1"/>
      <c r="K35" s="1"/>
      <c r="L35" s="1"/>
      <c r="M35" s="1"/>
      <c r="N35" s="95"/>
      <c r="O35" s="95"/>
      <c r="P35" s="95"/>
      <c r="Q35" s="95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E36" s="95"/>
      <c r="F36" s="95"/>
      <c r="G36" s="1"/>
      <c r="H36" s="95"/>
      <c r="I36" s="95"/>
      <c r="J36" s="1"/>
      <c r="K36" s="1"/>
      <c r="L36" s="1"/>
      <c r="M36" s="1"/>
      <c r="N36" s="95"/>
      <c r="O36" s="95"/>
      <c r="P36" s="95"/>
      <c r="Q36" s="95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E37" s="95"/>
      <c r="F37" s="95"/>
      <c r="G37" s="1"/>
      <c r="H37" s="95"/>
      <c r="I37" s="95"/>
      <c r="J37" s="1"/>
      <c r="K37" s="1"/>
      <c r="L37" s="1"/>
      <c r="M37" s="1"/>
      <c r="N37" s="95"/>
      <c r="O37" s="95"/>
      <c r="P37" s="95"/>
      <c r="Q37" s="95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E38" s="95"/>
      <c r="F38" s="95"/>
      <c r="G38" s="1"/>
      <c r="H38" s="95"/>
      <c r="I38" s="9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E39" s="95"/>
      <c r="F39" s="95"/>
      <c r="G39" s="1"/>
      <c r="H39" s="95"/>
      <c r="I39" s="9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E40" s="95"/>
      <c r="F40" s="95"/>
      <c r="G40" s="1"/>
      <c r="H40" s="95"/>
      <c r="I40" s="9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E41" s="95"/>
      <c r="F41" s="95"/>
      <c r="G41" s="1"/>
      <c r="H41" s="95"/>
      <c r="I41" s="9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E42" s="95"/>
      <c r="F42" s="95"/>
      <c r="G42" s="1"/>
      <c r="H42" s="95"/>
      <c r="I42" s="9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E43" s="95"/>
      <c r="F43" s="95"/>
      <c r="G43" s="1"/>
      <c r="H43" s="95"/>
      <c r="I43" s="9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E44" s="95"/>
      <c r="F44" s="95"/>
      <c r="G44" s="1"/>
      <c r="H44" s="95"/>
      <c r="I44" s="9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E45" s="95"/>
      <c r="F45" s="95"/>
      <c r="G45" s="1"/>
      <c r="H45" s="95"/>
      <c r="I45" s="9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E46" s="95"/>
      <c r="F46" s="95"/>
      <c r="G46" s="1"/>
      <c r="H46" s="95"/>
      <c r="I46" s="9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E47" s="95"/>
      <c r="F47" s="95"/>
      <c r="G47" s="1"/>
      <c r="H47" s="95"/>
      <c r="I47" s="9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E48" s="95"/>
      <c r="F48" s="95"/>
      <c r="G48" s="1"/>
      <c r="H48" s="95"/>
      <c r="I48" s="9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E49" s="95"/>
      <c r="F49" s="95"/>
      <c r="G49" s="1"/>
      <c r="H49" s="95"/>
      <c r="I49" s="9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E50" s="95"/>
      <c r="F50" s="95"/>
      <c r="G50" s="1"/>
      <c r="H50" s="95"/>
      <c r="I50" s="9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E51" s="95"/>
      <c r="F51" s="95"/>
      <c r="G51" s="1"/>
      <c r="H51" s="95"/>
      <c r="I51" s="9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E52" s="95"/>
      <c r="F52" s="95"/>
      <c r="G52" s="1"/>
      <c r="H52" s="95"/>
      <c r="I52" s="9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E53" s="95"/>
      <c r="F53" s="95"/>
      <c r="G53" s="1"/>
      <c r="H53" s="95"/>
      <c r="I53" s="9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0" customHeight="1">
      <c r="E54" s="95"/>
      <c r="F54" s="95"/>
      <c r="G54" s="1"/>
      <c r="H54" s="95"/>
      <c r="I54" s="9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0" customHeight="1">
      <c r="E55" s="95"/>
      <c r="F55" s="95"/>
      <c r="G55" s="1"/>
      <c r="H55" s="95"/>
      <c r="I55" s="9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0" customHeight="1">
      <c r="E56" s="95"/>
      <c r="F56" s="95"/>
      <c r="G56" s="1"/>
      <c r="H56" s="95"/>
      <c r="I56" s="9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0" customHeight="1">
      <c r="E57" s="95"/>
      <c r="F57" s="95"/>
      <c r="G57" s="1"/>
      <c r="H57" s="95"/>
      <c r="I57" s="9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0" customHeight="1">
      <c r="E58" s="95"/>
      <c r="F58" s="95"/>
      <c r="G58" s="1"/>
      <c r="H58" s="95"/>
      <c r="I58" s="9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0" customHeight="1">
      <c r="E59" s="95"/>
      <c r="F59" s="95"/>
      <c r="G59" s="1"/>
      <c r="H59" s="95"/>
      <c r="I59" s="9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0" customHeight="1">
      <c r="E60" s="95"/>
      <c r="F60" s="95"/>
      <c r="G60" s="1"/>
      <c r="H60" s="95"/>
      <c r="I60" s="9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0" customHeight="1">
      <c r="E61" s="95"/>
      <c r="F61" s="95"/>
      <c r="G61" s="1"/>
      <c r="H61" s="95"/>
      <c r="I61" s="9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0" customHeight="1">
      <c r="E62" s="95"/>
      <c r="F62" s="95"/>
      <c r="G62" s="1"/>
      <c r="H62" s="95"/>
      <c r="I62" s="95"/>
      <c r="J62" s="1"/>
      <c r="K62" s="1"/>
      <c r="L62" s="1"/>
      <c r="M62" s="1"/>
      <c r="N62" s="1"/>
      <c r="O62" s="95"/>
      <c r="P62" s="95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0" customHeight="1">
      <c r="E63" s="95"/>
      <c r="F63" s="95"/>
      <c r="G63" s="1"/>
      <c r="H63" s="95"/>
      <c r="I63" s="95"/>
      <c r="J63" s="1"/>
      <c r="K63" s="1"/>
      <c r="L63" s="1"/>
      <c r="M63" s="1"/>
      <c r="N63" s="1"/>
      <c r="O63" s="95"/>
      <c r="P63" s="95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0" customHeight="1">
      <c r="E64" s="95"/>
      <c r="F64" s="95"/>
      <c r="G64" s="1"/>
      <c r="H64" s="95"/>
      <c r="I64" s="95"/>
      <c r="J64" s="1"/>
      <c r="K64" s="1"/>
      <c r="L64" s="1"/>
      <c r="M64" s="1"/>
      <c r="N64" s="1"/>
      <c r="O64" s="95"/>
      <c r="P64" s="9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0" customHeight="1">
      <c r="A65" s="251"/>
      <c r="B65" s="95"/>
      <c r="C65" s="95"/>
      <c r="D65" s="1"/>
      <c r="E65" s="1"/>
      <c r="F65" s="1"/>
      <c r="G65" s="1"/>
      <c r="H65" s="95"/>
      <c r="I65" s="95"/>
      <c r="J65" s="1"/>
      <c r="K65" s="1"/>
      <c r="L65" s="1"/>
      <c r="M65" s="1"/>
      <c r="N65" s="1"/>
      <c r="O65" s="95"/>
      <c r="P65" s="95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51"/>
      <c r="B66" s="95"/>
      <c r="C66" s="95"/>
      <c r="D66" s="1"/>
      <c r="E66" s="95"/>
      <c r="F66" s="95"/>
      <c r="G66" s="1"/>
      <c r="H66" s="95"/>
      <c r="I66" s="95"/>
      <c r="J66" s="1"/>
      <c r="K66" s="1"/>
      <c r="L66" s="1"/>
      <c r="M66" s="1"/>
      <c r="N66" s="1"/>
      <c r="O66" s="95"/>
      <c r="P66" s="95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0" customHeight="1">
      <c r="A67" s="251"/>
      <c r="B67" s="95"/>
      <c r="C67" s="95"/>
      <c r="D67" s="1"/>
      <c r="E67" s="95"/>
      <c r="F67" s="95"/>
      <c r="G67" s="1"/>
      <c r="H67" s="95"/>
      <c r="I67" s="95"/>
      <c r="J67" s="1"/>
      <c r="K67" s="1"/>
      <c r="L67" s="1"/>
      <c r="M67" s="1"/>
      <c r="N67" s="1"/>
      <c r="O67" s="95"/>
      <c r="P67" s="95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51"/>
      <c r="B68" s="95"/>
      <c r="C68" s="95"/>
      <c r="D68" s="1"/>
      <c r="E68" s="95"/>
      <c r="F68" s="95"/>
      <c r="G68" s="1"/>
      <c r="H68" s="95"/>
      <c r="I68" s="95"/>
      <c r="J68" s="95"/>
      <c r="K68" s="95"/>
      <c r="L68" s="95"/>
      <c r="M68" s="95"/>
      <c r="N68" s="1"/>
      <c r="O68" s="95"/>
      <c r="P68" s="95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0" customHeight="1">
      <c r="A69" s="251"/>
      <c r="B69" s="95"/>
      <c r="C69" s="95"/>
      <c r="D69" s="1"/>
      <c r="E69" s="95"/>
      <c r="F69" s="95"/>
      <c r="G69" s="1"/>
      <c r="H69" s="95"/>
      <c r="I69" s="95"/>
      <c r="J69" s="95"/>
      <c r="K69" s="95"/>
      <c r="L69" s="95"/>
      <c r="M69" s="95"/>
      <c r="N69" s="1"/>
      <c r="O69" s="95"/>
      <c r="P69" s="95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51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5.75" customHeight="1">
      <c r="A71" s="251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5.75" customHeight="1">
      <c r="A72" s="251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5.75" customHeight="1">
      <c r="A73" s="251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5.75" customHeight="1">
      <c r="A74" s="251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5.75" customHeight="1">
      <c r="A75" s="251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5.75" customHeight="1">
      <c r="A76" s="251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5.75" customHeight="1">
      <c r="A77" s="251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5.75" customHeight="1">
      <c r="A78" s="251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5.75" customHeight="1">
      <c r="A79" s="251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5.75" customHeight="1">
      <c r="A80" s="251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5.75" customHeight="1">
      <c r="A81" s="251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5.75" customHeight="1">
      <c r="A82" s="251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5.75" customHeight="1">
      <c r="A83" s="251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5.75" customHeight="1">
      <c r="A84" s="251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5.75" customHeight="1">
      <c r="A85" s="251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5.75" customHeight="1">
      <c r="A86" s="251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5.75" customHeight="1">
      <c r="A87" s="251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5.75" customHeight="1">
      <c r="A88" s="251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5.75" customHeight="1">
      <c r="A89" s="251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5.75" customHeight="1">
      <c r="A90" s="251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5.75" customHeight="1">
      <c r="A91" s="251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5.75" customHeight="1">
      <c r="A92" s="251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5.75" customHeight="1">
      <c r="A93" s="251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5.75" customHeight="1">
      <c r="A94" s="251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5.75" customHeight="1">
      <c r="A95" s="251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5.75" customHeight="1">
      <c r="A96" s="251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5.75" customHeight="1">
      <c r="A97" s="251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5.75" customHeight="1">
      <c r="A98" s="251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5.75" customHeight="1">
      <c r="A99" s="251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5.75" customHeight="1">
      <c r="A100" s="251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5.75" customHeight="1">
      <c r="A101" s="251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5.75" customHeight="1">
      <c r="A102" s="251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5.75" customHeight="1">
      <c r="A103" s="251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5.75" customHeight="1">
      <c r="A104" s="251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5.75" customHeight="1">
      <c r="A105" s="251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5.75" customHeight="1">
      <c r="A106" s="251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5.75" customHeight="1">
      <c r="A107" s="251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5.75" customHeight="1">
      <c r="A108" s="251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5.75" customHeight="1">
      <c r="A109" s="251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5.75" customHeight="1">
      <c r="A110" s="251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5.75" customHeight="1">
      <c r="A111" s="251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5.75" customHeight="1">
      <c r="A112" s="251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5.75" customHeight="1">
      <c r="A113" s="251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5.75" customHeight="1">
      <c r="A114" s="251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5.75" customHeight="1">
      <c r="A115" s="251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5.75" customHeight="1">
      <c r="A116" s="251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5.75" customHeight="1">
      <c r="A117" s="251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5.75" customHeight="1">
      <c r="A118" s="251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5.75" customHeight="1">
      <c r="A119" s="251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5.75" customHeight="1">
      <c r="A120" s="251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5.75" customHeight="1">
      <c r="A121" s="251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5.75" customHeight="1">
      <c r="A122" s="251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5.75" customHeight="1">
      <c r="A123" s="251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5.75" customHeight="1">
      <c r="A124" s="251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5.75" customHeight="1">
      <c r="A125" s="251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5.75" customHeight="1">
      <c r="A126" s="251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5.75" customHeight="1">
      <c r="A127" s="251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5.75" customHeight="1">
      <c r="A128" s="251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5.75" customHeight="1">
      <c r="A129" s="251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5.75" customHeight="1">
      <c r="A130" s="251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5.75" customHeight="1">
      <c r="A131" s="251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5.75" customHeight="1">
      <c r="A132" s="251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5.75" customHeight="1">
      <c r="A133" s="251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5.75" customHeight="1">
      <c r="A134" s="251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5.75" customHeight="1">
      <c r="A135" s="251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5.75" customHeight="1">
      <c r="A136" s="251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5.75" customHeight="1">
      <c r="A137" s="251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5.75" customHeight="1">
      <c r="A138" s="251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5.75" customHeight="1">
      <c r="A139" s="251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5.75" customHeight="1">
      <c r="A140" s="251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5.75" customHeight="1">
      <c r="A141" s="251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5.75" customHeight="1">
      <c r="A142" s="251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5.75" customHeight="1">
      <c r="A143" s="251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5.75" customHeight="1">
      <c r="A144" s="251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5.75" customHeight="1">
      <c r="A145" s="251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5.75" customHeight="1">
      <c r="A146" s="251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5.75" customHeight="1">
      <c r="A147" s="251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5.75" customHeight="1">
      <c r="A148" s="251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5.75" customHeight="1">
      <c r="A149" s="251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5.75" customHeight="1">
      <c r="A150" s="251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5.75" customHeight="1">
      <c r="A151" s="251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5.75" customHeight="1">
      <c r="A152" s="251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5.75" customHeight="1">
      <c r="A153" s="251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5.75" customHeight="1">
      <c r="A154" s="251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5.75" customHeight="1">
      <c r="A155" s="251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5.75" customHeight="1">
      <c r="A156" s="251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5.75" customHeight="1">
      <c r="A157" s="251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5.75" customHeight="1">
      <c r="A158" s="251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5.75" customHeight="1">
      <c r="A159" s="251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5.75" customHeight="1">
      <c r="A160" s="251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5.75" customHeight="1">
      <c r="A161" s="251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5.75" customHeight="1">
      <c r="A162" s="251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5.75" customHeight="1">
      <c r="A163" s="251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5.75" customHeight="1">
      <c r="A164" s="251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5.75" customHeight="1">
      <c r="A165" s="251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5.75" customHeight="1">
      <c r="A166" s="251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5.75" customHeight="1">
      <c r="A167" s="251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5.75" customHeight="1">
      <c r="A168" s="251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5.75" customHeight="1">
      <c r="A169" s="251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5.75" customHeight="1">
      <c r="A170" s="251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5.75" customHeight="1">
      <c r="A171" s="251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5.75" customHeight="1">
      <c r="A172" s="251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5.75" customHeight="1">
      <c r="A173" s="251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5.75" customHeight="1">
      <c r="A174" s="251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5.75" customHeight="1">
      <c r="A175" s="251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5.75" customHeight="1">
      <c r="A176" s="251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5.75" customHeight="1">
      <c r="A177" s="251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5.75" customHeight="1">
      <c r="A178" s="251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5.75" customHeight="1">
      <c r="A179" s="251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5.75" customHeight="1">
      <c r="A180" s="251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5.75" customHeight="1">
      <c r="A181" s="251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5.75" customHeight="1">
      <c r="A182" s="251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5.75" customHeight="1">
      <c r="A183" s="251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5.75" customHeight="1">
      <c r="A184" s="251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5.75" customHeight="1">
      <c r="A185" s="251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5.75" customHeight="1">
      <c r="A186" s="251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5.75" customHeight="1">
      <c r="A187" s="251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5.75" customHeight="1">
      <c r="A188" s="251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5.75" customHeight="1">
      <c r="A189" s="251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5.75" customHeight="1">
      <c r="A190" s="251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5.75" customHeight="1">
      <c r="A191" s="251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5.75" customHeight="1">
      <c r="A192" s="251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5.75" customHeight="1">
      <c r="A193" s="251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5.75" customHeight="1">
      <c r="A194" s="251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5.75" customHeight="1">
      <c r="A195" s="251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5.75" customHeight="1">
      <c r="A196" s="251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5.75" customHeight="1">
      <c r="A197" s="251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5.75" customHeight="1">
      <c r="A198" s="251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5.75" customHeight="1">
      <c r="A199" s="251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5.75" customHeight="1">
      <c r="A200" s="251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5.75" customHeight="1">
      <c r="A201" s="251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5.75" customHeight="1">
      <c r="A202" s="251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5.75" customHeight="1">
      <c r="A203" s="251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5.75" customHeight="1">
      <c r="A204" s="251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5.75" customHeight="1">
      <c r="A205" s="251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5.75" customHeight="1">
      <c r="A206" s="251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5.75" customHeight="1">
      <c r="A207" s="251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5.75" customHeight="1">
      <c r="A208" s="251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5.75" customHeight="1">
      <c r="A209" s="251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5.75" customHeight="1">
      <c r="A210" s="251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5.75" customHeight="1">
      <c r="A211" s="251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5.75" customHeight="1">
      <c r="A212" s="251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5.75" customHeight="1">
      <c r="A213" s="251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5.75" customHeight="1">
      <c r="A214" s="251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5.75" customHeight="1">
      <c r="A215" s="251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5.75" customHeight="1">
      <c r="A216" s="251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5.75" customHeight="1">
      <c r="A217" s="251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5.75" customHeight="1">
      <c r="A218" s="251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5.75" customHeight="1">
      <c r="A219" s="251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5.75" customHeight="1">
      <c r="A220" s="251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5.75" customHeight="1">
      <c r="A221" s="251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5.75" customHeight="1">
      <c r="A222" s="251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5.75" customHeight="1">
      <c r="A223" s="251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5.75" customHeight="1">
      <c r="A224" s="251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5.75" customHeight="1">
      <c r="A225" s="251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5.75" customHeight="1">
      <c r="A226" s="251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5.75" customHeight="1">
      <c r="A227" s="251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5.75" customHeight="1">
      <c r="A228" s="251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5.75" customHeight="1">
      <c r="A229" s="251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5.75" customHeight="1">
      <c r="A230" s="251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5.75" customHeight="1">
      <c r="A231" s="251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5.75" customHeight="1">
      <c r="A232" s="251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5.75" customHeight="1">
      <c r="A233" s="251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5.75" customHeight="1">
      <c r="A234" s="251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5.75" customHeight="1">
      <c r="A235" s="251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5.75" customHeight="1">
      <c r="A236" s="251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5.75" customHeight="1">
      <c r="A237" s="251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5.75" customHeight="1">
      <c r="A238" s="251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5.75" customHeight="1">
      <c r="A239" s="251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5.75" customHeight="1">
      <c r="A240" s="251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5.75" customHeight="1">
      <c r="A241" s="251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5.75" customHeight="1">
      <c r="A242" s="251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5.75" customHeight="1">
      <c r="A243" s="251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5.75" customHeight="1">
      <c r="A244" s="251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5.75" customHeight="1">
      <c r="A245" s="251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5.75" customHeight="1">
      <c r="A246" s="251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5.75" customHeight="1">
      <c r="A247" s="251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5.75" customHeight="1">
      <c r="A248" s="251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5.75" customHeight="1">
      <c r="A249" s="251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5.75" customHeight="1">
      <c r="A250" s="251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5.75" customHeight="1">
      <c r="A251" s="251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5.75" customHeight="1">
      <c r="A252" s="251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5.75" customHeight="1">
      <c r="A253" s="251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5.75" customHeight="1">
      <c r="A254" s="251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5.75" customHeight="1">
      <c r="A255" s="251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5.75" customHeight="1">
      <c r="A256" s="251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5.75" customHeight="1">
      <c r="A257" s="251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5.75" customHeight="1">
      <c r="A258" s="251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5.75" customHeight="1">
      <c r="A259" s="251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5.75" customHeight="1">
      <c r="A260" s="251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5.75" customHeight="1">
      <c r="A261" s="251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5.75" customHeight="1">
      <c r="A262" s="251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5.75" customHeight="1">
      <c r="A263" s="251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5.75" customHeight="1">
      <c r="A264" s="251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5.75" customHeight="1">
      <c r="A265" s="251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5.75" customHeight="1">
      <c r="A266" s="251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5.75" customHeight="1">
      <c r="A267" s="251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5.75" customHeight="1">
      <c r="A268" s="251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5.75" customHeight="1">
      <c r="A269" s="251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5.75" customHeight="1">
      <c r="A270" s="251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5.75" customHeight="1">
      <c r="A271" s="251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5.75" customHeight="1">
      <c r="A272" s="251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5.75" customHeight="1">
      <c r="A273" s="251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5.75" customHeight="1">
      <c r="A274" s="251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5.75" customHeight="1">
      <c r="A275" s="251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5.75" customHeight="1">
      <c r="A276" s="251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5.75" customHeight="1">
      <c r="A277" s="251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5.75" customHeight="1">
      <c r="A278" s="251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5.75" customHeight="1">
      <c r="A279" s="251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5.75" customHeight="1">
      <c r="A280" s="251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5.75" customHeight="1">
      <c r="A281" s="251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5.75" customHeight="1">
      <c r="A282" s="251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5.75" customHeight="1">
      <c r="A283" s="251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5.75" customHeight="1">
      <c r="A284" s="251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5.75" customHeight="1">
      <c r="A285" s="251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5.75" customHeight="1">
      <c r="A286" s="251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5.75" customHeight="1">
      <c r="A287" s="251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5.75" customHeight="1">
      <c r="A288" s="251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5.75" customHeight="1">
      <c r="A289" s="251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5.75" customHeight="1">
      <c r="A290" s="251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5.75" customHeight="1">
      <c r="A291" s="251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5.75" customHeight="1">
      <c r="A292" s="251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5.75" customHeight="1">
      <c r="A293" s="251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5.75" customHeight="1">
      <c r="A294" s="251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5.75" customHeight="1">
      <c r="A295" s="251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5.75" customHeight="1">
      <c r="A296" s="251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5.75" customHeight="1">
      <c r="A297" s="251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5.75" customHeight="1">
      <c r="A298" s="251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5.75" customHeight="1">
      <c r="A299" s="251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5.75" customHeight="1">
      <c r="A300" s="251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5.75" customHeight="1">
      <c r="A301" s="251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5.75" customHeight="1">
      <c r="A302" s="251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5.75" customHeight="1">
      <c r="A303" s="251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5.75" customHeight="1">
      <c r="A304" s="251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5.75" customHeight="1">
      <c r="A305" s="251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5.75" customHeight="1">
      <c r="A306" s="251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5.75" customHeight="1">
      <c r="A307" s="251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5.75" customHeight="1">
      <c r="A308" s="251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5.75" customHeight="1">
      <c r="A309" s="251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5.75" customHeight="1">
      <c r="A310" s="251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5.75" customHeight="1">
      <c r="A311" s="251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5.75" customHeight="1">
      <c r="A312" s="251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5.75" customHeight="1">
      <c r="A313" s="251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5.75" customHeight="1">
      <c r="A314" s="251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5.75" customHeight="1">
      <c r="A315" s="251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5.75" customHeight="1">
      <c r="A316" s="251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5.75" customHeight="1">
      <c r="A317" s="251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5.75" customHeight="1">
      <c r="A318" s="251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5.75" customHeight="1">
      <c r="A319" s="251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5.75" customHeight="1">
      <c r="A320" s="251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5.75" customHeight="1">
      <c r="A321" s="251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5.75" customHeight="1">
      <c r="A322" s="251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5.75" customHeight="1">
      <c r="A323" s="251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5.75" customHeight="1">
      <c r="A324" s="251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5.75" customHeight="1">
      <c r="A325" s="251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5.75" customHeight="1">
      <c r="A326" s="251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5.75" customHeight="1">
      <c r="A327" s="251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5.75" customHeight="1">
      <c r="A328" s="251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5.75" customHeight="1">
      <c r="A329" s="251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5.75" customHeight="1">
      <c r="A330" s="251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5.75" customHeight="1">
      <c r="A331" s="251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5.75" customHeight="1">
      <c r="A332" s="251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5.75" customHeight="1">
      <c r="A333" s="251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5.75" customHeight="1">
      <c r="A334" s="251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5.75" customHeight="1">
      <c r="A335" s="251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5.75" customHeight="1">
      <c r="A336" s="251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5.75" customHeight="1">
      <c r="A337" s="251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5.75" customHeight="1">
      <c r="A338" s="251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5.75" customHeight="1">
      <c r="A339" s="251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5.75" customHeight="1">
      <c r="A340" s="251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5.75" customHeight="1">
      <c r="A341" s="251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5.75" customHeight="1">
      <c r="A342" s="251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5.75" customHeight="1">
      <c r="A343" s="251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5.75" customHeight="1">
      <c r="A344" s="251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5.75" customHeight="1">
      <c r="A345" s="251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5.75" customHeight="1">
      <c r="A346" s="251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5.75" customHeight="1">
      <c r="A347" s="251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5.75" customHeight="1">
      <c r="A348" s="251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5.75" customHeight="1">
      <c r="A349" s="251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5.75" customHeight="1">
      <c r="A350" s="251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5.75" customHeight="1">
      <c r="A351" s="251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5.75" customHeight="1">
      <c r="A352" s="251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5.75" customHeight="1">
      <c r="A353" s="251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5.75" customHeight="1">
      <c r="A354" s="251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5.75" customHeight="1">
      <c r="A355" s="251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5.75" customHeight="1">
      <c r="A356" s="251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5.75" customHeight="1">
      <c r="A357" s="251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5.75" customHeight="1">
      <c r="A358" s="251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5.75" customHeight="1">
      <c r="A359" s="251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5.75" customHeight="1">
      <c r="A360" s="251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5.75" customHeight="1">
      <c r="A361" s="251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5.75" customHeight="1">
      <c r="A362" s="251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5.75" customHeight="1">
      <c r="A363" s="251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5.75" customHeight="1">
      <c r="A364" s="251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5.75" customHeight="1">
      <c r="A365" s="251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5.75" customHeight="1">
      <c r="A366" s="251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5.75" customHeight="1">
      <c r="A367" s="251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5.75" customHeight="1">
      <c r="A368" s="251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5.75" customHeight="1">
      <c r="A369" s="251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5.75" customHeight="1">
      <c r="A370" s="251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5.75" customHeight="1">
      <c r="A371" s="251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5.75" customHeight="1">
      <c r="A372" s="251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5.75" customHeight="1">
      <c r="A373" s="251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5.75" customHeight="1">
      <c r="A374" s="251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5.75" customHeight="1">
      <c r="A375" s="251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5.75" customHeight="1">
      <c r="A376" s="251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5.75" customHeight="1">
      <c r="A377" s="251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5.75" customHeight="1">
      <c r="A378" s="251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5.75" customHeight="1">
      <c r="A379" s="251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5.75" customHeight="1">
      <c r="A380" s="251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5.75" customHeight="1">
      <c r="A381" s="251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5.75" customHeight="1">
      <c r="A382" s="251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5.75" customHeight="1">
      <c r="A383" s="251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5.75" customHeight="1">
      <c r="A384" s="251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5.75" customHeight="1">
      <c r="A385" s="251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5.75" customHeight="1">
      <c r="A386" s="251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5.75" customHeight="1">
      <c r="A387" s="251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5.75" customHeight="1">
      <c r="A388" s="251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5.75" customHeight="1">
      <c r="A389" s="251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5.75" customHeight="1">
      <c r="A390" s="251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5.75" customHeight="1">
      <c r="A391" s="251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5.75" customHeight="1">
      <c r="A392" s="251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5.75" customHeight="1">
      <c r="A393" s="251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5.75" customHeight="1">
      <c r="A394" s="251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5.75" customHeight="1">
      <c r="A395" s="251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5.75" customHeight="1">
      <c r="A396" s="251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5.75" customHeight="1">
      <c r="A397" s="251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5.75" customHeight="1">
      <c r="A398" s="251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5.75" customHeight="1">
      <c r="A399" s="251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5.75" customHeight="1">
      <c r="A400" s="251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5.75" customHeight="1">
      <c r="A401" s="251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5.75" customHeight="1">
      <c r="A402" s="251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5.75" customHeight="1">
      <c r="A403" s="251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5.75" customHeight="1">
      <c r="A404" s="251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5.75" customHeight="1">
      <c r="A405" s="251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5.75" customHeight="1">
      <c r="A406" s="251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5.75" customHeight="1">
      <c r="A407" s="251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5.75" customHeight="1">
      <c r="A408" s="251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5.75" customHeight="1">
      <c r="A409" s="251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5.75" customHeight="1">
      <c r="A410" s="251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5.75" customHeight="1">
      <c r="A411" s="251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5.75" customHeight="1">
      <c r="A412" s="251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5.75" customHeight="1">
      <c r="A413" s="251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5.75" customHeight="1">
      <c r="A414" s="251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5.75" customHeight="1">
      <c r="A415" s="251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5.75" customHeight="1">
      <c r="A416" s="251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5.75" customHeight="1">
      <c r="A417" s="251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5.75" customHeight="1">
      <c r="A418" s="251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5.75" customHeight="1">
      <c r="A419" s="251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5.75" customHeight="1">
      <c r="A420" s="251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5.75" customHeight="1">
      <c r="A421" s="251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5.75" customHeight="1">
      <c r="A422" s="251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5.75" customHeight="1">
      <c r="A423" s="251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5.75" customHeight="1">
      <c r="A424" s="251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5.75" customHeight="1">
      <c r="A425" s="251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5.75" customHeight="1">
      <c r="A426" s="251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5.75" customHeight="1">
      <c r="A427" s="251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5.75" customHeight="1">
      <c r="A428" s="251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5.75" customHeight="1">
      <c r="A429" s="251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5.75" customHeight="1">
      <c r="A430" s="251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5.75" customHeight="1">
      <c r="A431" s="251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5.75" customHeight="1">
      <c r="A432" s="251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5.75" customHeight="1">
      <c r="A433" s="251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5.75" customHeight="1">
      <c r="A434" s="251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5.75" customHeight="1">
      <c r="A435" s="251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5.75" customHeight="1">
      <c r="A436" s="251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5.75" customHeight="1">
      <c r="A437" s="251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5.75" customHeight="1">
      <c r="A438" s="251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5.75" customHeight="1">
      <c r="A439" s="251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5.75" customHeight="1">
      <c r="A440" s="251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5.75" customHeight="1">
      <c r="A441" s="251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5.75" customHeight="1">
      <c r="A442" s="251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5.75" customHeight="1">
      <c r="A443" s="251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5.75" customHeight="1">
      <c r="A444" s="251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5.75" customHeight="1">
      <c r="A445" s="251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5.75" customHeight="1">
      <c r="A446" s="251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5.75" customHeight="1">
      <c r="A447" s="251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5.75" customHeight="1">
      <c r="A448" s="251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5.75" customHeight="1">
      <c r="A449" s="251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5.75" customHeight="1">
      <c r="A450" s="251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5.75" customHeight="1">
      <c r="A451" s="251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5.75" customHeight="1">
      <c r="A452" s="251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5.75" customHeight="1">
      <c r="A453" s="251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5.75" customHeight="1">
      <c r="A454" s="251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5.75" customHeight="1">
      <c r="A455" s="251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5.75" customHeight="1">
      <c r="A456" s="251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5.75" customHeight="1">
      <c r="A457" s="251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5.75" customHeight="1">
      <c r="A458" s="251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5.75" customHeight="1">
      <c r="A459" s="251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5.75" customHeight="1">
      <c r="A460" s="251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5.75" customHeight="1">
      <c r="A461" s="251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5.75" customHeight="1">
      <c r="A462" s="251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5.75" customHeight="1">
      <c r="A463" s="251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5.75" customHeight="1">
      <c r="A464" s="251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5.75" customHeight="1">
      <c r="A465" s="251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5.75" customHeight="1">
      <c r="A466" s="251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5.75" customHeight="1">
      <c r="A467" s="251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5.75" customHeight="1">
      <c r="A468" s="251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5.75" customHeight="1">
      <c r="A469" s="251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5.75" customHeight="1">
      <c r="A470" s="251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5.75" customHeight="1">
      <c r="A471" s="251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5.75" customHeight="1">
      <c r="A472" s="251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5.75" customHeight="1">
      <c r="A473" s="251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5.75" customHeight="1">
      <c r="A474" s="251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5.75" customHeight="1">
      <c r="A475" s="251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5.75" customHeight="1">
      <c r="A476" s="251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5.75" customHeight="1">
      <c r="A477" s="251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5.75" customHeight="1">
      <c r="A478" s="251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5.75" customHeight="1">
      <c r="A479" s="251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5.75" customHeight="1">
      <c r="A480" s="251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5.75" customHeight="1">
      <c r="A481" s="251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5.75" customHeight="1">
      <c r="A482" s="251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5.75" customHeight="1">
      <c r="A483" s="251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5.75" customHeight="1">
      <c r="A484" s="251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5.75" customHeight="1">
      <c r="A485" s="251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5.75" customHeight="1">
      <c r="A486" s="251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5.75" customHeight="1">
      <c r="A487" s="251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5.75" customHeight="1">
      <c r="A488" s="251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5.75" customHeight="1">
      <c r="A489" s="251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5.75" customHeight="1">
      <c r="A490" s="251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5.75" customHeight="1">
      <c r="A491" s="251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5.75" customHeight="1">
      <c r="A492" s="251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5.75" customHeight="1">
      <c r="A493" s="251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5.75" customHeight="1">
      <c r="A494" s="251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5.75" customHeight="1">
      <c r="A495" s="251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5.75" customHeight="1">
      <c r="A496" s="251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5.75" customHeight="1">
      <c r="A497" s="251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5.75" customHeight="1">
      <c r="A498" s="251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5.75" customHeight="1">
      <c r="A499" s="251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5.75" customHeight="1">
      <c r="A500" s="251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5.75" customHeight="1">
      <c r="A501" s="251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5.75" customHeight="1">
      <c r="A502" s="251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5.75" customHeight="1">
      <c r="A503" s="251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5.75" customHeight="1">
      <c r="A504" s="251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5.75" customHeight="1">
      <c r="A505" s="251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5.75" customHeight="1">
      <c r="A506" s="251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5.75" customHeight="1">
      <c r="A507" s="251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5.75" customHeight="1">
      <c r="A508" s="251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5.75" customHeight="1">
      <c r="A509" s="251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5.75" customHeight="1">
      <c r="A510" s="251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5.75" customHeight="1">
      <c r="A511" s="251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5.75" customHeight="1">
      <c r="A512" s="251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5.75" customHeight="1">
      <c r="A513" s="251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5.75" customHeight="1">
      <c r="A514" s="251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5.75" customHeight="1">
      <c r="A515" s="251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5.75" customHeight="1">
      <c r="A516" s="251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5.75" customHeight="1">
      <c r="A517" s="251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5.75" customHeight="1">
      <c r="A518" s="251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5.75" customHeight="1">
      <c r="A519" s="251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5.75" customHeight="1">
      <c r="A520" s="251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5.75" customHeight="1">
      <c r="A521" s="251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5.75" customHeight="1">
      <c r="A522" s="251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5.75" customHeight="1">
      <c r="A523" s="251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5.75" customHeight="1">
      <c r="A524" s="251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5.75" customHeight="1">
      <c r="A525" s="251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5.75" customHeight="1">
      <c r="A526" s="251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5.75" customHeight="1">
      <c r="A527" s="251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5.75" customHeight="1">
      <c r="A528" s="251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5.75" customHeight="1">
      <c r="A529" s="251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5.75" customHeight="1">
      <c r="A530" s="251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5.75" customHeight="1">
      <c r="A531" s="251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5.75" customHeight="1">
      <c r="A532" s="251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5.75" customHeight="1">
      <c r="A533" s="251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5.75" customHeight="1">
      <c r="A534" s="251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5.75" customHeight="1">
      <c r="A535" s="251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5.75" customHeight="1">
      <c r="A536" s="251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5.75" customHeight="1">
      <c r="A537" s="251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5.75" customHeight="1">
      <c r="A538" s="251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5.75" customHeight="1">
      <c r="A539" s="251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5.75" customHeight="1">
      <c r="A540" s="251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5.75" customHeight="1">
      <c r="A541" s="251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5.75" customHeight="1">
      <c r="A542" s="251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5.75" customHeight="1">
      <c r="A543" s="251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5.75" customHeight="1">
      <c r="A544" s="251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5.75" customHeight="1">
      <c r="A545" s="251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5.75" customHeight="1">
      <c r="A546" s="251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5.75" customHeight="1">
      <c r="A547" s="251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5.75" customHeight="1">
      <c r="A548" s="251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5.75" customHeight="1">
      <c r="A549" s="251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5.75" customHeight="1">
      <c r="A550" s="251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5.75" customHeight="1">
      <c r="A551" s="251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5.75" customHeight="1">
      <c r="A552" s="251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5.75" customHeight="1">
      <c r="A553" s="251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5.75" customHeight="1">
      <c r="A554" s="251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5.75" customHeight="1">
      <c r="A555" s="251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5.75" customHeight="1">
      <c r="A556" s="251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5.75" customHeight="1">
      <c r="A557" s="251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5.75" customHeight="1">
      <c r="A558" s="251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5.75" customHeight="1">
      <c r="A559" s="251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5.75" customHeight="1">
      <c r="A560" s="251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5.75" customHeight="1">
      <c r="A561" s="251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5.75" customHeight="1">
      <c r="A562" s="251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5.75" customHeight="1">
      <c r="A563" s="251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5.75" customHeight="1">
      <c r="A564" s="251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5.75" customHeight="1">
      <c r="A565" s="251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5.75" customHeight="1">
      <c r="A566" s="251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5.75" customHeight="1">
      <c r="A567" s="251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5.75" customHeight="1">
      <c r="A568" s="251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5.75" customHeight="1">
      <c r="A569" s="251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5.75" customHeight="1">
      <c r="A570" s="251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5.75" customHeight="1">
      <c r="A571" s="251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5.75" customHeight="1">
      <c r="A572" s="251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5.75" customHeight="1">
      <c r="A573" s="251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5.75" customHeight="1">
      <c r="A574" s="251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5.75" customHeight="1">
      <c r="A575" s="251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5.75" customHeight="1">
      <c r="A576" s="251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5.75" customHeight="1">
      <c r="A577" s="251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5.75" customHeight="1">
      <c r="A578" s="251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5.75" customHeight="1">
      <c r="A579" s="251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5.75" customHeight="1">
      <c r="A580" s="251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5.75" customHeight="1">
      <c r="A581" s="251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5.75" customHeight="1">
      <c r="A582" s="251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5.75" customHeight="1">
      <c r="A583" s="251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5.75" customHeight="1">
      <c r="A584" s="251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5.75" customHeight="1">
      <c r="A585" s="251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5.75" customHeight="1">
      <c r="A586" s="251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5.75" customHeight="1">
      <c r="A587" s="251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5.75" customHeight="1">
      <c r="A588" s="251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5.75" customHeight="1">
      <c r="A589" s="251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5.75" customHeight="1">
      <c r="A590" s="251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5.75" customHeight="1">
      <c r="A591" s="251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5.75" customHeight="1">
      <c r="A592" s="251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5.75" customHeight="1">
      <c r="A593" s="251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5.75" customHeight="1">
      <c r="A594" s="251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5.75" customHeight="1">
      <c r="A595" s="251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5.75" customHeight="1">
      <c r="A596" s="251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5.75" customHeight="1">
      <c r="A597" s="251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5.75" customHeight="1">
      <c r="A598" s="251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5.75" customHeight="1">
      <c r="A599" s="251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5.75" customHeight="1">
      <c r="A600" s="251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5.75" customHeight="1">
      <c r="A601" s="251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5.75" customHeight="1">
      <c r="A602" s="251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5.75" customHeight="1">
      <c r="A603" s="251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5.75" customHeight="1">
      <c r="A604" s="251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5.75" customHeight="1">
      <c r="A605" s="251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5.75" customHeight="1">
      <c r="A606" s="251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5.75" customHeight="1">
      <c r="A607" s="251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5.75" customHeight="1">
      <c r="A608" s="251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5.75" customHeight="1">
      <c r="A609" s="251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5.75" customHeight="1">
      <c r="A610" s="251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5.75" customHeight="1">
      <c r="A611" s="251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5.75" customHeight="1">
      <c r="A612" s="251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5.75" customHeight="1">
      <c r="A613" s="251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5.75" customHeight="1">
      <c r="A614" s="251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5.75" customHeight="1">
      <c r="A615" s="251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5.75" customHeight="1">
      <c r="A616" s="251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5.75" customHeight="1">
      <c r="A617" s="251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5.75" customHeight="1">
      <c r="A618" s="251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5.75" customHeight="1">
      <c r="A619" s="251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5.75" customHeight="1">
      <c r="A620" s="251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5.75" customHeight="1">
      <c r="A621" s="251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5.75" customHeight="1">
      <c r="A622" s="251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5.75" customHeight="1">
      <c r="A623" s="251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5.75" customHeight="1">
      <c r="A624" s="251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5.75" customHeight="1">
      <c r="A625" s="251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5.75" customHeight="1">
      <c r="A626" s="251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5.75" customHeight="1">
      <c r="A627" s="251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5.75" customHeight="1">
      <c r="A628" s="251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5.75" customHeight="1">
      <c r="A629" s="251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5.75" customHeight="1">
      <c r="A630" s="251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5.75" customHeight="1">
      <c r="A631" s="251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5.75" customHeight="1">
      <c r="A632" s="251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5.75" customHeight="1">
      <c r="A633" s="251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5.75" customHeight="1">
      <c r="A634" s="251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5.75" customHeight="1">
      <c r="A635" s="251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5.75" customHeight="1">
      <c r="A636" s="251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5.75" customHeight="1">
      <c r="A637" s="251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5.75" customHeight="1">
      <c r="A638" s="251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5.75" customHeight="1">
      <c r="A639" s="251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5.75" customHeight="1">
      <c r="A640" s="251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5.75" customHeight="1">
      <c r="A641" s="251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5.75" customHeight="1">
      <c r="A642" s="251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5.75" customHeight="1">
      <c r="A643" s="251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5.75" customHeight="1">
      <c r="A644" s="251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5.75" customHeight="1">
      <c r="A645" s="251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5.75" customHeight="1">
      <c r="A646" s="251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5.75" customHeight="1">
      <c r="A647" s="251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5.75" customHeight="1">
      <c r="A648" s="251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5.75" customHeight="1">
      <c r="A649" s="251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5.75" customHeight="1">
      <c r="A650" s="251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5.75" customHeight="1">
      <c r="A651" s="251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5.75" customHeight="1">
      <c r="A652" s="251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5.75" customHeight="1">
      <c r="A653" s="251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5.75" customHeight="1">
      <c r="A654" s="251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5.75" customHeight="1">
      <c r="A655" s="251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5.75" customHeight="1">
      <c r="A656" s="251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5.75" customHeight="1">
      <c r="A657" s="251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5.75" customHeight="1">
      <c r="A658" s="251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5.75" customHeight="1">
      <c r="A659" s="251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5.75" customHeight="1">
      <c r="A660" s="251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5.75" customHeight="1">
      <c r="A661" s="251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5.75" customHeight="1">
      <c r="A662" s="251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5.75" customHeight="1">
      <c r="A663" s="251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5.75" customHeight="1">
      <c r="A664" s="251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5.75" customHeight="1">
      <c r="A665" s="251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5.75" customHeight="1">
      <c r="A666" s="251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5.75" customHeight="1">
      <c r="A667" s="251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5.75" customHeight="1">
      <c r="A668" s="251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5.75" customHeight="1">
      <c r="A669" s="251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5.75" customHeight="1">
      <c r="A670" s="251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5.75" customHeight="1">
      <c r="A671" s="251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5.75" customHeight="1">
      <c r="A672" s="251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5.75" customHeight="1">
      <c r="A673" s="251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5.75" customHeight="1">
      <c r="A674" s="251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5.75" customHeight="1">
      <c r="A675" s="251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5.75" customHeight="1">
      <c r="A676" s="251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5.75" customHeight="1">
      <c r="A677" s="251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5.75" customHeight="1">
      <c r="A678" s="251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5.75" customHeight="1">
      <c r="A679" s="251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5.75" customHeight="1">
      <c r="A680" s="251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5.75" customHeight="1">
      <c r="A681" s="251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5.75" customHeight="1">
      <c r="A682" s="251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5.75" customHeight="1">
      <c r="A683" s="251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5.75" customHeight="1">
      <c r="A684" s="251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5.75" customHeight="1">
      <c r="A685" s="251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5.75" customHeight="1">
      <c r="A686" s="251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5.75" customHeight="1">
      <c r="A687" s="251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5.75" customHeight="1">
      <c r="A688" s="251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5.75" customHeight="1">
      <c r="A689" s="251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5.75" customHeight="1">
      <c r="A690" s="251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5.75" customHeight="1">
      <c r="A691" s="251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5.75" customHeight="1">
      <c r="A692" s="251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5.75" customHeight="1">
      <c r="A693" s="251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5.75" customHeight="1">
      <c r="A694" s="251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5.75" customHeight="1">
      <c r="A695" s="251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5.75" customHeight="1">
      <c r="A696" s="251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5.75" customHeight="1">
      <c r="A697" s="251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5.75" customHeight="1">
      <c r="A698" s="251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5.75" customHeight="1">
      <c r="A699" s="251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5.75" customHeight="1">
      <c r="A700" s="251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5.75" customHeight="1">
      <c r="A701" s="251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5.75" customHeight="1">
      <c r="A702" s="251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5.75" customHeight="1">
      <c r="A703" s="251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5.75" customHeight="1">
      <c r="A704" s="251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5.75" customHeight="1">
      <c r="A705" s="251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5.75" customHeight="1">
      <c r="A706" s="251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5.75" customHeight="1">
      <c r="A707" s="251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5.75" customHeight="1">
      <c r="A708" s="251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5.75" customHeight="1">
      <c r="A709" s="251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5.75" customHeight="1">
      <c r="A710" s="251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5.75" customHeight="1">
      <c r="A711" s="251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5.75" customHeight="1">
      <c r="A712" s="251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5.75" customHeight="1">
      <c r="A713" s="251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5.75" customHeight="1">
      <c r="A714" s="251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5.75" customHeight="1">
      <c r="A715" s="251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5.75" customHeight="1">
      <c r="A716" s="251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5.75" customHeight="1">
      <c r="A717" s="251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5.75" customHeight="1">
      <c r="A718" s="251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5.75" customHeight="1">
      <c r="A719" s="251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5.75" customHeight="1">
      <c r="A720" s="251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5.75" customHeight="1">
      <c r="A721" s="251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5.75" customHeight="1">
      <c r="A722" s="251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5.75" customHeight="1">
      <c r="A723" s="251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5.75" customHeight="1">
      <c r="A724" s="251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5.75" customHeight="1">
      <c r="A725" s="251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5.75" customHeight="1">
      <c r="A726" s="251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5.75" customHeight="1">
      <c r="A727" s="251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5.75" customHeight="1">
      <c r="A728" s="251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5.75" customHeight="1">
      <c r="A729" s="251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5.75" customHeight="1">
      <c r="A730" s="251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5.75" customHeight="1">
      <c r="A731" s="251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5.75" customHeight="1">
      <c r="A732" s="251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5.75" customHeight="1">
      <c r="A733" s="251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5.75" customHeight="1">
      <c r="A734" s="251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5.75" customHeight="1">
      <c r="A735" s="251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5.75" customHeight="1">
      <c r="A736" s="251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5.75" customHeight="1">
      <c r="A737" s="251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5.75" customHeight="1">
      <c r="A738" s="251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5.75" customHeight="1">
      <c r="A739" s="251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5.75" customHeight="1">
      <c r="A740" s="251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5.75" customHeight="1">
      <c r="A741" s="251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5.75" customHeight="1">
      <c r="A742" s="251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5.75" customHeight="1">
      <c r="A743" s="251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5.75" customHeight="1">
      <c r="A744" s="251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5.75" customHeight="1">
      <c r="A745" s="251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5.75" customHeight="1">
      <c r="A746" s="251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5.75" customHeight="1">
      <c r="A747" s="251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5.75" customHeight="1">
      <c r="A748" s="251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5.75" customHeight="1">
      <c r="A749" s="251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5.75" customHeight="1">
      <c r="A750" s="251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5.75" customHeight="1">
      <c r="A751" s="251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5.75" customHeight="1">
      <c r="A752" s="251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5.75" customHeight="1">
      <c r="A753" s="251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5.75" customHeight="1">
      <c r="A754" s="251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5.75" customHeight="1">
      <c r="A755" s="251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5.75" customHeight="1">
      <c r="A756" s="251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5.75" customHeight="1">
      <c r="A757" s="251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5.75" customHeight="1">
      <c r="A758" s="251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5.75" customHeight="1">
      <c r="A759" s="251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5.75" customHeight="1">
      <c r="A760" s="251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5.75" customHeight="1">
      <c r="A761" s="251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5.75" customHeight="1">
      <c r="A762" s="251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5.75" customHeight="1">
      <c r="A763" s="251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5.75" customHeight="1">
      <c r="A764" s="251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5.75" customHeight="1">
      <c r="A765" s="251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5.75" customHeight="1">
      <c r="A766" s="251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5.75" customHeight="1">
      <c r="A767" s="251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5.75" customHeight="1">
      <c r="A768" s="251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5.75" customHeight="1">
      <c r="A769" s="251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5.75" customHeight="1">
      <c r="A770" s="251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5.75" customHeight="1">
      <c r="A771" s="251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5.75" customHeight="1">
      <c r="A772" s="251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5.75" customHeight="1">
      <c r="A773" s="251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5.75" customHeight="1">
      <c r="A774" s="251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5.75" customHeight="1">
      <c r="A775" s="251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5.75" customHeight="1">
      <c r="A776" s="251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5.75" customHeight="1">
      <c r="A777" s="251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5.75" customHeight="1">
      <c r="A778" s="251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5.75" customHeight="1">
      <c r="A779" s="251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5.75" customHeight="1">
      <c r="A780" s="251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5.75" customHeight="1">
      <c r="A781" s="251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5.75" customHeight="1">
      <c r="A782" s="251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5.75" customHeight="1">
      <c r="A783" s="251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5.75" customHeight="1">
      <c r="A784" s="251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5.75" customHeight="1">
      <c r="A785" s="251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5.75" customHeight="1">
      <c r="A786" s="251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5.75" customHeight="1">
      <c r="A787" s="251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5.75" customHeight="1">
      <c r="A788" s="251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5.75" customHeight="1">
      <c r="A789" s="251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5.75" customHeight="1">
      <c r="A790" s="251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5.75" customHeight="1">
      <c r="A791" s="251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5.75" customHeight="1">
      <c r="A792" s="251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5.75" customHeight="1">
      <c r="A793" s="251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5.75" customHeight="1">
      <c r="A794" s="251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5.75" customHeight="1">
      <c r="A795" s="251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5.75" customHeight="1">
      <c r="A796" s="251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5.75" customHeight="1">
      <c r="A797" s="251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5.75" customHeight="1">
      <c r="A798" s="251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5.75" customHeight="1">
      <c r="A799" s="251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5.75" customHeight="1">
      <c r="A800" s="251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5.75" customHeight="1">
      <c r="A801" s="251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5.75" customHeight="1">
      <c r="A802" s="251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5.75" customHeight="1">
      <c r="A803" s="251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5.75" customHeight="1">
      <c r="A804" s="251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5.75" customHeight="1">
      <c r="A805" s="251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5.75" customHeight="1">
      <c r="A806" s="251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5.75" customHeight="1">
      <c r="A807" s="251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5.75" customHeight="1">
      <c r="A808" s="251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5.75" customHeight="1">
      <c r="A809" s="251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5.75" customHeight="1">
      <c r="A810" s="251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5.75" customHeight="1">
      <c r="A811" s="251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5.75" customHeight="1">
      <c r="A812" s="251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5.75" customHeight="1">
      <c r="A813" s="251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5.75" customHeight="1">
      <c r="A814" s="251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5.75" customHeight="1">
      <c r="A815" s="251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5.75" customHeight="1">
      <c r="A816" s="251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5.75" customHeight="1">
      <c r="A817" s="251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5.75" customHeight="1">
      <c r="A818" s="251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5.75" customHeight="1">
      <c r="A819" s="251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5.75" customHeight="1">
      <c r="A820" s="251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5.75" customHeight="1">
      <c r="A821" s="251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5.75" customHeight="1">
      <c r="A822" s="251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5.75" customHeight="1">
      <c r="A823" s="251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5.75" customHeight="1">
      <c r="A824" s="251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5.75" customHeight="1">
      <c r="A825" s="251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5.75" customHeight="1">
      <c r="A826" s="251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5.75" customHeight="1">
      <c r="A827" s="251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5.75" customHeight="1">
      <c r="A828" s="251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5.75" customHeight="1">
      <c r="A829" s="251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5.75" customHeight="1">
      <c r="A830" s="251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5.75" customHeight="1">
      <c r="A831" s="251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5.75" customHeight="1">
      <c r="A832" s="251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5.75" customHeight="1">
      <c r="A833" s="251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5.75" customHeight="1">
      <c r="A834" s="251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5.75" customHeight="1">
      <c r="A835" s="251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5.75" customHeight="1">
      <c r="A836" s="251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5.75" customHeight="1">
      <c r="A837" s="251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5.75" customHeight="1">
      <c r="A838" s="251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5.75" customHeight="1">
      <c r="A839" s="251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5.75" customHeight="1">
      <c r="A840" s="251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5.75" customHeight="1">
      <c r="A841" s="251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5.75" customHeight="1">
      <c r="A842" s="251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5.75" customHeight="1">
      <c r="A843" s="251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5.75" customHeight="1">
      <c r="A844" s="251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5.75" customHeight="1">
      <c r="A845" s="251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5.75" customHeight="1">
      <c r="A846" s="251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5.75" customHeight="1">
      <c r="A847" s="251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5.75" customHeight="1">
      <c r="A848" s="251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5.75" customHeight="1">
      <c r="A849" s="251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5.75" customHeight="1">
      <c r="A850" s="251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5.75" customHeight="1">
      <c r="A851" s="251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5.75" customHeight="1">
      <c r="A852" s="251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5.75" customHeight="1">
      <c r="A853" s="251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5.75" customHeight="1">
      <c r="A854" s="251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5.75" customHeight="1">
      <c r="A855" s="251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5.75" customHeight="1">
      <c r="A856" s="251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5.75" customHeight="1">
      <c r="A857" s="251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5.75" customHeight="1">
      <c r="A858" s="251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5.75" customHeight="1">
      <c r="A859" s="251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5.75" customHeight="1">
      <c r="A860" s="251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5.75" customHeight="1">
      <c r="A861" s="251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5.75" customHeight="1">
      <c r="A862" s="251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5.75" customHeight="1">
      <c r="A863" s="251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5.75" customHeight="1">
      <c r="A864" s="251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5.75" customHeight="1">
      <c r="A865" s="251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5.75" customHeight="1">
      <c r="A866" s="251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5.75" customHeight="1">
      <c r="A867" s="251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5.75" customHeight="1">
      <c r="A868" s="251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5.75" customHeight="1">
      <c r="A869" s="251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5.75" customHeight="1">
      <c r="A870" s="251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5.75" customHeight="1">
      <c r="A871" s="251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5.75" customHeight="1">
      <c r="A872" s="251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5.75" customHeight="1">
      <c r="A873" s="251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5.75" customHeight="1">
      <c r="A874" s="251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5.75" customHeight="1">
      <c r="A875" s="251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5.75" customHeight="1">
      <c r="A876" s="251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5.75" customHeight="1">
      <c r="A877" s="251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5.75" customHeight="1">
      <c r="A878" s="251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5.75" customHeight="1">
      <c r="A879" s="251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5.75" customHeight="1">
      <c r="A880" s="251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5.75" customHeight="1">
      <c r="A881" s="251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5.75" customHeight="1">
      <c r="A882" s="251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5.75" customHeight="1">
      <c r="A883" s="251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5.75" customHeight="1">
      <c r="A884" s="251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5.75" customHeight="1">
      <c r="A885" s="251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5.75" customHeight="1">
      <c r="A886" s="251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5.75" customHeight="1">
      <c r="A887" s="251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5.75" customHeight="1">
      <c r="A888" s="251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5.75" customHeight="1">
      <c r="A889" s="251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5.75" customHeight="1">
      <c r="A890" s="251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5.75" customHeight="1">
      <c r="A891" s="251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5.75" customHeight="1">
      <c r="A892" s="251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5.75" customHeight="1">
      <c r="A893" s="251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5.75" customHeight="1">
      <c r="A894" s="251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5.75" customHeight="1">
      <c r="A895" s="251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5.75" customHeight="1">
      <c r="A896" s="251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5.75" customHeight="1">
      <c r="A897" s="251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5.75" customHeight="1">
      <c r="A898" s="251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5.75" customHeight="1">
      <c r="A899" s="251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5.75" customHeight="1">
      <c r="A900" s="251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5.75" customHeight="1">
      <c r="A901" s="251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5.75" customHeight="1">
      <c r="A902" s="251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5.75" customHeight="1">
      <c r="A903" s="251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5.75" customHeight="1">
      <c r="A904" s="251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5.75" customHeight="1">
      <c r="A905" s="251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5.75" customHeight="1">
      <c r="A906" s="251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5.75" customHeight="1">
      <c r="A907" s="251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5.75" customHeight="1">
      <c r="A908" s="251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5.75" customHeight="1">
      <c r="A909" s="251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5.75" customHeight="1">
      <c r="A910" s="251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5.75" customHeight="1">
      <c r="A911" s="251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5.75" customHeight="1">
      <c r="A912" s="251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5.75" customHeight="1">
      <c r="A913" s="251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5.75" customHeight="1">
      <c r="A914" s="251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5.75" customHeight="1">
      <c r="A915" s="251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5.75" customHeight="1">
      <c r="A916" s="251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5.75" customHeight="1">
      <c r="A917" s="251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5.75" customHeight="1">
      <c r="A918" s="251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5.75" customHeight="1">
      <c r="A919" s="251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5.75" customHeight="1">
      <c r="A920" s="251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5.75" customHeight="1">
      <c r="A921" s="251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5.75" customHeight="1">
      <c r="A922" s="251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5.75" customHeight="1">
      <c r="A923" s="251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5.75" customHeight="1">
      <c r="A924" s="251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5.75" customHeight="1">
      <c r="A925" s="251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5.75" customHeight="1">
      <c r="A926" s="251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5.75" customHeight="1">
      <c r="A927" s="251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5.75" customHeight="1">
      <c r="A928" s="251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5.75" customHeight="1">
      <c r="A929" s="251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5.75" customHeight="1">
      <c r="A930" s="251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5.75" customHeight="1">
      <c r="A931" s="251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5.75" customHeight="1">
      <c r="A932" s="251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5.75" customHeight="1">
      <c r="A933" s="251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5.75" customHeight="1">
      <c r="A934" s="251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5.75" customHeight="1">
      <c r="A935" s="251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5.75" customHeight="1">
      <c r="A936" s="251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5.75" customHeight="1">
      <c r="A937" s="251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5.75" customHeight="1">
      <c r="A938" s="251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5.75" customHeight="1">
      <c r="A939" s="251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5.75" customHeight="1">
      <c r="A940" s="251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5.75" customHeight="1">
      <c r="A941" s="251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5.75" customHeight="1">
      <c r="A942" s="251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5.75" customHeight="1">
      <c r="A943" s="251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5.75" customHeight="1">
      <c r="A944" s="251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5.75" customHeight="1">
      <c r="A945" s="251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5.75" customHeight="1">
      <c r="A946" s="251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5.75" customHeight="1">
      <c r="A947" s="251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5.75" customHeight="1">
      <c r="A948" s="251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5.75" customHeight="1">
      <c r="A949" s="251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5.75" customHeight="1">
      <c r="A950" s="251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5.75" customHeight="1">
      <c r="A951" s="251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5.75" customHeight="1">
      <c r="A952" s="251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5.75" customHeight="1">
      <c r="A953" s="251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5.75" customHeight="1">
      <c r="A954" s="251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5.75" customHeight="1">
      <c r="A955" s="251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5.75" customHeight="1">
      <c r="A956" s="251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5.75" customHeight="1">
      <c r="A957" s="251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5.75" customHeight="1">
      <c r="A958" s="251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5.75" customHeight="1">
      <c r="A959" s="251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5.75" customHeight="1">
      <c r="A960" s="251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5.75" customHeight="1">
      <c r="A961" s="251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5.75" customHeight="1">
      <c r="A962" s="251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5.75" customHeight="1">
      <c r="A963" s="251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5.75" customHeight="1">
      <c r="A964" s="251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5.75" customHeight="1">
      <c r="A965" s="251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5.75" customHeight="1">
      <c r="A966" s="251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5.75" customHeight="1">
      <c r="A967" s="251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5.75" customHeight="1">
      <c r="A968" s="251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5.75" customHeight="1">
      <c r="A969" s="251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5.75" customHeight="1">
      <c r="A970" s="251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5.75" customHeight="1">
      <c r="A971" s="251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5.75" customHeight="1">
      <c r="A972" s="251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5.75" customHeight="1">
      <c r="A973" s="251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5.75" customHeight="1">
      <c r="A974" s="251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5.75" customHeight="1">
      <c r="A975" s="251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5.75" customHeight="1">
      <c r="A976" s="251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5.75" customHeight="1">
      <c r="A977" s="251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5.75" customHeight="1">
      <c r="A978" s="251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5.75" customHeight="1">
      <c r="A979" s="251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5.75" customHeight="1">
      <c r="A980" s="251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5.75" customHeight="1">
      <c r="A981" s="251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5.75" customHeight="1">
      <c r="A982" s="251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5.75" customHeight="1">
      <c r="A983" s="251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5.75" customHeight="1">
      <c r="A984" s="251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5.75" customHeight="1">
      <c r="A985" s="251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5.75" customHeight="1">
      <c r="A986" s="251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5.75" customHeight="1">
      <c r="A987" s="251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5.75" customHeight="1">
      <c r="A988" s="251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5.75" customHeight="1">
      <c r="A989" s="251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5.75" customHeight="1">
      <c r="A990" s="251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5.75" customHeight="1">
      <c r="A991" s="251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5.75" customHeight="1">
      <c r="A992" s="251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5.75" customHeight="1">
      <c r="A993" s="251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5.75" customHeight="1">
      <c r="A994" s="251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5.75" customHeight="1">
      <c r="A995" s="251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5.75" customHeight="1">
      <c r="A996" s="251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5.75" customHeight="1">
      <c r="A997" s="251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5.75" customHeight="1">
      <c r="A998" s="251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5.75" customHeight="1">
      <c r="A999" s="251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</sheetData>
  <mergeCells count="16">
    <mergeCell ref="K2:M2"/>
    <mergeCell ref="B3:C3"/>
    <mergeCell ref="E3:F3"/>
    <mergeCell ref="K3:M3"/>
    <mergeCell ref="K4:M4"/>
    <mergeCell ref="E7:F7"/>
    <mergeCell ref="B9:C9"/>
    <mergeCell ref="K17:M17"/>
    <mergeCell ref="K20:M20"/>
    <mergeCell ref="K10:M10"/>
    <mergeCell ref="K11:L11"/>
    <mergeCell ref="K13:M13"/>
    <mergeCell ref="K14:L14"/>
    <mergeCell ref="E15:F15"/>
    <mergeCell ref="K15:L15"/>
    <mergeCell ref="B18:C18"/>
  </mergeCells>
  <printOptions/>
  <pageMargins bottom="0.787401575" footer="0.0" header="0.0" left="0.7" right="0.7" top="0.787401575"/>
  <pageSetup paperSize="9" orientation="landscape"/>
  <headerFooter>
    <oddHeader>&amp;C000000Public#</oddHeader>
  </headerFooter>
  <rowBreaks count="1" manualBreakCount="1">
    <brk id="38" man="1"/>
  </rowBreaks>
  <colBreaks count="1" manualBreakCount="1">
    <brk id="7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3.78"/>
    <col customWidth="1" min="4" max="4" width="9.22"/>
    <col customWidth="1" min="8" max="8" width="9.22"/>
    <col customWidth="1" min="9" max="9" width="7.89"/>
    <col customWidth="1" min="10" max="10" width="8.33"/>
    <col customWidth="1" min="17" max="17" width="14.78"/>
  </cols>
  <sheetData>
    <row r="1">
      <c r="A1" s="252" t="s">
        <v>110</v>
      </c>
      <c r="B1" s="252" t="s">
        <v>111</v>
      </c>
      <c r="F1" s="253" t="s">
        <v>112</v>
      </c>
    </row>
    <row r="2">
      <c r="A2" s="254">
        <v>20000.0</v>
      </c>
      <c r="B2" s="252">
        <v>223.0</v>
      </c>
      <c r="F2" s="252" t="s">
        <v>113</v>
      </c>
      <c r="G2" s="252" t="s">
        <v>114</v>
      </c>
      <c r="H2" s="252" t="s">
        <v>115</v>
      </c>
      <c r="I2" s="252" t="s">
        <v>116</v>
      </c>
    </row>
    <row r="3">
      <c r="C3" s="255">
        <f t="shared" ref="C3:C9" si="1">$A$2*F3+H3+$B$2*G3</f>
        <v>350</v>
      </c>
      <c r="E3" s="256" t="s">
        <v>117</v>
      </c>
      <c r="F3" s="257">
        <v>0.01</v>
      </c>
      <c r="G3" s="256"/>
      <c r="H3" s="256">
        <v>150.0</v>
      </c>
      <c r="I3" s="258"/>
    </row>
    <row r="4">
      <c r="C4" s="255">
        <f t="shared" si="1"/>
        <v>300</v>
      </c>
      <c r="E4" s="252" t="s">
        <v>118</v>
      </c>
      <c r="F4" s="259">
        <v>0.015</v>
      </c>
    </row>
    <row r="5">
      <c r="C5" s="255">
        <f t="shared" si="1"/>
        <v>1299</v>
      </c>
      <c r="E5" s="252" t="s">
        <v>119</v>
      </c>
      <c r="F5" s="259">
        <v>0.022</v>
      </c>
      <c r="G5" s="252">
        <v>3.0</v>
      </c>
      <c r="H5" s="252">
        <v>190.0</v>
      </c>
      <c r="J5" s="252" t="s">
        <v>120</v>
      </c>
    </row>
    <row r="6">
      <c r="C6" s="255">
        <f t="shared" si="1"/>
        <v>340</v>
      </c>
      <c r="E6" s="252" t="s">
        <v>121</v>
      </c>
      <c r="F6" s="259">
        <v>0.01</v>
      </c>
      <c r="H6" s="252">
        <v>140.0</v>
      </c>
      <c r="J6" s="252" t="s">
        <v>122</v>
      </c>
      <c r="L6" s="252" t="s">
        <v>123</v>
      </c>
    </row>
    <row r="7">
      <c r="C7" s="255">
        <f t="shared" si="1"/>
        <v>543</v>
      </c>
      <c r="E7" s="252" t="s">
        <v>124</v>
      </c>
      <c r="F7" s="259">
        <v>0.016</v>
      </c>
      <c r="G7" s="252">
        <v>1.0</v>
      </c>
      <c r="I7" s="252">
        <v>1000.0</v>
      </c>
    </row>
    <row r="8">
      <c r="C8" s="255">
        <f t="shared" si="1"/>
        <v>389.5</v>
      </c>
      <c r="E8" s="252" t="s">
        <v>125</v>
      </c>
      <c r="F8" s="259">
        <v>0.0089</v>
      </c>
      <c r="G8" s="252">
        <v>0.5</v>
      </c>
      <c r="H8" s="252">
        <v>100.0</v>
      </c>
      <c r="I8" s="252">
        <v>1900.0</v>
      </c>
      <c r="P8" s="252" t="s">
        <v>126</v>
      </c>
    </row>
    <row r="9">
      <c r="C9" s="255">
        <f t="shared" si="1"/>
        <v>523</v>
      </c>
      <c r="E9" s="252" t="s">
        <v>127</v>
      </c>
      <c r="F9" s="259">
        <v>0.015</v>
      </c>
      <c r="G9" s="252">
        <v>1.0</v>
      </c>
      <c r="H9" s="252">
        <v>0.0</v>
      </c>
      <c r="I9" s="252">
        <v>600.0</v>
      </c>
    </row>
  </sheetData>
  <mergeCells count="1">
    <mergeCell ref="F1:G1"/>
  </mergeCells>
  <conditionalFormatting sqref="C3:C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2016-05-31T16:01:17Z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SOB-DocumentTagging.ClassificationMark.P00">
    <vt:lpwstr>&lt;ClassificationMark xmlns:xsi="http://www.w3.org/2001/XMLSchema-instance" xmlns:xsd="http://www.w3.org/2001/XMLSchema" margin="NaN" class="C0" owner="ragaz" position="TopLeft" marginX="0" marginY="0" classifiedOn="2019-06-24T13:35:43.9919942+02:00" s</vt:lpwstr>
  </property>
  <property fmtid="{D5CDD505-2E9C-101B-9397-08002B2CF9AE}" pid="3" name="CSOB-DocumentTagging.ClassificationMark.P01">
    <vt:lpwstr>howPrintedBy="false" showPrintDate="false" language="cs" ApplicationVersion="Microsoft Excel, 15.0" addinVersion="5.10.4.22" template="CSOB"&gt;&lt;history bulk="false" class="Veřejné" code="C0" user="HEŘMÁNKOVÁ Lenka" date="2019-06-24T13:35:43.9919942+02:</vt:lpwstr>
  </property>
  <property fmtid="{D5CDD505-2E9C-101B-9397-08002B2CF9AE}" pid="4" name="CSOB-DocumentTagging.ClassificationMark.P02">
    <vt:lpwstr>00" /&gt;&lt;recipients /&gt;&lt;documentOwners /&gt;&lt;/ClassificationMark&gt;</vt:lpwstr>
  </property>
  <property fmtid="{D5CDD505-2E9C-101B-9397-08002B2CF9AE}" pid="5" name="CSOB-DocumentTagging.ClassificationMark">
    <vt:lpwstr>￼PARTS:3</vt:lpwstr>
  </property>
  <property fmtid="{D5CDD505-2E9C-101B-9397-08002B2CF9AE}" pid="6" name="CSOB-DocumentClasification">
    <vt:lpwstr>Veřejné</vt:lpwstr>
  </property>
  <property fmtid="{D5CDD505-2E9C-101B-9397-08002B2CF9AE}" pid="7" name="CSOB-DLP">
    <vt:lpwstr>CSOB-DLP:TAGPublic</vt:lpwstr>
  </property>
  <property fmtid="{D5CDD505-2E9C-101B-9397-08002B2CF9AE}" pid="8" name="MSIP_Label_a5a63cc4-2ec6-44d2-91a5-2f2bdabdec44_Enabled">
    <vt:lpwstr>true</vt:lpwstr>
  </property>
  <property fmtid="{D5CDD505-2E9C-101B-9397-08002B2CF9AE}" pid="9" name="MSIP_Label_a5a63cc4-2ec6-44d2-91a5-2f2bdabdec44_SetDate">
    <vt:lpwstr>2022-01-07T15:50:06Z</vt:lpwstr>
  </property>
  <property fmtid="{D5CDD505-2E9C-101B-9397-08002B2CF9AE}" pid="10" name="MSIP_Label_a5a63cc4-2ec6-44d2-91a5-2f2bdabdec44_Method">
    <vt:lpwstr>Standard</vt:lpwstr>
  </property>
  <property fmtid="{D5CDD505-2E9C-101B-9397-08002B2CF9AE}" pid="11" name="MSIP_Label_a5a63cc4-2ec6-44d2-91a5-2f2bdabdec44_Name">
    <vt:lpwstr>a5a63cc4-2ec6-44d2-91a5-2f2bdabdec44</vt:lpwstr>
  </property>
  <property fmtid="{D5CDD505-2E9C-101B-9397-08002B2CF9AE}" pid="12" name="MSIP_Label_a5a63cc4-2ec6-44d2-91a5-2f2bdabdec44_SiteId">
    <vt:lpwstr>64af2aee-7d6c-49ac-a409-192d3fee73b8</vt:lpwstr>
  </property>
  <property fmtid="{D5CDD505-2E9C-101B-9397-08002B2CF9AE}" pid="13" name="MSIP_Label_a5a63cc4-2ec6-44d2-91a5-2f2bdabdec44_ActionId">
    <vt:lpwstr>ea6f5d55-38df-4433-a7e2-ba3a6c2158e6</vt:lpwstr>
  </property>
  <property fmtid="{D5CDD505-2E9C-101B-9397-08002B2CF9AE}" pid="14" name="MSIP_Label_a5a63cc4-2ec6-44d2-91a5-2f2bdabdec44_ContentBits">
    <vt:lpwstr>1</vt:lpwstr>
  </property>
</Properties>
</file>