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5600" windowHeight="148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33" i="1" l="1"/>
  <c r="O33" i="1"/>
  <c r="AA32" i="1"/>
  <c r="Z32" i="1"/>
  <c r="M32" i="1"/>
  <c r="W32" i="1"/>
  <c r="L32" i="1"/>
  <c r="V32" i="1"/>
  <c r="AA31" i="1"/>
  <c r="U31" i="1"/>
  <c r="S31" i="1"/>
  <c r="Q31" i="1"/>
  <c r="O31" i="1"/>
  <c r="M31" i="1"/>
  <c r="AA30" i="1"/>
  <c r="U30" i="1"/>
  <c r="S30" i="1"/>
  <c r="M30" i="1"/>
  <c r="U29" i="1"/>
  <c r="S29" i="1"/>
  <c r="Q29" i="1"/>
  <c r="O29" i="1"/>
  <c r="U28" i="1"/>
  <c r="AO27" i="1"/>
  <c r="AN27" i="1"/>
  <c r="U26" i="1"/>
  <c r="Q25" i="1"/>
  <c r="Q24" i="1"/>
  <c r="AA23" i="1"/>
  <c r="U23" i="1"/>
  <c r="S23" i="1"/>
  <c r="AN22" i="1"/>
  <c r="AM22" i="1"/>
  <c r="AN21" i="1"/>
  <c r="AM21" i="1"/>
  <c r="AL21" i="1"/>
  <c r="U21" i="1"/>
  <c r="Q21" i="1"/>
  <c r="AN20" i="1"/>
  <c r="AM20" i="1"/>
  <c r="AL20" i="1"/>
  <c r="U20" i="1"/>
  <c r="S20" i="1"/>
  <c r="AO18" i="1"/>
  <c r="AN18" i="1"/>
  <c r="AN17" i="1"/>
  <c r="AA17" i="1"/>
  <c r="S17" i="1"/>
  <c r="AA16" i="1"/>
  <c r="U16" i="1"/>
  <c r="S16" i="1"/>
  <c r="AA15" i="1"/>
  <c r="U15" i="1"/>
  <c r="Q15" i="1"/>
  <c r="M15" i="1"/>
  <c r="M14" i="1"/>
  <c r="Q13" i="1"/>
  <c r="O13" i="1"/>
  <c r="M12" i="1"/>
  <c r="Q12" i="1"/>
  <c r="U12" i="1"/>
  <c r="AA12" i="1"/>
  <c r="U11" i="1"/>
  <c r="AO10" i="1"/>
  <c r="AN10" i="1"/>
  <c r="AM10" i="1"/>
  <c r="AL10" i="1"/>
  <c r="AA10" i="1"/>
  <c r="U10" i="1"/>
  <c r="Q10" i="1"/>
  <c r="M10" i="1"/>
  <c r="M9" i="1"/>
  <c r="S9" i="1"/>
  <c r="AC9" i="1"/>
  <c r="AB9" i="1"/>
  <c r="Q9" i="1"/>
  <c r="O9" i="1"/>
  <c r="AA7" i="1"/>
  <c r="U7" i="1"/>
  <c r="U6" i="1"/>
  <c r="AA5" i="1"/>
  <c r="U5" i="1"/>
  <c r="AA3" i="1"/>
  <c r="U3" i="1"/>
  <c r="AC2" i="1"/>
  <c r="AB2" i="1"/>
  <c r="Q2" i="1"/>
  <c r="P2" i="1"/>
  <c r="O2" i="1"/>
</calcChain>
</file>

<file path=xl/comments1.xml><?xml version="1.0" encoding="utf-8"?>
<comments xmlns="http://schemas.openxmlformats.org/spreadsheetml/2006/main">
  <authors>
    <author>Marina Antillon</author>
    <author>Marina</author>
    <author>Microsoft Office User</author>
  </authors>
  <commentList>
    <comment ref="P2" authorId="0">
      <text>
        <r>
          <rPr>
            <b/>
            <sz val="9"/>
            <color indexed="81"/>
            <rFont val="Tahoma"/>
            <family val="2"/>
          </rPr>
          <t>Marina Antillon:</t>
        </r>
        <r>
          <rPr>
            <sz val="9"/>
            <color indexed="81"/>
            <rFont val="Tahoma"/>
            <family val="2"/>
          </rPr>
          <t xml:space="preserve">
Over 1 year of age.</t>
        </r>
      </text>
    </comment>
    <comment ref="R2" authorId="1">
      <text>
        <r>
          <rPr>
            <b/>
            <sz val="9"/>
            <color indexed="81"/>
            <rFont val="Tahoma"/>
            <family val="2"/>
          </rPr>
          <t>Marina:</t>
        </r>
        <r>
          <rPr>
            <sz val="9"/>
            <color indexed="81"/>
            <rFont val="Tahoma"/>
            <family val="2"/>
          </rPr>
          <t xml:space="preserve">
They did mention that income was higher among those more than a year old. 11.5 episodes per 1000 people.</t>
        </r>
      </text>
    </comment>
    <comment ref="T3" authorId="1">
      <text>
        <r>
          <rPr>
            <b/>
            <sz val="9"/>
            <color indexed="81"/>
            <rFont val="Tahoma"/>
            <family val="2"/>
          </rPr>
          <t>Marina:</t>
        </r>
        <r>
          <rPr>
            <sz val="9"/>
            <color indexed="81"/>
            <rFont val="Tahoma"/>
            <family val="2"/>
          </rPr>
          <t xml:space="preserve">
I got this number from looking at the figure 1, which reported the distribution of cases by age.</t>
        </r>
      </text>
    </comment>
    <comment ref="U3" authorId="1">
      <text>
        <r>
          <rPr>
            <b/>
            <sz val="9"/>
            <color indexed="81"/>
            <rFont val="Tahoma"/>
            <family val="2"/>
          </rPr>
          <t>Marina:</t>
        </r>
        <r>
          <rPr>
            <sz val="9"/>
            <color indexed="81"/>
            <rFont val="Tahoma"/>
            <family val="2"/>
          </rPr>
          <t xml:space="preserve">
I got the population age %'s from the Kalamapur Census Results, published separately by the icddr,b people. These percents are for 2005-7.</t>
        </r>
      </text>
    </comment>
    <comment ref="Z3" authorId="1">
      <text>
        <r>
          <rPr>
            <b/>
            <sz val="9"/>
            <color indexed="81"/>
            <rFont val="Tahoma"/>
            <family val="2"/>
          </rPr>
          <t>Marina:</t>
        </r>
        <r>
          <rPr>
            <sz val="9"/>
            <color indexed="81"/>
            <rFont val="Tahoma"/>
            <family val="2"/>
          </rPr>
          <t xml:space="preserve">
I got this by looking at fig 1 in the paper which showed the distribution of cases by age.</t>
        </r>
      </text>
    </comment>
    <comment ref="AA3" authorId="1">
      <text>
        <r>
          <rPr>
            <b/>
            <sz val="9"/>
            <color indexed="81"/>
            <rFont val="Tahoma"/>
            <family val="2"/>
          </rPr>
          <t>Marina:</t>
        </r>
        <r>
          <rPr>
            <sz val="9"/>
            <color indexed="81"/>
            <rFont val="Tahoma"/>
            <family val="2"/>
          </rPr>
          <t xml:space="preserve">
I got the population age %'s from the Kalamapur Census Results, published separately by the icddr,b people. These percents are for 2005-7.</t>
        </r>
      </text>
    </comment>
    <comment ref="AA5" authorId="1">
      <text>
        <r>
          <rPr>
            <b/>
            <sz val="9"/>
            <color indexed="81"/>
            <rFont val="Tahoma"/>
            <family val="2"/>
          </rPr>
          <t>Marina:</t>
        </r>
        <r>
          <rPr>
            <sz val="9"/>
            <color indexed="81"/>
            <rFont val="Tahoma"/>
            <family val="2"/>
          </rPr>
          <t xml:space="preserve">
Still just people over 15 in school. So ages 15-22.</t>
        </r>
      </text>
    </comment>
    <comment ref="Q7" authorId="1">
      <text>
        <r>
          <rPr>
            <b/>
            <sz val="9"/>
            <color indexed="81"/>
            <rFont val="Tahoma"/>
            <family val="2"/>
          </rPr>
          <t>Marina:</t>
        </r>
        <r>
          <rPr>
            <sz val="9"/>
            <color indexed="81"/>
            <rFont val="Tahoma"/>
            <family val="2"/>
          </rPr>
          <t xml:space="preserve">
Only 3-4 year olds</t>
        </r>
      </text>
    </comment>
    <comment ref="AA7" authorId="1">
      <text>
        <r>
          <rPr>
            <b/>
            <sz val="9"/>
            <color indexed="81"/>
            <rFont val="Tahoma"/>
            <family val="2"/>
          </rPr>
          <t>Marina:</t>
        </r>
        <r>
          <rPr>
            <sz val="9"/>
            <color indexed="81"/>
            <rFont val="Tahoma"/>
            <family val="2"/>
          </rPr>
          <t xml:space="preserve">
Only up to 25 years of age.</t>
        </r>
      </text>
    </comment>
    <comment ref="P10" authorId="0">
      <text>
        <r>
          <rPr>
            <b/>
            <sz val="9"/>
            <color indexed="81"/>
            <rFont val="Tahoma"/>
            <family val="2"/>
          </rPr>
          <t>Marina Antillon:</t>
        </r>
        <r>
          <rPr>
            <sz val="9"/>
            <color indexed="81"/>
            <rFont val="Tahoma"/>
            <family val="2"/>
          </rPr>
          <t xml:space="preserve">
Over 1 year of age.</t>
        </r>
      </text>
    </comment>
    <comment ref="P12" authorId="1">
      <text>
        <r>
          <rPr>
            <b/>
            <sz val="9"/>
            <color indexed="81"/>
            <rFont val="Tahoma"/>
            <family val="2"/>
          </rPr>
          <t>Marina:</t>
        </r>
        <r>
          <rPr>
            <sz val="9"/>
            <color indexed="81"/>
            <rFont val="Tahoma"/>
            <family val="2"/>
          </rPr>
          <t xml:space="preserve">
Ages 3-6 here.</t>
        </r>
      </text>
    </comment>
    <comment ref="T12" authorId="1">
      <text>
        <r>
          <rPr>
            <b/>
            <sz val="9"/>
            <color indexed="81"/>
            <rFont val="Tahoma"/>
            <family val="2"/>
          </rPr>
          <t>Marina:</t>
        </r>
        <r>
          <rPr>
            <sz val="9"/>
            <color indexed="81"/>
            <rFont val="Tahoma"/>
            <family val="2"/>
          </rPr>
          <t xml:space="preserve">
Ages 7-14 here</t>
        </r>
      </text>
    </comment>
    <comment ref="L14" authorId="0">
      <text>
        <r>
          <rPr>
            <b/>
            <sz val="9"/>
            <color indexed="81"/>
            <rFont val="Calibri"/>
            <family val="2"/>
          </rPr>
          <t>Marina Antillon:</t>
        </r>
        <r>
          <rPr>
            <sz val="9"/>
            <color indexed="81"/>
            <rFont val="Calibri"/>
            <family val="2"/>
          </rPr>
          <t xml:space="preserve">
98 people were reported to be in this study, but the results of 63 of them were reported above.</t>
        </r>
      </text>
    </comment>
    <comment ref="M14" authorId="0">
      <text>
        <r>
          <rPr>
            <b/>
            <sz val="9"/>
            <color indexed="81"/>
            <rFont val="Calibri"/>
            <family val="2"/>
          </rPr>
          <t>Marina Antillon:</t>
        </r>
        <r>
          <rPr>
            <sz val="9"/>
            <color indexed="81"/>
            <rFont val="Calibri"/>
            <family val="2"/>
          </rPr>
          <t xml:space="preserve">
19,589 people were followed from Nov 95 - Feb 97. 
From Nov 95 - Oct 96, households summing to 8172 were people were followed up in an active surveillance program and 7159 people in those households were under 40, which was the age of eligibility for this study. They yielded 6454 person-years of observation. 
Of the rest of the (19589 - 8172) people, I assume that 7159/8172 were under 40 years, and that the rate of retention was comparable (6454/7154 over 12 months). 
Then, the group that was surveilled actively was also followed-up passively from Nov 1996-Feb 1997. They must have had a similar rate of retention (6454/7154*1/3 over 4 months), so we add that time of exposure here.
No age groups were reported for this part of the study.</t>
        </r>
      </text>
    </comment>
    <comment ref="L15" authorId="0">
      <text>
        <r>
          <rPr>
            <b/>
            <sz val="9"/>
            <color indexed="81"/>
            <rFont val="Calibri"/>
            <family val="2"/>
          </rPr>
          <t>Marina Antillon:</t>
        </r>
        <r>
          <rPr>
            <sz val="9"/>
            <color indexed="81"/>
            <rFont val="Calibri"/>
            <family val="2"/>
          </rPr>
          <t xml:space="preserve">
Excludes those under 2 years of age.</t>
        </r>
      </text>
    </comment>
    <comment ref="M15" authorId="0">
      <text>
        <r>
          <rPr>
            <b/>
            <sz val="9"/>
            <color indexed="81"/>
            <rFont val="Calibri"/>
            <family val="2"/>
          </rPr>
          <t>Marina Antillon:</t>
        </r>
        <r>
          <rPr>
            <sz val="9"/>
            <color indexed="81"/>
            <rFont val="Calibri"/>
            <family val="2"/>
          </rPr>
          <t xml:space="preserve">
18,804 patients were followed for 2 years, therefore there were 37608 person-years. Includes only those in the clusters with no typhoid vaccines who consented to a  hepatitis A vaccine.</t>
        </r>
      </text>
    </comment>
    <comment ref="P15" authorId="0">
      <text>
        <r>
          <rPr>
            <b/>
            <sz val="9"/>
            <color indexed="81"/>
            <rFont val="Calibri"/>
            <family val="2"/>
          </rPr>
          <t>Marina Antillon:</t>
        </r>
        <r>
          <rPr>
            <sz val="9"/>
            <color indexed="81"/>
            <rFont val="Calibri"/>
            <family val="2"/>
          </rPr>
          <t xml:space="preserve">
The trial excludes those under 2 years of age.</t>
        </r>
      </text>
    </comment>
    <comment ref="T16" authorId="1">
      <text>
        <r>
          <rPr>
            <b/>
            <sz val="9"/>
            <color indexed="81"/>
            <rFont val="Tahoma"/>
            <family val="2"/>
          </rPr>
          <t>Marina:</t>
        </r>
        <r>
          <rPr>
            <sz val="9"/>
            <color indexed="81"/>
            <rFont val="Tahoma"/>
            <family val="2"/>
          </rPr>
          <t xml:space="preserve">
Breakdown wasn't shown this way. But I assigned half of the 10-20 cases to be under 15 and the other half over 15. </t>
        </r>
      </text>
    </comment>
    <comment ref="Z16" authorId="1">
      <text>
        <r>
          <rPr>
            <b/>
            <sz val="9"/>
            <color indexed="81"/>
            <rFont val="Tahoma"/>
            <family val="2"/>
          </rPr>
          <t>Marina:</t>
        </r>
        <r>
          <rPr>
            <sz val="9"/>
            <color indexed="81"/>
            <rFont val="Tahoma"/>
            <family val="2"/>
          </rPr>
          <t xml:space="preserve">
Since the mean was 14.9, then I figured 47 cases were over 15.</t>
        </r>
      </text>
    </comment>
    <comment ref="T17" authorId="1">
      <text>
        <r>
          <rPr>
            <b/>
            <sz val="9"/>
            <color indexed="81"/>
            <rFont val="Tahoma"/>
            <family val="2"/>
          </rPr>
          <t>Marina:</t>
        </r>
        <r>
          <rPr>
            <sz val="9"/>
            <color indexed="81"/>
            <rFont val="Tahoma"/>
            <family val="2"/>
          </rPr>
          <t xml:space="preserve">
Actually 5-17.</t>
        </r>
      </text>
    </comment>
    <comment ref="T18" authorId="1">
      <text>
        <r>
          <rPr>
            <b/>
            <sz val="9"/>
            <color indexed="81"/>
            <rFont val="Tahoma"/>
            <family val="2"/>
          </rPr>
          <t>Marina:</t>
        </r>
        <r>
          <rPr>
            <sz val="9"/>
            <color indexed="81"/>
            <rFont val="Tahoma"/>
            <family val="2"/>
          </rPr>
          <t xml:space="preserve">
Actually 5-17.</t>
        </r>
      </text>
    </comment>
    <comment ref="P20" authorId="1">
      <text>
        <r>
          <rPr>
            <b/>
            <sz val="9"/>
            <color indexed="81"/>
            <rFont val="Tahoma"/>
            <family val="2"/>
          </rPr>
          <t>Marina:</t>
        </r>
        <r>
          <rPr>
            <sz val="9"/>
            <color indexed="81"/>
            <rFont val="Tahoma"/>
            <family val="2"/>
          </rPr>
          <t xml:space="preserve">
It seems strange that these baseline numbers and the numbers for the placebo group are the same...</t>
        </r>
      </text>
    </comment>
    <comment ref="T20" authorId="1">
      <text>
        <r>
          <rPr>
            <b/>
            <sz val="9"/>
            <color indexed="81"/>
            <rFont val="Tahoma"/>
            <family val="2"/>
          </rPr>
          <t>Marina:</t>
        </r>
        <r>
          <rPr>
            <sz val="9"/>
            <color indexed="81"/>
            <rFont val="Tahoma"/>
            <family val="2"/>
          </rPr>
          <t xml:space="preserve">
Strange that they got the exact same number of cases in each age group for the baseline and for the control group of the trial years.</t>
        </r>
      </text>
    </comment>
    <comment ref="AG20" authorId="0">
      <text>
        <r>
          <rPr>
            <b/>
            <sz val="9"/>
            <color indexed="81"/>
            <rFont val="Calibri"/>
            <family val="2"/>
          </rPr>
          <t>Marina Antillon:</t>
        </r>
        <r>
          <rPr>
            <sz val="9"/>
            <color indexed="81"/>
            <rFont val="Calibri"/>
            <family val="2"/>
          </rPr>
          <t xml:space="preserve">
They were unsuccessful in getting local providers to cooperate, although they visited the households.</t>
        </r>
      </text>
    </comment>
    <comment ref="Q21" authorId="1">
      <text>
        <r>
          <rPr>
            <b/>
            <sz val="9"/>
            <color indexed="81"/>
            <rFont val="Tahoma"/>
            <family val="2"/>
          </rPr>
          <t>Marina:</t>
        </r>
        <r>
          <rPr>
            <sz val="9"/>
            <color indexed="81"/>
            <rFont val="Tahoma"/>
            <family val="2"/>
          </rPr>
          <t xml:space="preserve">
This is only the placebo group. Only followed up for two years. Got person-time from the reported incidence, which took into account lost-to-follow-up. It should be noted that there were no children under 2 in this study.
</t>
        </r>
      </text>
    </comment>
    <comment ref="U21" authorId="1">
      <text>
        <r>
          <rPr>
            <b/>
            <sz val="9"/>
            <color indexed="81"/>
            <rFont val="Tahoma"/>
            <family val="2"/>
          </rPr>
          <t>Marina:</t>
        </r>
        <r>
          <rPr>
            <sz val="9"/>
            <color indexed="81"/>
            <rFont val="Tahoma"/>
            <family val="2"/>
          </rPr>
          <t xml:space="preserve">
Only the placebo group. Only followed-up for two years. Got person-time from the reported incidence, which took into account lost-to-follow-up. Apparently there were about 1.7 years of follow-up on average for each</t>
        </r>
      </text>
    </comment>
    <comment ref="P22" authorId="1">
      <text>
        <r>
          <rPr>
            <b/>
            <sz val="9"/>
            <color indexed="81"/>
            <rFont val="Tahoma"/>
            <family val="2"/>
          </rPr>
          <t>Marina:</t>
        </r>
        <r>
          <rPr>
            <sz val="9"/>
            <color indexed="81"/>
            <rFont val="Tahoma"/>
            <family val="2"/>
          </rPr>
          <t xml:space="preserve">
Actually looking at 2-4 year olds only. They didn't track children under 2. Also, I suspect this includes both typhoid and paratyphoid, from looking at Khan (2006) which reports on 2/3 colonies.</t>
        </r>
      </text>
    </comment>
    <comment ref="Q22" authorId="1">
      <text>
        <r>
          <rPr>
            <b/>
            <sz val="9"/>
            <color indexed="81"/>
            <rFont val="Tahoma"/>
            <family val="2"/>
          </rPr>
          <t>Marina:</t>
        </r>
        <r>
          <rPr>
            <sz val="9"/>
            <color indexed="81"/>
            <rFont val="Tahoma"/>
            <family val="2"/>
          </rPr>
          <t xml:space="preserve">
Only children 2-4. They didn't study children under 2.
</t>
        </r>
      </text>
    </comment>
    <comment ref="R23" authorId="1">
      <text>
        <r>
          <rPr>
            <b/>
            <sz val="9"/>
            <color indexed="81"/>
            <rFont val="Tahoma"/>
            <family val="2"/>
          </rPr>
          <t>Marina:</t>
        </r>
        <r>
          <rPr>
            <sz val="9"/>
            <color indexed="81"/>
            <rFont val="Tahoma"/>
            <family val="2"/>
          </rPr>
          <t xml:space="preserve">
Had to back-calculate these.</t>
        </r>
      </text>
    </comment>
    <comment ref="S23" authorId="1">
      <text>
        <r>
          <rPr>
            <b/>
            <sz val="9"/>
            <color indexed="81"/>
            <rFont val="Tahoma"/>
            <family val="2"/>
          </rPr>
          <t>Marina:</t>
        </r>
        <r>
          <rPr>
            <sz val="9"/>
            <color indexed="81"/>
            <rFont val="Tahoma"/>
            <family val="2"/>
          </rPr>
          <t xml:space="preserve">
had to get this from estimates of the pop dist of Vietnam at the time. From the 1997 DHS.
Also, this is actually 5-14.</t>
        </r>
      </text>
    </comment>
    <comment ref="T23" authorId="1">
      <text>
        <r>
          <rPr>
            <b/>
            <sz val="9"/>
            <color indexed="81"/>
            <rFont val="Tahoma"/>
            <family val="2"/>
          </rPr>
          <t>Marina:</t>
        </r>
        <r>
          <rPr>
            <sz val="9"/>
            <color indexed="81"/>
            <rFont val="Tahoma"/>
            <family val="2"/>
          </rPr>
          <t xml:space="preserve">
Had to back-calculate this.</t>
        </r>
      </text>
    </comment>
    <comment ref="U23" authorId="1">
      <text>
        <r>
          <rPr>
            <b/>
            <sz val="9"/>
            <color indexed="81"/>
            <rFont val="Tahoma"/>
            <family val="2"/>
          </rPr>
          <t>Marina:</t>
        </r>
        <r>
          <rPr>
            <sz val="9"/>
            <color indexed="81"/>
            <rFont val="Tahoma"/>
            <family val="2"/>
          </rPr>
          <t xml:space="preserve">
had to get this from estimates of the pop dist of Vietnam at the time. From the 1997 DHS. Also this is actually 5-14.</t>
        </r>
      </text>
    </comment>
    <comment ref="Z23" authorId="1">
      <text>
        <r>
          <rPr>
            <b/>
            <sz val="9"/>
            <color indexed="81"/>
            <rFont val="Tahoma"/>
            <family val="2"/>
          </rPr>
          <t>Marina:</t>
        </r>
        <r>
          <rPr>
            <sz val="9"/>
            <color indexed="81"/>
            <rFont val="Tahoma"/>
            <family val="2"/>
          </rPr>
          <t xml:space="preserve">
Had to back-calculate this.</t>
        </r>
      </text>
    </comment>
    <comment ref="AA23" authorId="1">
      <text>
        <r>
          <rPr>
            <b/>
            <sz val="9"/>
            <color indexed="81"/>
            <rFont val="Tahoma"/>
            <family val="2"/>
          </rPr>
          <t>Marina:</t>
        </r>
        <r>
          <rPr>
            <sz val="9"/>
            <color indexed="81"/>
            <rFont val="Tahoma"/>
            <family val="2"/>
          </rPr>
          <t xml:space="preserve">
had to get this from estimates of the pop dist of Vietnam at the time. From the 1997 DHS.
Also, this is actually 5-14.</t>
        </r>
      </text>
    </comment>
    <comment ref="AG23" authorId="0">
      <text>
        <r>
          <rPr>
            <b/>
            <sz val="9"/>
            <color indexed="81"/>
            <rFont val="Calibri"/>
            <family val="2"/>
          </rPr>
          <t>Marina Antillon:</t>
        </r>
        <r>
          <rPr>
            <sz val="9"/>
            <color indexed="81"/>
            <rFont val="Calibri"/>
            <family val="2"/>
          </rPr>
          <t xml:space="preserve">
I first thought it was passive surveillance, because they did not describe population mobilization, but it was the same surveillance as the Vi-rEPA trial right after, which was definitely active.</t>
        </r>
      </text>
    </comment>
    <comment ref="AO23" authorId="2">
      <text>
        <r>
          <rPr>
            <b/>
            <sz val="10"/>
            <color indexed="81"/>
            <rFont val="Calibri"/>
          </rPr>
          <t>Microsoft Office User:</t>
        </r>
        <r>
          <rPr>
            <sz val="10"/>
            <color indexed="81"/>
            <rFont val="Calibri"/>
          </rPr>
          <t xml:space="preserve">
Actually the number for the oldest age group. But I am going to leave it.
</t>
        </r>
      </text>
    </comment>
    <comment ref="T26" authorId="0">
      <text>
        <r>
          <rPr>
            <b/>
            <sz val="9"/>
            <color indexed="81"/>
            <rFont val="Calibri"/>
            <family val="2"/>
          </rPr>
          <t>Marina Antillon:</t>
        </r>
        <r>
          <rPr>
            <sz val="9"/>
            <color indexed="81"/>
            <rFont val="Calibri"/>
            <family val="2"/>
          </rPr>
          <t xml:space="preserve">
I assume these children were 4-7 years old at this time.</t>
        </r>
      </text>
    </comment>
    <comment ref="AA27" authorId="1">
      <text>
        <r>
          <rPr>
            <b/>
            <sz val="9"/>
            <color indexed="81"/>
            <rFont val="Tahoma"/>
            <family val="2"/>
          </rPr>
          <t>Marina:</t>
        </r>
        <r>
          <rPr>
            <sz val="9"/>
            <color indexed="81"/>
            <rFont val="Tahoma"/>
            <family val="2"/>
          </rPr>
          <t xml:space="preserve">
Really only up to 18.</t>
        </r>
      </text>
    </comment>
    <comment ref="U28" authorId="1">
      <text>
        <r>
          <rPr>
            <b/>
            <sz val="9"/>
            <color indexed="81"/>
            <rFont val="Tahoma"/>
            <family val="2"/>
          </rPr>
          <t>Marina:</t>
        </r>
        <r>
          <rPr>
            <sz val="9"/>
            <color indexed="81"/>
            <rFont val="Tahoma"/>
            <family val="2"/>
          </rPr>
          <t xml:space="preserve">
Trial was all over the Traansvaal district?</t>
        </r>
      </text>
    </comment>
    <comment ref="R31" authorId="1">
      <text>
        <r>
          <rPr>
            <b/>
            <sz val="9"/>
            <color indexed="81"/>
            <rFont val="Tahoma"/>
            <family val="2"/>
          </rPr>
          <t>Marina:</t>
        </r>
        <r>
          <rPr>
            <sz val="9"/>
            <color indexed="81"/>
            <rFont val="Tahoma"/>
            <family val="2"/>
          </rPr>
          <t xml:space="preserve">
They didn't actually give an age breakdown. But they said the patients ranged in age from 5-50, so I wrote 0 for the youngest age group. </t>
        </r>
      </text>
    </comment>
    <comment ref="T31" authorId="1">
      <text>
        <r>
          <rPr>
            <b/>
            <sz val="9"/>
            <color indexed="81"/>
            <rFont val="Tahoma"/>
            <family val="2"/>
          </rPr>
          <t>Marina:</t>
        </r>
        <r>
          <rPr>
            <sz val="9"/>
            <color indexed="81"/>
            <rFont val="Tahoma"/>
            <family val="2"/>
          </rPr>
          <t xml:space="preserve">
They said the median age was 19, so I assigned the first half of the patients to the school-age group.</t>
        </r>
      </text>
    </comment>
    <comment ref="Z31" authorId="1">
      <text>
        <r>
          <rPr>
            <b/>
            <sz val="9"/>
            <color indexed="81"/>
            <rFont val="Tahoma"/>
            <family val="2"/>
          </rPr>
          <t>Marina:</t>
        </r>
        <r>
          <rPr>
            <sz val="9"/>
            <color indexed="81"/>
            <rFont val="Tahoma"/>
            <family val="2"/>
          </rPr>
          <t xml:space="preserve">
I assigned the second half of the cases to the adult group.</t>
        </r>
      </text>
    </comment>
    <comment ref="AA32" authorId="0">
      <text>
        <r>
          <rPr>
            <b/>
            <sz val="9"/>
            <color indexed="81"/>
            <rFont val="Calibri"/>
            <family val="2"/>
          </rPr>
          <t>Marina Antillon:</t>
        </r>
        <r>
          <rPr>
            <sz val="9"/>
            <color indexed="81"/>
            <rFont val="Calibri"/>
            <family val="2"/>
          </rPr>
          <t xml:space="preserve">
person-time was calculated by multiplying the population in that district (180K) with the proportion of the population above age 15 at that time in rural Haiti times 46 months.</t>
        </r>
      </text>
    </comment>
  </commentList>
</comments>
</file>

<file path=xl/sharedStrings.xml><?xml version="1.0" encoding="utf-8"?>
<sst xmlns="http://schemas.openxmlformats.org/spreadsheetml/2006/main" count="348" uniqueCount="187">
  <si>
    <t>Mini-citation</t>
  </si>
  <si>
    <t>Location of study</t>
  </si>
  <si>
    <t>Study duration + year</t>
  </si>
  <si>
    <t>Context</t>
  </si>
  <si>
    <t>In Crump (2004)</t>
  </si>
  <si>
    <t>In Buckle (2012)</t>
  </si>
  <si>
    <t>country</t>
  </si>
  <si>
    <t>location</t>
  </si>
  <si>
    <t>midptyr</t>
  </si>
  <si>
    <t>stryr</t>
  </si>
  <si>
    <t>endyr</t>
  </si>
  <si>
    <t>py_all</t>
  </si>
  <si>
    <t>py02</t>
  </si>
  <si>
    <t>py25</t>
  </si>
  <si>
    <t>py05</t>
  </si>
  <si>
    <t>py515</t>
  </si>
  <si>
    <t>py015</t>
  </si>
  <si>
    <t>py215</t>
  </si>
  <si>
    <t>py15o</t>
  </si>
  <si>
    <t>py5o</t>
  </si>
  <si>
    <t>blood</t>
  </si>
  <si>
    <t>bonemarrow</t>
  </si>
  <si>
    <t>serology</t>
  </si>
  <si>
    <t>survtype1</t>
  </si>
  <si>
    <t>augmentation</t>
  </si>
  <si>
    <t>amt_u5</t>
  </si>
  <si>
    <t>amt_o5</t>
  </si>
  <si>
    <t>part002</t>
  </si>
  <si>
    <t>part205</t>
  </si>
  <si>
    <t>part515</t>
  </si>
  <si>
    <t>part15o</t>
  </si>
  <si>
    <t>Naheed (2010)</t>
  </si>
  <si>
    <t>Dhaka, Bangladesh</t>
  </si>
  <si>
    <t>12 months (January 7,2003 - January 6, 2004)</t>
  </si>
  <si>
    <t>No</t>
  </si>
  <si>
    <t>ICDDR, B Dengue Surveillance program</t>
  </si>
  <si>
    <t>BGD</t>
  </si>
  <si>
    <t>Kalamapur</t>
  </si>
  <si>
    <t>AP</t>
  </si>
  <si>
    <t>P</t>
  </si>
  <si>
    <t>Abdullah Brooks (2005)</t>
  </si>
  <si>
    <t>Kalamapur, Dhaka slum, Bangladesh</t>
  </si>
  <si>
    <t>10 months (Dec 00 - Oct 01)</t>
  </si>
  <si>
    <t>Yes</t>
  </si>
  <si>
    <t>Black (1990)</t>
  </si>
  <si>
    <t>Santiago, Chile</t>
  </si>
  <si>
    <t>5 years (July 1, 1982 - June 20, 1987)</t>
  </si>
  <si>
    <t>Vaccine trial</t>
  </si>
  <si>
    <t>CHL</t>
  </si>
  <si>
    <t>Santiago</t>
  </si>
  <si>
    <t>Levine (1987)</t>
  </si>
  <si>
    <t>Santiago, Chile (Area Occidente)</t>
  </si>
  <si>
    <t>36 months (September 21, 1983 - 1986)</t>
  </si>
  <si>
    <t>Levine (1990)</t>
  </si>
  <si>
    <t>Santiago, Chile (Area Sur Oriente &amp; Area Norte)</t>
  </si>
  <si>
    <t>36 months (November 1986 - 1989)</t>
  </si>
  <si>
    <t>Yang (2001)</t>
  </si>
  <si>
    <t>Quan, Guangxi Zhuang, China</t>
  </si>
  <si>
    <t>19 months (April 1995 - November 1996)</t>
  </si>
  <si>
    <t>CHN</t>
  </si>
  <si>
    <t>Quan</t>
  </si>
  <si>
    <t>Ochiai (2008) - China</t>
  </si>
  <si>
    <t>Hechi/ Quan, Guangxi Zhuang, China</t>
  </si>
  <si>
    <t>12 months (August 1, 2001 - July 31, 2002)</t>
  </si>
  <si>
    <t>Preparation for a vaccine trial</t>
  </si>
  <si>
    <t>Hechi city</t>
  </si>
  <si>
    <t>Crump (2003)</t>
  </si>
  <si>
    <t>Bilbeis District, Egypt</t>
  </si>
  <si>
    <t>4 months (August 2000 - January 2001)</t>
  </si>
  <si>
    <t>A larger study on injection practices</t>
  </si>
  <si>
    <t>EGY</t>
  </si>
  <si>
    <t>Bilbeis District</t>
  </si>
  <si>
    <t>Srikantiah (2006)</t>
  </si>
  <si>
    <t>Fayoum Governorate, Egypt</t>
  </si>
  <si>
    <t>4 months (June 9 - October 31, 2002)</t>
  </si>
  <si>
    <t>Surveillance study</t>
  </si>
  <si>
    <t>Fayoum</t>
  </si>
  <si>
    <t>Wahdan (1982)</t>
  </si>
  <si>
    <t>Alexandria, Egypt</t>
  </si>
  <si>
    <t>3 years (March 1978 - 1981)</t>
  </si>
  <si>
    <t>Alexandria</t>
  </si>
  <si>
    <t>Simanjutak (1990)</t>
  </si>
  <si>
    <t>Plaju and Sumai Gerong, Sumatra, Indonesia</t>
  </si>
  <si>
    <t>30 months (October 1986 - March 1989)</t>
  </si>
  <si>
    <t>IDN</t>
  </si>
  <si>
    <t>Sumatra</t>
  </si>
  <si>
    <t>Sinha (1999)</t>
  </si>
  <si>
    <t>Kalkaji, Dehli, India</t>
  </si>
  <si>
    <t>12 months (November 1, 1995 - October 31, 1996)</t>
  </si>
  <si>
    <t>IND</t>
  </si>
  <si>
    <t>KalkajiA</t>
  </si>
  <si>
    <t>KalkajiB</t>
  </si>
  <si>
    <t>Sur (2009)</t>
  </si>
  <si>
    <t>Wards 29 and 30 in Kolkata</t>
  </si>
  <si>
    <t>2 years (November 27, 2004 - December 30, 2006)</t>
  </si>
  <si>
    <t>Kolkata</t>
  </si>
  <si>
    <t>Sur (2006)</t>
  </si>
  <si>
    <t>12 months (January 1, 2004 - December 1, 2004)</t>
  </si>
  <si>
    <t>Malaria vs Typhoid risk factors</t>
  </si>
  <si>
    <t>Breiman (2012) - Lwak</t>
  </si>
  <si>
    <t>Lwak, Rural West Kenya</t>
  </si>
  <si>
    <t>2 years (March 2007 - March 2009)</t>
  </si>
  <si>
    <t>Surveillance</t>
  </si>
  <si>
    <t>KEN</t>
  </si>
  <si>
    <t>Lwak</t>
  </si>
  <si>
    <t>Breiman (2012) - Kibera</t>
  </si>
  <si>
    <t>Kibera, Nairobi</t>
  </si>
  <si>
    <t>Kibera</t>
  </si>
  <si>
    <t>Acharya (1987)</t>
  </si>
  <si>
    <t>Villages adjacent to Kathmandu (Nepal)</t>
  </si>
  <si>
    <t>16 months (April 1986 - July 1987)</t>
  </si>
  <si>
    <t>NPL</t>
  </si>
  <si>
    <t>Kathmandu</t>
  </si>
  <si>
    <t>A</t>
  </si>
  <si>
    <t>Siddiqui (2006)</t>
  </si>
  <si>
    <t>Karachi, Pakistan</t>
  </si>
  <si>
    <t>31 months (June 1999 - December 2001)</t>
  </si>
  <si>
    <t>PAK</t>
  </si>
  <si>
    <t>Karachi slums</t>
  </si>
  <si>
    <t>Khan (2012)</t>
  </si>
  <si>
    <t>Hijrat, Sultanabad, and Bilal colonies in Karachi</t>
  </si>
  <si>
    <t>5 years (2002-2007)</t>
  </si>
  <si>
    <t>Ochiai (2008) - Pakistan</t>
  </si>
  <si>
    <t>12 months (H&amp;S August 1, 2002 - July 21, 2003 B August 1 2003 - July 31, 2004)</t>
  </si>
  <si>
    <t>Lin (2000)</t>
  </si>
  <si>
    <t>MH, MT, MX communes in Dong Thap Province, Vietnam</t>
  </si>
  <si>
    <t>12 months (December 4, 1995- December 3, 1996)</t>
  </si>
  <si>
    <t>VNM</t>
  </si>
  <si>
    <t>Communes Dong Thap</t>
  </si>
  <si>
    <t>Lin (2001)</t>
  </si>
  <si>
    <t>12 months (March 8, 1998 - March 7, 1999)</t>
  </si>
  <si>
    <t>15 months (March 8, 1999 - May 31, 2000)</t>
  </si>
  <si>
    <t>Lanh (2004)</t>
  </si>
  <si>
    <t>19 months (June 1, 2000 - January 31, 2002)</t>
  </si>
  <si>
    <t>Ochiai (2008) - Viet Nam</t>
  </si>
  <si>
    <t>Hue</t>
  </si>
  <si>
    <t>12 months (June 1, 2002 - June 30, 2003)</t>
  </si>
  <si>
    <t>Preparation for a vaccine trial?</t>
  </si>
  <si>
    <t>Klugman (1987)</t>
  </si>
  <si>
    <t>Transvaal, South Africa</t>
  </si>
  <si>
    <t>22 months (November 1985 - August 1987)</t>
  </si>
  <si>
    <t>ZAF</t>
  </si>
  <si>
    <t>Transvaal</t>
  </si>
  <si>
    <t>Marks (2010)</t>
  </si>
  <si>
    <t>Ashanti region of Ghana</t>
  </si>
  <si>
    <t>15 months (September 2007 - November 2008)</t>
  </si>
  <si>
    <t>Hospital-based surveillance for bacteremia</t>
  </si>
  <si>
    <t>GHA</t>
  </si>
  <si>
    <t>Ashanti</t>
  </si>
  <si>
    <t>Punjabi (2013)</t>
  </si>
  <si>
    <t>North Jakarta</t>
  </si>
  <si>
    <t>24 months (August 2001 - July 2003)</t>
  </si>
  <si>
    <t>Srikantiah (2007)</t>
  </si>
  <si>
    <t>Samarkand City, Uzbekistan</t>
  </si>
  <si>
    <t>11 months (July 2002 - May 2003)</t>
  </si>
  <si>
    <t>Age-matched case control study</t>
  </si>
  <si>
    <t>UZB</t>
  </si>
  <si>
    <t>Samarkand City</t>
  </si>
  <si>
    <t>Oleg Goig (1994)</t>
  </si>
  <si>
    <t>Haiti</t>
  </si>
  <si>
    <t>43 months (January 1988 - July 1991)</t>
  </si>
  <si>
    <t>Retrospective study</t>
  </si>
  <si>
    <t>HTI</t>
  </si>
  <si>
    <t>Artibonite Valley</t>
  </si>
  <si>
    <t>Owais (2010)</t>
  </si>
  <si>
    <t>Gehri Koth, Pakistan</t>
  </si>
  <si>
    <t>15 months (February 1, 2007 - May 12, 2008)</t>
  </si>
  <si>
    <t>Larger study on pneumococcal disease. PneumoDIP</t>
  </si>
  <si>
    <t>Rehri Goth</t>
  </si>
  <si>
    <t>cases_all</t>
  </si>
  <si>
    <t>cases02</t>
  </si>
  <si>
    <t>cases25</t>
  </si>
  <si>
    <t>cases05</t>
  </si>
  <si>
    <t>cases515</t>
  </si>
  <si>
    <t>cases015</t>
  </si>
  <si>
    <t>cases215</t>
  </si>
  <si>
    <t>cases15o</t>
  </si>
  <si>
    <t>cases5o</t>
  </si>
  <si>
    <t>augmentation_key</t>
  </si>
  <si>
    <t>What was assumed for all Ochai studies.</t>
  </si>
  <si>
    <t>participation_notes</t>
  </si>
  <si>
    <t>Assumed that participation was the same in the vaccine study as in the baseline study.</t>
  </si>
  <si>
    <t>Incidence is shown for all age groups combined.</t>
  </si>
  <si>
    <t>Bone marrow also taken in some cases. Participation assumed to be 1.</t>
  </si>
  <si>
    <t>Participation assumed to be 1.</t>
  </si>
  <si>
    <t>16 months (November 1, 1995 - February 28, 1997)</t>
  </si>
  <si>
    <t>Bahl (2004)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</si>
</sst>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sz val="12"/>
      <color theme="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b/>
      <sz val="9"/>
      <color indexed="81"/>
      <name val="Calibri"/>
      <family val="2"/>
    </font>
    <font>
      <sz val="9"/>
      <color indexed="81"/>
      <name val="Calibri"/>
      <family val="2"/>
    </font>
    <font>
      <b/>
      <sz val="10"/>
      <color indexed="81"/>
      <name val="Calibri"/>
    </font>
    <font>
      <sz val="10"/>
      <color indexed="81"/>
      <name val="Calibri"/>
    </font>
    <font>
      <u/>
      <sz val="12"/>
      <color theme="10"/>
      <name val="Calibri"/>
      <family val="2"/>
      <scheme val="minor"/>
    </font>
    <font>
      <u/>
      <sz val="12"/>
      <color theme="11"/>
      <name val="Calibri"/>
      <family val="2"/>
      <scheme val="minor"/>
    </font>
    <font>
      <sz val="11"/>
      <color theme="1"/>
      <name val="Calibri"/>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4">
    <xf numFmtId="0" fontId="0" fillId="0" borderId="0"/>
    <xf numFmtId="0" fontId="1" fillId="2" borderId="1" applyNumberFormat="0" applyFon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6">
    <xf numFmtId="0" fontId="0" fillId="0" borderId="0" xfId="0"/>
    <xf numFmtId="0" fontId="2" fillId="0" borderId="0" xfId="0" applyFont="1" applyFill="1"/>
    <xf numFmtId="0" fontId="2" fillId="0" borderId="0" xfId="0" applyFont="1" applyFill="1" applyBorder="1"/>
    <xf numFmtId="0" fontId="2" fillId="0" borderId="0" xfId="1" applyFont="1" applyFill="1" applyBorder="1"/>
    <xf numFmtId="0" fontId="2" fillId="0" borderId="0" xfId="0" quotePrefix="1" applyFont="1" applyFill="1" applyAlignment="1">
      <alignment horizontal="right"/>
    </xf>
    <xf numFmtId="0" fontId="2" fillId="0" borderId="0" xfId="0" applyFont="1" applyFill="1" applyAlignment="1">
      <alignment horizontal="right"/>
    </xf>
    <xf numFmtId="0" fontId="3" fillId="0" borderId="0" xfId="0" applyFont="1" applyFill="1" applyAlignment="1">
      <alignment horizontal="right"/>
    </xf>
    <xf numFmtId="0" fontId="12" fillId="0" borderId="0" xfId="0" applyFont="1" applyFill="1"/>
    <xf numFmtId="0" fontId="12" fillId="0" borderId="0" xfId="1" applyFont="1" applyFill="1" applyBorder="1"/>
    <xf numFmtId="0" fontId="12" fillId="0" borderId="0" xfId="0" applyFont="1" applyFill="1" applyAlignment="1">
      <alignment horizontal="right"/>
    </xf>
    <xf numFmtId="164" fontId="12" fillId="0" borderId="0" xfId="0" quotePrefix="1" applyNumberFormat="1" applyFont="1" applyFill="1" applyAlignment="1">
      <alignment horizontal="right"/>
    </xf>
    <xf numFmtId="0" fontId="12" fillId="0" borderId="0" xfId="0" quotePrefix="1" applyFont="1" applyFill="1" applyAlignment="1">
      <alignment horizontal="right"/>
    </xf>
    <xf numFmtId="0" fontId="12" fillId="0" borderId="0" xfId="0" applyFont="1" applyFill="1" applyBorder="1"/>
    <xf numFmtId="0" fontId="12" fillId="0" borderId="0" xfId="0" quotePrefix="1" applyFont="1" applyFill="1" applyBorder="1" applyAlignment="1">
      <alignment horizontal="right"/>
    </xf>
    <xf numFmtId="1" fontId="12" fillId="0" borderId="0" xfId="0" quotePrefix="1" applyNumberFormat="1" applyFont="1" applyFill="1" applyAlignment="1">
      <alignment horizontal="right"/>
    </xf>
    <xf numFmtId="0" fontId="3" fillId="0" borderId="0" xfId="0" applyFont="1" applyFill="1" applyBorder="1" applyAlignment="1">
      <alignment horizontal="right" vertical="center" wrapText="1"/>
    </xf>
  </cellXfs>
  <cellStyles count="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 name="Note" xfId="1" builtinId="1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3"/>
  <sheetViews>
    <sheetView tabSelected="1" workbookViewId="0">
      <selection activeCell="A15" sqref="A15"/>
    </sheetView>
  </sheetViews>
  <sheetFormatPr baseColWidth="10" defaultRowHeight="14" x14ac:dyDescent="0"/>
  <cols>
    <col min="1" max="11" width="10.83203125" style="7"/>
    <col min="12" max="21" width="10.83203125" style="1"/>
    <col min="22" max="16384" width="10.83203125" style="7"/>
  </cols>
  <sheetData>
    <row r="1" spans="1:42">
      <c r="A1" s="7" t="s">
        <v>0</v>
      </c>
      <c r="B1" s="7" t="s">
        <v>1</v>
      </c>
      <c r="C1" s="7" t="s">
        <v>2</v>
      </c>
      <c r="D1" s="7" t="s">
        <v>3</v>
      </c>
      <c r="E1" s="7" t="s">
        <v>4</v>
      </c>
      <c r="F1" s="7" t="s">
        <v>5</v>
      </c>
      <c r="G1" s="7" t="s">
        <v>6</v>
      </c>
      <c r="H1" s="7" t="s">
        <v>7</v>
      </c>
      <c r="I1" s="7" t="s">
        <v>8</v>
      </c>
      <c r="J1" s="7" t="s">
        <v>9</v>
      </c>
      <c r="K1" s="7" t="s">
        <v>10</v>
      </c>
      <c r="L1" s="1" t="s">
        <v>169</v>
      </c>
      <c r="M1" s="1" t="s">
        <v>11</v>
      </c>
      <c r="N1" s="1" t="s">
        <v>170</v>
      </c>
      <c r="O1" s="1" t="s">
        <v>12</v>
      </c>
      <c r="P1" s="1" t="s">
        <v>171</v>
      </c>
      <c r="Q1" s="1" t="s">
        <v>13</v>
      </c>
      <c r="R1" s="1" t="s">
        <v>172</v>
      </c>
      <c r="S1" s="1" t="s">
        <v>14</v>
      </c>
      <c r="T1" s="1" t="s">
        <v>173</v>
      </c>
      <c r="U1" s="1" t="s">
        <v>15</v>
      </c>
      <c r="V1" s="7" t="s">
        <v>174</v>
      </c>
      <c r="W1" s="7" t="s">
        <v>16</v>
      </c>
      <c r="X1" s="7" t="s">
        <v>175</v>
      </c>
      <c r="Y1" s="7" t="s">
        <v>17</v>
      </c>
      <c r="Z1" s="7" t="s">
        <v>176</v>
      </c>
      <c r="AA1" s="7" t="s">
        <v>18</v>
      </c>
      <c r="AB1" s="7" t="s">
        <v>177</v>
      </c>
      <c r="AC1" s="7" t="s">
        <v>19</v>
      </c>
      <c r="AD1" s="7" t="s">
        <v>20</v>
      </c>
      <c r="AE1" s="7" t="s">
        <v>21</v>
      </c>
      <c r="AF1" s="7" t="s">
        <v>22</v>
      </c>
      <c r="AG1" s="7" t="s">
        <v>23</v>
      </c>
      <c r="AH1" s="7" t="s">
        <v>24</v>
      </c>
      <c r="AI1" s="7" t="s">
        <v>178</v>
      </c>
      <c r="AJ1" s="7" t="s">
        <v>25</v>
      </c>
      <c r="AK1" s="7" t="s">
        <v>26</v>
      </c>
      <c r="AL1" s="7" t="s">
        <v>27</v>
      </c>
      <c r="AM1" s="7" t="s">
        <v>28</v>
      </c>
      <c r="AN1" s="7" t="s">
        <v>29</v>
      </c>
      <c r="AO1" s="7" t="s">
        <v>30</v>
      </c>
      <c r="AP1" s="7" t="s">
        <v>180</v>
      </c>
    </row>
    <row r="2" spans="1:42">
      <c r="A2" s="7" t="s">
        <v>31</v>
      </c>
      <c r="B2" s="7" t="s">
        <v>32</v>
      </c>
      <c r="C2" s="7" t="s">
        <v>33</v>
      </c>
      <c r="D2" s="7" t="s">
        <v>35</v>
      </c>
      <c r="E2" s="7" t="s">
        <v>34</v>
      </c>
      <c r="F2" s="7" t="s">
        <v>34</v>
      </c>
      <c r="G2" s="7" t="s">
        <v>36</v>
      </c>
      <c r="H2" s="7" t="s">
        <v>37</v>
      </c>
      <c r="I2" s="7">
        <v>2003</v>
      </c>
      <c r="J2" s="7">
        <v>2003</v>
      </c>
      <c r="K2" s="7">
        <v>2004</v>
      </c>
      <c r="L2" s="1">
        <v>40</v>
      </c>
      <c r="M2" s="1">
        <v>19710</v>
      </c>
      <c r="N2" s="2">
        <v>3</v>
      </c>
      <c r="O2" s="2">
        <f>S2-Q2</f>
        <v>476.20000000000005</v>
      </c>
      <c r="P2" s="1">
        <f>11.5/1000*Q2</f>
        <v>21.905200000000001</v>
      </c>
      <c r="Q2" s="1">
        <f>2381*4/5</f>
        <v>1904.8</v>
      </c>
      <c r="R2" s="1">
        <v>25</v>
      </c>
      <c r="S2" s="1">
        <v>2381</v>
      </c>
      <c r="AB2" s="7">
        <f>L2-R2</f>
        <v>15</v>
      </c>
      <c r="AC2" s="7">
        <f>M2-S2</f>
        <v>17329</v>
      </c>
      <c r="AD2" s="7">
        <v>1</v>
      </c>
      <c r="AE2" s="7">
        <v>0</v>
      </c>
      <c r="AF2" s="7">
        <v>0</v>
      </c>
      <c r="AG2" s="8" t="s">
        <v>38</v>
      </c>
      <c r="AH2" s="7">
        <v>0</v>
      </c>
      <c r="AJ2" s="7">
        <v>4</v>
      </c>
      <c r="AK2" s="7">
        <v>4</v>
      </c>
      <c r="AL2" s="9">
        <v>0.68799999999999994</v>
      </c>
      <c r="AM2" s="9">
        <v>0.68799999999999994</v>
      </c>
      <c r="AN2" s="9">
        <v>0.85599999999999998</v>
      </c>
      <c r="AO2" s="9">
        <v>0.85599999999999998</v>
      </c>
    </row>
    <row r="3" spans="1:42">
      <c r="A3" s="7" t="s">
        <v>40</v>
      </c>
      <c r="B3" s="7" t="s">
        <v>41</v>
      </c>
      <c r="C3" s="7" t="s">
        <v>42</v>
      </c>
      <c r="D3" s="7" t="s">
        <v>35</v>
      </c>
      <c r="E3" s="7" t="s">
        <v>34</v>
      </c>
      <c r="F3" s="7" t="s">
        <v>43</v>
      </c>
      <c r="G3" s="7" t="s">
        <v>36</v>
      </c>
      <c r="H3" s="7" t="s">
        <v>37</v>
      </c>
      <c r="I3" s="7">
        <v>2001</v>
      </c>
      <c r="J3" s="7">
        <v>2000</v>
      </c>
      <c r="K3" s="7">
        <v>2001</v>
      </c>
      <c r="L3" s="1">
        <v>49</v>
      </c>
      <c r="M3" s="1">
        <v>12407</v>
      </c>
      <c r="N3" s="2">
        <v>8</v>
      </c>
      <c r="O3" s="2">
        <v>575</v>
      </c>
      <c r="P3" s="2">
        <v>18</v>
      </c>
      <c r="Q3" s="2">
        <v>817</v>
      </c>
      <c r="R3" s="1">
        <v>26</v>
      </c>
      <c r="S3" s="1">
        <v>1393</v>
      </c>
      <c r="T3" s="1">
        <v>13</v>
      </c>
      <c r="U3" s="1">
        <f>ROUND(2481.4,0)</f>
        <v>2481</v>
      </c>
      <c r="Z3" s="7">
        <v>10</v>
      </c>
      <c r="AA3" s="7">
        <f>ROUND(8532.6,0)</f>
        <v>8533</v>
      </c>
      <c r="AD3" s="7">
        <v>1</v>
      </c>
      <c r="AE3" s="7">
        <v>0</v>
      </c>
      <c r="AF3" s="7">
        <v>0</v>
      </c>
      <c r="AG3" s="8" t="s">
        <v>38</v>
      </c>
      <c r="AH3" s="7">
        <v>0</v>
      </c>
      <c r="AJ3" s="7">
        <v>1</v>
      </c>
      <c r="AK3" s="7">
        <v>3</v>
      </c>
      <c r="AL3" s="9">
        <v>0.68799999999999994</v>
      </c>
      <c r="AM3" s="9">
        <v>0.68799999999999994</v>
      </c>
      <c r="AN3" s="9">
        <v>0.85599999999999998</v>
      </c>
      <c r="AO3" s="9">
        <v>0.85599999999999998</v>
      </c>
    </row>
    <row r="4" spans="1:42">
      <c r="A4" s="7" t="s">
        <v>44</v>
      </c>
      <c r="B4" s="7" t="s">
        <v>45</v>
      </c>
      <c r="C4" s="7" t="s">
        <v>46</v>
      </c>
      <c r="D4" s="7" t="s">
        <v>47</v>
      </c>
      <c r="E4" s="7" t="s">
        <v>43</v>
      </c>
      <c r="F4" s="7" t="s">
        <v>43</v>
      </c>
      <c r="G4" s="7" t="s">
        <v>48</v>
      </c>
      <c r="H4" s="7" t="s">
        <v>49</v>
      </c>
      <c r="I4" s="7">
        <v>1985</v>
      </c>
      <c r="J4" s="7">
        <v>1982</v>
      </c>
      <c r="K4" s="7">
        <v>1987</v>
      </c>
      <c r="L4" s="1">
        <v>62</v>
      </c>
      <c r="M4" s="1">
        <v>27305</v>
      </c>
      <c r="N4" s="2"/>
      <c r="O4" s="2"/>
      <c r="AD4" s="7">
        <v>1</v>
      </c>
      <c r="AE4" s="7">
        <v>1</v>
      </c>
      <c r="AF4" s="7">
        <v>0</v>
      </c>
      <c r="AG4" s="8" t="s">
        <v>39</v>
      </c>
      <c r="AH4" s="7">
        <v>1</v>
      </c>
      <c r="AI4" s="7" t="s">
        <v>182</v>
      </c>
      <c r="AJ4" s="7">
        <v>3</v>
      </c>
      <c r="AK4" s="7">
        <v>3</v>
      </c>
      <c r="AL4" s="9">
        <v>1</v>
      </c>
      <c r="AM4" s="9">
        <v>1</v>
      </c>
      <c r="AN4" s="9">
        <v>1</v>
      </c>
      <c r="AO4" s="9">
        <v>1</v>
      </c>
      <c r="AP4" s="7" t="s">
        <v>183</v>
      </c>
    </row>
    <row r="5" spans="1:42">
      <c r="A5" s="7" t="s">
        <v>50</v>
      </c>
      <c r="B5" s="7" t="s">
        <v>51</v>
      </c>
      <c r="C5" s="7" t="s">
        <v>52</v>
      </c>
      <c r="D5" s="7" t="s">
        <v>47</v>
      </c>
      <c r="E5" s="7" t="s">
        <v>43</v>
      </c>
      <c r="F5" s="7" t="s">
        <v>43</v>
      </c>
      <c r="G5" s="7" t="s">
        <v>48</v>
      </c>
      <c r="H5" s="7" t="s">
        <v>49</v>
      </c>
      <c r="I5" s="7">
        <v>1984</v>
      </c>
      <c r="J5" s="7">
        <v>1983</v>
      </c>
      <c r="K5" s="7">
        <v>1986</v>
      </c>
      <c r="N5" s="2"/>
      <c r="O5" s="2"/>
      <c r="T5" s="1">
        <v>57</v>
      </c>
      <c r="U5" s="1">
        <f>16903*3</f>
        <v>50709</v>
      </c>
      <c r="Z5" s="7">
        <v>13</v>
      </c>
      <c r="AA5" s="7">
        <f>5001*3</f>
        <v>15003</v>
      </c>
      <c r="AD5" s="7">
        <v>1</v>
      </c>
      <c r="AE5" s="7">
        <v>1</v>
      </c>
      <c r="AF5" s="7">
        <v>0</v>
      </c>
      <c r="AG5" s="8" t="s">
        <v>39</v>
      </c>
      <c r="AH5" s="7">
        <v>0</v>
      </c>
      <c r="AJ5" s="7">
        <v>4</v>
      </c>
      <c r="AK5" s="7">
        <v>4</v>
      </c>
      <c r="AL5" s="9">
        <v>1</v>
      </c>
      <c r="AM5" s="9">
        <v>1</v>
      </c>
      <c r="AN5" s="9">
        <v>1</v>
      </c>
      <c r="AO5" s="9">
        <v>1</v>
      </c>
      <c r="AP5" s="7" t="s">
        <v>183</v>
      </c>
    </row>
    <row r="6" spans="1:42">
      <c r="A6" s="7" t="s">
        <v>53</v>
      </c>
      <c r="B6" s="7" t="s">
        <v>54</v>
      </c>
      <c r="C6" s="7" t="s">
        <v>55</v>
      </c>
      <c r="D6" s="7" t="s">
        <v>47</v>
      </c>
      <c r="E6" s="7" t="s">
        <v>43</v>
      </c>
      <c r="F6" s="7" t="s">
        <v>43</v>
      </c>
      <c r="G6" s="7" t="s">
        <v>48</v>
      </c>
      <c r="H6" s="7" t="s">
        <v>49</v>
      </c>
      <c r="I6" s="7">
        <v>1988</v>
      </c>
      <c r="J6" s="7">
        <v>1986</v>
      </c>
      <c r="K6" s="7">
        <v>1989</v>
      </c>
      <c r="N6" s="2"/>
      <c r="O6" s="2"/>
      <c r="T6" s="1">
        <v>28</v>
      </c>
      <c r="U6" s="1">
        <f>(5989+4313)*3</f>
        <v>30906</v>
      </c>
      <c r="AD6" s="7">
        <v>1</v>
      </c>
      <c r="AE6" s="7">
        <v>1</v>
      </c>
      <c r="AF6" s="7">
        <v>0</v>
      </c>
      <c r="AG6" s="8" t="s">
        <v>39</v>
      </c>
      <c r="AH6" s="7">
        <v>0</v>
      </c>
      <c r="AJ6" s="10">
        <v>4.5</v>
      </c>
      <c r="AK6" s="10">
        <v>4.5</v>
      </c>
      <c r="AL6" s="9">
        <v>1</v>
      </c>
      <c r="AM6" s="9">
        <v>1</v>
      </c>
      <c r="AN6" s="9">
        <v>1</v>
      </c>
      <c r="AO6" s="9">
        <v>1</v>
      </c>
      <c r="AP6" s="7" t="s">
        <v>183</v>
      </c>
    </row>
    <row r="7" spans="1:42">
      <c r="A7" s="7" t="s">
        <v>56</v>
      </c>
      <c r="B7" s="7" t="s">
        <v>57</v>
      </c>
      <c r="C7" s="7" t="s">
        <v>58</v>
      </c>
      <c r="D7" s="7" t="s">
        <v>47</v>
      </c>
      <c r="E7" s="7" t="s">
        <v>43</v>
      </c>
      <c r="F7" s="7" t="s">
        <v>43</v>
      </c>
      <c r="G7" s="7" t="s">
        <v>59</v>
      </c>
      <c r="H7" s="7" t="s">
        <v>60</v>
      </c>
      <c r="I7" s="7">
        <v>1996</v>
      </c>
      <c r="J7" s="7">
        <v>1995</v>
      </c>
      <c r="K7" s="7">
        <v>1996</v>
      </c>
      <c r="N7" s="2"/>
      <c r="O7" s="2"/>
      <c r="P7" s="1">
        <v>0</v>
      </c>
      <c r="Q7" s="1">
        <v>309</v>
      </c>
      <c r="T7" s="1">
        <v>17</v>
      </c>
      <c r="U7" s="1">
        <f>18386+32662</f>
        <v>51048</v>
      </c>
      <c r="Z7" s="7">
        <v>6</v>
      </c>
      <c r="AA7" s="7">
        <f>9727+4900</f>
        <v>14627</v>
      </c>
      <c r="AD7" s="7">
        <v>1</v>
      </c>
      <c r="AE7" s="7">
        <v>0</v>
      </c>
      <c r="AF7" s="7">
        <v>1</v>
      </c>
      <c r="AG7" s="8" t="s">
        <v>39</v>
      </c>
      <c r="AH7" s="7">
        <v>0</v>
      </c>
      <c r="AJ7" s="7">
        <v>1</v>
      </c>
      <c r="AK7" s="7">
        <v>1</v>
      </c>
      <c r="AL7" s="9">
        <v>1</v>
      </c>
      <c r="AM7" s="9">
        <v>1</v>
      </c>
      <c r="AN7" s="9">
        <v>1</v>
      </c>
      <c r="AO7" s="9">
        <v>1</v>
      </c>
      <c r="AP7" s="7" t="s">
        <v>184</v>
      </c>
    </row>
    <row r="8" spans="1:42" s="1" customFormat="1">
      <c r="A8" s="1" t="s">
        <v>61</v>
      </c>
      <c r="B8" s="1" t="s">
        <v>62</v>
      </c>
      <c r="C8" s="1" t="s">
        <v>63</v>
      </c>
      <c r="D8" s="1" t="s">
        <v>64</v>
      </c>
      <c r="E8" s="1" t="s">
        <v>34</v>
      </c>
      <c r="F8" s="1" t="s">
        <v>43</v>
      </c>
      <c r="G8" s="1" t="s">
        <v>59</v>
      </c>
      <c r="H8" s="1" t="s">
        <v>65</v>
      </c>
      <c r="I8" s="1">
        <v>2002</v>
      </c>
      <c r="J8" s="1">
        <v>2001</v>
      </c>
      <c r="K8" s="1">
        <v>2002</v>
      </c>
      <c r="N8" s="2"/>
      <c r="O8" s="2"/>
      <c r="T8" s="1">
        <v>5</v>
      </c>
      <c r="U8" s="1">
        <v>17084</v>
      </c>
      <c r="Z8" s="1">
        <v>10</v>
      </c>
      <c r="AA8" s="1">
        <v>80844</v>
      </c>
      <c r="AD8" s="1">
        <v>1</v>
      </c>
      <c r="AE8" s="1">
        <v>0</v>
      </c>
      <c r="AF8" s="1">
        <v>1</v>
      </c>
      <c r="AG8" s="3" t="s">
        <v>39</v>
      </c>
      <c r="AH8" s="1">
        <v>0</v>
      </c>
      <c r="AJ8" s="4">
        <v>4</v>
      </c>
      <c r="AK8" s="4">
        <v>6.5</v>
      </c>
      <c r="AL8" s="9">
        <v>1</v>
      </c>
      <c r="AM8" s="9">
        <v>1</v>
      </c>
      <c r="AN8" s="9">
        <v>1</v>
      </c>
      <c r="AO8" s="9">
        <v>1</v>
      </c>
      <c r="AP8" s="1" t="s">
        <v>179</v>
      </c>
    </row>
    <row r="9" spans="1:42">
      <c r="A9" s="7" t="s">
        <v>66</v>
      </c>
      <c r="B9" s="7" t="s">
        <v>67</v>
      </c>
      <c r="C9" s="7" t="s">
        <v>68</v>
      </c>
      <c r="D9" s="7" t="s">
        <v>69</v>
      </c>
      <c r="E9" s="7" t="s">
        <v>43</v>
      </c>
      <c r="F9" s="7" t="s">
        <v>43</v>
      </c>
      <c r="G9" s="7" t="s">
        <v>70</v>
      </c>
      <c r="H9" s="7" t="s">
        <v>71</v>
      </c>
      <c r="I9" s="7">
        <v>2000</v>
      </c>
      <c r="J9" s="7">
        <v>2000</v>
      </c>
      <c r="K9" s="7">
        <v>2001</v>
      </c>
      <c r="L9" s="1">
        <v>19</v>
      </c>
      <c r="M9" s="1">
        <f>ROUND(664000*1/3,0)</f>
        <v>221333</v>
      </c>
      <c r="N9" s="2">
        <v>0</v>
      </c>
      <c r="O9" s="2">
        <f>2.5/5*S9</f>
        <v>13066</v>
      </c>
      <c r="P9" s="1">
        <v>0</v>
      </c>
      <c r="Q9" s="1">
        <f>0.5*S9</f>
        <v>13066</v>
      </c>
      <c r="R9" s="1">
        <v>0</v>
      </c>
      <c r="S9" s="1">
        <f>ROUND(M9*35.42/300, 0)</f>
        <v>26132</v>
      </c>
      <c r="AB9" s="7">
        <f>L9-R9</f>
        <v>19</v>
      </c>
      <c r="AC9" s="7">
        <f>M9-S9</f>
        <v>195201</v>
      </c>
      <c r="AD9" s="7">
        <v>1</v>
      </c>
      <c r="AE9" s="7">
        <v>0</v>
      </c>
      <c r="AF9" s="7">
        <v>0</v>
      </c>
      <c r="AG9" s="8" t="s">
        <v>39</v>
      </c>
      <c r="AH9" s="1">
        <v>0</v>
      </c>
      <c r="AJ9" s="4">
        <v>4</v>
      </c>
      <c r="AK9" s="4">
        <v>6.5</v>
      </c>
      <c r="AL9" s="9">
        <v>1</v>
      </c>
      <c r="AM9" s="9">
        <v>1</v>
      </c>
      <c r="AN9" s="9">
        <v>1</v>
      </c>
      <c r="AO9" s="9">
        <v>1</v>
      </c>
      <c r="AP9" s="7" t="s">
        <v>184</v>
      </c>
    </row>
    <row r="10" spans="1:42">
      <c r="A10" s="7" t="s">
        <v>72</v>
      </c>
      <c r="B10" s="7" t="s">
        <v>73</v>
      </c>
      <c r="C10" s="7" t="s">
        <v>74</v>
      </c>
      <c r="D10" s="7" t="s">
        <v>75</v>
      </c>
      <c r="E10" s="7" t="s">
        <v>34</v>
      </c>
      <c r="F10" s="7" t="s">
        <v>43</v>
      </c>
      <c r="G10" s="7" t="s">
        <v>70</v>
      </c>
      <c r="H10" s="7" t="s">
        <v>76</v>
      </c>
      <c r="I10" s="7">
        <v>2002</v>
      </c>
      <c r="J10" s="7">
        <v>2002</v>
      </c>
      <c r="K10" s="7">
        <v>2002</v>
      </c>
      <c r="L10" s="1">
        <v>90</v>
      </c>
      <c r="M10" s="1">
        <f>ROUND(2238590*21/52,0)</f>
        <v>904046</v>
      </c>
      <c r="N10" s="2"/>
      <c r="O10" s="2"/>
      <c r="P10" s="1">
        <v>2</v>
      </c>
      <c r="Q10" s="1">
        <f>ROUND(378316*21/52,0)</f>
        <v>152781</v>
      </c>
      <c r="T10" s="1">
        <v>59</v>
      </c>
      <c r="U10" s="1">
        <f>ROUND(575303*21/52,0)</f>
        <v>232334</v>
      </c>
      <c r="Z10" s="7">
        <v>29</v>
      </c>
      <c r="AA10" s="7">
        <f>ROUND(1284971*21/52, 0)</f>
        <v>518931</v>
      </c>
      <c r="AD10" s="7">
        <v>1</v>
      </c>
      <c r="AE10" s="7">
        <v>0</v>
      </c>
      <c r="AF10" s="7">
        <v>0</v>
      </c>
      <c r="AG10" s="8" t="s">
        <v>39</v>
      </c>
      <c r="AH10" s="7">
        <v>0</v>
      </c>
      <c r="AJ10" s="11">
        <v>5</v>
      </c>
      <c r="AK10" s="11">
        <v>5</v>
      </c>
      <c r="AL10" s="9">
        <f>1801/1815</f>
        <v>0.99228650137741048</v>
      </c>
      <c r="AM10" s="9">
        <f t="shared" ref="AM10:AO10" si="0">1801/1815</f>
        <v>0.99228650137741048</v>
      </c>
      <c r="AN10" s="9">
        <f t="shared" si="0"/>
        <v>0.99228650137741048</v>
      </c>
      <c r="AO10" s="9">
        <f t="shared" si="0"/>
        <v>0.99228650137741048</v>
      </c>
    </row>
    <row r="11" spans="1:42">
      <c r="A11" s="7" t="s">
        <v>77</v>
      </c>
      <c r="B11" s="7" t="s">
        <v>78</v>
      </c>
      <c r="C11" s="7" t="s">
        <v>79</v>
      </c>
      <c r="D11" s="7" t="s">
        <v>47</v>
      </c>
      <c r="E11" s="7" t="s">
        <v>43</v>
      </c>
      <c r="F11" s="7" t="s">
        <v>43</v>
      </c>
      <c r="G11" s="7" t="s">
        <v>70</v>
      </c>
      <c r="H11" s="7" t="s">
        <v>80</v>
      </c>
      <c r="I11" s="7">
        <v>1980</v>
      </c>
      <c r="J11" s="7">
        <v>1978</v>
      </c>
      <c r="K11" s="7">
        <v>1981</v>
      </c>
      <c r="N11" s="2"/>
      <c r="O11" s="2"/>
      <c r="T11" s="1">
        <v>22</v>
      </c>
      <c r="U11" s="1">
        <f>15902*3</f>
        <v>47706</v>
      </c>
      <c r="AD11" s="7">
        <v>1</v>
      </c>
      <c r="AE11" s="7">
        <v>0</v>
      </c>
      <c r="AF11" s="7">
        <v>0</v>
      </c>
      <c r="AG11" s="8" t="s">
        <v>39</v>
      </c>
      <c r="AH11" s="7">
        <v>0</v>
      </c>
      <c r="AJ11" s="4">
        <v>4</v>
      </c>
      <c r="AK11" s="4">
        <v>6.5</v>
      </c>
      <c r="AL11" s="9">
        <v>1</v>
      </c>
      <c r="AM11" s="9">
        <v>1</v>
      </c>
      <c r="AN11" s="9">
        <v>1</v>
      </c>
      <c r="AO11" s="9">
        <v>1</v>
      </c>
      <c r="AP11" s="7" t="s">
        <v>184</v>
      </c>
    </row>
    <row r="12" spans="1:42">
      <c r="A12" s="7" t="s">
        <v>81</v>
      </c>
      <c r="B12" s="7" t="s">
        <v>82</v>
      </c>
      <c r="C12" s="7" t="s">
        <v>83</v>
      </c>
      <c r="D12" s="7" t="s">
        <v>47</v>
      </c>
      <c r="E12" s="7" t="s">
        <v>43</v>
      </c>
      <c r="F12" s="7" t="s">
        <v>43</v>
      </c>
      <c r="G12" s="7" t="s">
        <v>84</v>
      </c>
      <c r="H12" s="7" t="s">
        <v>85</v>
      </c>
      <c r="I12" s="7">
        <v>1988</v>
      </c>
      <c r="J12" s="7">
        <v>1986</v>
      </c>
      <c r="K12" s="7">
        <v>1989</v>
      </c>
      <c r="L12" s="1">
        <v>208</v>
      </c>
      <c r="M12" s="1">
        <f>10268*30/12</f>
        <v>25670</v>
      </c>
      <c r="N12" s="2"/>
      <c r="O12" s="2"/>
      <c r="P12" s="1">
        <v>52</v>
      </c>
      <c r="Q12" s="1">
        <f>1592*30/12</f>
        <v>3980</v>
      </c>
      <c r="T12" s="1">
        <v>110</v>
      </c>
      <c r="U12" s="1">
        <f>(1420+2156)*30/12</f>
        <v>8940</v>
      </c>
      <c r="Z12" s="7">
        <v>46</v>
      </c>
      <c r="AA12" s="7">
        <f>M12-Q12-U12</f>
        <v>12750</v>
      </c>
      <c r="AD12" s="7">
        <v>1</v>
      </c>
      <c r="AE12" s="7">
        <v>0</v>
      </c>
      <c r="AF12" s="7">
        <v>0</v>
      </c>
      <c r="AG12" s="8" t="s">
        <v>39</v>
      </c>
      <c r="AH12" s="7">
        <v>0</v>
      </c>
      <c r="AJ12" s="12">
        <v>5</v>
      </c>
      <c r="AK12" s="12">
        <v>10</v>
      </c>
      <c r="AL12" s="9">
        <v>1</v>
      </c>
      <c r="AM12" s="9">
        <v>1</v>
      </c>
      <c r="AN12" s="9">
        <v>1</v>
      </c>
      <c r="AO12" s="9">
        <v>1</v>
      </c>
      <c r="AP12" s="7" t="s">
        <v>184</v>
      </c>
    </row>
    <row r="13" spans="1:42">
      <c r="A13" s="7" t="s">
        <v>86</v>
      </c>
      <c r="B13" s="7" t="s">
        <v>87</v>
      </c>
      <c r="C13" s="7" t="s">
        <v>88</v>
      </c>
      <c r="D13" s="7" t="s">
        <v>75</v>
      </c>
      <c r="E13" s="7" t="s">
        <v>43</v>
      </c>
      <c r="F13" s="7" t="s">
        <v>43</v>
      </c>
      <c r="G13" s="7" t="s">
        <v>89</v>
      </c>
      <c r="H13" s="7" t="s">
        <v>90</v>
      </c>
      <c r="I13" s="7">
        <v>1996</v>
      </c>
      <c r="J13" s="7">
        <v>1995</v>
      </c>
      <c r="K13" s="7">
        <v>1996</v>
      </c>
      <c r="L13" s="1">
        <v>63</v>
      </c>
      <c r="M13" s="1">
        <v>6454</v>
      </c>
      <c r="N13" s="2">
        <v>5</v>
      </c>
      <c r="O13" s="2">
        <f>166+202</f>
        <v>368</v>
      </c>
      <c r="P13" s="2">
        <v>23</v>
      </c>
      <c r="Q13" s="2">
        <f>213+225+221</f>
        <v>659</v>
      </c>
      <c r="R13" s="1">
        <v>28</v>
      </c>
      <c r="S13" s="1">
        <v>1027</v>
      </c>
      <c r="T13" s="1">
        <v>32</v>
      </c>
      <c r="U13" s="1">
        <v>2743</v>
      </c>
      <c r="Z13" s="7">
        <v>3</v>
      </c>
      <c r="AA13" s="7">
        <v>2684</v>
      </c>
      <c r="AD13" s="7">
        <v>1</v>
      </c>
      <c r="AE13" s="7">
        <v>0</v>
      </c>
      <c r="AF13" s="7">
        <v>0</v>
      </c>
      <c r="AG13" s="8" t="s">
        <v>38</v>
      </c>
      <c r="AH13" s="7">
        <v>0</v>
      </c>
      <c r="AJ13" s="12">
        <v>2</v>
      </c>
      <c r="AK13" s="13">
        <v>5</v>
      </c>
      <c r="AL13" s="9">
        <v>0.83699999999999997</v>
      </c>
      <c r="AM13" s="9">
        <v>0.83699999999999997</v>
      </c>
      <c r="AN13" s="9">
        <v>0.83699999999999997</v>
      </c>
      <c r="AO13" s="9">
        <v>0.83699999999999997</v>
      </c>
    </row>
    <row r="14" spans="1:42">
      <c r="A14" s="7" t="s">
        <v>186</v>
      </c>
      <c r="B14" s="7" t="s">
        <v>87</v>
      </c>
      <c r="C14" s="7" t="s">
        <v>185</v>
      </c>
      <c r="D14" s="7" t="s">
        <v>75</v>
      </c>
      <c r="E14" s="7" t="s">
        <v>43</v>
      </c>
      <c r="F14" s="7" t="s">
        <v>43</v>
      </c>
      <c r="G14" s="7" t="s">
        <v>89</v>
      </c>
      <c r="H14" s="7" t="s">
        <v>91</v>
      </c>
      <c r="I14" s="7">
        <v>1996</v>
      </c>
      <c r="J14" s="7">
        <v>1995</v>
      </c>
      <c r="K14" s="7">
        <v>1996</v>
      </c>
      <c r="L14" s="1">
        <v>35</v>
      </c>
      <c r="M14" s="1">
        <f>(19589-8172)*7159/8172*6454/7159 + 19589*7159/8172*(EXP(LOG(6454/7159)*12/4))*4/12</f>
        <v>14014.326131746755</v>
      </c>
      <c r="N14" s="2"/>
      <c r="O14" s="2"/>
      <c r="P14" s="2"/>
      <c r="Q14" s="2"/>
      <c r="AD14" s="7">
        <v>1</v>
      </c>
      <c r="AE14" s="7">
        <v>0</v>
      </c>
      <c r="AF14" s="7">
        <v>0</v>
      </c>
      <c r="AG14" s="8" t="s">
        <v>39</v>
      </c>
      <c r="AH14" s="7">
        <v>1</v>
      </c>
      <c r="AI14" s="7" t="s">
        <v>182</v>
      </c>
      <c r="AJ14" s="12">
        <v>2</v>
      </c>
      <c r="AK14" s="13">
        <v>5</v>
      </c>
      <c r="AL14" s="9">
        <v>0.83699999999999997</v>
      </c>
      <c r="AM14" s="9">
        <v>0.83699999999999997</v>
      </c>
      <c r="AN14" s="9">
        <v>0.83699999999999997</v>
      </c>
      <c r="AO14" s="9">
        <v>0.83699999999999997</v>
      </c>
    </row>
    <row r="15" spans="1:42">
      <c r="A15" s="7" t="s">
        <v>92</v>
      </c>
      <c r="B15" s="7" t="s">
        <v>93</v>
      </c>
      <c r="C15" s="7" t="s">
        <v>94</v>
      </c>
      <c r="D15" s="7" t="s">
        <v>47</v>
      </c>
      <c r="E15" s="7" t="s">
        <v>34</v>
      </c>
      <c r="F15" s="7" t="s">
        <v>43</v>
      </c>
      <c r="G15" s="7" t="s">
        <v>89</v>
      </c>
      <c r="H15" s="7" t="s">
        <v>95</v>
      </c>
      <c r="I15" s="7">
        <v>2005</v>
      </c>
      <c r="J15" s="7">
        <v>2005</v>
      </c>
      <c r="K15" s="7">
        <v>2006</v>
      </c>
      <c r="L15" s="1">
        <v>96</v>
      </c>
      <c r="M15" s="1">
        <f>18804*2</f>
        <v>37608</v>
      </c>
      <c r="N15" s="2"/>
      <c r="O15" s="2"/>
      <c r="P15" s="1">
        <v>27</v>
      </c>
      <c r="Q15" s="1">
        <f>1095*2</f>
        <v>2190</v>
      </c>
      <c r="T15" s="1">
        <v>54</v>
      </c>
      <c r="U15" s="1">
        <f>2*4584</f>
        <v>9168</v>
      </c>
      <c r="Z15" s="7">
        <v>15</v>
      </c>
      <c r="AA15" s="7">
        <f>2*13125</f>
        <v>26250</v>
      </c>
      <c r="AD15" s="7">
        <v>1</v>
      </c>
      <c r="AE15" s="7">
        <v>0</v>
      </c>
      <c r="AF15" s="7">
        <v>0</v>
      </c>
      <c r="AG15" s="8" t="s">
        <v>38</v>
      </c>
      <c r="AH15" s="7">
        <v>0</v>
      </c>
      <c r="AJ15" s="11">
        <v>4</v>
      </c>
      <c r="AK15" s="11">
        <v>9</v>
      </c>
      <c r="AL15" s="9">
        <v>0.99099999999999999</v>
      </c>
      <c r="AM15" s="9">
        <v>0.99099999999999999</v>
      </c>
      <c r="AN15" s="9">
        <v>0.99099999999999999</v>
      </c>
      <c r="AO15" s="9">
        <v>0.99099999999999999</v>
      </c>
      <c r="AP15" s="7" t="s">
        <v>181</v>
      </c>
    </row>
    <row r="16" spans="1:42" s="1" customFormat="1">
      <c r="A16" s="1" t="s">
        <v>96</v>
      </c>
      <c r="B16" s="1" t="s">
        <v>93</v>
      </c>
      <c r="C16" s="1" t="s">
        <v>97</v>
      </c>
      <c r="D16" s="1" t="s">
        <v>98</v>
      </c>
      <c r="E16" s="1" t="s">
        <v>34</v>
      </c>
      <c r="F16" s="1" t="s">
        <v>43</v>
      </c>
      <c r="G16" s="1" t="s">
        <v>89</v>
      </c>
      <c r="H16" s="1" t="s">
        <v>95</v>
      </c>
      <c r="I16" s="1">
        <v>2004</v>
      </c>
      <c r="J16" s="1">
        <v>2004</v>
      </c>
      <c r="K16" s="1">
        <v>2004</v>
      </c>
      <c r="L16" s="1">
        <v>95</v>
      </c>
      <c r="M16" s="1">
        <v>60452</v>
      </c>
      <c r="N16" s="2">
        <v>1</v>
      </c>
      <c r="O16" s="2">
        <v>1488</v>
      </c>
      <c r="P16" s="2">
        <v>7</v>
      </c>
      <c r="Q16" s="2">
        <v>3102</v>
      </c>
      <c r="R16" s="1">
        <v>8</v>
      </c>
      <c r="S16" s="1">
        <f>ROUND(4570.25429553265, 0)</f>
        <v>4570</v>
      </c>
      <c r="T16" s="1">
        <v>48</v>
      </c>
      <c r="U16" s="1">
        <f>ROUND(11979.6059564719, 0)</f>
        <v>11980</v>
      </c>
      <c r="Z16" s="1">
        <v>39</v>
      </c>
      <c r="AA16" s="1">
        <f>ROUND(43902.1397479954, 0)</f>
        <v>43902</v>
      </c>
      <c r="AD16" s="1">
        <v>1</v>
      </c>
      <c r="AE16" s="1">
        <v>0</v>
      </c>
      <c r="AF16" s="1">
        <v>1</v>
      </c>
      <c r="AG16" s="1" t="s">
        <v>38</v>
      </c>
      <c r="AH16" s="1">
        <v>0</v>
      </c>
      <c r="AJ16" s="11">
        <v>4</v>
      </c>
      <c r="AK16" s="11">
        <v>9</v>
      </c>
      <c r="AL16" s="9">
        <v>0.99099999999999999</v>
      </c>
      <c r="AM16" s="9">
        <v>0.99099999999999999</v>
      </c>
      <c r="AN16" s="9">
        <v>0.99099999999999999</v>
      </c>
      <c r="AO16" s="9">
        <v>0.99099999999999999</v>
      </c>
    </row>
    <row r="17" spans="1:42">
      <c r="A17" s="7" t="s">
        <v>99</v>
      </c>
      <c r="B17" s="7" t="s">
        <v>100</v>
      </c>
      <c r="C17" s="7" t="s">
        <v>101</v>
      </c>
      <c r="D17" s="7" t="s">
        <v>102</v>
      </c>
      <c r="E17" s="7" t="s">
        <v>34</v>
      </c>
      <c r="F17" s="7" t="s">
        <v>43</v>
      </c>
      <c r="G17" s="7" t="s">
        <v>103</v>
      </c>
      <c r="H17" s="7" t="s">
        <v>104</v>
      </c>
      <c r="I17" s="7">
        <v>2008</v>
      </c>
      <c r="J17" s="7">
        <v>2007</v>
      </c>
      <c r="K17" s="7">
        <v>2009</v>
      </c>
      <c r="L17" s="1">
        <v>22</v>
      </c>
      <c r="M17" s="1">
        <v>77017</v>
      </c>
      <c r="N17" s="2">
        <v>1</v>
      </c>
      <c r="O17" s="2">
        <v>6544.5</v>
      </c>
      <c r="P17" s="2">
        <v>2</v>
      </c>
      <c r="Q17" s="2">
        <v>7027.54</v>
      </c>
      <c r="R17" s="1">
        <v>3</v>
      </c>
      <c r="S17" s="1">
        <f>ROUND(13572.04,0)</f>
        <v>13572</v>
      </c>
      <c r="T17" s="1">
        <v>6</v>
      </c>
      <c r="U17" s="1">
        <v>28068</v>
      </c>
      <c r="Z17" s="7">
        <v>13</v>
      </c>
      <c r="AA17" s="7">
        <f>ROUND(35376.96,0 )</f>
        <v>35377</v>
      </c>
      <c r="AD17" s="7">
        <v>1</v>
      </c>
      <c r="AE17" s="7">
        <v>0</v>
      </c>
      <c r="AF17" s="7">
        <v>0</v>
      </c>
      <c r="AG17" s="8" t="s">
        <v>38</v>
      </c>
      <c r="AH17" s="7">
        <v>0</v>
      </c>
      <c r="AJ17" s="11">
        <v>2</v>
      </c>
      <c r="AK17" s="11">
        <v>9</v>
      </c>
      <c r="AL17" s="6">
        <v>0.19800000000000001</v>
      </c>
      <c r="AM17" s="15">
        <v>0.246</v>
      </c>
      <c r="AN17" s="9">
        <f>(0.495*1556+0.483*832)/(1556+832)</f>
        <v>0.49081909547738695</v>
      </c>
      <c r="AO17" s="9">
        <v>0.622</v>
      </c>
    </row>
    <row r="18" spans="1:42">
      <c r="A18" s="7" t="s">
        <v>105</v>
      </c>
      <c r="B18" s="7" t="s">
        <v>106</v>
      </c>
      <c r="C18" s="7" t="s">
        <v>101</v>
      </c>
      <c r="D18" s="7" t="s">
        <v>102</v>
      </c>
      <c r="E18" s="7" t="s">
        <v>34</v>
      </c>
      <c r="F18" s="7" t="s">
        <v>43</v>
      </c>
      <c r="G18" s="7" t="s">
        <v>103</v>
      </c>
      <c r="H18" s="7" t="s">
        <v>107</v>
      </c>
      <c r="I18" s="7">
        <v>2008</v>
      </c>
      <c r="J18" s="7">
        <v>2007</v>
      </c>
      <c r="K18" s="7">
        <v>2009</v>
      </c>
      <c r="L18" s="1">
        <v>135</v>
      </c>
      <c r="M18" s="1">
        <v>54535</v>
      </c>
      <c r="N18" s="2">
        <v>3</v>
      </c>
      <c r="O18" s="2">
        <v>3457</v>
      </c>
      <c r="P18" s="2">
        <v>32</v>
      </c>
      <c r="Q18" s="2">
        <v>6138</v>
      </c>
      <c r="R18" s="1">
        <v>35</v>
      </c>
      <c r="S18" s="1">
        <v>9595</v>
      </c>
      <c r="T18" s="1">
        <v>72</v>
      </c>
      <c r="U18" s="1">
        <v>16066</v>
      </c>
      <c r="Z18" s="7">
        <v>28</v>
      </c>
      <c r="AA18" s="7">
        <v>28874</v>
      </c>
      <c r="AD18" s="7">
        <v>1</v>
      </c>
      <c r="AE18" s="7">
        <v>0</v>
      </c>
      <c r="AF18" s="7">
        <v>0</v>
      </c>
      <c r="AG18" s="8" t="s">
        <v>38</v>
      </c>
      <c r="AH18" s="7">
        <v>0</v>
      </c>
      <c r="AJ18" s="11">
        <v>2</v>
      </c>
      <c r="AK18" s="11">
        <v>9</v>
      </c>
      <c r="AL18" s="6">
        <v>0.14000000000000001</v>
      </c>
      <c r="AM18" s="6">
        <v>0.41</v>
      </c>
      <c r="AN18" s="6">
        <f>(0.625*696+0.655*288)/(696+288)</f>
        <v>0.63378048780487806</v>
      </c>
      <c r="AO18" s="6">
        <f>(0.651*524+0.8*136+0.733*30)/(524+136+30)</f>
        <v>0.68393333333333339</v>
      </c>
    </row>
    <row r="19" spans="1:42">
      <c r="A19" s="7" t="s">
        <v>108</v>
      </c>
      <c r="B19" s="7" t="s">
        <v>109</v>
      </c>
      <c r="C19" s="7" t="s">
        <v>110</v>
      </c>
      <c r="D19" s="7" t="s">
        <v>47</v>
      </c>
      <c r="E19" s="7" t="s">
        <v>43</v>
      </c>
      <c r="F19" s="7" t="s">
        <v>43</v>
      </c>
      <c r="G19" s="7" t="s">
        <v>111</v>
      </c>
      <c r="H19" s="7" t="s">
        <v>112</v>
      </c>
      <c r="I19" s="7">
        <v>1986</v>
      </c>
      <c r="J19" s="7">
        <v>1986</v>
      </c>
      <c r="K19" s="7">
        <v>1987</v>
      </c>
      <c r="L19" s="1">
        <v>32</v>
      </c>
      <c r="M19" s="1">
        <v>3450</v>
      </c>
      <c r="N19" s="2"/>
      <c r="O19" s="2"/>
      <c r="AD19" s="7">
        <v>1</v>
      </c>
      <c r="AE19" s="7">
        <v>0</v>
      </c>
      <c r="AF19" s="7">
        <v>0</v>
      </c>
      <c r="AG19" s="8" t="s">
        <v>113</v>
      </c>
      <c r="AH19" s="7">
        <v>1</v>
      </c>
      <c r="AI19" s="7" t="s">
        <v>182</v>
      </c>
      <c r="AJ19" s="12">
        <v>5</v>
      </c>
      <c r="AK19" s="12">
        <v>5</v>
      </c>
      <c r="AL19" s="9">
        <v>0.99</v>
      </c>
      <c r="AM19" s="9">
        <v>0.99</v>
      </c>
      <c r="AN19" s="9">
        <v>0.99</v>
      </c>
      <c r="AO19" s="9">
        <v>0.99</v>
      </c>
    </row>
    <row r="20" spans="1:42" s="1" customFormat="1">
      <c r="A20" s="1" t="s">
        <v>114</v>
      </c>
      <c r="B20" s="1" t="s">
        <v>115</v>
      </c>
      <c r="C20" s="1" t="s">
        <v>116</v>
      </c>
      <c r="D20" s="1" t="s">
        <v>102</v>
      </c>
      <c r="E20" s="1" t="s">
        <v>34</v>
      </c>
      <c r="F20" s="1" t="s">
        <v>43</v>
      </c>
      <c r="G20" s="1" t="s">
        <v>117</v>
      </c>
      <c r="H20" s="1" t="s">
        <v>118</v>
      </c>
      <c r="I20" s="1">
        <v>2000</v>
      </c>
      <c r="J20" s="1">
        <v>1999</v>
      </c>
      <c r="K20" s="1">
        <v>2001</v>
      </c>
      <c r="N20" s="2">
        <v>0</v>
      </c>
      <c r="O20" s="2">
        <v>3877.5</v>
      </c>
      <c r="P20" s="1">
        <v>13</v>
      </c>
      <c r="Q20" s="1">
        <v>11668</v>
      </c>
      <c r="R20" s="1">
        <v>13</v>
      </c>
      <c r="S20" s="1">
        <f>3877+11668</f>
        <v>15545</v>
      </c>
      <c r="T20" s="1">
        <v>36</v>
      </c>
      <c r="U20" s="1">
        <f>9595+4030</f>
        <v>13625</v>
      </c>
      <c r="AD20" s="1">
        <v>1</v>
      </c>
      <c r="AE20" s="1">
        <v>0</v>
      </c>
      <c r="AF20" s="1">
        <v>0</v>
      </c>
      <c r="AG20" s="3" t="s">
        <v>38</v>
      </c>
      <c r="AH20" s="1">
        <v>0</v>
      </c>
      <c r="AJ20" s="2">
        <v>5</v>
      </c>
      <c r="AK20" s="2">
        <v>5</v>
      </c>
      <c r="AL20" s="5">
        <f>5329/5540</f>
        <v>0.96191335740072204</v>
      </c>
      <c r="AM20" s="5">
        <f t="shared" ref="AM20:AN20" si="1">5329/5540</f>
        <v>0.96191335740072204</v>
      </c>
      <c r="AN20" s="5">
        <f t="shared" si="1"/>
        <v>0.96191335740072204</v>
      </c>
      <c r="AO20" s="5"/>
    </row>
    <row r="21" spans="1:42" s="1" customFormat="1">
      <c r="A21" s="1" t="s">
        <v>119</v>
      </c>
      <c r="B21" s="1" t="s">
        <v>120</v>
      </c>
      <c r="C21" s="1" t="s">
        <v>121</v>
      </c>
      <c r="D21" s="1" t="s">
        <v>47</v>
      </c>
      <c r="E21" s="1" t="s">
        <v>34</v>
      </c>
      <c r="F21" s="1" t="s">
        <v>34</v>
      </c>
      <c r="G21" s="1" t="s">
        <v>117</v>
      </c>
      <c r="H21" s="1" t="s">
        <v>118</v>
      </c>
      <c r="I21" s="1">
        <v>2005</v>
      </c>
      <c r="J21" s="1">
        <v>2002</v>
      </c>
      <c r="K21" s="1">
        <v>2007</v>
      </c>
      <c r="N21" s="2"/>
      <c r="O21" s="2"/>
      <c r="P21" s="1">
        <v>13</v>
      </c>
      <c r="Q21" s="1">
        <f>ROUND(13/(2.3/1000), 0)</f>
        <v>5652</v>
      </c>
      <c r="T21" s="1">
        <v>36</v>
      </c>
      <c r="U21" s="1">
        <f>ROUND(36/(1.9/1000), 0)</f>
        <v>18947</v>
      </c>
      <c r="AD21" s="1">
        <v>1</v>
      </c>
      <c r="AE21" s="1">
        <v>0</v>
      </c>
      <c r="AF21" s="1">
        <v>1</v>
      </c>
      <c r="AG21" s="3" t="s">
        <v>38</v>
      </c>
      <c r="AH21" s="1">
        <v>0</v>
      </c>
      <c r="AJ21" s="4">
        <v>6.5</v>
      </c>
      <c r="AK21" s="4">
        <v>6.5</v>
      </c>
      <c r="AL21" s="5">
        <f>1-0.04</f>
        <v>0.96</v>
      </c>
      <c r="AM21" s="5">
        <f t="shared" ref="AM21:AN21" si="2">1-0.04</f>
        <v>0.96</v>
      </c>
      <c r="AN21" s="5">
        <f t="shared" si="2"/>
        <v>0.96</v>
      </c>
      <c r="AO21" s="9"/>
    </row>
    <row r="22" spans="1:42" s="1" customFormat="1">
      <c r="A22" s="1" t="s">
        <v>122</v>
      </c>
      <c r="B22" s="1" t="s">
        <v>120</v>
      </c>
      <c r="C22" s="1" t="s">
        <v>123</v>
      </c>
      <c r="D22" s="1" t="s">
        <v>64</v>
      </c>
      <c r="E22" s="1" t="s">
        <v>34</v>
      </c>
      <c r="F22" s="1" t="s">
        <v>43</v>
      </c>
      <c r="G22" s="1" t="s">
        <v>117</v>
      </c>
      <c r="H22" s="1" t="s">
        <v>118</v>
      </c>
      <c r="I22" s="1">
        <v>2003</v>
      </c>
      <c r="J22" s="1">
        <v>2002</v>
      </c>
      <c r="K22" s="1">
        <v>2003</v>
      </c>
      <c r="P22" s="1">
        <v>58</v>
      </c>
      <c r="Q22" s="1">
        <v>10118</v>
      </c>
      <c r="T22" s="1">
        <v>131</v>
      </c>
      <c r="U22" s="1">
        <v>31727</v>
      </c>
      <c r="AD22" s="1">
        <v>1</v>
      </c>
      <c r="AE22" s="1">
        <v>0</v>
      </c>
      <c r="AF22" s="1">
        <v>1</v>
      </c>
      <c r="AG22" s="3" t="s">
        <v>38</v>
      </c>
      <c r="AH22" s="1">
        <v>0</v>
      </c>
      <c r="AJ22" s="4">
        <v>4</v>
      </c>
      <c r="AK22" s="4">
        <v>6.5</v>
      </c>
      <c r="AM22" s="1">
        <f>2293/2455</f>
        <v>0.93401221995926675</v>
      </c>
      <c r="AN22" s="1">
        <f>5122/5281</f>
        <v>0.96989206589661048</v>
      </c>
    </row>
    <row r="23" spans="1:42">
      <c r="A23" s="7" t="s">
        <v>124</v>
      </c>
      <c r="B23" s="7" t="s">
        <v>125</v>
      </c>
      <c r="C23" s="7" t="s">
        <v>126</v>
      </c>
      <c r="D23" s="7" t="s">
        <v>64</v>
      </c>
      <c r="E23" s="7" t="s">
        <v>43</v>
      </c>
      <c r="F23" s="7" t="s">
        <v>43</v>
      </c>
      <c r="G23" s="7" t="s">
        <v>127</v>
      </c>
      <c r="H23" s="7" t="s">
        <v>128</v>
      </c>
      <c r="I23" s="7">
        <v>1996</v>
      </c>
      <c r="J23" s="7">
        <v>1995</v>
      </c>
      <c r="K23" s="7">
        <v>1996</v>
      </c>
      <c r="L23" s="1">
        <v>56</v>
      </c>
      <c r="M23" s="1">
        <v>28329</v>
      </c>
      <c r="N23" s="2">
        <v>0</v>
      </c>
      <c r="O23" s="2">
        <v>1190</v>
      </c>
      <c r="P23" s="1">
        <v>6</v>
      </c>
      <c r="Q23" s="1">
        <v>1785</v>
      </c>
      <c r="R23" s="1">
        <v>6</v>
      </c>
      <c r="S23" s="1">
        <f>O23+Q23</f>
        <v>2975</v>
      </c>
      <c r="T23" s="1">
        <v>36</v>
      </c>
      <c r="U23" s="1">
        <f>3711+3881</f>
        <v>7592</v>
      </c>
      <c r="Z23" s="7">
        <v>14</v>
      </c>
      <c r="AA23" s="7">
        <f>2918+4278+41-8+2493+2966</f>
        <v>12688</v>
      </c>
      <c r="AD23" s="7">
        <v>1</v>
      </c>
      <c r="AE23" s="7">
        <v>0</v>
      </c>
      <c r="AF23" s="7">
        <v>0</v>
      </c>
      <c r="AG23" s="8" t="s">
        <v>39</v>
      </c>
      <c r="AH23" s="7">
        <v>0</v>
      </c>
      <c r="AJ23" s="12">
        <v>5</v>
      </c>
      <c r="AK23" s="12">
        <v>5</v>
      </c>
      <c r="AL23" s="9">
        <v>0.42</v>
      </c>
      <c r="AM23" s="9">
        <v>0.53500000000000003</v>
      </c>
      <c r="AN23" s="9">
        <v>0.77</v>
      </c>
      <c r="AO23" s="9">
        <v>0.80400000000000005</v>
      </c>
    </row>
    <row r="24" spans="1:42">
      <c r="A24" s="7" t="s">
        <v>129</v>
      </c>
      <c r="B24" s="7" t="s">
        <v>125</v>
      </c>
      <c r="C24" s="7" t="s">
        <v>130</v>
      </c>
      <c r="D24" s="7" t="s">
        <v>47</v>
      </c>
      <c r="E24" s="7" t="s">
        <v>34</v>
      </c>
      <c r="F24" s="7" t="s">
        <v>43</v>
      </c>
      <c r="G24" s="7" t="s">
        <v>127</v>
      </c>
      <c r="H24" s="7" t="s">
        <v>128</v>
      </c>
      <c r="I24" s="7">
        <v>1998</v>
      </c>
      <c r="J24" s="7">
        <v>1998</v>
      </c>
      <c r="K24" s="7">
        <v>1999</v>
      </c>
      <c r="N24" s="2"/>
      <c r="O24" s="2"/>
      <c r="P24" s="1">
        <v>33</v>
      </c>
      <c r="Q24" s="1">
        <f>6017*12/12</f>
        <v>6017</v>
      </c>
      <c r="AD24" s="7">
        <v>1</v>
      </c>
      <c r="AE24" s="7">
        <v>0</v>
      </c>
      <c r="AF24" s="7">
        <v>0</v>
      </c>
      <c r="AG24" s="8" t="s">
        <v>38</v>
      </c>
      <c r="AH24" s="7">
        <v>0</v>
      </c>
      <c r="AJ24" s="12">
        <v>5</v>
      </c>
      <c r="AK24" s="12">
        <v>5</v>
      </c>
      <c r="AL24" s="9"/>
      <c r="AM24" s="9">
        <v>0.53500000000000003</v>
      </c>
      <c r="AN24" s="9"/>
      <c r="AO24" s="9"/>
    </row>
    <row r="25" spans="1:42">
      <c r="A25" s="7" t="s">
        <v>129</v>
      </c>
      <c r="B25" s="7" t="s">
        <v>125</v>
      </c>
      <c r="C25" s="7" t="s">
        <v>131</v>
      </c>
      <c r="D25" s="7" t="s">
        <v>47</v>
      </c>
      <c r="E25" s="7" t="s">
        <v>34</v>
      </c>
      <c r="F25" s="7" t="s">
        <v>43</v>
      </c>
      <c r="G25" s="7" t="s">
        <v>127</v>
      </c>
      <c r="H25" s="7" t="s">
        <v>128</v>
      </c>
      <c r="I25" s="7">
        <v>1999</v>
      </c>
      <c r="J25" s="7">
        <v>1999</v>
      </c>
      <c r="K25" s="7">
        <v>2000</v>
      </c>
      <c r="N25" s="2"/>
      <c r="O25" s="2"/>
      <c r="P25" s="1">
        <v>23</v>
      </c>
      <c r="Q25" s="1">
        <f>6017*15/12</f>
        <v>7521.25</v>
      </c>
      <c r="AD25" s="7">
        <v>1</v>
      </c>
      <c r="AE25" s="7">
        <v>0</v>
      </c>
      <c r="AF25" s="7">
        <v>0</v>
      </c>
      <c r="AG25" s="8" t="s">
        <v>38</v>
      </c>
      <c r="AH25" s="7">
        <v>0</v>
      </c>
      <c r="AJ25" s="12">
        <v>5</v>
      </c>
      <c r="AK25" s="12">
        <v>5</v>
      </c>
      <c r="AL25" s="9"/>
      <c r="AM25" s="9">
        <v>0.53500000000000003</v>
      </c>
      <c r="AN25" s="9"/>
      <c r="AO25" s="9"/>
    </row>
    <row r="26" spans="1:42">
      <c r="A26" s="7" t="s">
        <v>132</v>
      </c>
      <c r="B26" s="7" t="s">
        <v>125</v>
      </c>
      <c r="C26" s="1" t="s">
        <v>133</v>
      </c>
      <c r="D26" s="7" t="s">
        <v>47</v>
      </c>
      <c r="E26" s="7" t="s">
        <v>34</v>
      </c>
      <c r="F26" s="7" t="s">
        <v>43</v>
      </c>
      <c r="G26" s="7" t="s">
        <v>127</v>
      </c>
      <c r="H26" s="7" t="s">
        <v>128</v>
      </c>
      <c r="I26" s="1">
        <v>2001</v>
      </c>
      <c r="J26" s="1">
        <v>2000</v>
      </c>
      <c r="K26" s="1">
        <v>2002</v>
      </c>
      <c r="N26" s="2"/>
      <c r="O26" s="2"/>
      <c r="R26" s="7"/>
      <c r="S26" s="7"/>
      <c r="T26" s="1">
        <v>17</v>
      </c>
      <c r="U26" s="1">
        <f>(5076*19/12)</f>
        <v>8037</v>
      </c>
      <c r="AD26" s="7">
        <v>1</v>
      </c>
      <c r="AE26" s="7">
        <v>0</v>
      </c>
      <c r="AF26" s="7">
        <v>0</v>
      </c>
      <c r="AG26" s="8" t="s">
        <v>38</v>
      </c>
      <c r="AH26" s="1">
        <v>0</v>
      </c>
      <c r="AJ26" s="12">
        <v>5</v>
      </c>
      <c r="AK26" s="12">
        <v>5</v>
      </c>
      <c r="AL26" s="9"/>
      <c r="AM26" s="9"/>
      <c r="AN26" s="9">
        <v>0.77</v>
      </c>
      <c r="AO26" s="9"/>
    </row>
    <row r="27" spans="1:42">
      <c r="A27" s="7" t="s">
        <v>134</v>
      </c>
      <c r="B27" s="7" t="s">
        <v>135</v>
      </c>
      <c r="C27" s="7" t="s">
        <v>136</v>
      </c>
      <c r="D27" s="7" t="s">
        <v>137</v>
      </c>
      <c r="E27" s="7" t="s">
        <v>34</v>
      </c>
      <c r="F27" s="7" t="s">
        <v>43</v>
      </c>
      <c r="G27" s="7" t="s">
        <v>127</v>
      </c>
      <c r="H27" s="7" t="s">
        <v>135</v>
      </c>
      <c r="I27" s="7">
        <v>2002</v>
      </c>
      <c r="J27" s="7">
        <v>2002</v>
      </c>
      <c r="K27" s="7">
        <v>2003</v>
      </c>
      <c r="N27" s="2"/>
      <c r="O27" s="2"/>
      <c r="T27" s="1">
        <v>16</v>
      </c>
      <c r="U27" s="1">
        <v>66114</v>
      </c>
      <c r="Z27" s="7">
        <v>2</v>
      </c>
      <c r="AA27" s="7">
        <v>18341</v>
      </c>
      <c r="AD27" s="7">
        <v>1</v>
      </c>
      <c r="AE27" s="7">
        <v>0</v>
      </c>
      <c r="AF27" s="7">
        <v>1</v>
      </c>
      <c r="AG27" s="3" t="s">
        <v>39</v>
      </c>
      <c r="AH27" s="7">
        <v>0</v>
      </c>
      <c r="AJ27" s="4">
        <v>4</v>
      </c>
      <c r="AK27" s="4">
        <v>6.5</v>
      </c>
      <c r="AL27" s="9"/>
      <c r="AM27" s="9"/>
      <c r="AN27" s="9">
        <f>3400/3461</f>
        <v>0.98237503611672927</v>
      </c>
      <c r="AO27" s="9">
        <f>211/217</f>
        <v>0.97235023041474655</v>
      </c>
      <c r="AP27" s="1" t="s">
        <v>179</v>
      </c>
    </row>
    <row r="28" spans="1:42">
      <c r="A28" s="7" t="s">
        <v>138</v>
      </c>
      <c r="B28" s="7" t="s">
        <v>139</v>
      </c>
      <c r="C28" s="7" t="s">
        <v>140</v>
      </c>
      <c r="D28" s="7" t="s">
        <v>47</v>
      </c>
      <c r="E28" s="7" t="s">
        <v>43</v>
      </c>
      <c r="F28" s="7" t="s">
        <v>43</v>
      </c>
      <c r="G28" s="7" t="s">
        <v>141</v>
      </c>
      <c r="H28" s="7" t="s">
        <v>142</v>
      </c>
      <c r="I28" s="7">
        <v>1986</v>
      </c>
      <c r="J28" s="7">
        <v>1985</v>
      </c>
      <c r="K28" s="7">
        <v>1987</v>
      </c>
      <c r="N28" s="2"/>
      <c r="O28" s="2"/>
      <c r="T28" s="1">
        <v>173</v>
      </c>
      <c r="U28" s="1">
        <f>11673*3</f>
        <v>35019</v>
      </c>
      <c r="AD28" s="7">
        <v>1</v>
      </c>
      <c r="AE28" s="7">
        <v>0</v>
      </c>
      <c r="AF28" s="7">
        <v>0</v>
      </c>
      <c r="AG28" s="8" t="s">
        <v>113</v>
      </c>
      <c r="AH28" s="7">
        <v>0</v>
      </c>
      <c r="AJ28" s="4">
        <v>4</v>
      </c>
      <c r="AK28" s="4">
        <v>6.5</v>
      </c>
      <c r="AL28" s="9">
        <v>1</v>
      </c>
      <c r="AM28" s="9">
        <v>1</v>
      </c>
      <c r="AN28" s="9">
        <v>1</v>
      </c>
      <c r="AO28" s="9">
        <v>1</v>
      </c>
      <c r="AP28" s="7" t="s">
        <v>184</v>
      </c>
    </row>
    <row r="29" spans="1:42">
      <c r="A29" s="7" t="s">
        <v>143</v>
      </c>
      <c r="B29" s="7" t="s">
        <v>144</v>
      </c>
      <c r="C29" s="7" t="s">
        <v>145</v>
      </c>
      <c r="D29" s="7" t="s">
        <v>146</v>
      </c>
      <c r="E29" s="7" t="s">
        <v>34</v>
      </c>
      <c r="F29" s="7" t="s">
        <v>43</v>
      </c>
      <c r="G29" s="7" t="s">
        <v>147</v>
      </c>
      <c r="H29" s="7" t="s">
        <v>148</v>
      </c>
      <c r="I29" s="7">
        <v>2008</v>
      </c>
      <c r="J29" s="7">
        <v>2007</v>
      </c>
      <c r="K29" s="7">
        <v>2008</v>
      </c>
      <c r="N29" s="2">
        <v>1</v>
      </c>
      <c r="O29" s="2">
        <f>15/12*2133</f>
        <v>2666.25</v>
      </c>
      <c r="P29" s="1">
        <v>8</v>
      </c>
      <c r="Q29" s="1">
        <f>15/12*3200</f>
        <v>4000</v>
      </c>
      <c r="R29" s="1">
        <v>9</v>
      </c>
      <c r="S29" s="1">
        <f>5333*15/12</f>
        <v>6666.25</v>
      </c>
      <c r="T29" s="1">
        <v>7</v>
      </c>
      <c r="U29" s="1">
        <f>(2880*2+3840)*15/12</f>
        <v>12000</v>
      </c>
      <c r="AD29" s="7">
        <v>1</v>
      </c>
      <c r="AE29" s="7">
        <v>0</v>
      </c>
      <c r="AF29" s="7">
        <v>0</v>
      </c>
      <c r="AG29" s="8" t="s">
        <v>39</v>
      </c>
      <c r="AH29" s="7">
        <v>0</v>
      </c>
      <c r="AJ29" s="4">
        <v>4</v>
      </c>
      <c r="AK29" s="4">
        <v>6.5</v>
      </c>
      <c r="AL29" s="9">
        <v>1</v>
      </c>
      <c r="AM29" s="9">
        <v>1</v>
      </c>
      <c r="AN29" s="9">
        <v>1</v>
      </c>
      <c r="AO29" s="9">
        <v>1</v>
      </c>
      <c r="AP29" s="7" t="s">
        <v>184</v>
      </c>
    </row>
    <row r="30" spans="1:42">
      <c r="A30" s="7" t="s">
        <v>149</v>
      </c>
      <c r="B30" s="7" t="s">
        <v>150</v>
      </c>
      <c r="C30" s="7" t="s">
        <v>151</v>
      </c>
      <c r="D30" s="7" t="s">
        <v>75</v>
      </c>
      <c r="E30" s="7" t="s">
        <v>34</v>
      </c>
      <c r="F30" s="7" t="s">
        <v>34</v>
      </c>
      <c r="G30" s="7" t="s">
        <v>84</v>
      </c>
      <c r="H30" s="7" t="s">
        <v>150</v>
      </c>
      <c r="I30" s="7">
        <v>2002</v>
      </c>
      <c r="J30" s="7">
        <v>2001</v>
      </c>
      <c r="K30" s="7">
        <v>2003</v>
      </c>
      <c r="L30" s="1">
        <v>221</v>
      </c>
      <c r="M30" s="1">
        <f>160261*2</f>
        <v>320522</v>
      </c>
      <c r="N30" s="2">
        <v>1</v>
      </c>
      <c r="O30" s="2">
        <v>13918</v>
      </c>
      <c r="P30" s="2">
        <v>22</v>
      </c>
      <c r="Q30" s="2">
        <v>18070</v>
      </c>
      <c r="R30" s="1">
        <v>23</v>
      </c>
      <c r="S30" s="1">
        <f>15994*2</f>
        <v>31988</v>
      </c>
      <c r="T30" s="1">
        <v>128</v>
      </c>
      <c r="U30" s="1">
        <f>47378*2</f>
        <v>94756</v>
      </c>
      <c r="Z30" s="7">
        <v>70</v>
      </c>
      <c r="AA30" s="7">
        <f>(63785+33104)*2</f>
        <v>193778</v>
      </c>
      <c r="AD30" s="7">
        <v>1</v>
      </c>
      <c r="AE30" s="7">
        <v>0</v>
      </c>
      <c r="AF30" s="7">
        <v>0</v>
      </c>
      <c r="AG30" s="8" t="s">
        <v>39</v>
      </c>
      <c r="AH30" s="7">
        <v>0</v>
      </c>
      <c r="AJ30" s="11">
        <v>4</v>
      </c>
      <c r="AK30" s="14">
        <v>9</v>
      </c>
      <c r="AL30" s="9">
        <v>1</v>
      </c>
      <c r="AM30" s="9">
        <v>1</v>
      </c>
      <c r="AN30" s="9">
        <v>1</v>
      </c>
      <c r="AO30" s="9">
        <v>1</v>
      </c>
      <c r="AP30" s="7" t="s">
        <v>184</v>
      </c>
    </row>
    <row r="31" spans="1:42">
      <c r="A31" s="7" t="s">
        <v>152</v>
      </c>
      <c r="B31" s="7" t="s">
        <v>153</v>
      </c>
      <c r="C31" s="7" t="s">
        <v>154</v>
      </c>
      <c r="D31" s="7" t="s">
        <v>155</v>
      </c>
      <c r="E31" s="7" t="s">
        <v>34</v>
      </c>
      <c r="F31" s="7" t="s">
        <v>34</v>
      </c>
      <c r="G31" s="7" t="s">
        <v>156</v>
      </c>
      <c r="H31" s="7" t="s">
        <v>157</v>
      </c>
      <c r="I31" s="7">
        <v>2002</v>
      </c>
      <c r="J31" s="7">
        <v>2002</v>
      </c>
      <c r="K31" s="7">
        <v>2003</v>
      </c>
      <c r="L31" s="1">
        <v>100</v>
      </c>
      <c r="M31" s="1">
        <f>11/12*330000</f>
        <v>302500</v>
      </c>
      <c r="N31" s="2">
        <v>0</v>
      </c>
      <c r="O31" s="2">
        <f>2/5*S31</f>
        <v>12100</v>
      </c>
      <c r="P31" s="1">
        <v>0</v>
      </c>
      <c r="Q31" s="1">
        <f>3/5*S31</f>
        <v>18150</v>
      </c>
      <c r="R31" s="1">
        <v>0</v>
      </c>
      <c r="S31" s="1">
        <f>11/12*33000</f>
        <v>30250</v>
      </c>
      <c r="T31" s="1">
        <v>50</v>
      </c>
      <c r="U31" s="1">
        <f>11/12*101257</f>
        <v>92818.916666666657</v>
      </c>
      <c r="Z31" s="7">
        <v>50</v>
      </c>
      <c r="AA31" s="7">
        <f>11/12*195642</f>
        <v>179338.5</v>
      </c>
      <c r="AD31" s="7">
        <v>1</v>
      </c>
      <c r="AE31" s="7">
        <v>0</v>
      </c>
      <c r="AF31" s="7">
        <v>0</v>
      </c>
      <c r="AG31" s="8" t="s">
        <v>39</v>
      </c>
      <c r="AH31" s="7">
        <v>0</v>
      </c>
      <c r="AJ31" s="13">
        <v>5</v>
      </c>
      <c r="AK31" s="13">
        <v>5</v>
      </c>
      <c r="AL31" s="9">
        <v>1</v>
      </c>
      <c r="AM31" s="9">
        <v>1</v>
      </c>
      <c r="AN31" s="9">
        <v>1</v>
      </c>
      <c r="AO31" s="9">
        <v>1</v>
      </c>
      <c r="AP31" s="7" t="s">
        <v>184</v>
      </c>
    </row>
    <row r="32" spans="1:42">
      <c r="A32" s="7" t="s">
        <v>158</v>
      </c>
      <c r="B32" s="7" t="s">
        <v>159</v>
      </c>
      <c r="C32" s="7" t="s">
        <v>160</v>
      </c>
      <c r="D32" s="7" t="s">
        <v>161</v>
      </c>
      <c r="E32" s="7" t="s">
        <v>34</v>
      </c>
      <c r="F32" s="7" t="s">
        <v>34</v>
      </c>
      <c r="G32" s="7" t="s">
        <v>162</v>
      </c>
      <c r="H32" s="7" t="s">
        <v>163</v>
      </c>
      <c r="I32" s="7">
        <v>1990</v>
      </c>
      <c r="J32" s="7">
        <v>1988</v>
      </c>
      <c r="K32" s="7">
        <v>1991</v>
      </c>
      <c r="L32" s="1">
        <f>217+19+395</f>
        <v>631</v>
      </c>
      <c r="M32" s="1">
        <f>180000*43/12</f>
        <v>645000</v>
      </c>
      <c r="V32" s="7">
        <f>L32-Z32</f>
        <v>395</v>
      </c>
      <c r="W32" s="7">
        <f>M32-AA32</f>
        <v>351167</v>
      </c>
      <c r="Z32" s="7">
        <f>217+19</f>
        <v>236</v>
      </c>
      <c r="AA32" s="7">
        <f>ROUND(82000*43/12,0)</f>
        <v>293833</v>
      </c>
      <c r="AD32" s="7">
        <v>1</v>
      </c>
      <c r="AE32" s="7">
        <v>0</v>
      </c>
      <c r="AF32" s="7">
        <v>0</v>
      </c>
      <c r="AG32" s="8" t="s">
        <v>39</v>
      </c>
      <c r="AH32" s="1">
        <v>0</v>
      </c>
      <c r="AJ32" s="4">
        <v>4</v>
      </c>
      <c r="AK32" s="4">
        <v>6.5</v>
      </c>
      <c r="AL32" s="9">
        <v>1</v>
      </c>
      <c r="AM32" s="9">
        <v>1</v>
      </c>
      <c r="AN32" s="9">
        <v>1</v>
      </c>
      <c r="AO32" s="9">
        <v>1</v>
      </c>
      <c r="AP32" s="7" t="s">
        <v>184</v>
      </c>
    </row>
    <row r="33" spans="1:41">
      <c r="A33" s="7" t="s">
        <v>164</v>
      </c>
      <c r="B33" s="7" t="s">
        <v>165</v>
      </c>
      <c r="C33" s="7" t="s">
        <v>166</v>
      </c>
      <c r="D33" s="7" t="s">
        <v>167</v>
      </c>
      <c r="E33" s="7" t="s">
        <v>34</v>
      </c>
      <c r="F33" s="7" t="s">
        <v>34</v>
      </c>
      <c r="G33" s="7" t="s">
        <v>117</v>
      </c>
      <c r="H33" s="7" t="s">
        <v>168</v>
      </c>
      <c r="I33" s="7">
        <v>2007</v>
      </c>
      <c r="J33" s="7">
        <v>2007</v>
      </c>
      <c r="K33" s="7">
        <v>2008</v>
      </c>
      <c r="N33" s="1">
        <v>7</v>
      </c>
      <c r="O33" s="1">
        <f>S33-Q33</f>
        <v>1579</v>
      </c>
      <c r="P33" s="1">
        <v>9</v>
      </c>
      <c r="Q33" s="1">
        <f>ROUND(9/379.8*100000,0)</f>
        <v>2370</v>
      </c>
      <c r="R33" s="1">
        <v>16</v>
      </c>
      <c r="S33" s="1">
        <v>3949</v>
      </c>
      <c r="AD33" s="7">
        <v>1</v>
      </c>
      <c r="AE33" s="7">
        <v>0</v>
      </c>
      <c r="AF33" s="7">
        <v>0</v>
      </c>
      <c r="AG33" s="8" t="s">
        <v>113</v>
      </c>
      <c r="AH33" s="7">
        <v>0</v>
      </c>
      <c r="AJ33" s="4">
        <v>2.5</v>
      </c>
      <c r="AK33" s="4">
        <v>2.5</v>
      </c>
      <c r="AL33" s="9">
        <v>0.83899999999999997</v>
      </c>
      <c r="AM33" s="9">
        <v>0.83899999999999997</v>
      </c>
      <c r="AN33" s="9"/>
      <c r="AO33" s="9"/>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Yale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 Antillon</dc:creator>
  <cp:lastModifiedBy>Marina Antillon</cp:lastModifiedBy>
  <dcterms:created xsi:type="dcterms:W3CDTF">2017-02-08T19:54:16Z</dcterms:created>
  <dcterms:modified xsi:type="dcterms:W3CDTF">2017-02-09T20:50:47Z</dcterms:modified>
</cp:coreProperties>
</file>