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icolas\Desktop\trabalhoPO\"/>
    </mc:Choice>
  </mc:AlternateContent>
  <xr:revisionPtr revIDLastSave="0" documentId="13_ncr:1_{F50A4DC5-E61A-4039-BD57-55559FED48E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2.3A - 4" sheetId="3" r:id="rId1"/>
    <sheet name="2.3E-8" sheetId="4" r:id="rId2"/>
    <sheet name="2.3C - 3" sheetId="5" r:id="rId3"/>
    <sheet name="9.1A - 7" sheetId="6" r:id="rId4"/>
    <sheet name="9.1B - 3" sheetId="7" r:id="rId5"/>
  </sheets>
  <definedNames>
    <definedName name="solver_adj" localSheetId="0" hidden="1">'2.3A - 4'!$B$19:$H$19</definedName>
    <definedName name="solver_adj" localSheetId="2" hidden="1">'2.3C - 3'!$B$22:$O$22</definedName>
    <definedName name="solver_adj" localSheetId="1" hidden="1">'2.3E-8'!$B$11:$G$11</definedName>
    <definedName name="solver_adj" localSheetId="3" hidden="1">'9.1A - 7'!$B$7:$I$7</definedName>
    <definedName name="solver_cvg" localSheetId="0" hidden="1">0.0001</definedName>
    <definedName name="solver_cvg" localSheetId="2" hidden="1">0.0001</definedName>
    <definedName name="solver_cvg" localSheetId="1" hidden="1">0.0001</definedName>
    <definedName name="solver_cvg" localSheetId="3" hidden="1">0.0001</definedName>
    <definedName name="solver_drv" localSheetId="0" hidden="1">1</definedName>
    <definedName name="solver_drv" localSheetId="2" hidden="1">1</definedName>
    <definedName name="solver_drv" localSheetId="1" hidden="1">2</definedName>
    <definedName name="solver_drv" localSheetId="3" hidden="1">1</definedName>
    <definedName name="solver_eng" localSheetId="0" hidden="1">2</definedName>
    <definedName name="solver_eng" localSheetId="2" hidden="1">2</definedName>
    <definedName name="solver_eng" localSheetId="1" hidden="1">2</definedName>
    <definedName name="solver_eng" localSheetId="3" hidden="1">2</definedName>
    <definedName name="solver_est" localSheetId="0" hidden="1">1</definedName>
    <definedName name="solver_est" localSheetId="2" hidden="1">1</definedName>
    <definedName name="solver_est" localSheetId="1" hidden="1">1</definedName>
    <definedName name="solver_est" localSheetId="3" hidden="1">1</definedName>
    <definedName name="solver_itr" localSheetId="0" hidden="1">2147483647</definedName>
    <definedName name="solver_itr" localSheetId="2" hidden="1">2147483647</definedName>
    <definedName name="solver_itr" localSheetId="1" hidden="1">2147483647</definedName>
    <definedName name="solver_itr" localSheetId="3" hidden="1">2147483647</definedName>
    <definedName name="solver_lhs1" localSheetId="0" hidden="1">'2.3A - 4'!$B$19:$E$19</definedName>
    <definedName name="solver_lhs1" localSheetId="2" hidden="1">'2.3C - 3'!$P$3:$P$21</definedName>
    <definedName name="solver_lhs1" localSheetId="1" hidden="1">'2.3E-8'!$H$10</definedName>
    <definedName name="solver_lhs1" localSheetId="3" hidden="1">'9.1A - 7'!$J$3</definedName>
    <definedName name="solver_lhs10" localSheetId="0" hidden="1">'2.3A - 4'!$K$18</definedName>
    <definedName name="solver_lhs2" localSheetId="0" hidden="1">'2.3A - 4'!$B$19:$E$19</definedName>
    <definedName name="solver_lhs2" localSheetId="1" hidden="1">'2.3E-8'!$H$3</definedName>
    <definedName name="solver_lhs2" localSheetId="3" hidden="1">'9.1A - 7'!$B$7:$I$7</definedName>
    <definedName name="solver_lhs3" localSheetId="0" hidden="1">'2.3A - 4'!$B$19:$H$19</definedName>
    <definedName name="solver_lhs3" localSheetId="1" hidden="1">'2.3E-8'!$H$4</definedName>
    <definedName name="solver_lhs3" localSheetId="3" hidden="1">'9.1A - 7'!$J$4</definedName>
    <definedName name="solver_lhs4" localSheetId="0" hidden="1">'2.3A - 4'!$F$19</definedName>
    <definedName name="solver_lhs4" localSheetId="1" hidden="1">'2.3E-8'!$H$5</definedName>
    <definedName name="solver_lhs4" localSheetId="3" hidden="1">'9.1A - 7'!$J$6</definedName>
    <definedName name="solver_lhs5" localSheetId="0" hidden="1">'2.3A - 4'!$G$19</definedName>
    <definedName name="solver_lhs5" localSheetId="1" hidden="1">'2.3E-8'!$H$6</definedName>
    <definedName name="solver_lhs6" localSheetId="0" hidden="1">'2.3A - 4'!$G$19</definedName>
    <definedName name="solver_lhs6" localSheetId="1" hidden="1">'2.3E-8'!$H$7</definedName>
    <definedName name="solver_lhs7" localSheetId="0" hidden="1">'2.3A - 4'!$G$19</definedName>
    <definedName name="solver_lhs7" localSheetId="1" hidden="1">'2.3E-8'!$H$8</definedName>
    <definedName name="solver_lhs8" localSheetId="0" hidden="1">'2.3A - 4'!$H$19</definedName>
    <definedName name="solver_lhs8" localSheetId="1" hidden="1">'2.3E-8'!$H$9</definedName>
    <definedName name="solver_lhs9" localSheetId="0" hidden="1">'2.3A - 4'!$I$16</definedName>
    <definedName name="solver_lin" localSheetId="0" hidden="1">2</definedName>
    <definedName name="solver_lin" localSheetId="3" hidden="1">2</definedName>
    <definedName name="solver_mip" localSheetId="0" hidden="1">2147483647</definedName>
    <definedName name="solver_mip" localSheetId="2" hidden="1">2147483647</definedName>
    <definedName name="solver_mip" localSheetId="1" hidden="1">2147483647</definedName>
    <definedName name="solver_mip" localSheetId="3" hidden="1">2147483647</definedName>
    <definedName name="solver_mni" localSheetId="0" hidden="1">30</definedName>
    <definedName name="solver_mni" localSheetId="2" hidden="1">30</definedName>
    <definedName name="solver_mni" localSheetId="1" hidden="1">30</definedName>
    <definedName name="solver_mni" localSheetId="3" hidden="1">30</definedName>
    <definedName name="solver_mrt" localSheetId="0" hidden="1">0.075</definedName>
    <definedName name="solver_mrt" localSheetId="2" hidden="1">0.075</definedName>
    <definedName name="solver_mrt" localSheetId="1" hidden="1">0.075</definedName>
    <definedName name="solver_mrt" localSheetId="3" hidden="1">0.075</definedName>
    <definedName name="solver_msl" localSheetId="0" hidden="1">2</definedName>
    <definedName name="solver_msl" localSheetId="2" hidden="1">2</definedName>
    <definedName name="solver_msl" localSheetId="1" hidden="1">2</definedName>
    <definedName name="solver_msl" localSheetId="3" hidden="1">2</definedName>
    <definedName name="solver_neg" localSheetId="0" hidden="1">1</definedName>
    <definedName name="solver_neg" localSheetId="2" hidden="1">1</definedName>
    <definedName name="solver_neg" localSheetId="1" hidden="1">2</definedName>
    <definedName name="solver_neg" localSheetId="3" hidden="1">1</definedName>
    <definedName name="solver_nod" localSheetId="0" hidden="1">2147483647</definedName>
    <definedName name="solver_nod" localSheetId="2" hidden="1">2147483647</definedName>
    <definedName name="solver_nod" localSheetId="1" hidden="1">2147483647</definedName>
    <definedName name="solver_nod" localSheetId="3" hidden="1">2147483647</definedName>
    <definedName name="solver_num" localSheetId="0" hidden="1">10</definedName>
    <definedName name="solver_num" localSheetId="2" hidden="1">1</definedName>
    <definedName name="solver_num" localSheetId="1" hidden="1">8</definedName>
    <definedName name="solver_num" localSheetId="3" hidden="1">4</definedName>
    <definedName name="solver_nwt" localSheetId="0" hidden="1">1</definedName>
    <definedName name="solver_nwt" localSheetId="2" hidden="1">1</definedName>
    <definedName name="solver_nwt" localSheetId="1" hidden="1">1</definedName>
    <definedName name="solver_nwt" localSheetId="3" hidden="1">1</definedName>
    <definedName name="solver_opt" localSheetId="0" hidden="1">'2.3A - 4'!$I$2</definedName>
    <definedName name="solver_opt" localSheetId="2" hidden="1">'2.3C - 3'!$R$21</definedName>
    <definedName name="solver_opt" localSheetId="1" hidden="1">'2.3E-8'!$H$2</definedName>
    <definedName name="solver_opt" localSheetId="3" hidden="1">'9.1A - 7'!$J$2</definedName>
    <definedName name="solver_pre" localSheetId="0" hidden="1">0.000001</definedName>
    <definedName name="solver_pre" localSheetId="2" hidden="1">0.000001</definedName>
    <definedName name="solver_pre" localSheetId="1" hidden="1">0.000001</definedName>
    <definedName name="solver_pre" localSheetId="3" hidden="1">0.000001</definedName>
    <definedName name="solver_rbv" localSheetId="0" hidden="1">1</definedName>
    <definedName name="solver_rbv" localSheetId="2" hidden="1">1</definedName>
    <definedName name="solver_rbv" localSheetId="1" hidden="1">2</definedName>
    <definedName name="solver_rbv" localSheetId="3" hidden="1">1</definedName>
    <definedName name="solver_rel1" localSheetId="0" hidden="1">3</definedName>
    <definedName name="solver_rel1" localSheetId="2" hidden="1">1</definedName>
    <definedName name="solver_rel1" localSheetId="1" hidden="1">2</definedName>
    <definedName name="solver_rel1" localSheetId="3" hidden="1">1</definedName>
    <definedName name="solver_rel10" localSheetId="0" hidden="1">1</definedName>
    <definedName name="solver_rel2" localSheetId="0" hidden="1">1</definedName>
    <definedName name="solver_rel2" localSheetId="1" hidden="1">1</definedName>
    <definedName name="solver_rel2" localSheetId="3" hidden="1">5</definedName>
    <definedName name="solver_rel3" localSheetId="0" hidden="1">4</definedName>
    <definedName name="solver_rel3" localSheetId="1" hidden="1">1</definedName>
    <definedName name="solver_rel3" localSheetId="3" hidden="1">1</definedName>
    <definedName name="solver_rel4" localSheetId="0" hidden="1">2</definedName>
    <definedName name="solver_rel4" localSheetId="1" hidden="1">3</definedName>
    <definedName name="solver_rel4" localSheetId="3" hidden="1">2</definedName>
    <definedName name="solver_rel5" localSheetId="0" hidden="1">1</definedName>
    <definedName name="solver_rel5" localSheetId="1" hidden="1">3</definedName>
    <definedName name="solver_rel6" localSheetId="0" hidden="1">2</definedName>
    <definedName name="solver_rel6" localSheetId="1" hidden="1">1</definedName>
    <definedName name="solver_rel7" localSheetId="0" hidden="1">3</definedName>
    <definedName name="solver_rel7" localSheetId="1" hidden="1">1</definedName>
    <definedName name="solver_rel8" localSheetId="0" hidden="1">1</definedName>
    <definedName name="solver_rel8" localSheetId="1" hidden="1">2</definedName>
    <definedName name="solver_rel9" localSheetId="0" hidden="1">1</definedName>
    <definedName name="solver_rhs1" localSheetId="0" hidden="1">'2.3A - 4'!$K$3:$K$6</definedName>
    <definedName name="solver_rhs1" localSheetId="2" hidden="1">'2.3C - 3'!$R$3:$R$21</definedName>
    <definedName name="solver_rhs1" localSheetId="1" hidden="1">'2.3E-8'!$J$10</definedName>
    <definedName name="solver_rhs1" localSheetId="3" hidden="1">'9.1A - 7'!$L$3</definedName>
    <definedName name="solver_rhs10" localSheetId="0" hidden="1">'2.3A - 4'!$K$17</definedName>
    <definedName name="solver_rhs2" localSheetId="0" hidden="1">'2.3A - 4'!$K$11:$K$14</definedName>
    <definedName name="solver_rhs2" localSheetId="1" hidden="1">'2.3E-8'!$J$3</definedName>
    <definedName name="solver_rhs2" localSheetId="3" hidden="1">"binário"</definedName>
    <definedName name="solver_rhs3" localSheetId="0" hidden="1">"número inteiro"</definedName>
    <definedName name="solver_rhs3" localSheetId="1" hidden="1">'2.3E-8'!$J$4</definedName>
    <definedName name="solver_rhs3" localSheetId="3" hidden="1">'9.1A - 7'!$L$4</definedName>
    <definedName name="solver_rhs4" localSheetId="0" hidden="1">'2.3A - 4'!$K$8</definedName>
    <definedName name="solver_rhs4" localSheetId="1" hidden="1">'2.3E-8'!$J$5</definedName>
    <definedName name="solver_rhs4" localSheetId="3" hidden="1">'9.1A - 7'!$L$6</definedName>
    <definedName name="solver_rhs5" localSheetId="0" hidden="1">'2.3A - 4'!$K$15</definedName>
    <definedName name="solver_rhs5" localSheetId="1" hidden="1">'2.3E-8'!$J$6</definedName>
    <definedName name="solver_rhs6" localSheetId="0" hidden="1">'2.3A - 4'!$K$9</definedName>
    <definedName name="solver_rhs6" localSheetId="1" hidden="1">'2.3E-8'!$J$7</definedName>
    <definedName name="solver_rhs7" localSheetId="0" hidden="1">'2.3A - 4'!$K$7</definedName>
    <definedName name="solver_rhs7" localSheetId="1" hidden="1">'2.3E-8'!$J$8</definedName>
    <definedName name="solver_rhs8" localSheetId="0" hidden="1">'2.3A - 4'!$K$10</definedName>
    <definedName name="solver_rhs8" localSheetId="1" hidden="1">'2.3E-8'!$J$9</definedName>
    <definedName name="solver_rhs9" localSheetId="0" hidden="1">'2.3A - 4'!$K$16</definedName>
    <definedName name="solver_rlx" localSheetId="0" hidden="1">2</definedName>
    <definedName name="solver_rlx" localSheetId="2" hidden="1">2</definedName>
    <definedName name="solver_rlx" localSheetId="1" hidden="1">2</definedName>
    <definedName name="solver_rlx" localSheetId="3" hidden="1">2</definedName>
    <definedName name="solver_rsd" localSheetId="0" hidden="1">0</definedName>
    <definedName name="solver_rsd" localSheetId="2" hidden="1">0</definedName>
    <definedName name="solver_rsd" localSheetId="1" hidden="1">0</definedName>
    <definedName name="solver_rsd" localSheetId="3" hidden="1">0</definedName>
    <definedName name="solver_scl" localSheetId="0" hidden="1">1</definedName>
    <definedName name="solver_scl" localSheetId="2" hidden="1">1</definedName>
    <definedName name="solver_scl" localSheetId="1" hidden="1">2</definedName>
    <definedName name="solver_scl" localSheetId="3" hidden="1">1</definedName>
    <definedName name="solver_sho" localSheetId="0" hidden="1">2</definedName>
    <definedName name="solver_sho" localSheetId="2" hidden="1">2</definedName>
    <definedName name="solver_sho" localSheetId="1" hidden="1">2</definedName>
    <definedName name="solver_sho" localSheetId="3" hidden="1">2</definedName>
    <definedName name="solver_ssz" localSheetId="0" hidden="1">100</definedName>
    <definedName name="solver_ssz" localSheetId="2" hidden="1">100</definedName>
    <definedName name="solver_ssz" localSheetId="1" hidden="1">100</definedName>
    <definedName name="solver_ssz" localSheetId="3" hidden="1">100</definedName>
    <definedName name="solver_tim" localSheetId="0" hidden="1">2147483647</definedName>
    <definedName name="solver_tim" localSheetId="2" hidden="1">2147483647</definedName>
    <definedName name="solver_tim" localSheetId="1" hidden="1">2147483647</definedName>
    <definedName name="solver_tim" localSheetId="3" hidden="1">2147483647</definedName>
    <definedName name="solver_tol" localSheetId="0" hidden="1">0.01</definedName>
    <definedName name="solver_tol" localSheetId="2" hidden="1">0.01</definedName>
    <definedName name="solver_tol" localSheetId="1" hidden="1">0.01</definedName>
    <definedName name="solver_tol" localSheetId="3" hidden="1">0.01</definedName>
    <definedName name="solver_typ" localSheetId="0" hidden="1">1</definedName>
    <definedName name="solver_typ" localSheetId="2" hidden="1">1</definedName>
    <definedName name="solver_typ" localSheetId="1" hidden="1">1</definedName>
    <definedName name="solver_typ" localSheetId="3" hidden="1">1</definedName>
    <definedName name="solver_val" localSheetId="0" hidden="1">0</definedName>
    <definedName name="solver_val" localSheetId="2" hidden="1">0</definedName>
    <definedName name="solver_val" localSheetId="1" hidden="1">0</definedName>
    <definedName name="solver_val" localSheetId="3" hidden="1">0</definedName>
    <definedName name="solver_ver" localSheetId="0" hidden="1">3</definedName>
    <definedName name="solver_ver" localSheetId="2" hidden="1">3</definedName>
    <definedName name="solver_ver" localSheetId="1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7" l="1"/>
  <c r="K7" i="7"/>
  <c r="K6" i="7"/>
  <c r="K4" i="7" a="1"/>
  <c r="K4" i="7" s="1"/>
  <c r="K3" i="7"/>
  <c r="K2" i="7"/>
  <c r="H7" i="7"/>
  <c r="H6" i="7"/>
  <c r="H5" i="7"/>
  <c r="H4" i="7"/>
  <c r="H3" i="7"/>
  <c r="H2" i="7" a="1"/>
  <c r="H2" i="7" s="1"/>
  <c r="K5" i="7" s="1" a="1"/>
  <c r="K5" i="7" s="1"/>
  <c r="M9" i="6"/>
  <c r="M8" i="6"/>
  <c r="M4" i="6" a="1"/>
  <c r="M4" i="6" s="1"/>
  <c r="M3" i="6"/>
  <c r="M2" i="6"/>
  <c r="I2" i="6"/>
  <c r="H2" i="6"/>
  <c r="G2" i="6"/>
  <c r="F2" i="6"/>
  <c r="E2" i="6"/>
  <c r="D2" i="6"/>
  <c r="C2" i="6"/>
  <c r="B2" i="6"/>
  <c r="J2" i="6" s="1" a="1"/>
  <c r="S6" i="5"/>
  <c r="S5" i="5"/>
  <c r="S4" i="5" a="1"/>
  <c r="S3" i="5"/>
  <c r="S2" i="5"/>
  <c r="R17" i="5"/>
  <c r="P2" i="5" a="1"/>
  <c r="P2" i="5" s="1"/>
  <c r="K13" i="4"/>
  <c r="K12" i="4"/>
  <c r="K3" i="4"/>
  <c r="K2" i="4"/>
  <c r="H2" i="4" a="1"/>
  <c r="H4" i="4" s="1"/>
  <c r="K6" i="4" s="1"/>
  <c r="B15" i="4"/>
  <c r="B14" i="4"/>
  <c r="B13" i="4"/>
  <c r="R15" i="3"/>
  <c r="R14" i="3"/>
  <c r="R11" i="3"/>
  <c r="R10" i="3"/>
  <c r="R8" i="3"/>
  <c r="R6" i="3" a="1"/>
  <c r="R6" i="3" s="1"/>
  <c r="R5" i="3" a="1"/>
  <c r="R5" i="3"/>
  <c r="R4" i="3" a="1"/>
  <c r="R4" i="3" s="1"/>
  <c r="R3" i="3"/>
  <c r="R2" i="3"/>
  <c r="K9" i="3"/>
  <c r="R9" i="3" s="1"/>
  <c r="I2" i="3" a="1"/>
  <c r="I2" i="3" s="1"/>
  <c r="K17" i="3"/>
  <c r="K18" i="3"/>
  <c r="K8" i="3"/>
  <c r="R7" i="3" s="1"/>
  <c r="J4" i="6" l="1"/>
  <c r="J2" i="6"/>
  <c r="J3" i="6"/>
  <c r="J6" i="6"/>
  <c r="M7" i="6" s="1"/>
  <c r="J5" i="6"/>
  <c r="L4" i="6" s="1"/>
  <c r="P13" i="5"/>
  <c r="P12" i="5"/>
  <c r="P11" i="5"/>
  <c r="P10" i="5"/>
  <c r="P21" i="5"/>
  <c r="P9" i="5"/>
  <c r="P20" i="5"/>
  <c r="P8" i="5"/>
  <c r="P19" i="5"/>
  <c r="P7" i="5"/>
  <c r="P18" i="5"/>
  <c r="P6" i="5"/>
  <c r="P17" i="5"/>
  <c r="R18" i="5" s="1"/>
  <c r="P5" i="5"/>
  <c r="P3" i="5"/>
  <c r="S4" i="5" s="1"/>
  <c r="P16" i="5"/>
  <c r="P4" i="5"/>
  <c r="P15" i="5"/>
  <c r="P14" i="5"/>
  <c r="H10" i="4"/>
  <c r="K4" i="4" s="1"/>
  <c r="H9" i="4"/>
  <c r="K11" i="4" s="1"/>
  <c r="H8" i="4"/>
  <c r="K10" i="4" s="1"/>
  <c r="H7" i="4"/>
  <c r="K9" i="4" s="1"/>
  <c r="H6" i="4"/>
  <c r="K8" i="4" s="1"/>
  <c r="H5" i="4"/>
  <c r="K7" i="4" s="1"/>
  <c r="H3" i="4"/>
  <c r="K5" i="4" s="1"/>
  <c r="H2" i="4"/>
  <c r="R13" i="3"/>
  <c r="R12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M6" i="6" l="1"/>
  <c r="L3" i="6"/>
  <c r="M5" i="6" s="1"/>
  <c r="R19" i="5"/>
  <c r="R20" i="5" s="1"/>
  <c r="R21" i="5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<sst xmlns="http://schemas.openxmlformats.org/spreadsheetml/2006/main" count="165" uniqueCount="111">
  <si>
    <t>PROBLEMA</t>
  </si>
  <si>
    <t>=</t>
  </si>
  <si>
    <t>&gt;=</t>
  </si>
  <si>
    <t>A nova escola pode ocupar uma área máxima de 2 acres a uma taxa de no máximo 25 alunos por sala de aula. O custo operacional anual por sala de aula é $ 10.000, O projeto será localizado em uma propriedade desocupada de 50 acres pertencente ao municipio. Além disso, o projeto pode fazer uso de uma propriedade adjacente ocupada por 200 cortiços condenados. Cada casa condenada ocupa 0,25 acres. O custo para comprar e demolir uma unidade de cortiço é $ 7.000. Espaços abertos, ruas e estacionamentos consomem 15% do terreno total disponível,</t>
  </si>
  <si>
    <t>Desenvolva um modelo de programação linear para determinar o plano ótimo para o projeto.</t>
  </si>
  <si>
    <t xml:space="preserve"> A cidade de Fayetteville está concebendo um projeto de renovação urbana que incluirá conjuntos habitacionais de casas peminadas para baixa e média rendas, apartamentos de luxo para rendas mais altas e conjuntos habitacionais públicos. O projeto também inclui uma escola primária e lojas de varejo. O tamanho da escola primária (número de salas de aula) é proporcional ao número de alunos, e o espaço para comércio varejista é proporcional ao número de unidades residenciais. A Tabela G apresenta os dados pertinentes à situação.</t>
  </si>
  <si>
    <t>RB</t>
  </si>
  <si>
    <t>RM</t>
  </si>
  <si>
    <t>RA</t>
  </si>
  <si>
    <t>CHP</t>
  </si>
  <si>
    <t>SDA</t>
  </si>
  <si>
    <t>LV</t>
  </si>
  <si>
    <t>&lt;=</t>
  </si>
  <si>
    <t>C</t>
  </si>
  <si>
    <t>LEGENDA</t>
  </si>
  <si>
    <t>RB = RENDA BAIXA</t>
  </si>
  <si>
    <t>RM = RENDA MÉDIA</t>
  </si>
  <si>
    <t>RA = RENDA ALTA</t>
  </si>
  <si>
    <t>CHP = CONJUNTO HABITACIONAL PUBLICO</t>
  </si>
  <si>
    <t>SD A = SALA DE AULA</t>
  </si>
  <si>
    <t>LV = LOJA DE VAREJOS</t>
  </si>
  <si>
    <t>C = CORTIÇOS</t>
  </si>
  <si>
    <t>SOLVER</t>
  </si>
  <si>
    <t>CUSTO</t>
  </si>
  <si>
    <t>N. MIN RB</t>
  </si>
  <si>
    <t>N. MIN RM</t>
  </si>
  <si>
    <t>N. MIN RA</t>
  </si>
  <si>
    <t>N. MIN CHP</t>
  </si>
  <si>
    <t>N. DE LOJAS</t>
  </si>
  <si>
    <t>CORTIÇOS DISP.</t>
  </si>
  <si>
    <t>N. MAX RB</t>
  </si>
  <si>
    <t>N. MAX RM</t>
  </si>
  <si>
    <t>N. MAX RA</t>
  </si>
  <si>
    <t>N. MAX CHP</t>
  </si>
  <si>
    <t>N. MAX LV</t>
  </si>
  <si>
    <t>AREA TOTAL DISP.</t>
  </si>
  <si>
    <t>AREA TOTAL OCUP.</t>
  </si>
  <si>
    <t>N. DE SALAS</t>
  </si>
  <si>
    <t>N. MIN LV</t>
  </si>
  <si>
    <t>AREA MAX S DA</t>
  </si>
  <si>
    <t>I</t>
  </si>
  <si>
    <t>II</t>
  </si>
  <si>
    <t>AI</t>
  </si>
  <si>
    <t>AII</t>
  </si>
  <si>
    <t>BI</t>
  </si>
  <si>
    <t>BII</t>
  </si>
  <si>
    <t>LUCRO</t>
  </si>
  <si>
    <t>PRODUÇÃO A</t>
  </si>
  <si>
    <t>PRODUÇÃO B</t>
  </si>
  <si>
    <t>OCTANAGEM I</t>
  </si>
  <si>
    <t>OCTANAGEM II</t>
  </si>
  <si>
    <t>PRESSÃO I</t>
  </si>
  <si>
    <t>PRESSÃO II</t>
  </si>
  <si>
    <t>VOLUME I</t>
  </si>
  <si>
    <t>VOLUME II</t>
  </si>
  <si>
    <t>Taxa I/II</t>
  </si>
  <si>
    <t>Razão de mistura A/B I</t>
  </si>
  <si>
    <t>Razão de mistura A/B II</t>
  </si>
  <si>
    <t>Valores</t>
  </si>
  <si>
    <t>Valor do empréstimo Z-1</t>
  </si>
  <si>
    <t>Valor do empréstimo Z-2</t>
  </si>
  <si>
    <t>Valor do empréstimo Z-3</t>
  </si>
  <si>
    <t>Valor do empréstimo Z-4</t>
  </si>
  <si>
    <t>Participação Total P1-1</t>
  </si>
  <si>
    <t>Participação Total P2-1</t>
  </si>
  <si>
    <t>Participação Total P1-2</t>
  </si>
  <si>
    <t>Participação Total P2-2</t>
  </si>
  <si>
    <t>Participação Total P1-3</t>
  </si>
  <si>
    <t>Participação Total P2-3</t>
  </si>
  <si>
    <t>Participação Total P1-4</t>
  </si>
  <si>
    <t>Participação Total P2-4</t>
  </si>
  <si>
    <t>Participação Total P1-5</t>
  </si>
  <si>
    <t>Participação Total P2-5</t>
  </si>
  <si>
    <t>Valor total P1</t>
  </si>
  <si>
    <t>Valor total P2</t>
  </si>
  <si>
    <t>Valor total P3</t>
  </si>
  <si>
    <t>Valor total P4</t>
  </si>
  <si>
    <t>Valor total P5</t>
  </si>
  <si>
    <t>P1-1</t>
  </si>
  <si>
    <t>P2-1</t>
  </si>
  <si>
    <t>Z-1</t>
  </si>
  <si>
    <t>P1-2</t>
  </si>
  <si>
    <t>P2-2</t>
  </si>
  <si>
    <t>Z-2</t>
  </si>
  <si>
    <t>P1-3</t>
  </si>
  <si>
    <t>P2-3</t>
  </si>
  <si>
    <t>Z-3</t>
  </si>
  <si>
    <t>P1-4</t>
  </si>
  <si>
    <t>P2-4</t>
  </si>
  <si>
    <t>Z-4</t>
  </si>
  <si>
    <t>P1-5</t>
  </si>
  <si>
    <t>P2-5</t>
  </si>
  <si>
    <t>AFT</t>
  </si>
  <si>
    <t>FAR</t>
  </si>
  <si>
    <t>TVA</t>
  </si>
  <si>
    <t>ADV</t>
  </si>
  <si>
    <t>JOE</t>
  </si>
  <si>
    <t>FIN</t>
  </si>
  <si>
    <t>OSF</t>
  </si>
  <si>
    <t>KEN</t>
  </si>
  <si>
    <t>SOMA</t>
  </si>
  <si>
    <t>VLR LETRA I</t>
  </si>
  <si>
    <t>VLR LETRA II</t>
  </si>
  <si>
    <t>VLR LETRA III</t>
  </si>
  <si>
    <t>USO DE VARIAVEIS</t>
  </si>
  <si>
    <t>EST CID 1</t>
  </si>
  <si>
    <t>EST CID 2</t>
  </si>
  <si>
    <t>EST CID 3</t>
  </si>
  <si>
    <t>EST CID 4</t>
  </si>
  <si>
    <t>EST CID 5</t>
  </si>
  <si>
    <t>EST CID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</si>
</sst>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justify"/>
    </xf>
    <xf numFmtId="0" fontId="0" fillId="0" borderId="0" xfId="0" applyAlignment="1">
      <alignment horizontal="center" vertical="justify"/>
    </xf>
    <xf numFmtId="0" fontId="1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/>
    <xf numFmtId="0" fontId="2" fillId="3" borderId="0" xfId="0" applyFont="1" applyFill="1"/>
    <xf numFmtId="0" fontId="6" fillId="0" borderId="0" xfId="0" applyFont="1"/>
    <xf numFmtId="0" fontId="5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0" borderId="0" xfId="0" applyFont="1"/>
    <xf numFmtId="0" fontId="9" fillId="0" borderId="0" xfId="0" applyFont="1"/>
    <xf numFmtId="0" fontId="0" fillId="0" borderId="0" xfId="0" quotePrefix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0" borderId="0" xfId="0" applyAlignment="1">
      <alignment horizontal="center" vertical="justify"/>
    </xf>
    <xf numFmtId="0" fontId="0" fillId="0" borderId="0" xfId="0" applyAlignment="1">
      <alignment horizontal="center"/>
    </xf>
    <xf numFmtId="0" fontId="15" fillId="3" borderId="0" xfId="0" applyFont="1" applyFill="1" applyAlignment="1">
      <alignment horizontal="left"/>
    </xf>
  </cellXfs>
  <cellStyles count="1">
    <cellStyle name="Normal" xfId="0" builtinId="0"/>
  </cellStyles>
  <dxfs count="7"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C73D-5DDD-4F70-818B-6E24CF2FC329}">
  <dimension ref="A1:R25"/>
  <sheetViews>
    <sheetView tabSelected="1" zoomScale="85" zoomScaleNormal="85" workbookViewId="0">
      <selection activeCell="R6" sqref="R6"/>
    </sheetView>
  </sheetViews>
  <sheetFormatPr defaultRowHeight="15" x14ac:dyDescent="0.25"/>
  <cols>
    <col min="1" max="1" width="17.5703125" customWidth="1"/>
    <col min="9" max="9" width="12.85546875" customWidth="1"/>
    <col min="11" max="11" width="21" customWidth="1"/>
    <col min="14" max="14" width="69.85546875" customWidth="1"/>
    <col min="16" max="16" width="25.5703125" customWidth="1"/>
    <col min="18" max="18" width="18.42578125" customWidth="1"/>
  </cols>
  <sheetData>
    <row r="1" spans="1:18" ht="18.75" customHeight="1" x14ac:dyDescent="0.3">
      <c r="A1" s="1"/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13</v>
      </c>
      <c r="I1" s="1"/>
      <c r="J1" s="1"/>
      <c r="K1" s="1"/>
      <c r="L1" s="1"/>
      <c r="M1" s="1"/>
      <c r="N1" s="5" t="s">
        <v>0</v>
      </c>
      <c r="O1" s="5"/>
      <c r="P1" s="5" t="s">
        <v>14</v>
      </c>
      <c r="Q1" s="5"/>
      <c r="R1" s="2" t="s">
        <v>22</v>
      </c>
    </row>
    <row r="2" spans="1:18" ht="15" customHeight="1" x14ac:dyDescent="0.25">
      <c r="A2" s="7" t="s">
        <v>23</v>
      </c>
      <c r="B2" s="6">
        <v>7</v>
      </c>
      <c r="C2" s="6">
        <v>12</v>
      </c>
      <c r="D2" s="6">
        <v>20</v>
      </c>
      <c r="E2" s="6">
        <v>5</v>
      </c>
      <c r="F2" s="6">
        <v>-10</v>
      </c>
      <c r="G2" s="6">
        <v>15</v>
      </c>
      <c r="H2" s="6">
        <v>-7</v>
      </c>
      <c r="I2" s="17" cm="1">
        <f t="array" ref="I2:I18">MMULT(B2:H18,TRANSPOSE(B19:H19))</f>
        <v>8577</v>
      </c>
      <c r="J2" s="6"/>
      <c r="K2" s="6"/>
      <c r="N2" s="19" t="s">
        <v>5</v>
      </c>
      <c r="O2" s="3"/>
      <c r="P2" s="20" t="s">
        <v>15</v>
      </c>
      <c r="Q2" s="20"/>
      <c r="R2" t="e">
        <f ca="1">_xludf.MIN($I$2)</f>
        <v>#NAME?</v>
      </c>
    </row>
    <row r="3" spans="1:18" ht="15.75" x14ac:dyDescent="0.25">
      <c r="A3" s="7" t="s">
        <v>24</v>
      </c>
      <c r="B3" s="6">
        <v>1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17">
        <v>121</v>
      </c>
      <c r="J3" s="6" t="s">
        <v>2</v>
      </c>
      <c r="K3" s="6">
        <v>100</v>
      </c>
      <c r="N3" s="19"/>
      <c r="O3" s="3"/>
      <c r="P3" s="20" t="s">
        <v>16</v>
      </c>
      <c r="Q3" s="20"/>
      <c r="R3">
        <f>COUNT($B$19:$H$19)</f>
        <v>7</v>
      </c>
    </row>
    <row r="4" spans="1:18" ht="15.75" x14ac:dyDescent="0.25">
      <c r="A4" s="7" t="s">
        <v>25</v>
      </c>
      <c r="B4" s="6">
        <v>0</v>
      </c>
      <c r="C4" s="6">
        <v>1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17">
        <v>140</v>
      </c>
      <c r="J4" s="6" t="s">
        <v>2</v>
      </c>
      <c r="K4" s="6">
        <v>125</v>
      </c>
      <c r="N4" s="19"/>
      <c r="O4" s="3"/>
      <c r="P4" s="20" t="s">
        <v>17</v>
      </c>
      <c r="Q4" s="20"/>
      <c r="R4" t="b">
        <f t="array" ref="R4">$B$19:$E$19&gt;=$K$3:$K$6</f>
        <v>1</v>
      </c>
    </row>
    <row r="5" spans="1:18" ht="15.75" x14ac:dyDescent="0.25">
      <c r="A5" s="7" t="s">
        <v>26</v>
      </c>
      <c r="B5" s="6">
        <v>0</v>
      </c>
      <c r="C5" s="6">
        <v>0</v>
      </c>
      <c r="D5" s="6">
        <v>1</v>
      </c>
      <c r="E5" s="6">
        <v>0</v>
      </c>
      <c r="F5" s="6">
        <v>0</v>
      </c>
      <c r="G5" s="6">
        <v>0</v>
      </c>
      <c r="H5" s="6">
        <v>0</v>
      </c>
      <c r="I5" s="17">
        <v>223</v>
      </c>
      <c r="J5" s="6" t="s">
        <v>2</v>
      </c>
      <c r="K5" s="6">
        <v>75</v>
      </c>
      <c r="N5" s="19"/>
      <c r="O5" s="3"/>
      <c r="P5" s="20" t="s">
        <v>18</v>
      </c>
      <c r="Q5" s="20"/>
      <c r="R5" t="b">
        <f t="array" ref="R5">$B$19:$E$19&lt;=$K$11:$K$14</f>
        <v>1</v>
      </c>
    </row>
    <row r="6" spans="1:18" ht="15.75" x14ac:dyDescent="0.25">
      <c r="A6" s="7" t="s">
        <v>27</v>
      </c>
      <c r="B6" s="6">
        <v>0</v>
      </c>
      <c r="C6" s="6">
        <v>0</v>
      </c>
      <c r="D6" s="6">
        <v>0</v>
      </c>
      <c r="E6" s="6">
        <v>1</v>
      </c>
      <c r="F6" s="6">
        <v>0</v>
      </c>
      <c r="G6" s="6">
        <v>0</v>
      </c>
      <c r="H6" s="6">
        <v>0</v>
      </c>
      <c r="I6" s="17">
        <v>313</v>
      </c>
      <c r="J6" s="6" t="s">
        <v>2</v>
      </c>
      <c r="K6" s="6">
        <v>300</v>
      </c>
      <c r="N6" s="19"/>
      <c r="O6" s="3"/>
      <c r="P6" s="20" t="s">
        <v>19</v>
      </c>
      <c r="Q6" s="20"/>
      <c r="R6" t="b">
        <f t="array" ref="R6">$B$19:$H$19=INT($B$19:$H$19)</f>
        <v>1</v>
      </c>
    </row>
    <row r="7" spans="1:18" ht="15.75" x14ac:dyDescent="0.25">
      <c r="A7" s="7" t="s">
        <v>38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1</v>
      </c>
      <c r="H7" s="6">
        <v>0</v>
      </c>
      <c r="I7" s="17">
        <v>25</v>
      </c>
      <c r="J7" s="6" t="s">
        <v>2</v>
      </c>
      <c r="K7" s="6">
        <v>0</v>
      </c>
      <c r="N7" s="19"/>
      <c r="O7" s="3"/>
      <c r="P7" s="20"/>
      <c r="Q7" s="20"/>
      <c r="R7" t="b">
        <f>$F$19=$K$8</f>
        <v>1</v>
      </c>
    </row>
    <row r="8" spans="1:18" ht="15.75" x14ac:dyDescent="0.25">
      <c r="A8" s="7" t="s">
        <v>37</v>
      </c>
      <c r="B8" s="6">
        <v>0</v>
      </c>
      <c r="C8" s="6">
        <v>0</v>
      </c>
      <c r="D8" s="6">
        <v>0</v>
      </c>
      <c r="E8" s="6">
        <v>0</v>
      </c>
      <c r="F8" s="6">
        <v>1</v>
      </c>
      <c r="G8" s="6">
        <v>0</v>
      </c>
      <c r="H8" s="6">
        <v>0</v>
      </c>
      <c r="I8" s="17">
        <v>35</v>
      </c>
      <c r="J8" s="6" t="s">
        <v>1</v>
      </c>
      <c r="K8" s="6">
        <f>(1.3*$B$19+1.2*$C$19+0.5*$D$19+1.4*$E$19)/25</f>
        <v>35</v>
      </c>
      <c r="N8" s="19"/>
      <c r="O8" s="3"/>
      <c r="P8" s="20" t="s">
        <v>20</v>
      </c>
      <c r="Q8" s="20"/>
      <c r="R8" t="b">
        <f>$G$19&lt;=$K$15</f>
        <v>1</v>
      </c>
    </row>
    <row r="9" spans="1:18" ht="15.75" x14ac:dyDescent="0.25">
      <c r="A9" s="7" t="s">
        <v>28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1</v>
      </c>
      <c r="H9" s="6">
        <v>0</v>
      </c>
      <c r="I9" s="17">
        <v>25</v>
      </c>
      <c r="J9" s="6" t="s">
        <v>1</v>
      </c>
      <c r="K9" s="6">
        <f>0.023*B19+0.034*C19+0.046*D19+0.023*E19</f>
        <v>25</v>
      </c>
      <c r="N9" s="19"/>
      <c r="O9" s="3"/>
      <c r="P9" s="20" t="s">
        <v>21</v>
      </c>
      <c r="Q9" s="20"/>
      <c r="R9" t="b">
        <f>$G$19=$K$9</f>
        <v>1</v>
      </c>
    </row>
    <row r="10" spans="1:18" ht="15" customHeight="1" x14ac:dyDescent="0.25">
      <c r="A10" s="7" t="s">
        <v>29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1</v>
      </c>
      <c r="I10" s="17">
        <v>0</v>
      </c>
      <c r="J10" s="6" t="s">
        <v>12</v>
      </c>
      <c r="K10" s="6">
        <v>200</v>
      </c>
      <c r="N10" s="19"/>
      <c r="O10" s="3"/>
      <c r="R10" t="b">
        <f>$G$19&gt;=$K$7</f>
        <v>1</v>
      </c>
    </row>
    <row r="11" spans="1:18" ht="15.75" x14ac:dyDescent="0.25">
      <c r="A11" s="7" t="s">
        <v>30</v>
      </c>
      <c r="B11" s="6">
        <v>1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17">
        <v>121</v>
      </c>
      <c r="J11" s="6" t="s">
        <v>12</v>
      </c>
      <c r="K11" s="6">
        <v>200</v>
      </c>
      <c r="N11" s="19"/>
      <c r="O11" s="3"/>
      <c r="R11" t="b">
        <f>$H$19&lt;=$K$10</f>
        <v>1</v>
      </c>
    </row>
    <row r="12" spans="1:18" ht="15.75" customHeight="1" x14ac:dyDescent="0.25">
      <c r="A12" s="7" t="s">
        <v>31</v>
      </c>
      <c r="B12" s="6">
        <v>0</v>
      </c>
      <c r="C12" s="6">
        <v>1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17">
        <v>140</v>
      </c>
      <c r="J12" s="6" t="s">
        <v>12</v>
      </c>
      <c r="K12" s="6">
        <v>190</v>
      </c>
      <c r="N12" s="19" t="s">
        <v>3</v>
      </c>
      <c r="O12" s="3"/>
      <c r="R12" t="b">
        <f>$I$16&lt;=$K$16</f>
        <v>1</v>
      </c>
    </row>
    <row r="13" spans="1:18" ht="15.75" x14ac:dyDescent="0.25">
      <c r="A13" s="7" t="s">
        <v>32</v>
      </c>
      <c r="B13" s="6">
        <v>0</v>
      </c>
      <c r="C13" s="6">
        <v>0</v>
      </c>
      <c r="D13" s="6">
        <v>1</v>
      </c>
      <c r="E13" s="6">
        <v>0</v>
      </c>
      <c r="F13" s="6">
        <v>0</v>
      </c>
      <c r="G13" s="6">
        <v>0</v>
      </c>
      <c r="H13" s="6">
        <v>0</v>
      </c>
      <c r="I13" s="17">
        <v>223</v>
      </c>
      <c r="J13" s="6" t="s">
        <v>12</v>
      </c>
      <c r="K13" s="6">
        <v>260</v>
      </c>
      <c r="N13" s="19"/>
      <c r="O13" s="3"/>
      <c r="R13" t="b">
        <f>$K$18&lt;=$K$17</f>
        <v>1</v>
      </c>
    </row>
    <row r="14" spans="1:18" ht="15.75" x14ac:dyDescent="0.25">
      <c r="A14" s="7" t="s">
        <v>33</v>
      </c>
      <c r="B14" s="6">
        <v>0</v>
      </c>
      <c r="C14" s="6">
        <v>0</v>
      </c>
      <c r="D14" s="6">
        <v>0</v>
      </c>
      <c r="E14" s="6">
        <v>1</v>
      </c>
      <c r="F14" s="6">
        <v>0</v>
      </c>
      <c r="G14" s="6">
        <v>0</v>
      </c>
      <c r="H14" s="6">
        <v>0</v>
      </c>
      <c r="I14" s="17">
        <v>313</v>
      </c>
      <c r="J14" s="6" t="s">
        <v>12</v>
      </c>
      <c r="K14" s="6">
        <v>600</v>
      </c>
      <c r="N14" s="19"/>
      <c r="O14" s="3"/>
      <c r="R14">
        <f>{32767;32767;0.000001;0.01;TRUE;FALSE;TRUE;1;1;1;0.0001;TRUE}</f>
        <v>32767</v>
      </c>
    </row>
    <row r="15" spans="1:18" ht="15.75" x14ac:dyDescent="0.25">
      <c r="A15" s="7" t="s">
        <v>34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1</v>
      </c>
      <c r="H15" s="6">
        <v>0</v>
      </c>
      <c r="I15" s="17">
        <v>25</v>
      </c>
      <c r="J15" s="6" t="s">
        <v>12</v>
      </c>
      <c r="K15" s="6">
        <v>25</v>
      </c>
      <c r="N15" s="19"/>
      <c r="O15" s="3"/>
      <c r="R15">
        <f>{0;0;2;100;0;FALSE;TRUE;0.075;0;0;FALSE;30}</f>
        <v>0</v>
      </c>
    </row>
    <row r="16" spans="1:18" ht="15.75" x14ac:dyDescent="0.25">
      <c r="A16" s="8" t="s">
        <v>39</v>
      </c>
      <c r="B16" s="6">
        <v>0</v>
      </c>
      <c r="C16" s="6">
        <v>0</v>
      </c>
      <c r="D16" s="6">
        <v>0</v>
      </c>
      <c r="E16" s="6">
        <v>0</v>
      </c>
      <c r="F16" s="6">
        <v>4.4999999999999998E-2</v>
      </c>
      <c r="G16" s="6">
        <v>0</v>
      </c>
      <c r="H16" s="6">
        <v>0</v>
      </c>
      <c r="I16" s="17">
        <v>1.575</v>
      </c>
      <c r="J16" s="6" t="s">
        <v>12</v>
      </c>
      <c r="K16" s="6">
        <v>2</v>
      </c>
      <c r="N16" s="19"/>
      <c r="O16" s="3"/>
    </row>
    <row r="17" spans="1:15" ht="15.75" x14ac:dyDescent="0.25">
      <c r="A17" s="8" t="s">
        <v>35</v>
      </c>
      <c r="B17" s="6">
        <v>0.05</v>
      </c>
      <c r="C17" s="6">
        <v>7.0000000000000007E-2</v>
      </c>
      <c r="D17" s="6">
        <v>0.03</v>
      </c>
      <c r="E17" s="6">
        <v>2.5000000000000001E-2</v>
      </c>
      <c r="F17" s="6">
        <v>4.4999999999999998E-2</v>
      </c>
      <c r="G17" s="6">
        <v>0.1</v>
      </c>
      <c r="H17" s="6">
        <v>0.25</v>
      </c>
      <c r="I17" s="17">
        <v>34.44</v>
      </c>
      <c r="J17" s="6" t="s">
        <v>12</v>
      </c>
      <c r="K17" s="6">
        <f>0.85*(50+(H19*H17))</f>
        <v>42.5</v>
      </c>
      <c r="N17" s="19"/>
      <c r="O17" s="3"/>
    </row>
    <row r="18" spans="1:15" ht="15.75" x14ac:dyDescent="0.25">
      <c r="A18" s="8" t="s">
        <v>36</v>
      </c>
      <c r="B18" s="6">
        <v>0.05</v>
      </c>
      <c r="C18" s="6">
        <v>7.0000000000000007E-2</v>
      </c>
      <c r="D18" s="6">
        <v>0.03</v>
      </c>
      <c r="E18" s="6">
        <v>2.5000000000000001E-2</v>
      </c>
      <c r="F18" s="6">
        <v>4.4999999999999998E-2</v>
      </c>
      <c r="G18" s="6">
        <v>0.1</v>
      </c>
      <c r="H18" s="6">
        <v>0</v>
      </c>
      <c r="I18" s="17">
        <v>34.44</v>
      </c>
      <c r="J18" s="6" t="s">
        <v>1</v>
      </c>
      <c r="K18" s="6">
        <f>B18*B19+C18*C19+D18*D19+E18*E19+F18*F19+G18*G19</f>
        <v>34.44</v>
      </c>
      <c r="N18" s="19"/>
      <c r="O18" s="3"/>
    </row>
    <row r="19" spans="1:15" ht="15.75" x14ac:dyDescent="0.25">
      <c r="B19" s="6">
        <v>121</v>
      </c>
      <c r="C19" s="6">
        <v>140</v>
      </c>
      <c r="D19" s="6">
        <v>223</v>
      </c>
      <c r="E19" s="6">
        <v>313</v>
      </c>
      <c r="F19" s="6">
        <v>35</v>
      </c>
      <c r="G19" s="6">
        <v>25</v>
      </c>
      <c r="H19" s="6">
        <v>0</v>
      </c>
      <c r="I19" s="6"/>
      <c r="J19" s="6"/>
      <c r="K19" s="6"/>
      <c r="N19" s="19"/>
      <c r="O19" s="3"/>
    </row>
    <row r="20" spans="1:15" x14ac:dyDescent="0.25">
      <c r="N20" s="19"/>
      <c r="O20" s="3"/>
    </row>
    <row r="21" spans="1:15" x14ac:dyDescent="0.25">
      <c r="N21" s="19"/>
      <c r="O21" s="3"/>
    </row>
    <row r="22" spans="1:15" ht="18.75" customHeight="1" x14ac:dyDescent="0.25">
      <c r="N22" s="19"/>
      <c r="O22" s="3"/>
    </row>
    <row r="23" spans="1:15" ht="18" customHeight="1" x14ac:dyDescent="0.25">
      <c r="N23" s="19" t="s">
        <v>4</v>
      </c>
      <c r="O23" s="4"/>
    </row>
    <row r="24" spans="1:15" ht="15.75" x14ac:dyDescent="0.25">
      <c r="B24" s="6"/>
      <c r="C24" s="6"/>
      <c r="D24" s="6"/>
      <c r="E24" s="6"/>
      <c r="N24" s="19"/>
    </row>
    <row r="25" spans="1:15" ht="15.75" x14ac:dyDescent="0.25">
      <c r="B25" s="6"/>
      <c r="C25" s="6"/>
    </row>
  </sheetData>
  <mergeCells count="11">
    <mergeCell ref="N2:N11"/>
    <mergeCell ref="N12:N22"/>
    <mergeCell ref="N23:N24"/>
    <mergeCell ref="P2:Q2"/>
    <mergeCell ref="P3:Q3"/>
    <mergeCell ref="P4:Q4"/>
    <mergeCell ref="P5:Q5"/>
    <mergeCell ref="P6:Q6"/>
    <mergeCell ref="P8:Q8"/>
    <mergeCell ref="P9:Q9"/>
    <mergeCell ref="P7:Q7"/>
  </mergeCells>
  <conditionalFormatting sqref="B2:H16">
    <cfRule type="cellIs" dxfId="6" priority="1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368B4-FA2B-4D67-BCBF-3F3EBFF15146}">
  <dimension ref="A1:K15"/>
  <sheetViews>
    <sheetView zoomScale="90" zoomScaleNormal="90" workbookViewId="0">
      <selection activeCell="A8" sqref="A8"/>
    </sheetView>
  </sheetViews>
  <sheetFormatPr defaultRowHeight="15" x14ac:dyDescent="0.25"/>
  <cols>
    <col min="1" max="1" width="23.85546875" customWidth="1"/>
    <col min="8" max="8" width="11.7109375" customWidth="1"/>
    <col min="10" max="10" width="13.85546875" customWidth="1"/>
    <col min="11" max="11" width="17.140625" customWidth="1"/>
  </cols>
  <sheetData>
    <row r="1" spans="1:11" ht="18.75" x14ac:dyDescent="0.3">
      <c r="A1" s="11"/>
      <c r="B1" s="10" t="s">
        <v>40</v>
      </c>
      <c r="C1" s="10" t="s">
        <v>41</v>
      </c>
      <c r="D1" s="10" t="s">
        <v>42</v>
      </c>
      <c r="E1" s="10" t="s">
        <v>43</v>
      </c>
      <c r="F1" s="10" t="s">
        <v>44</v>
      </c>
      <c r="G1" s="10" t="s">
        <v>45</v>
      </c>
      <c r="H1" s="11"/>
      <c r="I1" s="11"/>
      <c r="J1" s="11"/>
      <c r="K1" s="2" t="s">
        <v>22</v>
      </c>
    </row>
    <row r="2" spans="1:11" ht="15.75" x14ac:dyDescent="0.25">
      <c r="A2" s="7" t="s">
        <v>46</v>
      </c>
      <c r="B2" s="9">
        <v>7</v>
      </c>
      <c r="C2" s="9">
        <v>10</v>
      </c>
      <c r="D2" s="12">
        <v>0</v>
      </c>
      <c r="E2" s="12">
        <v>0</v>
      </c>
      <c r="F2" s="12">
        <v>0</v>
      </c>
      <c r="G2" s="12">
        <v>0</v>
      </c>
      <c r="H2" s="15">
        <f t="array" ref="H2:H10">MMULT(B2:G10,TRANSPOSE(B11:G11))</f>
        <v>10031.91489361702</v>
      </c>
      <c r="K2" t="e">
        <f ca="1">_xludf.MAX($H$2)</f>
        <v>#NAME?</v>
      </c>
    </row>
    <row r="3" spans="1:11" ht="15.75" x14ac:dyDescent="0.25">
      <c r="A3" s="7" t="s">
        <v>47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 s="15">
        <v>450.00000000000011</v>
      </c>
      <c r="I3" t="s">
        <v>12</v>
      </c>
      <c r="J3">
        <v>450</v>
      </c>
      <c r="K3">
        <f>COUNT($B$11:$G$11)</f>
        <v>6</v>
      </c>
    </row>
    <row r="4" spans="1:11" ht="15.75" x14ac:dyDescent="0.25">
      <c r="A4" s="7" t="s">
        <v>48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 s="15">
        <v>700</v>
      </c>
      <c r="I4" t="s">
        <v>12</v>
      </c>
      <c r="J4">
        <v>700</v>
      </c>
      <c r="K4" t="b">
        <f>$H$10=$J$10</f>
        <v>1</v>
      </c>
    </row>
    <row r="5" spans="1:11" ht="15.75" x14ac:dyDescent="0.25">
      <c r="A5" s="7" t="s">
        <v>49</v>
      </c>
      <c r="B5">
        <v>-91</v>
      </c>
      <c r="C5">
        <v>0</v>
      </c>
      <c r="D5">
        <v>98</v>
      </c>
      <c r="E5">
        <v>0</v>
      </c>
      <c r="F5">
        <v>89</v>
      </c>
      <c r="G5">
        <v>0</v>
      </c>
      <c r="H5" s="15">
        <v>428.72340425532821</v>
      </c>
      <c r="I5" t="s">
        <v>2</v>
      </c>
      <c r="J5">
        <v>0</v>
      </c>
      <c r="K5" t="b">
        <f>$H$3&lt;=$J$3</f>
        <v>1</v>
      </c>
    </row>
    <row r="6" spans="1:11" ht="15.75" x14ac:dyDescent="0.25">
      <c r="A6" s="7" t="s">
        <v>50</v>
      </c>
      <c r="B6">
        <v>0</v>
      </c>
      <c r="C6">
        <v>-93</v>
      </c>
      <c r="D6">
        <v>0</v>
      </c>
      <c r="E6">
        <v>98</v>
      </c>
      <c r="F6">
        <v>0</v>
      </c>
      <c r="G6">
        <v>89</v>
      </c>
      <c r="H6" s="15">
        <v>3.637978807091713E-12</v>
      </c>
      <c r="I6" t="s">
        <v>2</v>
      </c>
      <c r="J6">
        <v>0</v>
      </c>
      <c r="K6" t="b">
        <f>$H$4&lt;=$J$4</f>
        <v>1</v>
      </c>
    </row>
    <row r="7" spans="1:11" ht="15.75" x14ac:dyDescent="0.25">
      <c r="A7" s="7" t="s">
        <v>51</v>
      </c>
      <c r="B7">
        <v>-12</v>
      </c>
      <c r="C7">
        <v>0</v>
      </c>
      <c r="D7">
        <v>10</v>
      </c>
      <c r="E7">
        <v>0</v>
      </c>
      <c r="F7">
        <v>8</v>
      </c>
      <c r="G7">
        <v>0</v>
      </c>
      <c r="H7" s="15">
        <v>-1644.6808510638289</v>
      </c>
      <c r="I7" t="s">
        <v>12</v>
      </c>
      <c r="J7">
        <v>0</v>
      </c>
      <c r="K7" t="b">
        <f>$H$5&gt;=$J$5</f>
        <v>1</v>
      </c>
    </row>
    <row r="8" spans="1:11" ht="15.75" x14ac:dyDescent="0.25">
      <c r="A8" s="7" t="s">
        <v>52</v>
      </c>
      <c r="B8">
        <v>-12</v>
      </c>
      <c r="C8">
        <v>0</v>
      </c>
      <c r="D8">
        <v>0</v>
      </c>
      <c r="E8">
        <v>10</v>
      </c>
      <c r="F8">
        <v>0</v>
      </c>
      <c r="G8">
        <v>8</v>
      </c>
      <c r="H8" s="15">
        <v>4.5474735088646412E-13</v>
      </c>
      <c r="I8" t="s">
        <v>12</v>
      </c>
      <c r="J8">
        <v>0</v>
      </c>
      <c r="K8" t="b">
        <f>$H$6&gt;=$J$6</f>
        <v>1</v>
      </c>
    </row>
    <row r="9" spans="1:11" ht="15.75" x14ac:dyDescent="0.25">
      <c r="A9" s="7" t="s">
        <v>53</v>
      </c>
      <c r="B9">
        <v>-1</v>
      </c>
      <c r="C9">
        <v>0</v>
      </c>
      <c r="D9">
        <v>1</v>
      </c>
      <c r="E9">
        <v>0</v>
      </c>
      <c r="F9">
        <v>1</v>
      </c>
      <c r="G9">
        <v>0</v>
      </c>
      <c r="H9" s="15">
        <v>5.6843418860808015E-14</v>
      </c>
      <c r="I9" t="s">
        <v>1</v>
      </c>
      <c r="J9">
        <v>0</v>
      </c>
      <c r="K9" t="b">
        <f>$H$7&lt;=$J$7</f>
        <v>1</v>
      </c>
    </row>
    <row r="10" spans="1:11" ht="15.75" x14ac:dyDescent="0.25">
      <c r="A10" s="7" t="s">
        <v>54</v>
      </c>
      <c r="B10">
        <v>0</v>
      </c>
      <c r="C10">
        <v>-1</v>
      </c>
      <c r="D10">
        <v>0</v>
      </c>
      <c r="E10">
        <v>1</v>
      </c>
      <c r="F10">
        <v>0</v>
      </c>
      <c r="G10">
        <v>1</v>
      </c>
      <c r="H10" s="15">
        <v>0</v>
      </c>
      <c r="I10" t="s">
        <v>1</v>
      </c>
      <c r="J10">
        <v>0</v>
      </c>
      <c r="K10" t="b">
        <f>$H$8&lt;=$J$8</f>
        <v>0</v>
      </c>
    </row>
    <row r="11" spans="1:11" ht="15.75" x14ac:dyDescent="0.25">
      <c r="A11" s="7"/>
      <c r="B11">
        <v>489.36170212765956</v>
      </c>
      <c r="C11">
        <v>660.63829787234044</v>
      </c>
      <c r="D11">
        <v>156.38297872340436</v>
      </c>
      <c r="E11">
        <v>293.61702127659572</v>
      </c>
      <c r="F11">
        <v>332.97872340425528</v>
      </c>
      <c r="G11">
        <v>367.02127659574472</v>
      </c>
      <c r="K11" t="b">
        <f>$H$9=$J$9</f>
        <v>0</v>
      </c>
    </row>
    <row r="12" spans="1:11" ht="15.75" x14ac:dyDescent="0.25">
      <c r="A12" s="7"/>
      <c r="K12">
        <f>{32767;32767;0.000001;0.01;TRUE;FALSE;FALSE;1;2;1;0.0001;FALSE}</f>
        <v>32767</v>
      </c>
    </row>
    <row r="13" spans="1:11" ht="15.75" x14ac:dyDescent="0.25">
      <c r="A13" s="7" t="s">
        <v>55</v>
      </c>
      <c r="B13">
        <f>B11/C11</f>
        <v>0.7407407407407407</v>
      </c>
      <c r="K13">
        <f>{0;0;2;100;0;FALSE;FALSE;0.075;0;0;FALSE;30}</f>
        <v>0</v>
      </c>
    </row>
    <row r="14" spans="1:11" ht="15.75" x14ac:dyDescent="0.25">
      <c r="A14" s="7" t="s">
        <v>56</v>
      </c>
      <c r="B14">
        <f>D11/F11</f>
        <v>0.46964856230031987</v>
      </c>
    </row>
    <row r="15" spans="1:11" ht="15.75" x14ac:dyDescent="0.25">
      <c r="A15" s="7" t="s">
        <v>57</v>
      </c>
      <c r="B15">
        <f>E11/G11</f>
        <v>0.79999999999999982</v>
      </c>
    </row>
  </sheetData>
  <conditionalFormatting sqref="B2:G11">
    <cfRule type="cellIs" dxfId="5" priority="1" operator="equal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9204E-A298-4429-B21E-01E72C42F145}">
  <dimension ref="A1:S22"/>
  <sheetViews>
    <sheetView zoomScale="85" zoomScaleNormal="85" workbookViewId="0">
      <selection activeCell="R21" sqref="R21"/>
    </sheetView>
  </sheetViews>
  <sheetFormatPr defaultRowHeight="15" x14ac:dyDescent="0.25"/>
  <cols>
    <col min="1" max="1" width="26.140625" customWidth="1"/>
    <col min="2" max="2" width="8.42578125" customWidth="1"/>
    <col min="18" max="18" width="18.140625" customWidth="1"/>
    <col min="19" max="19" width="12.5703125" bestFit="1" customWidth="1"/>
  </cols>
  <sheetData>
    <row r="1" spans="1:19" ht="18.75" x14ac:dyDescent="0.25">
      <c r="A1" s="1"/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  <c r="O1" s="2" t="s">
        <v>91</v>
      </c>
      <c r="P1" s="2"/>
      <c r="Q1" s="2"/>
      <c r="R1" s="2"/>
      <c r="S1" s="2" t="s">
        <v>22</v>
      </c>
    </row>
    <row r="2" spans="1:19" ht="15.75" x14ac:dyDescent="0.25">
      <c r="A2" s="7" t="s">
        <v>58</v>
      </c>
      <c r="B2" s="13">
        <v>-1</v>
      </c>
      <c r="C2" s="13">
        <v>-3</v>
      </c>
      <c r="D2" s="13">
        <v>1</v>
      </c>
      <c r="E2" s="13">
        <v>-3.1</v>
      </c>
      <c r="F2" s="13">
        <v>-2.5</v>
      </c>
      <c r="G2" s="13">
        <v>1</v>
      </c>
      <c r="H2" s="13">
        <v>-1.5</v>
      </c>
      <c r="I2" s="13">
        <v>1.5</v>
      </c>
      <c r="J2" s="13">
        <v>1</v>
      </c>
      <c r="K2" s="13">
        <v>1.8</v>
      </c>
      <c r="L2" s="13">
        <v>1.8</v>
      </c>
      <c r="M2" s="13">
        <v>1</v>
      </c>
      <c r="N2" s="13">
        <v>5</v>
      </c>
      <c r="O2" s="13">
        <v>2.8</v>
      </c>
      <c r="P2" s="15">
        <f t="array" ref="P2:P21">MMULT(B2:O21,TRANSPOSE(B22:O22))</f>
        <v>12.899999999999999</v>
      </c>
      <c r="S2" t="e">
        <f ca="1">_xludf.MAX($R$21)</f>
        <v>#NAME?</v>
      </c>
    </row>
    <row r="3" spans="1:19" ht="15.75" x14ac:dyDescent="0.25">
      <c r="A3" s="7" t="s">
        <v>59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15">
        <v>0</v>
      </c>
      <c r="Q3" t="s">
        <v>12</v>
      </c>
      <c r="R3">
        <v>1</v>
      </c>
      <c r="S3">
        <f>COUNT($B$22:$O$22)</f>
        <v>14</v>
      </c>
    </row>
    <row r="4" spans="1:19" ht="15.75" x14ac:dyDescent="0.25">
      <c r="A4" s="7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5">
        <v>0</v>
      </c>
      <c r="Q4" t="s">
        <v>12</v>
      </c>
      <c r="R4">
        <v>1</v>
      </c>
      <c r="S4" t="b">
        <f t="array" ref="S4">$P$3:$P$21&lt;=$R$3:$R$21</f>
        <v>1</v>
      </c>
    </row>
    <row r="5" spans="1:19" ht="15.75" x14ac:dyDescent="0.25">
      <c r="A5" s="7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 s="15">
        <v>0</v>
      </c>
      <c r="Q5" t="s">
        <v>12</v>
      </c>
      <c r="R5">
        <v>1</v>
      </c>
      <c r="S5">
        <f>{32767;32767;0.000001;0.01;TRUE;FALSE;TRUE;1;1;1;0.0001;TRUE}</f>
        <v>32767</v>
      </c>
    </row>
    <row r="6" spans="1:19" ht="15.75" x14ac:dyDescent="0.25">
      <c r="A6" s="7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 s="15">
        <v>0</v>
      </c>
      <c r="Q6" t="s">
        <v>12</v>
      </c>
      <c r="R6">
        <v>1</v>
      </c>
      <c r="S6">
        <f>{0;0;2;100;0;FALSE;TRUE;0.075;0;0;FALSE;30}</f>
        <v>0</v>
      </c>
    </row>
    <row r="7" spans="1:19" ht="15.75" x14ac:dyDescent="0.25">
      <c r="A7" s="7" t="s">
        <v>63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5">
        <v>0</v>
      </c>
      <c r="Q7" t="s">
        <v>12</v>
      </c>
      <c r="R7">
        <v>1</v>
      </c>
    </row>
    <row r="8" spans="1:19" ht="15.75" x14ac:dyDescent="0.25">
      <c r="A8" s="7" t="s">
        <v>64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5">
        <v>0</v>
      </c>
      <c r="Q8" s="14" t="s">
        <v>12</v>
      </c>
      <c r="R8">
        <v>1</v>
      </c>
    </row>
    <row r="9" spans="1:19" ht="15.75" x14ac:dyDescent="0.25">
      <c r="A9" s="7" t="s">
        <v>65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5">
        <v>0</v>
      </c>
      <c r="Q9" s="14" t="s">
        <v>12</v>
      </c>
      <c r="R9">
        <v>1</v>
      </c>
    </row>
    <row r="10" spans="1:19" ht="15.75" x14ac:dyDescent="0.25">
      <c r="A10" s="7" t="s">
        <v>66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15">
        <v>0</v>
      </c>
      <c r="Q10" s="14" t="s">
        <v>12</v>
      </c>
      <c r="R10">
        <v>1</v>
      </c>
    </row>
    <row r="11" spans="1:19" ht="15.75" x14ac:dyDescent="0.25">
      <c r="A11" s="7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15">
        <v>0</v>
      </c>
      <c r="Q11" s="14" t="s">
        <v>12</v>
      </c>
      <c r="R11">
        <v>1</v>
      </c>
    </row>
    <row r="12" spans="1:19" ht="15.75" x14ac:dyDescent="0.25">
      <c r="A12" s="7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15">
        <v>1</v>
      </c>
      <c r="Q12" s="14" t="s">
        <v>12</v>
      </c>
      <c r="R12">
        <v>1</v>
      </c>
    </row>
    <row r="13" spans="1:19" ht="15.75" x14ac:dyDescent="0.25">
      <c r="A13" s="7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 s="15">
        <v>1</v>
      </c>
      <c r="Q13" t="s">
        <v>12</v>
      </c>
      <c r="R13">
        <v>1</v>
      </c>
    </row>
    <row r="14" spans="1:19" ht="15.75" x14ac:dyDescent="0.25">
      <c r="A14" s="7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 s="15">
        <v>1</v>
      </c>
      <c r="Q14" t="s">
        <v>12</v>
      </c>
      <c r="R14">
        <v>1</v>
      </c>
    </row>
    <row r="15" spans="1:19" ht="15.75" x14ac:dyDescent="0.25">
      <c r="A15" s="7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 s="15">
        <v>1</v>
      </c>
      <c r="Q15" t="s">
        <v>12</v>
      </c>
      <c r="R15">
        <v>1</v>
      </c>
    </row>
    <row r="16" spans="1:19" x14ac:dyDescent="0.25">
      <c r="A16" s="8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 s="15">
        <v>1</v>
      </c>
      <c r="Q16" t="s">
        <v>12</v>
      </c>
      <c r="R16">
        <v>1</v>
      </c>
    </row>
    <row r="17" spans="1:18" x14ac:dyDescent="0.25">
      <c r="A17" s="8" t="s">
        <v>73</v>
      </c>
      <c r="B17">
        <v>1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15">
        <v>0</v>
      </c>
      <c r="Q17" s="14" t="s">
        <v>12</v>
      </c>
      <c r="R17">
        <f>D22*D2+1</f>
        <v>1</v>
      </c>
    </row>
    <row r="18" spans="1:18" x14ac:dyDescent="0.25">
      <c r="A18" s="8" t="s">
        <v>74</v>
      </c>
      <c r="B18">
        <v>1</v>
      </c>
      <c r="C18">
        <v>3</v>
      </c>
      <c r="D18">
        <v>0</v>
      </c>
      <c r="E18">
        <v>3.1</v>
      </c>
      <c r="F18">
        <v>2.5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15">
        <v>0</v>
      </c>
      <c r="Q18" t="s">
        <v>12</v>
      </c>
      <c r="R18">
        <f>(R17-P17)*1.0173+1-(1.0182*D22*D2)</f>
        <v>2.0173000000000001</v>
      </c>
    </row>
    <row r="19" spans="1:18" x14ac:dyDescent="0.25">
      <c r="A19" s="8" t="s">
        <v>75</v>
      </c>
      <c r="B19">
        <v>1</v>
      </c>
      <c r="C19">
        <v>3</v>
      </c>
      <c r="D19">
        <v>0</v>
      </c>
      <c r="E19">
        <v>3.1</v>
      </c>
      <c r="F19">
        <v>2.5</v>
      </c>
      <c r="G19">
        <v>0</v>
      </c>
      <c r="H19">
        <v>1.5</v>
      </c>
      <c r="I19">
        <v>-1.5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15">
        <v>-1.5</v>
      </c>
      <c r="Q19" t="s">
        <v>12</v>
      </c>
      <c r="R19">
        <f>(R18-P18)*1.0173+1-(1.0182*G22*G2)</f>
        <v>3.0521992900000003</v>
      </c>
    </row>
    <row r="20" spans="1:18" x14ac:dyDescent="0.25">
      <c r="A20" s="8" t="s">
        <v>76</v>
      </c>
      <c r="B20">
        <v>1</v>
      </c>
      <c r="C20">
        <v>3</v>
      </c>
      <c r="D20">
        <v>0</v>
      </c>
      <c r="E20">
        <v>3.1</v>
      </c>
      <c r="F20">
        <v>2.5</v>
      </c>
      <c r="G20">
        <v>0</v>
      </c>
      <c r="H20">
        <v>1.5</v>
      </c>
      <c r="I20">
        <v>-1.5</v>
      </c>
      <c r="J20">
        <v>0</v>
      </c>
      <c r="K20">
        <v>-1.8</v>
      </c>
      <c r="L20">
        <v>-1.8</v>
      </c>
      <c r="M20">
        <v>0</v>
      </c>
      <c r="N20">
        <v>0</v>
      </c>
      <c r="O20">
        <v>0</v>
      </c>
      <c r="P20" s="15">
        <v>-5.0999999999999996</v>
      </c>
      <c r="Q20" t="s">
        <v>12</v>
      </c>
      <c r="R20">
        <f>(R19-P19)*1.0173+1-(1.0182*J22*J2)</f>
        <v>5.6309523377170017</v>
      </c>
    </row>
    <row r="21" spans="1:18" ht="15.75" x14ac:dyDescent="0.25">
      <c r="A21" s="8" t="s">
        <v>77</v>
      </c>
      <c r="B21">
        <v>1</v>
      </c>
      <c r="C21">
        <v>3</v>
      </c>
      <c r="D21">
        <v>0</v>
      </c>
      <c r="E21">
        <v>3.1</v>
      </c>
      <c r="F21">
        <v>2.5</v>
      </c>
      <c r="G21">
        <v>0</v>
      </c>
      <c r="H21">
        <v>1.5</v>
      </c>
      <c r="I21">
        <v>-1.5</v>
      </c>
      <c r="J21">
        <v>0</v>
      </c>
      <c r="K21">
        <v>-1.8</v>
      </c>
      <c r="L21">
        <v>-1.8</v>
      </c>
      <c r="M21">
        <v>0</v>
      </c>
      <c r="N21">
        <v>-5</v>
      </c>
      <c r="O21">
        <v>-2.8</v>
      </c>
      <c r="P21" s="15">
        <v>-12.899999999999999</v>
      </c>
      <c r="Q21" t="s">
        <v>12</v>
      </c>
      <c r="R21" s="16">
        <f>-(P21)+1+(R20-P20)*1.0173-(1.0182*M22*M2)</f>
        <v>24.816597813159504</v>
      </c>
    </row>
    <row r="22" spans="1:18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1</v>
      </c>
    </row>
  </sheetData>
  <phoneticPr fontId="10" type="noConversion"/>
  <conditionalFormatting sqref="B3:O21">
    <cfRule type="cellIs" dxfId="4" priority="1" operator="equal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3C3D8-732F-45FC-8316-410DB9A7B05E}">
  <dimension ref="A1:M9"/>
  <sheetViews>
    <sheetView zoomScale="85" zoomScaleNormal="85" workbookViewId="0"/>
  </sheetViews>
  <sheetFormatPr defaultRowHeight="15" x14ac:dyDescent="0.25"/>
  <cols>
    <col min="1" max="1" width="19.85546875" bestFit="1" customWidth="1"/>
    <col min="13" max="13" width="14.140625" customWidth="1"/>
  </cols>
  <sheetData>
    <row r="1" spans="1:13" ht="18.75" x14ac:dyDescent="0.25">
      <c r="A1" s="1"/>
      <c r="B1" s="2" t="s">
        <v>92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  <c r="I1" s="2" t="s">
        <v>99</v>
      </c>
      <c r="J1" s="1"/>
      <c r="K1" s="1"/>
      <c r="L1" s="1"/>
      <c r="M1" s="2" t="s">
        <v>22</v>
      </c>
    </row>
    <row r="2" spans="1:13" ht="15.75" x14ac:dyDescent="0.25">
      <c r="A2" s="7" t="s">
        <v>100</v>
      </c>
      <c r="B2" s="18">
        <f t="shared" ref="B2:I2" si="0">SUM(B3:B5)</f>
        <v>27</v>
      </c>
      <c r="C2" s="18">
        <f t="shared" si="0"/>
        <v>25</v>
      </c>
      <c r="D2" s="18">
        <f t="shared" si="0"/>
        <v>43</v>
      </c>
      <c r="E2" s="18">
        <f t="shared" si="0"/>
        <v>27</v>
      </c>
      <c r="F2" s="18">
        <f t="shared" si="0"/>
        <v>30</v>
      </c>
      <c r="G2" s="18">
        <f t="shared" si="0"/>
        <v>29</v>
      </c>
      <c r="H2" s="18">
        <f t="shared" si="0"/>
        <v>40</v>
      </c>
      <c r="I2" s="18">
        <f t="shared" si="0"/>
        <v>30</v>
      </c>
      <c r="J2" s="17">
        <f t="array" ref="J2:J6">MMULT(B2:I6,TRANSPOSE(B7:I7))</f>
        <v>167</v>
      </c>
      <c r="K2" s="6"/>
      <c r="M2" t="e">
        <f ca="1">_xludf.MAX($J$2)</f>
        <v>#NAME?</v>
      </c>
    </row>
    <row r="3" spans="1:13" ht="15.75" x14ac:dyDescent="0.25">
      <c r="A3" s="7" t="s">
        <v>101</v>
      </c>
      <c r="B3" s="6">
        <v>1</v>
      </c>
      <c r="C3" s="6">
        <v>6</v>
      </c>
      <c r="D3" s="6">
        <v>20</v>
      </c>
      <c r="E3" s="6">
        <v>1</v>
      </c>
      <c r="F3" s="6">
        <v>10</v>
      </c>
      <c r="G3" s="6">
        <v>6</v>
      </c>
      <c r="H3" s="6">
        <v>15</v>
      </c>
      <c r="I3" s="6">
        <v>11</v>
      </c>
      <c r="J3" s="17">
        <v>48</v>
      </c>
      <c r="K3" t="s">
        <v>12</v>
      </c>
      <c r="L3" s="16">
        <f>J4-1</f>
        <v>55</v>
      </c>
      <c r="M3">
        <f>COUNT($B$7:$I$7)</f>
        <v>8</v>
      </c>
    </row>
    <row r="4" spans="1:13" ht="15.75" x14ac:dyDescent="0.25">
      <c r="A4" s="7" t="s">
        <v>102</v>
      </c>
      <c r="B4" s="6">
        <v>6</v>
      </c>
      <c r="C4" s="6">
        <v>1</v>
      </c>
      <c r="D4" s="6">
        <v>22</v>
      </c>
      <c r="E4" s="6">
        <v>4</v>
      </c>
      <c r="F4" s="6">
        <v>15</v>
      </c>
      <c r="G4" s="6">
        <v>9</v>
      </c>
      <c r="H4" s="6">
        <v>19</v>
      </c>
      <c r="I4" s="6">
        <v>5</v>
      </c>
      <c r="J4" s="17">
        <v>56</v>
      </c>
      <c r="K4" t="s">
        <v>12</v>
      </c>
      <c r="L4" s="16">
        <f>J5-1</f>
        <v>62</v>
      </c>
      <c r="M4" t="b">
        <f t="array" ref="M4">($B$7:$I$7=0)+($B$7:$I$7=1)=1</f>
        <v>1</v>
      </c>
    </row>
    <row r="5" spans="1:13" ht="15.75" x14ac:dyDescent="0.25">
      <c r="A5" s="7" t="s">
        <v>103</v>
      </c>
      <c r="B5" s="6">
        <v>20</v>
      </c>
      <c r="C5" s="6">
        <v>18</v>
      </c>
      <c r="D5" s="6">
        <v>1</v>
      </c>
      <c r="E5" s="6">
        <v>22</v>
      </c>
      <c r="F5" s="6">
        <v>5</v>
      </c>
      <c r="G5" s="6">
        <v>14</v>
      </c>
      <c r="H5" s="6">
        <v>6</v>
      </c>
      <c r="I5" s="6">
        <v>14</v>
      </c>
      <c r="J5" s="17">
        <v>63</v>
      </c>
      <c r="L5" s="16"/>
      <c r="M5" t="b">
        <f>$J$3&lt;=$L$3</f>
        <v>1</v>
      </c>
    </row>
    <row r="6" spans="1:13" ht="15.75" x14ac:dyDescent="0.25">
      <c r="A6" s="7" t="s">
        <v>104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17">
        <v>5</v>
      </c>
      <c r="K6" s="6" t="s">
        <v>1</v>
      </c>
      <c r="L6" s="16">
        <v>5</v>
      </c>
      <c r="M6" t="b">
        <f>$J$4&lt;=$L$4</f>
        <v>1</v>
      </c>
    </row>
    <row r="7" spans="1:13" ht="15.75" x14ac:dyDescent="0.25">
      <c r="A7" s="7"/>
      <c r="B7" s="6">
        <v>1</v>
      </c>
      <c r="C7" s="6">
        <v>0</v>
      </c>
      <c r="D7" s="6">
        <v>1</v>
      </c>
      <c r="E7" s="6">
        <v>1</v>
      </c>
      <c r="F7" s="6">
        <v>0</v>
      </c>
      <c r="G7" s="6">
        <v>0</v>
      </c>
      <c r="H7" s="6">
        <v>1</v>
      </c>
      <c r="I7" s="6">
        <v>1</v>
      </c>
      <c r="J7" s="17"/>
      <c r="K7" s="6"/>
      <c r="M7" t="b">
        <f>$J$6=$L$6</f>
        <v>1</v>
      </c>
    </row>
    <row r="8" spans="1:13" ht="15.75" x14ac:dyDescent="0.25">
      <c r="A8" s="6"/>
      <c r="B8" s="6"/>
      <c r="C8" s="6"/>
      <c r="D8" s="6"/>
      <c r="E8" s="6"/>
      <c r="F8" s="6"/>
      <c r="G8" s="6"/>
      <c r="H8" s="6"/>
      <c r="I8" s="6"/>
      <c r="J8" s="17"/>
      <c r="K8" s="6"/>
      <c r="M8">
        <f>{32767;32767;0.000001;0.01;TRUE;FALSE;TRUE;1;1;1;0.0001;TRUE}</f>
        <v>32767</v>
      </c>
    </row>
    <row r="9" spans="1:13" ht="15.75" x14ac:dyDescent="0.25">
      <c r="A9" s="6"/>
      <c r="B9" s="6"/>
      <c r="C9" s="6"/>
      <c r="D9" s="6"/>
      <c r="E9" s="6"/>
      <c r="F9" s="6"/>
      <c r="G9" s="6"/>
      <c r="H9" s="6"/>
      <c r="I9" s="6"/>
      <c r="J9" s="17"/>
      <c r="K9" s="6"/>
      <c r="M9">
        <f>{0;0;2;100;0;FALSE;TRUE;0.075;0;0;FALSE;30}</f>
        <v>0</v>
      </c>
    </row>
  </sheetData>
  <conditionalFormatting sqref="A6:I9">
    <cfRule type="cellIs" dxfId="3" priority="1" operator="equal">
      <formula>0</formula>
    </cfRule>
  </conditionalFormatting>
  <conditionalFormatting sqref="B2:I2">
    <cfRule type="cellIs" dxfId="2" priority="3" operator="equal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EC7E-870E-4CD8-BCE8-9BFD3632A58A}">
  <dimension ref="A1:L8"/>
  <sheetViews>
    <sheetView zoomScale="85" zoomScaleNormal="85" workbookViewId="0">
      <selection activeCell="C11" sqref="C11"/>
    </sheetView>
  </sheetViews>
  <sheetFormatPr defaultRowHeight="15" x14ac:dyDescent="0.25"/>
  <cols>
    <col min="2" max="7" width="11.5703125" bestFit="1" customWidth="1"/>
    <col min="8" max="8" width="11" customWidth="1"/>
    <col min="10" max="10" width="8.140625" customWidth="1"/>
    <col min="11" max="11" width="12.42578125" bestFit="1" customWidth="1"/>
  </cols>
  <sheetData>
    <row r="1" spans="1:12" ht="18.75" x14ac:dyDescent="0.25">
      <c r="A1" s="1"/>
      <c r="B1" s="2" t="s">
        <v>105</v>
      </c>
      <c r="C1" s="2" t="s">
        <v>106</v>
      </c>
      <c r="D1" s="2" t="s">
        <v>107</v>
      </c>
      <c r="E1" s="2" t="s">
        <v>108</v>
      </c>
      <c r="F1" s="2" t="s">
        <v>109</v>
      </c>
      <c r="G1" s="2" t="s">
        <v>110</v>
      </c>
      <c r="H1" s="2"/>
      <c r="I1" s="2"/>
      <c r="J1" s="1"/>
      <c r="K1" s="2" t="s">
        <v>22</v>
      </c>
      <c r="L1" s="1"/>
    </row>
    <row r="2" spans="1:12" ht="18.75" x14ac:dyDescent="0.3">
      <c r="A2" s="21">
        <v>1</v>
      </c>
      <c r="B2" s="18">
        <v>1</v>
      </c>
      <c r="C2" s="18">
        <v>0</v>
      </c>
      <c r="D2" s="18">
        <v>1</v>
      </c>
      <c r="E2" s="18">
        <v>0</v>
      </c>
      <c r="F2" s="18">
        <v>1</v>
      </c>
      <c r="G2" s="18">
        <v>0</v>
      </c>
      <c r="H2" s="18">
        <f t="array" ref="H2:H7">MMULT(B2:G7,TRANSPOSE(B8:G8))</f>
        <v>1</v>
      </c>
      <c r="I2" s="18" t="s">
        <v>2</v>
      </c>
      <c r="J2" s="17">
        <v>1</v>
      </c>
      <c r="K2" t="e">
        <f ca="1">_xludf.MIN($J$8)</f>
        <v>#NAME?</v>
      </c>
    </row>
    <row r="3" spans="1:12" ht="18.75" x14ac:dyDescent="0.3">
      <c r="A3" s="21">
        <v>2</v>
      </c>
      <c r="B3" s="6">
        <v>0</v>
      </c>
      <c r="C3" s="6">
        <v>1</v>
      </c>
      <c r="D3" s="6">
        <v>0</v>
      </c>
      <c r="E3" s="6">
        <v>1</v>
      </c>
      <c r="F3" s="6">
        <v>0</v>
      </c>
      <c r="G3" s="6">
        <v>1</v>
      </c>
      <c r="H3" s="18">
        <v>1</v>
      </c>
      <c r="I3" s="18" t="s">
        <v>2</v>
      </c>
      <c r="J3" s="17">
        <v>1</v>
      </c>
      <c r="K3">
        <f>COUNT($B$8:$G$8)</f>
        <v>6</v>
      </c>
      <c r="L3" s="16"/>
    </row>
    <row r="4" spans="1:12" ht="18.75" x14ac:dyDescent="0.3">
      <c r="A4" s="21">
        <v>3</v>
      </c>
      <c r="B4" s="6">
        <v>1</v>
      </c>
      <c r="C4" s="6">
        <v>0</v>
      </c>
      <c r="D4" s="6">
        <v>1</v>
      </c>
      <c r="E4" s="6">
        <v>0</v>
      </c>
      <c r="F4" s="6">
        <v>0</v>
      </c>
      <c r="G4" s="6">
        <v>0</v>
      </c>
      <c r="H4" s="18">
        <v>1</v>
      </c>
      <c r="I4" s="18" t="s">
        <v>2</v>
      </c>
      <c r="J4" s="17">
        <v>1</v>
      </c>
      <c r="K4" t="b">
        <f t="array" ref="K4">($B$8:$G$8=0)+($B$8:$G$8=1)=1</f>
        <v>1</v>
      </c>
      <c r="L4" s="16"/>
    </row>
    <row r="5" spans="1:12" ht="18.75" x14ac:dyDescent="0.3">
      <c r="A5" s="21">
        <v>4</v>
      </c>
      <c r="B5" s="6">
        <v>0</v>
      </c>
      <c r="C5" s="6">
        <v>1</v>
      </c>
      <c r="D5" s="6">
        <v>0</v>
      </c>
      <c r="E5" s="6">
        <v>1</v>
      </c>
      <c r="F5" s="6">
        <v>0</v>
      </c>
      <c r="G5" s="6">
        <v>0</v>
      </c>
      <c r="H5" s="18">
        <v>1</v>
      </c>
      <c r="I5" s="18" t="s">
        <v>2</v>
      </c>
      <c r="J5" s="17">
        <v>1</v>
      </c>
      <c r="K5" t="b">
        <f t="array" ref="K5">$H$2:$H$7&gt;=$J$2:$J$7</f>
        <v>1</v>
      </c>
      <c r="L5" s="16"/>
    </row>
    <row r="6" spans="1:12" ht="18.75" x14ac:dyDescent="0.3">
      <c r="A6" s="21">
        <v>5</v>
      </c>
      <c r="B6" s="6">
        <v>1</v>
      </c>
      <c r="C6" s="6">
        <v>0</v>
      </c>
      <c r="D6" s="6">
        <v>0</v>
      </c>
      <c r="E6" s="6">
        <v>0</v>
      </c>
      <c r="F6" s="6">
        <v>1</v>
      </c>
      <c r="G6" s="6">
        <v>1</v>
      </c>
      <c r="H6" s="18">
        <v>1</v>
      </c>
      <c r="I6" s="18" t="s">
        <v>2</v>
      </c>
      <c r="J6" s="17">
        <v>1</v>
      </c>
      <c r="K6">
        <f>{32767;32767;0.000001;0.01;TRUE;FALSE;TRUE;1;1;1;0.0001;TRUE}</f>
        <v>32767</v>
      </c>
      <c r="L6" s="16"/>
    </row>
    <row r="7" spans="1:12" ht="18.75" x14ac:dyDescent="0.3">
      <c r="A7" s="21">
        <v>6</v>
      </c>
      <c r="B7" s="6">
        <v>0</v>
      </c>
      <c r="C7" s="6">
        <v>1</v>
      </c>
      <c r="D7" s="6">
        <v>0</v>
      </c>
      <c r="E7" s="6">
        <v>0</v>
      </c>
      <c r="F7" s="6">
        <v>1</v>
      </c>
      <c r="G7" s="6">
        <v>1</v>
      </c>
      <c r="H7" s="18">
        <v>1</v>
      </c>
      <c r="I7" s="18" t="s">
        <v>2</v>
      </c>
      <c r="J7" s="17">
        <v>1</v>
      </c>
      <c r="K7">
        <f>{0;0;2;100;0;FALSE;TRUE;0.075;0;0;FALSE;30}</f>
        <v>0</v>
      </c>
    </row>
    <row r="8" spans="1:12" ht="15.75" x14ac:dyDescent="0.25">
      <c r="A8" s="6"/>
      <c r="B8" s="6">
        <v>1</v>
      </c>
      <c r="C8" s="6">
        <v>1</v>
      </c>
      <c r="D8" s="6">
        <v>0</v>
      </c>
      <c r="E8" s="6">
        <v>0</v>
      </c>
      <c r="F8" s="6">
        <v>0</v>
      </c>
      <c r="G8" s="6">
        <v>0</v>
      </c>
      <c r="H8" s="6"/>
      <c r="I8" s="18" t="s">
        <v>1</v>
      </c>
      <c r="J8" s="17">
        <f>SUM(B8:G8)</f>
        <v>2</v>
      </c>
    </row>
  </sheetData>
  <conditionalFormatting sqref="B2:G7 A8:H8">
    <cfRule type="cellIs" dxfId="1" priority="1" operator="equal">
      <formula>0</formula>
    </cfRule>
  </conditionalFormatting>
  <conditionalFormatting sqref="B2:I2 I8 H3:I7">
    <cfRule type="cellIs" dxfId="0" priority="2" operator="equal">
      <formula>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2.3A - 4</vt:lpstr>
      <vt:lpstr>2.3E-8</vt:lpstr>
      <vt:lpstr>2.3C - 3</vt:lpstr>
      <vt:lpstr>9.1A - 7</vt:lpstr>
      <vt:lpstr>9.1B - 3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Soares</dc:creator>
  <cp:lastModifiedBy>Nicolas Soares</cp:lastModifiedBy>
  <dcterms:created xsi:type="dcterms:W3CDTF">2015-06-05T18:19:34Z</dcterms:created>
  <dcterms:modified xsi:type="dcterms:W3CDTF">2024-08-03T23:00:51Z</dcterms:modified>
</cp:coreProperties>
</file>