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Financieras\"/>
    </mc:Choice>
  </mc:AlternateContent>
  <xr:revisionPtr revIDLastSave="0" documentId="13_ncr:1_{177DCDB9-74DF-482F-A5C1-655B44144096}" xr6:coauthVersionLast="43" xr6:coauthVersionMax="43" xr10:uidLastSave="{00000000-0000-0000-0000-000000000000}"/>
  <bookViews>
    <workbookView xWindow="-120" yWindow="-120" windowWidth="20730" windowHeight="11160" activeTab="3" xr2:uid="{899C352B-0728-4C02-BE09-E8B073AECC1F}"/>
  </bookViews>
  <sheets>
    <sheet name="Ejercicio 2" sheetId="1" r:id="rId1"/>
    <sheet name="Proyectos" sheetId="4" r:id="rId2"/>
    <sheet name="Lapicito" sheetId="5" r:id="rId3"/>
    <sheet name="Langosta S.A" sheetId="6" r:id="rId4"/>
    <sheet name="Ejercicio3" sheetId="7" r:id="rId5"/>
    <sheet name="Ejercicio4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0" i="8" l="1"/>
  <c r="C62" i="8"/>
  <c r="E55" i="8"/>
  <c r="H47" i="8"/>
  <c r="B47" i="8"/>
  <c r="G54" i="8"/>
  <c r="J46" i="7"/>
  <c r="C62" i="7"/>
  <c r="C61" i="7"/>
  <c r="G54" i="7"/>
  <c r="C44" i="8"/>
  <c r="E53" i="8"/>
  <c r="G53" i="8" s="1"/>
  <c r="F52" i="8"/>
  <c r="J46" i="8"/>
  <c r="D46" i="8"/>
  <c r="J45" i="8"/>
  <c r="J48" i="8" s="1"/>
  <c r="H45" i="8"/>
  <c r="H48" i="8" s="1"/>
  <c r="D45" i="8"/>
  <c r="D48" i="8" s="1"/>
  <c r="B45" i="8"/>
  <c r="B48" i="8" s="1"/>
  <c r="I44" i="8"/>
  <c r="C60" i="7"/>
  <c r="E55" i="7"/>
  <c r="E53" i="7"/>
  <c r="H47" i="7"/>
  <c r="H45" i="7"/>
  <c r="J45" i="7" s="1"/>
  <c r="F52" i="7"/>
  <c r="I44" i="7"/>
  <c r="B49" i="7"/>
  <c r="D48" i="7"/>
  <c r="B48" i="7"/>
  <c r="B47" i="7"/>
  <c r="B45" i="7"/>
  <c r="D46" i="7"/>
  <c r="D45" i="7"/>
  <c r="C44" i="7"/>
  <c r="J19" i="8"/>
  <c r="J18" i="8"/>
  <c r="F18" i="8"/>
  <c r="B18" i="8"/>
  <c r="J17" i="8"/>
  <c r="F17" i="8"/>
  <c r="B17" i="8"/>
  <c r="J16" i="8"/>
  <c r="F16" i="8"/>
  <c r="B16" i="8"/>
  <c r="J15" i="8"/>
  <c r="F15" i="8"/>
  <c r="B15" i="8"/>
  <c r="B19" i="8" s="1"/>
  <c r="C22" i="8" s="1"/>
  <c r="J14" i="8"/>
  <c r="F14" i="8"/>
  <c r="F19" i="8" s="1"/>
  <c r="C24" i="8" s="1"/>
  <c r="B14" i="8"/>
  <c r="C23" i="7"/>
  <c r="C24" i="7"/>
  <c r="C22" i="7"/>
  <c r="J19" i="7"/>
  <c r="J18" i="7"/>
  <c r="J17" i="7"/>
  <c r="J16" i="7"/>
  <c r="J15" i="7"/>
  <c r="J14" i="7"/>
  <c r="F19" i="7"/>
  <c r="F18" i="7"/>
  <c r="F17" i="7"/>
  <c r="F16" i="7"/>
  <c r="F15" i="7"/>
  <c r="F14" i="7"/>
  <c r="B19" i="7"/>
  <c r="B18" i="7"/>
  <c r="B17" i="7"/>
  <c r="B16" i="7"/>
  <c r="B15" i="7"/>
  <c r="B14" i="7"/>
  <c r="B52" i="5"/>
  <c r="B45" i="5"/>
  <c r="B46" i="5"/>
  <c r="B47" i="5"/>
  <c r="B48" i="5"/>
  <c r="B49" i="5"/>
  <c r="B50" i="5"/>
  <c r="B51" i="5"/>
  <c r="B44" i="5"/>
  <c r="G56" i="8" l="1"/>
  <c r="B49" i="8"/>
  <c r="C61" i="8" s="1"/>
  <c r="H49" i="8"/>
  <c r="E56" i="8"/>
  <c r="E57" i="8" s="1"/>
  <c r="E56" i="7"/>
  <c r="G53" i="7"/>
  <c r="G56" i="7" s="1"/>
  <c r="E57" i="7" s="1"/>
  <c r="J48" i="7"/>
  <c r="H48" i="7"/>
  <c r="C23" i="8"/>
  <c r="J6" i="6"/>
  <c r="K5" i="6"/>
  <c r="J5" i="6"/>
  <c r="K2" i="6"/>
  <c r="J13" i="6"/>
  <c r="K12" i="6"/>
  <c r="J12" i="6"/>
  <c r="K9" i="6"/>
  <c r="J9" i="6"/>
  <c r="K3" i="6"/>
  <c r="K10" i="6"/>
  <c r="J8" i="6"/>
  <c r="J1" i="6"/>
  <c r="G17" i="6"/>
  <c r="G16" i="6"/>
  <c r="G10" i="6"/>
  <c r="G11" i="6"/>
  <c r="G12" i="6"/>
  <c r="G13" i="6"/>
  <c r="G14" i="6"/>
  <c r="G15" i="6"/>
  <c r="G9" i="6"/>
  <c r="G6" i="6"/>
  <c r="G3" i="6"/>
  <c r="G4" i="6"/>
  <c r="G5" i="6"/>
  <c r="G2" i="6"/>
  <c r="C9" i="6"/>
  <c r="C2" i="6"/>
  <c r="H49" i="7" l="1"/>
  <c r="A41" i="5"/>
  <c r="E36" i="5"/>
  <c r="E30" i="5"/>
  <c r="E31" i="5"/>
  <c r="E32" i="5"/>
  <c r="E33" i="5"/>
  <c r="E34" i="5"/>
  <c r="E35" i="5"/>
  <c r="E29" i="5"/>
  <c r="E37" i="5" s="1"/>
  <c r="B31" i="5"/>
  <c r="B32" i="5"/>
  <c r="B33" i="5"/>
  <c r="B34" i="5"/>
  <c r="B35" i="5"/>
  <c r="B36" i="5"/>
  <c r="B37" i="5"/>
  <c r="B30" i="5"/>
  <c r="B26" i="5"/>
  <c r="H14" i="5"/>
  <c r="H15" i="5"/>
  <c r="H16" i="5"/>
  <c r="H17" i="5"/>
  <c r="H18" i="5"/>
  <c r="H19" i="5"/>
  <c r="H20" i="5"/>
  <c r="H13" i="5"/>
  <c r="L13" i="5"/>
  <c r="L14" i="5" s="1"/>
  <c r="K16" i="5" s="1"/>
  <c r="E13" i="5"/>
  <c r="E14" i="5"/>
  <c r="E15" i="5"/>
  <c r="E16" i="5"/>
  <c r="E17" i="5"/>
  <c r="E18" i="5"/>
  <c r="E19" i="5"/>
  <c r="E12" i="5"/>
  <c r="E20" i="5" s="1"/>
  <c r="K15" i="5"/>
  <c r="B15" i="5"/>
  <c r="B16" i="5"/>
  <c r="B17" i="5"/>
  <c r="B18" i="5"/>
  <c r="B19" i="5"/>
  <c r="B20" i="5"/>
  <c r="B21" i="5"/>
  <c r="B14" i="5"/>
  <c r="B7" i="5"/>
  <c r="F75" i="4"/>
  <c r="B75" i="4"/>
  <c r="G74" i="4"/>
  <c r="F76" i="4" s="1"/>
  <c r="C74" i="4"/>
  <c r="B76" i="4" s="1"/>
  <c r="I44" i="4"/>
  <c r="I45" i="4"/>
  <c r="I48" i="4" s="1"/>
  <c r="I46" i="4"/>
  <c r="I47" i="4"/>
  <c r="I43" i="4"/>
  <c r="G44" i="4"/>
  <c r="G45" i="4"/>
  <c r="G48" i="4" s="1"/>
  <c r="G46" i="4"/>
  <c r="G47" i="4"/>
  <c r="G43" i="4"/>
  <c r="E44" i="4"/>
  <c r="E45" i="4"/>
  <c r="E48" i="4" s="1"/>
  <c r="E46" i="4"/>
  <c r="E47" i="4"/>
  <c r="E43" i="4"/>
  <c r="C44" i="4"/>
  <c r="C45" i="4"/>
  <c r="C48" i="4" s="1"/>
  <c r="C46" i="4"/>
  <c r="C47" i="4"/>
  <c r="C43" i="4"/>
  <c r="I35" i="4"/>
  <c r="I36" i="4"/>
  <c r="I39" i="4" s="1"/>
  <c r="I37" i="4"/>
  <c r="I38" i="4"/>
  <c r="I34" i="4"/>
  <c r="G35" i="4"/>
  <c r="G36" i="4"/>
  <c r="G39" i="4" s="1"/>
  <c r="G37" i="4"/>
  <c r="G38" i="4"/>
  <c r="G34" i="4"/>
  <c r="E39" i="4"/>
  <c r="E35" i="4"/>
  <c r="E36" i="4"/>
  <c r="E37" i="4"/>
  <c r="E38" i="4"/>
  <c r="E34" i="4"/>
  <c r="C39" i="4"/>
  <c r="C35" i="4"/>
  <c r="C36" i="4"/>
  <c r="C37" i="4"/>
  <c r="C38" i="4"/>
  <c r="C34" i="4"/>
  <c r="I24" i="4"/>
  <c r="I25" i="4"/>
  <c r="I26" i="4"/>
  <c r="I27" i="4"/>
  <c r="I23" i="4"/>
  <c r="I28" i="4"/>
  <c r="G24" i="4"/>
  <c r="G25" i="4"/>
  <c r="G26" i="4"/>
  <c r="G27" i="4"/>
  <c r="G23" i="4"/>
  <c r="E27" i="4"/>
  <c r="E26" i="4"/>
  <c r="E25" i="4"/>
  <c r="E24" i="4"/>
  <c r="E23" i="4"/>
  <c r="C28" i="4"/>
  <c r="C24" i="4"/>
  <c r="C25" i="4"/>
  <c r="C26" i="4"/>
  <c r="C27" i="4"/>
  <c r="C23" i="4"/>
  <c r="I19" i="4"/>
  <c r="I15" i="4"/>
  <c r="I16" i="4"/>
  <c r="I17" i="4"/>
  <c r="I18" i="4"/>
  <c r="I14" i="4"/>
  <c r="G19" i="4"/>
  <c r="G15" i="4"/>
  <c r="G16" i="4"/>
  <c r="G17" i="4"/>
  <c r="G18" i="4"/>
  <c r="G14" i="4"/>
  <c r="E19" i="4"/>
  <c r="C19" i="4"/>
  <c r="E15" i="4"/>
  <c r="E16" i="4"/>
  <c r="E17" i="4"/>
  <c r="E18" i="4"/>
  <c r="E14" i="4"/>
  <c r="C15" i="4"/>
  <c r="C16" i="4"/>
  <c r="C17" i="4"/>
  <c r="C18" i="4"/>
  <c r="C14" i="4"/>
  <c r="G58" i="1"/>
  <c r="E58" i="1"/>
  <c r="C58" i="1"/>
  <c r="G50" i="1"/>
  <c r="E50" i="1"/>
  <c r="C50" i="1"/>
  <c r="G42" i="1"/>
  <c r="E42" i="1"/>
  <c r="C42" i="1"/>
  <c r="H21" i="5" l="1"/>
  <c r="G28" i="4"/>
  <c r="E28" i="4"/>
  <c r="G57" i="1"/>
  <c r="E57" i="1"/>
  <c r="C57" i="1"/>
  <c r="G56" i="1"/>
  <c r="E56" i="1"/>
  <c r="C56" i="1"/>
  <c r="G55" i="1"/>
  <c r="E55" i="1"/>
  <c r="C55" i="1"/>
  <c r="G54" i="1"/>
  <c r="E54" i="1"/>
  <c r="C54" i="1"/>
  <c r="G53" i="1"/>
  <c r="E53" i="1"/>
  <c r="C53" i="1"/>
  <c r="G49" i="1"/>
  <c r="E49" i="1"/>
  <c r="C49" i="1"/>
  <c r="G48" i="1"/>
  <c r="E48" i="1"/>
  <c r="C48" i="1"/>
  <c r="G47" i="1"/>
  <c r="E47" i="1"/>
  <c r="C47" i="1"/>
  <c r="G46" i="1"/>
  <c r="E46" i="1"/>
  <c r="C46" i="1"/>
  <c r="G45" i="1"/>
  <c r="E45" i="1"/>
  <c r="C45" i="1"/>
  <c r="G41" i="1"/>
  <c r="E41" i="1"/>
  <c r="C41" i="1"/>
  <c r="G40" i="1"/>
  <c r="E40" i="1"/>
  <c r="C40" i="1"/>
  <c r="G39" i="1"/>
  <c r="E39" i="1"/>
  <c r="C39" i="1"/>
  <c r="G38" i="1"/>
  <c r="E38" i="1"/>
  <c r="C38" i="1"/>
  <c r="G37" i="1"/>
  <c r="E37" i="1"/>
  <c r="C37" i="1"/>
  <c r="G31" i="1"/>
  <c r="G30" i="1"/>
  <c r="G29" i="1"/>
  <c r="G28" i="1"/>
  <c r="G27" i="1"/>
  <c r="E31" i="1"/>
  <c r="E30" i="1"/>
  <c r="E29" i="1"/>
  <c r="E28" i="1"/>
  <c r="E27" i="1"/>
  <c r="C31" i="1"/>
  <c r="C30" i="1"/>
  <c r="C29" i="1"/>
  <c r="C28" i="1"/>
  <c r="C27" i="1"/>
  <c r="G23" i="1"/>
  <c r="G22" i="1"/>
  <c r="G21" i="1"/>
  <c r="G20" i="1"/>
  <c r="G19" i="1"/>
  <c r="E23" i="1"/>
  <c r="E22" i="1"/>
  <c r="E21" i="1"/>
  <c r="E20" i="1"/>
  <c r="E19" i="1"/>
  <c r="C23" i="1"/>
  <c r="C22" i="1"/>
  <c r="C21" i="1"/>
  <c r="C20" i="1"/>
  <c r="C19" i="1"/>
  <c r="G15" i="1"/>
  <c r="G14" i="1"/>
  <c r="G13" i="1"/>
  <c r="G12" i="1"/>
  <c r="G11" i="1"/>
  <c r="E15" i="1"/>
  <c r="E14" i="1"/>
  <c r="E13" i="1"/>
  <c r="E12" i="1"/>
  <c r="E11" i="1"/>
  <c r="C16" i="1"/>
  <c r="C15" i="1"/>
  <c r="C14" i="1"/>
  <c r="C13" i="1"/>
  <c r="C12" i="1"/>
  <c r="C11" i="1"/>
  <c r="G32" i="1" l="1"/>
  <c r="E32" i="1"/>
  <c r="C32" i="1"/>
  <c r="G24" i="1"/>
  <c r="E24" i="1"/>
  <c r="C24" i="1"/>
  <c r="G16" i="1"/>
  <c r="E16" i="1"/>
</calcChain>
</file>

<file path=xl/sharedStrings.xml><?xml version="1.0" encoding="utf-8"?>
<sst xmlns="http://schemas.openxmlformats.org/spreadsheetml/2006/main" count="185" uniqueCount="56">
  <si>
    <t>2.- A un inversionista se le ofrecen las siguientes posibilidades para realizar una determinada inversión:</t>
  </si>
  <si>
    <t>Desembolso inicial</t>
  </si>
  <si>
    <t>FNE AÑO 1</t>
  </si>
  <si>
    <t>FNE AÑO 2</t>
  </si>
  <si>
    <t>FNE AÑO 3</t>
  </si>
  <si>
    <t>FNE AÑO 4</t>
  </si>
  <si>
    <t>FNE AÑO 5</t>
  </si>
  <si>
    <t>Proyecto A</t>
  </si>
  <si>
    <t>Proyecto B</t>
  </si>
  <si>
    <t>Proyecto C</t>
  </si>
  <si>
    <t>a) Calcuar el VPN de cada proyecto cuando el costo de capital (k) de la empresa es de 5%, 7% y 15%</t>
  </si>
  <si>
    <t>k</t>
  </si>
  <si>
    <t>K</t>
  </si>
  <si>
    <t>VPN</t>
  </si>
  <si>
    <t>K=5%</t>
  </si>
  <si>
    <t>K=7%</t>
  </si>
  <si>
    <t>K=15%</t>
  </si>
  <si>
    <t>b) Calcular la TIR para cada proyecto.</t>
  </si>
  <si>
    <t>TIR</t>
  </si>
  <si>
    <t>c) Determinar cuál es la alternativa más rentable para el inversionista</t>
  </si>
  <si>
    <t>La alternativa más rentable, es invertir en el proyecto c con k=5%, ya que esta su VPN es mayor a 0, mientras que la TIR supera el desembolso inicial, indicando que existirán ganancias de inversión.</t>
  </si>
  <si>
    <t>Año</t>
  </si>
  <si>
    <t>Proyecto Minero</t>
  </si>
  <si>
    <t>Proyecto agrícola</t>
  </si>
  <si>
    <t>Proyecto Agrícola</t>
  </si>
  <si>
    <t>b) Calcular la TIR para cada Proyecto</t>
  </si>
  <si>
    <t>a) 	Calcula el valor presente neto de cada proyecto cuando el costo de capital (K) de la empresa es de 0%, 6%, 10%, y 20%</t>
  </si>
  <si>
    <t>c) Gráfica</t>
  </si>
  <si>
    <t>r%</t>
  </si>
  <si>
    <t>FEE</t>
  </si>
  <si>
    <t>FSE</t>
  </si>
  <si>
    <t>INVERSIÓN</t>
  </si>
  <si>
    <t>VIDA (AÑOS)</t>
  </si>
  <si>
    <t>TASA FISCAL</t>
  </si>
  <si>
    <t>FNE=</t>
  </si>
  <si>
    <t xml:space="preserve">a)	Calcula los flujos netos de efectivo (FNE), el valor presente neto (VPN) y la tasa interna de retorno (TIRE), para el proyecto </t>
  </si>
  <si>
    <t>AÑO</t>
  </si>
  <si>
    <t>FNE</t>
  </si>
  <si>
    <t>b)VPN si intereses e impuestos son de $40000 por año</t>
  </si>
  <si>
    <t>c) Cuota de Depreciación</t>
  </si>
  <si>
    <t>Proyecto H</t>
  </si>
  <si>
    <t>Proyecto W</t>
  </si>
  <si>
    <t>TIR=</t>
  </si>
  <si>
    <t>El proyecto W es el más rentable, ya que este genera un mayor VPN y una TIR mayor, dejando mejores ganancias.</t>
  </si>
  <si>
    <t>Flujos Netos de Caja</t>
  </si>
  <si>
    <t>Desembolso Inicial</t>
  </si>
  <si>
    <t>Año 1</t>
  </si>
  <si>
    <t>Año 2</t>
  </si>
  <si>
    <t>Año 3</t>
  </si>
  <si>
    <t>Año 4</t>
  </si>
  <si>
    <t>Año 5</t>
  </si>
  <si>
    <t>K=</t>
  </si>
  <si>
    <t>a) Aplicar el criterio del VAN</t>
  </si>
  <si>
    <t>Orden Según el VAN</t>
  </si>
  <si>
    <t>b) Calcular la TIR para cada proyecto</t>
  </si>
  <si>
    <t>Orden Según la 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</si>
</sst>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0.000%"/>
    <numFmt numFmtId="165" formatCode="0.0%"/>
    <numFmt numFmtId="166" formatCode="0.000000000000000%"/>
    <numFmt numFmtId="167" formatCode="0.000000000000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b/>
      <sz val="12"/>
      <color theme="1"/>
      <name val="Courier New"/>
      <family val="3"/>
    </font>
    <font>
      <b/>
      <sz val="11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117">
    <xf numFmtId="0" fontId="0" fillId="0" borderId="0" xfId="0"/>
    <xf numFmtId="0" fontId="3" fillId="0" borderId="0" xfId="0" applyFont="1"/>
    <xf numFmtId="0" fontId="5" fillId="12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3" fillId="13" borderId="0" xfId="0" applyFont="1" applyFill="1" applyAlignment="1"/>
    <xf numFmtId="0" fontId="3" fillId="13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5" fillId="0" borderId="0" xfId="0" applyFont="1" applyAlignment="1">
      <alignment vertical="top" wrapText="1"/>
    </xf>
    <xf numFmtId="0" fontId="5" fillId="0" borderId="0" xfId="0" applyFont="1"/>
    <xf numFmtId="9" fontId="3" fillId="13" borderId="0" xfId="0" applyNumberFormat="1" applyFont="1" applyFill="1" applyAlignment="1">
      <alignment horizontal="center"/>
    </xf>
    <xf numFmtId="0" fontId="3" fillId="12" borderId="0" xfId="0" applyFont="1" applyFill="1" applyAlignment="1"/>
    <xf numFmtId="9" fontId="3" fillId="13" borderId="1" xfId="11" applyNumberFormat="1" applyFont="1" applyFill="1" applyBorder="1" applyAlignment="1">
      <alignment horizontal="center"/>
    </xf>
    <xf numFmtId="44" fontId="3" fillId="13" borderId="1" xfId="1" applyFont="1" applyFill="1" applyBorder="1"/>
    <xf numFmtId="44" fontId="3" fillId="13" borderId="1" xfId="11" applyNumberFormat="1" applyFont="1" applyFill="1" applyBorder="1"/>
    <xf numFmtId="0" fontId="5" fillId="13" borderId="1" xfId="10" applyFont="1" applyFill="1" applyBorder="1" applyAlignment="1">
      <alignment horizontal="center"/>
    </xf>
    <xf numFmtId="9" fontId="3" fillId="13" borderId="1" xfId="9" applyNumberFormat="1" applyFont="1" applyFill="1" applyBorder="1" applyAlignment="1">
      <alignment horizontal="center"/>
    </xf>
    <xf numFmtId="44" fontId="3" fillId="13" borderId="1" xfId="9" applyNumberFormat="1" applyFont="1" applyFill="1" applyBorder="1"/>
    <xf numFmtId="0" fontId="5" fillId="13" borderId="1" xfId="8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1" xfId="0" applyFont="1" applyFill="1" applyBorder="1"/>
    <xf numFmtId="44" fontId="3" fillId="12" borderId="1" xfId="1" applyFont="1" applyFill="1" applyBorder="1"/>
    <xf numFmtId="44" fontId="3" fillId="12" borderId="1" xfId="0" applyNumberFormat="1" applyFont="1" applyFill="1" applyBorder="1"/>
    <xf numFmtId="44" fontId="0" fillId="0" borderId="0" xfId="0" applyNumberFormat="1"/>
    <xf numFmtId="44" fontId="3" fillId="16" borderId="0" xfId="1" applyFont="1" applyFill="1" applyBorder="1"/>
    <xf numFmtId="0" fontId="3" fillId="12" borderId="0" xfId="0" applyFont="1" applyFill="1" applyBorder="1"/>
    <xf numFmtId="44" fontId="3" fillId="12" borderId="0" xfId="1" applyFont="1" applyFill="1" applyBorder="1"/>
    <xf numFmtId="0" fontId="5" fillId="16" borderId="0" xfId="3" applyFont="1" applyFill="1" applyBorder="1" applyAlignment="1">
      <alignment horizontal="center"/>
    </xf>
    <xf numFmtId="44" fontId="3" fillId="12" borderId="0" xfId="4" applyNumberFormat="1" applyFont="1" applyFill="1" applyBorder="1"/>
    <xf numFmtId="44" fontId="3" fillId="16" borderId="0" xfId="0" applyNumberFormat="1" applyFont="1" applyFill="1" applyBorder="1"/>
    <xf numFmtId="44" fontId="3" fillId="12" borderId="0" xfId="0" applyNumberFormat="1" applyFont="1" applyFill="1" applyBorder="1"/>
    <xf numFmtId="0" fontId="3" fillId="12" borderId="0" xfId="5" applyFont="1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44" fontId="3" fillId="13" borderId="0" xfId="1" applyFont="1" applyFill="1" applyBorder="1"/>
    <xf numFmtId="44" fontId="3" fillId="12" borderId="0" xfId="5" applyNumberFormat="1" applyFont="1" applyFill="1" applyBorder="1"/>
    <xf numFmtId="44" fontId="3" fillId="13" borderId="0" xfId="1" applyFont="1" applyFill="1" applyBorder="1" applyAlignment="1">
      <alignment horizontal="center"/>
    </xf>
    <xf numFmtId="0" fontId="3" fillId="13" borderId="0" xfId="1" applyNumberFormat="1" applyFont="1" applyFill="1" applyBorder="1"/>
    <xf numFmtId="9" fontId="3" fillId="12" borderId="0" xfId="5" applyNumberFormat="1" applyFont="1" applyFill="1" applyBorder="1"/>
    <xf numFmtId="9" fontId="3" fillId="13" borderId="0" xfId="2" applyFont="1" applyFill="1" applyBorder="1"/>
    <xf numFmtId="0" fontId="3" fillId="16" borderId="0" xfId="6" applyFont="1" applyFill="1" applyBorder="1" applyAlignment="1">
      <alignment horizontal="center"/>
    </xf>
    <xf numFmtId="165" fontId="3" fillId="16" borderId="0" xfId="6" applyNumberFormat="1" applyFont="1" applyFill="1" applyBorder="1" applyAlignment="1">
      <alignment horizontal="center"/>
    </xf>
    <xf numFmtId="0" fontId="3" fillId="16" borderId="0" xfId="6" applyFont="1" applyFill="1" applyBorder="1"/>
    <xf numFmtId="9" fontId="3" fillId="16" borderId="0" xfId="12" applyNumberFormat="1" applyFont="1" applyFill="1" applyBorder="1"/>
    <xf numFmtId="165" fontId="3" fillId="16" borderId="0" xfId="12" applyNumberFormat="1" applyFont="1" applyFill="1" applyBorder="1"/>
    <xf numFmtId="44" fontId="3" fillId="16" borderId="0" xfId="12" applyNumberFormat="1" applyFont="1" applyFill="1" applyBorder="1"/>
    <xf numFmtId="0" fontId="3" fillId="16" borderId="0" xfId="12" applyFont="1" applyFill="1" applyBorder="1"/>
    <xf numFmtId="0" fontId="5" fillId="16" borderId="0" xfId="12" applyFont="1" applyFill="1" applyBorder="1"/>
    <xf numFmtId="0" fontId="5" fillId="12" borderId="0" xfId="0" applyFont="1" applyFill="1" applyBorder="1"/>
    <xf numFmtId="44" fontId="5" fillId="12" borderId="0" xfId="1" applyFont="1" applyFill="1" applyBorder="1"/>
    <xf numFmtId="0" fontId="5" fillId="16" borderId="0" xfId="7" applyFont="1" applyFill="1" applyBorder="1"/>
    <xf numFmtId="44" fontId="5" fillId="16" borderId="0" xfId="7" applyNumberFormat="1" applyFont="1" applyFill="1" applyBorder="1"/>
    <xf numFmtId="0" fontId="3" fillId="16" borderId="0" xfId="7" applyFont="1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0" fontId="3" fillId="12" borderId="0" xfId="4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2" borderId="0" xfId="9" applyFont="1" applyFill="1" applyBorder="1" applyAlignment="1">
      <alignment horizontal="center"/>
    </xf>
    <xf numFmtId="44" fontId="3" fillId="12" borderId="0" xfId="9" applyNumberFormat="1" applyFont="1" applyFill="1" applyBorder="1"/>
    <xf numFmtId="44" fontId="5" fillId="0" borderId="0" xfId="0" applyNumberFormat="1" applyFont="1"/>
    <xf numFmtId="0" fontId="5" fillId="16" borderId="0" xfId="8" applyFont="1" applyFill="1" applyBorder="1" applyAlignment="1">
      <alignment horizontal="center"/>
    </xf>
    <xf numFmtId="44" fontId="5" fillId="16" borderId="0" xfId="12" applyNumberFormat="1" applyFont="1" applyFill="1" applyBorder="1"/>
    <xf numFmtId="44" fontId="3" fillId="12" borderId="0" xfId="12" applyNumberFormat="1" applyFont="1" applyFill="1" applyBorder="1"/>
    <xf numFmtId="0" fontId="5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9" fontId="5" fillId="12" borderId="0" xfId="0" applyNumberFormat="1" applyFont="1" applyFill="1" applyAlignment="1">
      <alignment horizontal="center"/>
    </xf>
    <xf numFmtId="44" fontId="3" fillId="12" borderId="0" xfId="1" applyFont="1" applyFill="1"/>
    <xf numFmtId="44" fontId="5" fillId="12" borderId="0" xfId="0" applyNumberFormat="1" applyFont="1" applyFill="1"/>
    <xf numFmtId="0" fontId="5" fillId="12" borderId="0" xfId="0" applyFont="1" applyFill="1"/>
    <xf numFmtId="0" fontId="3" fillId="12" borderId="0" xfId="0" applyFont="1" applyFill="1"/>
    <xf numFmtId="44" fontId="3" fillId="13" borderId="0" xfId="1" applyFont="1" applyFill="1"/>
    <xf numFmtId="44" fontId="5" fillId="13" borderId="0" xfId="0" applyNumberFormat="1" applyFont="1" applyFill="1"/>
    <xf numFmtId="0" fontId="4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44" fontId="3" fillId="13" borderId="0" xfId="1" applyFont="1" applyFill="1" applyAlignment="1">
      <alignment horizontal="center"/>
    </xf>
    <xf numFmtId="44" fontId="3" fillId="12" borderId="0" xfId="1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13" borderId="0" xfId="0" applyFont="1" applyFill="1" applyAlignment="1">
      <alignment horizontal="center"/>
    </xf>
    <xf numFmtId="44" fontId="3" fillId="13" borderId="0" xfId="0" applyNumberFormat="1" applyFont="1" applyFill="1" applyAlignment="1">
      <alignment horizontal="center"/>
    </xf>
    <xf numFmtId="44" fontId="3" fillId="12" borderId="0" xfId="0" applyNumberFormat="1" applyFont="1" applyFill="1" applyAlignment="1">
      <alignment horizontal="center"/>
    </xf>
    <xf numFmtId="44" fontId="5" fillId="12" borderId="0" xfId="0" applyNumberFormat="1" applyFont="1" applyFill="1" applyAlignment="1">
      <alignment horizontal="center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4" fontId="3" fillId="15" borderId="0" xfId="1" applyFont="1" applyFill="1" applyAlignment="1">
      <alignment horizontal="center"/>
    </xf>
    <xf numFmtId="44" fontId="3" fillId="14" borderId="0" xfId="1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44" fontId="5" fillId="13" borderId="0" xfId="0" applyNumberFormat="1" applyFont="1" applyFill="1" applyAlignment="1">
      <alignment horizontal="center"/>
    </xf>
    <xf numFmtId="9" fontId="3" fillId="13" borderId="0" xfId="0" applyNumberFormat="1" applyFont="1" applyFill="1" applyAlignment="1">
      <alignment horizontal="center"/>
    </xf>
    <xf numFmtId="0" fontId="5" fillId="0" borderId="0" xfId="0" applyFont="1" applyAlignment="1">
      <alignment horizontal="center" vertical="top" wrapText="1"/>
    </xf>
    <xf numFmtId="164" fontId="5" fillId="13" borderId="1" xfId="10" applyNumberFormat="1" applyFont="1" applyFill="1" applyBorder="1" applyAlignment="1">
      <alignment horizontal="center"/>
    </xf>
    <xf numFmtId="164" fontId="5" fillId="13" borderId="1" xfId="8" applyNumberFormat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0" fontId="5" fillId="16" borderId="0" xfId="12" applyNumberFormat="1" applyFon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166" fontId="5" fillId="13" borderId="0" xfId="0" applyNumberFormat="1" applyFont="1" applyFill="1" applyAlignment="1">
      <alignment horizontal="center"/>
    </xf>
    <xf numFmtId="0" fontId="3" fillId="17" borderId="0" xfId="0" applyFont="1" applyFill="1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44" fontId="5" fillId="12" borderId="0" xfId="1" applyFont="1" applyFill="1" applyAlignment="1">
      <alignment horizontal="center"/>
    </xf>
    <xf numFmtId="44" fontId="3" fillId="12" borderId="0" xfId="1" applyFont="1" applyFill="1" applyAlignment="1">
      <alignment horizontal="center" vertical="center" wrapText="1"/>
    </xf>
    <xf numFmtId="0" fontId="6" fillId="13" borderId="0" xfId="0" applyFont="1" applyFill="1" applyAlignment="1">
      <alignment horizontal="center"/>
    </xf>
    <xf numFmtId="44" fontId="3" fillId="13" borderId="0" xfId="1" applyFont="1" applyFill="1" applyAlignment="1">
      <alignment horizontal="center" vertical="center" wrapText="1"/>
    </xf>
    <xf numFmtId="44" fontId="5" fillId="13" borderId="0" xfId="1" applyFont="1" applyFill="1" applyAlignment="1">
      <alignment horizontal="center"/>
    </xf>
    <xf numFmtId="0" fontId="5" fillId="13" borderId="0" xfId="0" applyFont="1" applyFill="1" applyAlignment="1">
      <alignment horizontal="center" vertical="center"/>
    </xf>
    <xf numFmtId="9" fontId="5" fillId="13" borderId="0" xfId="0" applyNumberFormat="1" applyFont="1" applyFill="1" applyAlignment="1">
      <alignment horizontal="center"/>
    </xf>
    <xf numFmtId="0" fontId="3" fillId="13" borderId="0" xfId="0" applyFont="1" applyFill="1"/>
    <xf numFmtId="0" fontId="5" fillId="14" borderId="0" xfId="0" applyFont="1" applyFill="1" applyAlignment="1">
      <alignment horizontal="center"/>
    </xf>
    <xf numFmtId="44" fontId="3" fillId="0" borderId="0" xfId="1" applyFont="1" applyAlignment="1"/>
    <xf numFmtId="44" fontId="5" fillId="0" borderId="0" xfId="1" applyFont="1" applyAlignment="1"/>
    <xf numFmtId="9" fontId="3" fillId="12" borderId="0" xfId="0" applyNumberFormat="1" applyFont="1" applyFill="1" applyAlignment="1">
      <alignment horizontal="center"/>
    </xf>
    <xf numFmtId="167" fontId="5" fillId="12" borderId="0" xfId="0" applyNumberFormat="1" applyFont="1" applyFill="1" applyAlignment="1">
      <alignment horizontal="center"/>
    </xf>
    <xf numFmtId="167" fontId="7" fillId="13" borderId="0" xfId="1" applyNumberFormat="1" applyFont="1" applyFill="1" applyAlignment="1">
      <alignment horizontal="center"/>
    </xf>
    <xf numFmtId="44" fontId="7" fillId="13" borderId="0" xfId="1" applyFont="1" applyFill="1" applyAlignment="1">
      <alignment horizontal="center"/>
    </xf>
    <xf numFmtId="44" fontId="7" fillId="12" borderId="0" xfId="1" applyFont="1" applyFill="1" applyAlignment="1">
      <alignment horizontal="center"/>
    </xf>
    <xf numFmtId="167" fontId="7" fillId="12" borderId="0" xfId="1" applyNumberFormat="1" applyFont="1" applyFill="1" applyAlignment="1">
      <alignment horizontal="center"/>
    </xf>
  </cellXfs>
  <cellStyles count="13">
    <cellStyle name="20% - Énfasis1" xfId="4" builtinId="30"/>
    <cellStyle name="20% - Énfasis5" xfId="9" builtinId="46"/>
    <cellStyle name="20% - Énfasis6" xfId="11" builtinId="50"/>
    <cellStyle name="40% - Énfasis3" xfId="6" builtinId="39"/>
    <cellStyle name="40% - Énfasis6" xfId="12" builtinId="51"/>
    <cellStyle name="60% - Énfasis2" xfId="5" builtinId="36"/>
    <cellStyle name="60% - Énfasis4" xfId="7" builtinId="44"/>
    <cellStyle name="Énfasis1" xfId="3" builtinId="29"/>
    <cellStyle name="Énfasis5" xfId="8" builtinId="45"/>
    <cellStyle name="Énfasis6" xfId="10" builtinId="49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K=5%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'Ejercicio 2'!$B$16:$H$16</c:f>
              <c:numCache>
                <c:formatCode>_("$"* #,##0.00_);_("$"* \(#,##0.00\);_("$"* "-"??_);_(@_)</c:formatCode>
                <c:ptCount val="7"/>
                <c:pt idx="1">
                  <c:v>-155206.49464839383</c:v>
                </c:pt>
                <c:pt idx="3">
                  <c:v>-14227.73334939545</c:v>
                </c:pt>
                <c:pt idx="5">
                  <c:v>291353.29904916626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D-4D4A-A7B1-34026B0EFD6F}"/>
            </c:ext>
          </c:extLst>
        </c:ser>
        <c:ser>
          <c:idx val="1"/>
          <c:order val="1"/>
          <c:tx>
            <c:strRef>
              <c:f>'Ejercicio 2'!$C$10</c:f>
              <c:strCache>
                <c:ptCount val="1"/>
                <c:pt idx="0">
                  <c:v>Proyecto 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'Ejercicio 2'!$D$10:$H$10</c:f>
              <c:numCache>
                <c:formatCode>General</c:formatCode>
                <c:ptCount val="5"/>
                <c:pt idx="1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D-4D4A-A7B1-34026B0EFD6F}"/>
            </c:ext>
          </c:extLst>
        </c:ser>
        <c:ser>
          <c:idx val="2"/>
          <c:order val="2"/>
          <c:tx>
            <c:v>K=7%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'Ejercicio 2'!$B$24:$H$24</c:f>
              <c:numCache>
                <c:formatCode>_("$"* #,##0.00_);_("$"* \(#,##0.00\);_("$"* "-"??_);_(@_)</c:formatCode>
                <c:ptCount val="7"/>
                <c:pt idx="1">
                  <c:v>-207647.01459863246</c:v>
                </c:pt>
                <c:pt idx="3">
                  <c:v>-103697.0621949269</c:v>
                </c:pt>
                <c:pt idx="5">
                  <c:v>185715.9747540995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D-4D4A-A7B1-34026B0EFD6F}"/>
            </c:ext>
          </c:extLst>
        </c:ser>
        <c:ser>
          <c:idx val="3"/>
          <c:order val="3"/>
          <c:tx>
            <c:v>K=15%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'Ejercicio 2'!$B$32:$H$32</c:f>
              <c:numCache>
                <c:formatCode>_("$"* #,##0.00_);_("$"* \(#,##0.00\);_("$"* "-"??_);_(@_)</c:formatCode>
                <c:ptCount val="7"/>
                <c:pt idx="1">
                  <c:v>-376027.34969220869</c:v>
                </c:pt>
                <c:pt idx="3">
                  <c:v>-391823.50909514888</c:v>
                </c:pt>
                <c:pt idx="5">
                  <c:v>-159310.20146067394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D-4D4A-A7B1-34026B0E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1584271"/>
        <c:axId val="801853087"/>
      </c:barChart>
      <c:catAx>
        <c:axId val="861584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1853087"/>
        <c:crosses val="autoZero"/>
        <c:auto val="1"/>
        <c:lblAlgn val="ctr"/>
        <c:lblOffset val="100"/>
        <c:noMultiLvlLbl val="0"/>
      </c:catAx>
      <c:valAx>
        <c:axId val="8018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VPN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5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Ejercicio4!$C$22:$C$24</c:f>
              <c:numCache>
                <c:formatCode>_("$"* #,##0.00_);_("$"* \(#,##0.00\);_("$"* "-"??_);_(@_)</c:formatCode>
                <c:ptCount val="3"/>
                <c:pt idx="0">
                  <c:v>3829086.4244921207</c:v>
                </c:pt>
                <c:pt idx="1">
                  <c:v>2587894.8828645945</c:v>
                </c:pt>
                <c:pt idx="2">
                  <c:v>-3524416.5984210521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7-4999-B565-410908A0D5C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Ejercicio3!$D$22:$D$24</c:f>
              <c:numCache>
                <c:formatCode>_("$"* #,##0.00_);_("$"* \(#,##0.00\);_("$"*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D27-4999-B565-410908A0D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8792303"/>
        <c:axId val="848800815"/>
      </c:barChart>
      <c:catAx>
        <c:axId val="84879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Proyectos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8800815"/>
        <c:crosses val="autoZero"/>
        <c:auto val="1"/>
        <c:lblAlgn val="ctr"/>
        <c:lblOffset val="100"/>
        <c:noMultiLvlLbl val="0"/>
      </c:catAx>
      <c:valAx>
        <c:axId val="8488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879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TIR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Ejercicio3!$C$60:$C$62</c:f>
              <c:numCache>
                <c:formatCode>0.0000000000000000%</c:formatCode>
                <c:ptCount val="3"/>
                <c:pt idx="0">
                  <c:v>6.499397819302262E-2</c:v>
                </c:pt>
                <c:pt idx="1">
                  <c:v>6.1391113096993431E-2</c:v>
                </c:pt>
                <c:pt idx="2">
                  <c:v>6.1021602017884403E-2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3-443F-B691-41DFB9DF287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Ejercicio3!$D$60:$D$62</c:f>
              <c:numCache>
                <c:formatCode>_("$"* #,##0.00_);_("$"* \(#,##0.00\);_("$"*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AE43-443F-B691-41DFB9DF2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8766303"/>
        <c:axId val="848799983"/>
      </c:barChart>
      <c:catAx>
        <c:axId val="84876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Proyectos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8799983"/>
        <c:crosses val="autoZero"/>
        <c:auto val="1"/>
        <c:lblAlgn val="ctr"/>
        <c:lblOffset val="100"/>
        <c:noMultiLvlLbl val="0"/>
      </c:catAx>
      <c:valAx>
        <c:axId val="8487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0000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876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K=5%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'Ejercicio 2'!$C$36:$H$36</c:f>
              <c:strCache>
                <c:ptCount val="5"/>
                <c:pt idx="0">
                  <c:v>Proyecto A</c:v>
                </c:pt>
                <c:pt idx="2">
                  <c:v>Proyecto B</c:v>
                </c:pt>
                <c:pt idx="4">
                  <c:v>Proyecto C</c:v>
                </c:pt>
              </c:strCache>
            </c:strRef>
          </c:cat>
          <c:val>
            <c:numRef>
              <c:f>'Ejercicio 2'!$C$42:$H$42</c:f>
              <c:numCache>
                <c:formatCode>General</c:formatCode>
                <c:ptCount val="6"/>
                <c:pt idx="0" formatCode="_(&quot;$&quot;* #,##0.00_);_(&quot;$&quot;* \(#,##0.00\);_(&quot;$&quot;* &quot;-&quot;??_);_(@_)">
                  <c:v>844793.50535160617</c:v>
                </c:pt>
                <c:pt idx="2" formatCode="_(&quot;$&quot;* #,##0.00_);_(&quot;$&quot;* \(#,##0.00\);_(&quot;$&quot;* &quot;-&quot;??_);_(@_)">
                  <c:v>1485772.2666506045</c:v>
                </c:pt>
                <c:pt idx="4" formatCode="_(&quot;$&quot;* #,##0.00_);_(&quot;$&quot;* \(#,##0.00\);_(&quot;$&quot;* &quot;-&quot;??_);_(@_)">
                  <c:v>1991353.2990491663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6-4565-9125-51E5386EDE1E}"/>
            </c:ext>
          </c:extLst>
        </c:ser>
        <c:ser>
          <c:idx val="1"/>
          <c:order val="1"/>
          <c:tx>
            <c:v>K=7%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'Ejercicio 2'!$C$36:$H$36</c:f>
              <c:strCache>
                <c:ptCount val="5"/>
                <c:pt idx="0">
                  <c:v>Proyecto A</c:v>
                </c:pt>
                <c:pt idx="2">
                  <c:v>Proyecto B</c:v>
                </c:pt>
                <c:pt idx="4">
                  <c:v>Proyecto C</c:v>
                </c:pt>
              </c:strCache>
            </c:strRef>
          </c:cat>
          <c:val>
            <c:numRef>
              <c:f>'Ejercicio 2'!$C$50:$H$50</c:f>
              <c:numCache>
                <c:formatCode>General</c:formatCode>
                <c:ptCount val="6"/>
                <c:pt idx="0" formatCode="_(&quot;$&quot;* #,##0.00_);_(&quot;$&quot;* \(#,##0.00\);_(&quot;$&quot;* &quot;-&quot;??_);_(@_)">
                  <c:v>792352.98540136754</c:v>
                </c:pt>
                <c:pt idx="2" formatCode="_(&quot;$&quot;* #,##0.00_);_(&quot;$&quot;* \(#,##0.00\);_(&quot;$&quot;* &quot;-&quot;??_);_(@_)">
                  <c:v>1396302.9378050731</c:v>
                </c:pt>
                <c:pt idx="4" formatCode="_(&quot;$&quot;* #,##0.00_);_(&quot;$&quot;* \(#,##0.00\);_(&quot;$&quot;* &quot;-&quot;??_);_(@_)">
                  <c:v>1885715.9747540995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6-4565-9125-51E5386EDE1E}"/>
            </c:ext>
          </c:extLst>
        </c:ser>
        <c:ser>
          <c:idx val="2"/>
          <c:order val="2"/>
          <c:tx>
            <c:v>K=15%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'Ejercicio 2'!$C$36:$H$36</c:f>
              <c:strCache>
                <c:ptCount val="5"/>
                <c:pt idx="0">
                  <c:v>Proyecto A</c:v>
                </c:pt>
                <c:pt idx="2">
                  <c:v>Proyecto B</c:v>
                </c:pt>
                <c:pt idx="4">
                  <c:v>Proyecto C</c:v>
                </c:pt>
              </c:strCache>
            </c:strRef>
          </c:cat>
          <c:val>
            <c:numRef>
              <c:f>'Ejercicio 2'!$C$58:$H$58</c:f>
              <c:numCache>
                <c:formatCode>General</c:formatCode>
                <c:ptCount val="6"/>
                <c:pt idx="0" formatCode="_(&quot;$&quot;* #,##0.00_);_(&quot;$&quot;* \(#,##0.00\);_(&quot;$&quot;* &quot;-&quot;??_);_(@_)">
                  <c:v>623972.65030779131</c:v>
                </c:pt>
                <c:pt idx="2" formatCode="_(&quot;$&quot;* #,##0.00_);_(&quot;$&quot;* \(#,##0.00\);_(&quot;$&quot;* &quot;-&quot;??_);_(@_)">
                  <c:v>1108176.4909048511</c:v>
                </c:pt>
                <c:pt idx="4" formatCode="_(&quot;$&quot;* #,##0.00_);_(&quot;$&quot;* \(#,##0.00\);_(&quot;$&quot;* &quot;-&quot;??_);_(@_)">
                  <c:v>1540689.7985393261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6-4565-9125-51E5386E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5960527"/>
        <c:axId val="851319887"/>
      </c:barChart>
      <c:catAx>
        <c:axId val="845960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1319887"/>
        <c:crosses val="autoZero"/>
        <c:auto val="1"/>
        <c:lblAlgn val="ctr"/>
        <c:lblOffset val="100"/>
        <c:noMultiLvlLbl val="0"/>
      </c:catAx>
      <c:valAx>
        <c:axId val="8513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TIR</a:t>
                </a:r>
              </a:p>
              <a:p>
                <a:pPr>
                  <a:defRPr/>
                </a:pPr>
                <a:endParaRPr lang="es-MX"/>
              </a:p>
              <a:p>
                <a:pPr>
                  <a:defRPr/>
                </a:pP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596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VPN Proyectos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Minero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Proyectos!$C$13:$J$13</c15:sqref>
                  </c15:fullRef>
                </c:ext>
              </c:extLst>
              <c:f>(Proyectos!$C$13,Proyectos!$E$13,Proyectos!$G$13,Proyectos!$I$13)</c:f>
              <c:numCache>
                <c:formatCode>General</c:formatCode>
                <c:ptCount val="4"/>
                <c:pt idx="0" formatCode="0%">
                  <c:v>0</c:v>
                </c:pt>
                <c:pt idx="1" formatCode="0%">
                  <c:v>0.06</c:v>
                </c:pt>
                <c:pt idx="2" formatCode="0%">
                  <c:v>0.1</c:v>
                </c:pt>
                <c:pt idx="3" formatCode="0%">
                  <c:v>0.2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Proyectos!$C$19:$J$19</c15:sqref>
                  </c15:fullRef>
                </c:ext>
              </c:extLst>
              <c:f>(Proyectos!$C$19,Proyectos!$E$19,Proyectos!$G$19,Proyectos!$I$19)</c:f>
              <c:numCache>
                <c:formatCode>General</c:formatCode>
                <c:ptCount val="4"/>
                <c:pt idx="0" formatCode="_(&quot;$&quot;* #,##0.00_);_(&quot;$&quot;* \(#,##0.00\);_(&quot;$&quot;* &quot;-&quot;??_);_(@_)">
                  <c:v>40000</c:v>
                </c:pt>
                <c:pt idx="1" formatCode="_(&quot;$&quot;* #,##0.00_);_(&quot;$&quot;* \(#,##0.00\);_(&quot;$&quot;* &quot;-&quot;??_);_(@_)">
                  <c:v>22219.690301636001</c:v>
                </c:pt>
                <c:pt idx="2" formatCode="_(&quot;$&quot;* #,##0.00_);_(&quot;$&quot;* \(#,##0.00\);_(&quot;$&quot;* &quot;-&quot;??_);_(@_)">
                  <c:v>12273.006687322631</c:v>
                </c:pt>
                <c:pt idx="3" formatCode="_(&quot;$&quot;* #,##0.00_);_(&quot;$&quot;* \(#,##0.00\);_(&quot;$&quot;* &quot;-&quot;??_);_(@_)">
                  <c:v>-7686.4711934156367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9-4031-A3CC-A544DBDF9801}"/>
            </c:ext>
          </c:extLst>
        </c:ser>
        <c:ser>
          <c:idx val="0"/>
          <c:order val="1"/>
          <c:tx>
            <c:v>Agricola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Proyectos!$C$13:$J$13</c15:sqref>
                  </c15:fullRef>
                </c:ext>
              </c:extLst>
              <c:f>(Proyectos!$C$13,Proyectos!$E$13,Proyectos!$G$13,Proyectos!$I$13)</c:f>
              <c:numCache>
                <c:formatCode>General</c:formatCode>
                <c:ptCount val="4"/>
                <c:pt idx="0" formatCode="0%">
                  <c:v>0</c:v>
                </c:pt>
                <c:pt idx="1" formatCode="0%">
                  <c:v>0.06</c:v>
                </c:pt>
                <c:pt idx="2" formatCode="0%">
                  <c:v>0.1</c:v>
                </c:pt>
                <c:pt idx="3" formatCode="0%">
                  <c:v>0.2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Proyectos!$C$28:$J$28</c15:sqref>
                  </c15:fullRef>
                </c:ext>
              </c:extLst>
              <c:f>(Proyectos!$C$28,Proyectos!$E$28,Proyectos!$G$28,Proyectos!$I$28)</c:f>
              <c:numCache>
                <c:formatCode>General</c:formatCode>
                <c:ptCount val="4"/>
                <c:pt idx="0" formatCode="_(&quot;$&quot;* #,##0.00_);_(&quot;$&quot;* \(#,##0.00\);_(&quot;$&quot;* &quot;-&quot;??_);_(@_)">
                  <c:v>70000</c:v>
                </c:pt>
                <c:pt idx="1" formatCode="_(&quot;$&quot;* #,##0.00_);_(&quot;$&quot;* \(#,##0.00\);_(&quot;$&quot;* &quot;-&quot;??_);_(@_)">
                  <c:v>31807.806546590349</c:v>
                </c:pt>
                <c:pt idx="2" formatCode="_(&quot;$&quot;* #,##0.00_);_(&quot;$&quot;* \(#,##0.00\);_(&quot;$&quot;* &quot;-&quot;??_);_(@_)">
                  <c:v>11983.657350777037</c:v>
                </c:pt>
                <c:pt idx="3" formatCode="_(&quot;$&quot;* #,##0.00_);_(&quot;$&quot;* \(#,##0.00\);_(&quot;$&quot;* &quot;-&quot;??_);_(@_)">
                  <c:v>-24153.806584362144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9-4031-A3CC-A544DBDF9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443280"/>
        <c:axId val="426445904"/>
      </c:lineChart>
      <c:catAx>
        <c:axId val="42644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6445904"/>
        <c:crosses val="autoZero"/>
        <c:auto val="1"/>
        <c:lblAlgn val="ctr"/>
        <c:lblOffset val="100"/>
        <c:noMultiLvlLbl val="0"/>
      </c:catAx>
      <c:valAx>
        <c:axId val="4264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VPN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644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VPN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Lapicito!$E$12:$E$19</c:f>
              <c:numCache>
                <c:formatCode>_("$"* #,##0.00_);_("$"* \(#,##0.00\);_("$"* "-"??_);_(@_)</c:formatCode>
                <c:ptCount val="8"/>
                <c:pt idx="0">
                  <c:v>57017.543859649115</c:v>
                </c:pt>
                <c:pt idx="1">
                  <c:v>50015.389350569392</c:v>
                </c:pt>
                <c:pt idx="2">
                  <c:v>43873.148553131046</c:v>
                </c:pt>
                <c:pt idx="3">
                  <c:v>38485.218029062315</c:v>
                </c:pt>
                <c:pt idx="4">
                  <c:v>33758.96318338799</c:v>
                </c:pt>
                <c:pt idx="5">
                  <c:v>29613.125599463147</c:v>
                </c:pt>
                <c:pt idx="6">
                  <c:v>25976.425964441354</c:v>
                </c:pt>
                <c:pt idx="7">
                  <c:v>22786.338565299429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5-48C1-8B58-2093D328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10799"/>
        <c:axId val="805268639"/>
      </c:lineChart>
      <c:catAx>
        <c:axId val="5769107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5268639"/>
        <c:crosses val="autoZero"/>
        <c:auto val="1"/>
        <c:lblAlgn val="ctr"/>
        <c:lblOffset val="100"/>
        <c:noMultiLvlLbl val="0"/>
      </c:catAx>
      <c:valAx>
        <c:axId val="8052686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VPN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691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VPN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Lapicito!$E$29:$E$36</c:f>
              <c:numCache>
                <c:formatCode>_("$"* #,##0.00_);_("$"* \(#,##0.00\);_("$"* "-"??_);_(@_)</c:formatCode>
                <c:ptCount val="8"/>
                <c:pt idx="0">
                  <c:v>21929.824561403508</c:v>
                </c:pt>
                <c:pt idx="1">
                  <c:v>19236.688211757461</c:v>
                </c:pt>
                <c:pt idx="2">
                  <c:v>16874.287905050402</c:v>
                </c:pt>
                <c:pt idx="3">
                  <c:v>14802.006934254736</c:v>
                </c:pt>
                <c:pt idx="4">
                  <c:v>12984.216608995381</c:v>
                </c:pt>
                <c:pt idx="5">
                  <c:v>11389.66369210121</c:v>
                </c:pt>
                <c:pt idx="6">
                  <c:v>9990.9330632466736</c:v>
                </c:pt>
                <c:pt idx="7">
                  <c:v>8763.976371269011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C-4093-868C-A55DCA50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853791"/>
        <c:axId val="805265727"/>
      </c:lineChart>
      <c:catAx>
        <c:axId val="8488537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5265727"/>
        <c:crosses val="autoZero"/>
        <c:auto val="1"/>
        <c:lblAlgn val="ctr"/>
        <c:lblOffset val="100"/>
        <c:noMultiLvlLbl val="0"/>
      </c:catAx>
      <c:valAx>
        <c:axId val="8052657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VPN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885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Proyecto</a:t>
            </a:r>
            <a:r>
              <a:rPr lang="es-MX" baseline="0"/>
              <a:t>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'Langosta S.A'!$G$2:$G$5</c:f>
              <c:numCache>
                <c:formatCode>_("$"* #,##0.00_);_("$"* \(#,##0.00\);_("$"* "-"??_);_(@_)</c:formatCode>
                <c:ptCount val="4"/>
                <c:pt idx="0">
                  <c:v>4910.7142857142853</c:v>
                </c:pt>
                <c:pt idx="1">
                  <c:v>4384.5663265306121</c:v>
                </c:pt>
                <c:pt idx="2">
                  <c:v>3914.79136297376</c:v>
                </c:pt>
                <c:pt idx="3">
                  <c:v>3495.3494312265716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6-4145-A359-E20556FCF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331567"/>
        <c:axId val="801705775"/>
      </c:lineChart>
      <c:catAx>
        <c:axId val="9593315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1705775"/>
        <c:crosses val="autoZero"/>
        <c:auto val="1"/>
        <c:lblAlgn val="ctr"/>
        <c:lblOffset val="100"/>
        <c:noMultiLvlLbl val="0"/>
      </c:catAx>
      <c:valAx>
        <c:axId val="8017057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VPN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933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Proyecto</a:t>
            </a:r>
            <a:r>
              <a:rPr lang="es-MX" baseline="0"/>
              <a:t> H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'Langosta S.A'!$G$9:$G$16</c:f>
              <c:numCache>
                <c:formatCode>_("$"* #,##0.00_);_("$"* \(#,##0.00\);_("$"* "-"??_);_(@_)</c:formatCode>
                <c:ptCount val="8"/>
                <c:pt idx="0">
                  <c:v>2857.1428571428569</c:v>
                </c:pt>
                <c:pt idx="1">
                  <c:v>2551.0204081632651</c:v>
                </c:pt>
                <c:pt idx="2">
                  <c:v>2277.696793002915</c:v>
                </c:pt>
                <c:pt idx="3">
                  <c:v>2033.6578508954597</c:v>
                </c:pt>
                <c:pt idx="4">
                  <c:v>1815.7659382995175</c:v>
                </c:pt>
                <c:pt idx="5">
                  <c:v>1621.2195877674262</c:v>
                </c:pt>
                <c:pt idx="6">
                  <c:v>1447.517489078059</c:v>
                </c:pt>
                <c:pt idx="7">
                  <c:v>1292.4263295339813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C-4948-9586-A124C327E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985935"/>
        <c:axId val="850820527"/>
      </c:lineChart>
      <c:catAx>
        <c:axId val="8029859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0820527"/>
        <c:crosses val="autoZero"/>
        <c:auto val="1"/>
        <c:lblAlgn val="ctr"/>
        <c:lblOffset val="100"/>
        <c:noMultiLvlLbl val="0"/>
      </c:catAx>
      <c:valAx>
        <c:axId val="8508205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VPN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298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Ejercicio3!$C$22:$C$24</c:f>
              <c:numCache>
                <c:formatCode>_("$"* #,##0.00_);_("$"* \(#,##0.00\);_("$"* "-"??_);_(@_)</c:formatCode>
                <c:ptCount val="3"/>
                <c:pt idx="0">
                  <c:v>5768343.0605503879</c:v>
                </c:pt>
                <c:pt idx="1">
                  <c:v>3558576.8783022203</c:v>
                </c:pt>
                <c:pt idx="2">
                  <c:v>1318898.2168203294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2-49A2-8581-5ADEC24EA12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Ejercicio3!$D$22:$D$24</c:f>
              <c:numCache>
                <c:formatCode>_("$"* #,##0.00_);_("$"* \(#,##0.00\);_("$"*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FC82-49A2-8581-5ADEC24EA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8792303"/>
        <c:axId val="848800815"/>
      </c:barChart>
      <c:catAx>
        <c:axId val="84879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Proyectos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8800815"/>
        <c:crosses val="autoZero"/>
        <c:auto val="1"/>
        <c:lblAlgn val="ctr"/>
        <c:lblOffset val="100"/>
        <c:noMultiLvlLbl val="0"/>
      </c:catAx>
      <c:valAx>
        <c:axId val="8488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879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TIR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Ejercicio3!$C$60:$C$62</c:f>
              <c:numCache>
                <c:formatCode>0.0000000000000000%</c:formatCode>
                <c:ptCount val="3"/>
                <c:pt idx="0">
                  <c:v>6.499397819302262E-2</c:v>
                </c:pt>
                <c:pt idx="1">
                  <c:v>6.1391113096993431E-2</c:v>
                </c:pt>
                <c:pt idx="2">
                  <c:v>6.1021602017884403E-2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A-484B-9A04-45E233737AE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Ejercicio3!$D$60:$D$62</c:f>
              <c:numCache>
                <c:formatCode>_("$"* #,##0.00_);_("$"* \(#,##0.00\);_("$"*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B7A-484B-9A04-45E233737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8766303"/>
        <c:axId val="848799983"/>
      </c:barChart>
      <c:catAx>
        <c:axId val="84876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Proyectos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8799983"/>
        <c:crosses val="autoZero"/>
        <c:auto val="1"/>
        <c:lblAlgn val="ctr"/>
        <c:lblOffset val="100"/>
        <c:noMultiLvlLbl val="0"/>
      </c:catAx>
      <c:valAx>
        <c:axId val="8487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0000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876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10</xdr:row>
      <xdr:rowOff>42862</xdr:rowOff>
    </xdr:from>
    <xdr:to>
      <xdr:col>16</xdr:col>
      <xdr:colOff>257175</xdr:colOff>
      <xdr:row>30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E916B2-DE0F-4A50-9872-AC30EBE22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142874</xdr:colOff>
      <xdr:row>36</xdr:row>
      <xdr:rowOff>66675</xdr:rowOff>
    </xdr:from>
    <xdr:to>
      <xdr:col>16</xdr:col>
      <xdr:colOff>200026</xdr:colOff>
      <xdr:row>57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421D9EB-E463-441A-8880-E2C131BF6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752476</xdr:colOff>
      <xdr:row>50</xdr:row>
      <xdr:rowOff>95250</xdr:rowOff>
    </xdr:from>
    <xdr:to>
      <xdr:col>9</xdr:col>
      <xdr:colOff>0</xdr:colOff>
      <xdr:row>68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731EE6-8A4B-49BE-85A0-40373C8ED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41</xdr:row>
      <xdr:rowOff>128587</xdr:rowOff>
    </xdr:from>
    <xdr:to>
      <xdr:col>7</xdr:col>
      <xdr:colOff>581025</xdr:colOff>
      <xdr:row>56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01AFB9-37D7-4EA5-AD86-71BA95289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24</xdr:row>
      <xdr:rowOff>52387</xdr:rowOff>
    </xdr:from>
    <xdr:to>
      <xdr:col>10</xdr:col>
      <xdr:colOff>838200</xdr:colOff>
      <xdr:row>38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F4303C-079B-454B-AFB2-397B96790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4762</xdr:rowOff>
    </xdr:from>
    <xdr:to>
      <xdr:col>6</xdr:col>
      <xdr:colOff>9525</xdr:colOff>
      <xdr:row>33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E3CA6C-3717-4D4C-A69D-7477B67D5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752475</xdr:colOff>
      <xdr:row>18</xdr:row>
      <xdr:rowOff>185737</xdr:rowOff>
    </xdr:from>
    <xdr:to>
      <xdr:col>12</xdr:col>
      <xdr:colOff>123825</xdr:colOff>
      <xdr:row>33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77C4938-1B87-4366-8562-056C47424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24</xdr:row>
      <xdr:rowOff>71437</xdr:rowOff>
    </xdr:from>
    <xdr:to>
      <xdr:col>6</xdr:col>
      <xdr:colOff>9525</xdr:colOff>
      <xdr:row>38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03ADDD-371A-436A-9ED1-84BAB08CA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63</xdr:row>
      <xdr:rowOff>23812</xdr:rowOff>
    </xdr:from>
    <xdr:to>
      <xdr:col>6</xdr:col>
      <xdr:colOff>0</xdr:colOff>
      <xdr:row>77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418052-9638-4FA0-B22D-7EFF154F8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24</xdr:row>
      <xdr:rowOff>71437</xdr:rowOff>
    </xdr:from>
    <xdr:to>
      <xdr:col>6</xdr:col>
      <xdr:colOff>9525</xdr:colOff>
      <xdr:row>38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633851-A9F7-4103-967D-448C7661E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63</xdr:row>
      <xdr:rowOff>23812</xdr:rowOff>
    </xdr:from>
    <xdr:to>
      <xdr:col>6</xdr:col>
      <xdr:colOff>0</xdr:colOff>
      <xdr:row>77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4F34B7-2712-4660-A0CF-28BB4554F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A16E7-4F37-405F-9E6F-B34776B542BB}">
  <dimension ref="A1:O63"/>
  <sheetViews>
    <sheetView showGridLines="0" topLeftCell="C38" workbookViewId="0">
      <selection activeCell="R51" sqref="R51"/>
    </sheetView>
  </sheetViews>
  <sheetFormatPr baseColWidth="10" defaultRowHeight="15" x14ac:dyDescent="0.25"/>
  <cols>
    <col min="1" max="16384" width="11.42578125" style="1"/>
  </cols>
  <sheetData>
    <row r="1" spans="1:15" ht="16.5" x14ac:dyDescent="0.3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3" spans="1:15" ht="15.75" x14ac:dyDescent="0.3">
      <c r="A3" s="73"/>
      <c r="B3" s="73"/>
      <c r="C3" s="74" t="s">
        <v>1</v>
      </c>
      <c r="D3" s="74"/>
      <c r="E3" s="74"/>
      <c r="F3" s="74" t="s">
        <v>2</v>
      </c>
      <c r="G3" s="73"/>
      <c r="H3" s="74" t="s">
        <v>3</v>
      </c>
      <c r="I3" s="74"/>
      <c r="J3" s="74" t="s">
        <v>4</v>
      </c>
      <c r="K3" s="74"/>
      <c r="L3" s="74" t="s">
        <v>5</v>
      </c>
      <c r="M3" s="74"/>
      <c r="N3" s="74" t="s">
        <v>6</v>
      </c>
      <c r="O3" s="74"/>
    </row>
    <row r="4" spans="1:15" ht="15.75" x14ac:dyDescent="0.3">
      <c r="A4" s="75" t="s">
        <v>7</v>
      </c>
      <c r="B4" s="75"/>
      <c r="C4" s="76">
        <v>1000000</v>
      </c>
      <c r="D4" s="76"/>
      <c r="E4" s="76"/>
      <c r="F4" s="76">
        <v>100000</v>
      </c>
      <c r="G4" s="76"/>
      <c r="H4" s="76">
        <v>150000</v>
      </c>
      <c r="I4" s="76"/>
      <c r="J4" s="76">
        <v>200000</v>
      </c>
      <c r="K4" s="76"/>
      <c r="L4" s="76">
        <v>250000</v>
      </c>
      <c r="M4" s="76"/>
      <c r="N4" s="76">
        <v>300000</v>
      </c>
      <c r="O4" s="76"/>
    </row>
    <row r="5" spans="1:15" ht="15.75" x14ac:dyDescent="0.3">
      <c r="A5" s="74" t="s">
        <v>8</v>
      </c>
      <c r="B5" s="73"/>
      <c r="C5" s="77">
        <v>1500000</v>
      </c>
      <c r="D5" s="77"/>
      <c r="E5" s="77"/>
      <c r="F5" s="77">
        <v>200000</v>
      </c>
      <c r="G5" s="77"/>
      <c r="H5" s="77">
        <v>300000</v>
      </c>
      <c r="I5" s="77"/>
      <c r="J5" s="77">
        <v>350000</v>
      </c>
      <c r="K5" s="77"/>
      <c r="L5" s="77">
        <v>400000</v>
      </c>
      <c r="M5" s="77"/>
      <c r="N5" s="77">
        <v>500000</v>
      </c>
      <c r="O5" s="77"/>
    </row>
    <row r="6" spans="1:15" ht="15.75" x14ac:dyDescent="0.3">
      <c r="A6" s="75" t="s">
        <v>9</v>
      </c>
      <c r="B6" s="75"/>
      <c r="C6" s="76">
        <v>1700000</v>
      </c>
      <c r="D6" s="76"/>
      <c r="E6" s="76"/>
      <c r="F6" s="76">
        <v>400000</v>
      </c>
      <c r="G6" s="76"/>
      <c r="H6" s="76">
        <v>600000</v>
      </c>
      <c r="I6" s="76"/>
      <c r="J6" s="76">
        <v>300000</v>
      </c>
      <c r="K6" s="76"/>
      <c r="L6" s="76">
        <v>600000</v>
      </c>
      <c r="M6" s="76"/>
      <c r="N6" s="76">
        <v>400000</v>
      </c>
      <c r="O6" s="76"/>
    </row>
    <row r="8" spans="1:15" ht="15.75" x14ac:dyDescent="0.3">
      <c r="A8" s="78" t="s">
        <v>10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</row>
    <row r="10" spans="1:15" ht="15.75" x14ac:dyDescent="0.3">
      <c r="A10" s="74" t="s">
        <v>14</v>
      </c>
      <c r="B10" s="74"/>
      <c r="C10" s="74" t="s">
        <v>7</v>
      </c>
      <c r="D10" s="74"/>
      <c r="E10" s="74" t="s">
        <v>8</v>
      </c>
      <c r="F10" s="74"/>
      <c r="G10" s="74" t="s">
        <v>9</v>
      </c>
      <c r="H10" s="74"/>
    </row>
    <row r="11" spans="1:15" x14ac:dyDescent="0.25">
      <c r="A11" s="79">
        <v>1</v>
      </c>
      <c r="B11" s="79"/>
      <c r="C11" s="80">
        <f>(($F$4/(1+5%)^1))</f>
        <v>95238.095238095237</v>
      </c>
      <c r="D11" s="79"/>
      <c r="E11" s="80">
        <f>($F$5/(1+5%)^1)</f>
        <v>190476.19047619047</v>
      </c>
      <c r="F11" s="79"/>
      <c r="G11" s="80">
        <f>($F$6/(1+5%)^1)</f>
        <v>380952.38095238095</v>
      </c>
      <c r="H11" s="79"/>
    </row>
    <row r="12" spans="1:15" x14ac:dyDescent="0.25">
      <c r="A12" s="73">
        <v>2</v>
      </c>
      <c r="B12" s="73"/>
      <c r="C12" s="81">
        <f>(($H$4)/(1+5%)^2)</f>
        <v>136054.42176870749</v>
      </c>
      <c r="D12" s="73"/>
      <c r="E12" s="81">
        <f>($H$5/(1+5%)^2)</f>
        <v>272108.84353741497</v>
      </c>
      <c r="F12" s="73"/>
      <c r="G12" s="81">
        <f>($H$6/(1+5%)^2)</f>
        <v>544217.68707482994</v>
      </c>
      <c r="H12" s="73"/>
    </row>
    <row r="13" spans="1:15" x14ac:dyDescent="0.25">
      <c r="A13" s="79">
        <v>3</v>
      </c>
      <c r="B13" s="79"/>
      <c r="C13" s="80">
        <f>($J$4/(1+5%)^3)</f>
        <v>172767.51970629519</v>
      </c>
      <c r="D13" s="79"/>
      <c r="E13" s="80">
        <f>($J$5/(1+5%)^3)</f>
        <v>302343.15948601661</v>
      </c>
      <c r="F13" s="79"/>
      <c r="G13" s="80">
        <f>($J$6/(1+5%)^3)</f>
        <v>259151.2795594428</v>
      </c>
      <c r="H13" s="79"/>
    </row>
    <row r="14" spans="1:15" x14ac:dyDescent="0.25">
      <c r="A14" s="73">
        <v>4</v>
      </c>
      <c r="B14" s="73"/>
      <c r="C14" s="81">
        <f>($L$4/(1+5%)^4)</f>
        <v>205675.61869797049</v>
      </c>
      <c r="D14" s="73"/>
      <c r="E14" s="81">
        <f>($L$5/(1+5%)^4)</f>
        <v>329080.98991675279</v>
      </c>
      <c r="F14" s="73"/>
      <c r="G14" s="81">
        <f>($L$6/(1+5%)^4)</f>
        <v>493621.48487512919</v>
      </c>
      <c r="H14" s="73"/>
    </row>
    <row r="15" spans="1:15" x14ac:dyDescent="0.25">
      <c r="A15" s="79">
        <v>5</v>
      </c>
      <c r="B15" s="79"/>
      <c r="C15" s="80">
        <f>($N$4/(1+5%)^5)</f>
        <v>235057.84994053768</v>
      </c>
      <c r="D15" s="79"/>
      <c r="E15" s="80">
        <f>($N$5/(1+5%)^5)</f>
        <v>391763.08323422947</v>
      </c>
      <c r="F15" s="79"/>
      <c r="G15" s="80">
        <f>($N$6/(1+5%)^5)</f>
        <v>313410.46658738359</v>
      </c>
      <c r="H15" s="79"/>
    </row>
    <row r="16" spans="1:15" ht="15.75" x14ac:dyDescent="0.3">
      <c r="A16" s="74" t="s">
        <v>13</v>
      </c>
      <c r="B16" s="74"/>
      <c r="C16" s="82">
        <f>SUM(C11:D15)-$C$4</f>
        <v>-155206.49464839383</v>
      </c>
      <c r="D16" s="74"/>
      <c r="E16" s="82">
        <f>SUM(E11:F15)-$C$5</f>
        <v>-14227.73334939545</v>
      </c>
      <c r="F16" s="74"/>
      <c r="G16" s="82">
        <f>SUM(G11:H15)-$C$6</f>
        <v>291353.29904916626</v>
      </c>
      <c r="H16" s="74"/>
    </row>
    <row r="18" spans="1:8" ht="15.75" x14ac:dyDescent="0.3">
      <c r="A18" s="74" t="s">
        <v>15</v>
      </c>
      <c r="B18" s="74"/>
      <c r="C18" s="74" t="s">
        <v>7</v>
      </c>
      <c r="D18" s="74"/>
      <c r="E18" s="74" t="s">
        <v>8</v>
      </c>
      <c r="F18" s="74"/>
      <c r="G18" s="74" t="s">
        <v>9</v>
      </c>
      <c r="H18" s="74"/>
    </row>
    <row r="19" spans="1:8" x14ac:dyDescent="0.25">
      <c r="A19" s="79">
        <v>1</v>
      </c>
      <c r="B19" s="79"/>
      <c r="C19" s="80">
        <f>(($F$4/(1+7%)^1))</f>
        <v>93457.943925233645</v>
      </c>
      <c r="D19" s="79"/>
      <c r="E19" s="80">
        <f>($F$5/(1+7%)^1)</f>
        <v>186915.88785046729</v>
      </c>
      <c r="F19" s="79"/>
      <c r="G19" s="80">
        <f>($F$6/(1+7%)^1)</f>
        <v>373831.77570093458</v>
      </c>
      <c r="H19" s="79"/>
    </row>
    <row r="20" spans="1:8" x14ac:dyDescent="0.25">
      <c r="A20" s="73">
        <v>2</v>
      </c>
      <c r="B20" s="73"/>
      <c r="C20" s="81">
        <f>(($H$4)/(1+7%)^2)</f>
        <v>131015.80924098175</v>
      </c>
      <c r="D20" s="73"/>
      <c r="E20" s="81">
        <f>($H$5/(1+7%)^2)</f>
        <v>262031.61848196349</v>
      </c>
      <c r="F20" s="73"/>
      <c r="G20" s="81">
        <f>($H$6/(1+7%)^2)</f>
        <v>524063.23696392699</v>
      </c>
      <c r="H20" s="73"/>
    </row>
    <row r="21" spans="1:8" x14ac:dyDescent="0.25">
      <c r="A21" s="79">
        <v>3</v>
      </c>
      <c r="B21" s="79"/>
      <c r="C21" s="80">
        <f>($J$4/(1+7%)^3)</f>
        <v>163259.57537817038</v>
      </c>
      <c r="D21" s="79"/>
      <c r="E21" s="80">
        <f>($J$5/(1+7%)^3)</f>
        <v>285704.25691179815</v>
      </c>
      <c r="F21" s="79"/>
      <c r="G21" s="80">
        <f>($J$6/(1+7%)^3)</f>
        <v>244889.36306725559</v>
      </c>
      <c r="H21" s="79"/>
    </row>
    <row r="22" spans="1:8" x14ac:dyDescent="0.25">
      <c r="A22" s="73">
        <v>4</v>
      </c>
      <c r="B22" s="73"/>
      <c r="C22" s="81">
        <f>($L$4/(1+7%)^4)</f>
        <v>190723.8030118813</v>
      </c>
      <c r="D22" s="73"/>
      <c r="E22" s="81">
        <f>($L$5/(1+7%)^4)</f>
        <v>305158.08481901011</v>
      </c>
      <c r="F22" s="73"/>
      <c r="G22" s="81">
        <f>($L$6/(1+7%)^4)</f>
        <v>457737.12722851511</v>
      </c>
      <c r="H22" s="73"/>
    </row>
    <row r="23" spans="1:8" x14ac:dyDescent="0.25">
      <c r="A23" s="79">
        <v>5</v>
      </c>
      <c r="B23" s="79"/>
      <c r="C23" s="80">
        <f>($N$4/(1+7%)^5)</f>
        <v>213895.8538451005</v>
      </c>
      <c r="D23" s="79"/>
      <c r="E23" s="80">
        <f>($N$5/(1+7%)^5)</f>
        <v>356493.08974183415</v>
      </c>
      <c r="F23" s="79"/>
      <c r="G23" s="80">
        <f>($N$6/(1+7%)^5)</f>
        <v>285194.47179346735</v>
      </c>
      <c r="H23" s="79"/>
    </row>
    <row r="24" spans="1:8" ht="15.75" x14ac:dyDescent="0.3">
      <c r="A24" s="74" t="s">
        <v>13</v>
      </c>
      <c r="B24" s="74"/>
      <c r="C24" s="82">
        <f>SUM(C19:D23)-$C$4</f>
        <v>-207647.01459863246</v>
      </c>
      <c r="D24" s="74"/>
      <c r="E24" s="82">
        <f>SUM(E19:F23)-$C$5</f>
        <v>-103697.0621949269</v>
      </c>
      <c r="F24" s="74"/>
      <c r="G24" s="82">
        <f>SUM(G19:H23)-$C$6</f>
        <v>185715.9747540995</v>
      </c>
      <c r="H24" s="74"/>
    </row>
    <row r="26" spans="1:8" ht="15.75" x14ac:dyDescent="0.3">
      <c r="A26" s="74" t="s">
        <v>16</v>
      </c>
      <c r="B26" s="74"/>
      <c r="C26" s="74" t="s">
        <v>7</v>
      </c>
      <c r="D26" s="74"/>
      <c r="E26" s="74" t="s">
        <v>8</v>
      </c>
      <c r="F26" s="74"/>
      <c r="G26" s="74" t="s">
        <v>9</v>
      </c>
      <c r="H26" s="74"/>
    </row>
    <row r="27" spans="1:8" x14ac:dyDescent="0.25">
      <c r="A27" s="79">
        <v>1</v>
      </c>
      <c r="B27" s="79"/>
      <c r="C27" s="80">
        <f>(($F$4/(1+15%)^1))</f>
        <v>86956.521739130447</v>
      </c>
      <c r="D27" s="79"/>
      <c r="E27" s="80">
        <f>($F$5/(1+15%)^1)</f>
        <v>173913.04347826089</v>
      </c>
      <c r="F27" s="79"/>
      <c r="G27" s="80">
        <f>($F$6/(1+15%)^1)</f>
        <v>347826.08695652179</v>
      </c>
      <c r="H27" s="79"/>
    </row>
    <row r="28" spans="1:8" x14ac:dyDescent="0.25">
      <c r="A28" s="73">
        <v>2</v>
      </c>
      <c r="B28" s="73"/>
      <c r="C28" s="81">
        <f>(($H$4)/(1+15%)^2)</f>
        <v>113421.55009451798</v>
      </c>
      <c r="D28" s="73"/>
      <c r="E28" s="81">
        <f>($H$5/(1+15%)^2)</f>
        <v>226843.10018903596</v>
      </c>
      <c r="F28" s="73"/>
      <c r="G28" s="81">
        <f>($H$6/(1+15%)^2)</f>
        <v>453686.20037807192</v>
      </c>
      <c r="H28" s="73"/>
    </row>
    <row r="29" spans="1:8" x14ac:dyDescent="0.25">
      <c r="A29" s="79">
        <v>3</v>
      </c>
      <c r="B29" s="79"/>
      <c r="C29" s="80">
        <f>($J$4/(1+15%)^3)</f>
        <v>131503.24648639766</v>
      </c>
      <c r="D29" s="79"/>
      <c r="E29" s="80">
        <f>($J$5/(1+15%)^3)</f>
        <v>230130.68135119593</v>
      </c>
      <c r="F29" s="79"/>
      <c r="G29" s="80">
        <f>($J$6/(1+15%)^3)</f>
        <v>197254.86972959651</v>
      </c>
      <c r="H29" s="79"/>
    </row>
    <row r="30" spans="1:8" x14ac:dyDescent="0.25">
      <c r="A30" s="73">
        <v>4</v>
      </c>
      <c r="B30" s="73"/>
      <c r="C30" s="81">
        <f>($L$4/(1+15%)^4)</f>
        <v>142938.31139825835</v>
      </c>
      <c r="D30" s="73"/>
      <c r="E30" s="81">
        <f>($L$5/(1+15%)^4)</f>
        <v>228701.29823721334</v>
      </c>
      <c r="F30" s="73"/>
      <c r="G30" s="81">
        <f>($L$6/(1+15%)^4)</f>
        <v>343051.94735582004</v>
      </c>
      <c r="H30" s="73"/>
    </row>
    <row r="31" spans="1:8" x14ac:dyDescent="0.25">
      <c r="A31" s="79">
        <v>5</v>
      </c>
      <c r="B31" s="79"/>
      <c r="C31" s="80">
        <f>($N$4/(1+15%)^5)</f>
        <v>149153.02058948696</v>
      </c>
      <c r="D31" s="79"/>
      <c r="E31" s="80">
        <f>($N$5/(1+15%)^5)</f>
        <v>248588.36764914493</v>
      </c>
      <c r="F31" s="79"/>
      <c r="G31" s="80">
        <f>($N$6/(1+15%)^5)</f>
        <v>198870.69411931594</v>
      </c>
      <c r="H31" s="79"/>
    </row>
    <row r="32" spans="1:8" ht="15.75" x14ac:dyDescent="0.3">
      <c r="A32" s="74" t="s">
        <v>13</v>
      </c>
      <c r="B32" s="74"/>
      <c r="C32" s="82">
        <f>SUM(C27:D31)-$C$4</f>
        <v>-376027.34969220869</v>
      </c>
      <c r="D32" s="74"/>
      <c r="E32" s="82">
        <f>SUM(E27:F31)-$C$5</f>
        <v>-391823.50909514888</v>
      </c>
      <c r="F32" s="74"/>
      <c r="G32" s="82">
        <f>SUM(G27:H31)-$C$6</f>
        <v>-159310.20146067394</v>
      </c>
      <c r="H32" s="74"/>
    </row>
    <row r="34" spans="1:15" ht="15.75" x14ac:dyDescent="0.3">
      <c r="A34" s="78" t="s">
        <v>17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6" spans="1:15" ht="15.75" x14ac:dyDescent="0.3">
      <c r="A36" s="74" t="s">
        <v>14</v>
      </c>
      <c r="B36" s="74"/>
      <c r="C36" s="74" t="s">
        <v>7</v>
      </c>
      <c r="D36" s="74"/>
      <c r="E36" s="74" t="s">
        <v>8</v>
      </c>
      <c r="F36" s="74"/>
      <c r="G36" s="74" t="s">
        <v>9</v>
      </c>
      <c r="H36" s="74"/>
    </row>
    <row r="37" spans="1:15" x14ac:dyDescent="0.25">
      <c r="A37" s="79">
        <v>1</v>
      </c>
      <c r="B37" s="79"/>
      <c r="C37" s="80">
        <f>(($F$4/(1+5%)^1))</f>
        <v>95238.095238095237</v>
      </c>
      <c r="D37" s="79"/>
      <c r="E37" s="80">
        <f>($F$5/(1+5%)^1)</f>
        <v>190476.19047619047</v>
      </c>
      <c r="F37" s="79"/>
      <c r="G37" s="80">
        <f>($F$6/(1+5%)^1)</f>
        <v>380952.38095238095</v>
      </c>
      <c r="H37" s="79"/>
    </row>
    <row r="38" spans="1:15" x14ac:dyDescent="0.25">
      <c r="A38" s="73">
        <v>2</v>
      </c>
      <c r="B38" s="73"/>
      <c r="C38" s="81">
        <f>(($H$4)/(1+5%)^2)</f>
        <v>136054.42176870749</v>
      </c>
      <c r="D38" s="73"/>
      <c r="E38" s="81">
        <f>($H$5/(1+5%)^2)</f>
        <v>272108.84353741497</v>
      </c>
      <c r="F38" s="73"/>
      <c r="G38" s="81">
        <f>($H$6/(1+5%)^2)</f>
        <v>544217.68707482994</v>
      </c>
      <c r="H38" s="73"/>
    </row>
    <row r="39" spans="1:15" x14ac:dyDescent="0.25">
      <c r="A39" s="79">
        <v>3</v>
      </c>
      <c r="B39" s="79"/>
      <c r="C39" s="80">
        <f>($J$4/(1+5%)^3)</f>
        <v>172767.51970629519</v>
      </c>
      <c r="D39" s="79"/>
      <c r="E39" s="80">
        <f>($J$5/(1+5%)^3)</f>
        <v>302343.15948601661</v>
      </c>
      <c r="F39" s="79"/>
      <c r="G39" s="80">
        <f>($J$6/(1+5%)^3)</f>
        <v>259151.2795594428</v>
      </c>
      <c r="H39" s="79"/>
    </row>
    <row r="40" spans="1:15" x14ac:dyDescent="0.25">
      <c r="A40" s="73">
        <v>4</v>
      </c>
      <c r="B40" s="73"/>
      <c r="C40" s="81">
        <f>($L$4/(1+5%)^4)</f>
        <v>205675.61869797049</v>
      </c>
      <c r="D40" s="73"/>
      <c r="E40" s="81">
        <f>($L$5/(1+5%)^4)</f>
        <v>329080.98991675279</v>
      </c>
      <c r="F40" s="73"/>
      <c r="G40" s="81">
        <f>($L$6/(1+5%)^4)</f>
        <v>493621.48487512919</v>
      </c>
      <c r="H40" s="73"/>
    </row>
    <row r="41" spans="1:15" x14ac:dyDescent="0.25">
      <c r="A41" s="79">
        <v>5</v>
      </c>
      <c r="B41" s="79"/>
      <c r="C41" s="80">
        <f>($N$4/(1+5%)^5)</f>
        <v>235057.84994053768</v>
      </c>
      <c r="D41" s="79"/>
      <c r="E41" s="80">
        <f>($N$5/(1+5%)^5)</f>
        <v>391763.08323422947</v>
      </c>
      <c r="F41" s="79"/>
      <c r="G41" s="80">
        <f>($N$6/(1+5%)^5)</f>
        <v>313410.46658738359</v>
      </c>
      <c r="H41" s="79"/>
    </row>
    <row r="42" spans="1:15" ht="15.75" x14ac:dyDescent="0.3">
      <c r="A42" s="74" t="s">
        <v>18</v>
      </c>
      <c r="B42" s="74"/>
      <c r="C42" s="82">
        <f>SUM(C37:D41)</f>
        <v>844793.50535160617</v>
      </c>
      <c r="D42" s="74"/>
      <c r="E42" s="82">
        <f>SUM(E37:F41)</f>
        <v>1485772.2666506045</v>
      </c>
      <c r="F42" s="74"/>
      <c r="G42" s="82">
        <f>SUM(G37:H41)</f>
        <v>1991353.2990491663</v>
      </c>
      <c r="H42" s="74"/>
    </row>
    <row r="44" spans="1:15" ht="15.75" x14ac:dyDescent="0.3">
      <c r="A44" s="74" t="s">
        <v>15</v>
      </c>
      <c r="B44" s="74"/>
      <c r="C44" s="74" t="s">
        <v>7</v>
      </c>
      <c r="D44" s="74"/>
      <c r="E44" s="74" t="s">
        <v>8</v>
      </c>
      <c r="F44" s="74"/>
      <c r="G44" s="74" t="s">
        <v>9</v>
      </c>
      <c r="H44" s="74"/>
    </row>
    <row r="45" spans="1:15" x14ac:dyDescent="0.25">
      <c r="A45" s="79">
        <v>1</v>
      </c>
      <c r="B45" s="79"/>
      <c r="C45" s="80">
        <f>(($F$4/(1+7%)^1))</f>
        <v>93457.943925233645</v>
      </c>
      <c r="D45" s="79"/>
      <c r="E45" s="80">
        <f>($F$5/(1+7%)^1)</f>
        <v>186915.88785046729</v>
      </c>
      <c r="F45" s="79"/>
      <c r="G45" s="80">
        <f>($F$6/(1+7%)^1)</f>
        <v>373831.77570093458</v>
      </c>
      <c r="H45" s="79"/>
    </row>
    <row r="46" spans="1:15" x14ac:dyDescent="0.25">
      <c r="A46" s="73">
        <v>2</v>
      </c>
      <c r="B46" s="73"/>
      <c r="C46" s="81">
        <f>(($H$4)/(1+7%)^2)</f>
        <v>131015.80924098175</v>
      </c>
      <c r="D46" s="73"/>
      <c r="E46" s="81">
        <f>($H$5/(1+7%)^2)</f>
        <v>262031.61848196349</v>
      </c>
      <c r="F46" s="73"/>
      <c r="G46" s="81">
        <f>($H$6/(1+7%)^2)</f>
        <v>524063.23696392699</v>
      </c>
      <c r="H46" s="73"/>
    </row>
    <row r="47" spans="1:15" x14ac:dyDescent="0.25">
      <c r="A47" s="79">
        <v>3</v>
      </c>
      <c r="B47" s="79"/>
      <c r="C47" s="80">
        <f>($J$4/(1+7%)^3)</f>
        <v>163259.57537817038</v>
      </c>
      <c r="D47" s="79"/>
      <c r="E47" s="80">
        <f>($J$5/(1+7%)^3)</f>
        <v>285704.25691179815</v>
      </c>
      <c r="F47" s="79"/>
      <c r="G47" s="80">
        <f>($J$6/(1+7%)^3)</f>
        <v>244889.36306725559</v>
      </c>
      <c r="H47" s="79"/>
    </row>
    <row r="48" spans="1:15" x14ac:dyDescent="0.25">
      <c r="A48" s="73">
        <v>4</v>
      </c>
      <c r="B48" s="73"/>
      <c r="C48" s="81">
        <f>($L$4/(1+7%)^4)</f>
        <v>190723.8030118813</v>
      </c>
      <c r="D48" s="73"/>
      <c r="E48" s="81">
        <f>($L$5/(1+7%)^4)</f>
        <v>305158.08481901011</v>
      </c>
      <c r="F48" s="73"/>
      <c r="G48" s="81">
        <f>($L$6/(1+7%)^4)</f>
        <v>457737.12722851511</v>
      </c>
      <c r="H48" s="73"/>
    </row>
    <row r="49" spans="1:15" x14ac:dyDescent="0.25">
      <c r="A49" s="79">
        <v>5</v>
      </c>
      <c r="B49" s="79"/>
      <c r="C49" s="80">
        <f>($N$4/(1+7%)^5)</f>
        <v>213895.8538451005</v>
      </c>
      <c r="D49" s="79"/>
      <c r="E49" s="80">
        <f>($N$5/(1+7%)^5)</f>
        <v>356493.08974183415</v>
      </c>
      <c r="F49" s="79"/>
      <c r="G49" s="80">
        <f>($N$6/(1+7%)^5)</f>
        <v>285194.47179346735</v>
      </c>
      <c r="H49" s="79"/>
    </row>
    <row r="50" spans="1:15" ht="15.75" x14ac:dyDescent="0.3">
      <c r="A50" s="74" t="s">
        <v>18</v>
      </c>
      <c r="B50" s="74"/>
      <c r="C50" s="82">
        <f>SUM(C45:D49)</f>
        <v>792352.98540136754</v>
      </c>
      <c r="D50" s="74"/>
      <c r="E50" s="82">
        <f>SUM(E45:F49)</f>
        <v>1396302.9378050731</v>
      </c>
      <c r="F50" s="74"/>
      <c r="G50" s="82">
        <f>SUM(G45:H49)</f>
        <v>1885715.9747540995</v>
      </c>
      <c r="H50" s="74"/>
    </row>
    <row r="52" spans="1:15" ht="15.75" x14ac:dyDescent="0.3">
      <c r="A52" s="74" t="s">
        <v>16</v>
      </c>
      <c r="B52" s="74"/>
      <c r="C52" s="74" t="s">
        <v>7</v>
      </c>
      <c r="D52" s="74"/>
      <c r="E52" s="74" t="s">
        <v>8</v>
      </c>
      <c r="F52" s="74"/>
      <c r="G52" s="74" t="s">
        <v>9</v>
      </c>
      <c r="H52" s="74"/>
    </row>
    <row r="53" spans="1:15" x14ac:dyDescent="0.25">
      <c r="A53" s="79">
        <v>1</v>
      </c>
      <c r="B53" s="79"/>
      <c r="C53" s="80">
        <f>(($F$4/(1+15%)^1))</f>
        <v>86956.521739130447</v>
      </c>
      <c r="D53" s="79"/>
      <c r="E53" s="80">
        <f>($F$5/(1+15%)^1)</f>
        <v>173913.04347826089</v>
      </c>
      <c r="F53" s="79"/>
      <c r="G53" s="80">
        <f>($F$6/(1+15%)^1)</f>
        <v>347826.08695652179</v>
      </c>
      <c r="H53" s="79"/>
    </row>
    <row r="54" spans="1:15" x14ac:dyDescent="0.25">
      <c r="A54" s="73">
        <v>2</v>
      </c>
      <c r="B54" s="73"/>
      <c r="C54" s="81">
        <f>(($H$4)/(1+15%)^2)</f>
        <v>113421.55009451798</v>
      </c>
      <c r="D54" s="73"/>
      <c r="E54" s="81">
        <f>($H$5/(1+15%)^2)</f>
        <v>226843.10018903596</v>
      </c>
      <c r="F54" s="73"/>
      <c r="G54" s="81">
        <f>($H$6/(1+15%)^2)</f>
        <v>453686.20037807192</v>
      </c>
      <c r="H54" s="73"/>
    </row>
    <row r="55" spans="1:15" x14ac:dyDescent="0.25">
      <c r="A55" s="79">
        <v>3</v>
      </c>
      <c r="B55" s="79"/>
      <c r="C55" s="80">
        <f>($J$4/(1+15%)^3)</f>
        <v>131503.24648639766</v>
      </c>
      <c r="D55" s="79"/>
      <c r="E55" s="80">
        <f>($J$5/(1+15%)^3)</f>
        <v>230130.68135119593</v>
      </c>
      <c r="F55" s="79"/>
      <c r="G55" s="80">
        <f>($J$6/(1+15%)^3)</f>
        <v>197254.86972959651</v>
      </c>
      <c r="H55" s="79"/>
    </row>
    <row r="56" spans="1:15" x14ac:dyDescent="0.25">
      <c r="A56" s="73">
        <v>4</v>
      </c>
      <c r="B56" s="73"/>
      <c r="C56" s="81">
        <f>($L$4/(1+15%)^4)</f>
        <v>142938.31139825835</v>
      </c>
      <c r="D56" s="73"/>
      <c r="E56" s="81">
        <f>($L$5/(1+15%)^4)</f>
        <v>228701.29823721334</v>
      </c>
      <c r="F56" s="73"/>
      <c r="G56" s="81">
        <f>($L$6/(1+15%)^4)</f>
        <v>343051.94735582004</v>
      </c>
      <c r="H56" s="73"/>
    </row>
    <row r="57" spans="1:15" x14ac:dyDescent="0.25">
      <c r="A57" s="79">
        <v>5</v>
      </c>
      <c r="B57" s="79"/>
      <c r="C57" s="80">
        <f>($N$4/(1+15%)^5)</f>
        <v>149153.02058948696</v>
      </c>
      <c r="D57" s="79"/>
      <c r="E57" s="80">
        <f>($N$5/(1+15%)^5)</f>
        <v>248588.36764914493</v>
      </c>
      <c r="F57" s="79"/>
      <c r="G57" s="80">
        <f>($N$6/(1+15%)^5)</f>
        <v>198870.69411931594</v>
      </c>
      <c r="H57" s="79"/>
    </row>
    <row r="58" spans="1:15" ht="15.75" x14ac:dyDescent="0.3">
      <c r="A58" s="74" t="s">
        <v>18</v>
      </c>
      <c r="B58" s="74"/>
      <c r="C58" s="82">
        <f>SUM(C53:D57)</f>
        <v>623972.65030779131</v>
      </c>
      <c r="D58" s="74"/>
      <c r="E58" s="82">
        <f>SUM(E53:F57)</f>
        <v>1108176.4909048511</v>
      </c>
      <c r="F58" s="74"/>
      <c r="G58" s="82">
        <f>SUM(G53:H57)</f>
        <v>1540689.7985393261</v>
      </c>
      <c r="H58" s="74"/>
    </row>
    <row r="60" spans="1:15" ht="15.75" x14ac:dyDescent="0.3">
      <c r="A60" s="78" t="s">
        <v>19</v>
      </c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2" spans="1:15" x14ac:dyDescent="0.25">
      <c r="A62" s="83" t="s">
        <v>20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</row>
    <row r="63" spans="1:15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</row>
  </sheetData>
  <mergeCells count="201">
    <mergeCell ref="A58:B58"/>
    <mergeCell ref="C58:D58"/>
    <mergeCell ref="E58:F58"/>
    <mergeCell ref="G58:H58"/>
    <mergeCell ref="A60:O60"/>
    <mergeCell ref="A62:O63"/>
    <mergeCell ref="A56:B56"/>
    <mergeCell ref="C56:D56"/>
    <mergeCell ref="E56:F56"/>
    <mergeCell ref="G56:H56"/>
    <mergeCell ref="A57:B57"/>
    <mergeCell ref="C57:D57"/>
    <mergeCell ref="E57:F57"/>
    <mergeCell ref="G57:H57"/>
    <mergeCell ref="A54:B54"/>
    <mergeCell ref="C54:D54"/>
    <mergeCell ref="E54:F54"/>
    <mergeCell ref="G54:H54"/>
    <mergeCell ref="A55:B55"/>
    <mergeCell ref="C55:D55"/>
    <mergeCell ref="E55:F55"/>
    <mergeCell ref="G55:H55"/>
    <mergeCell ref="A52:B52"/>
    <mergeCell ref="C52:D52"/>
    <mergeCell ref="E52:F52"/>
    <mergeCell ref="G52:H52"/>
    <mergeCell ref="A53:B53"/>
    <mergeCell ref="C53:D53"/>
    <mergeCell ref="E53:F53"/>
    <mergeCell ref="G53:H53"/>
    <mergeCell ref="A49:B49"/>
    <mergeCell ref="C49:D49"/>
    <mergeCell ref="E49:F49"/>
    <mergeCell ref="G49:H49"/>
    <mergeCell ref="A50:B50"/>
    <mergeCell ref="C50:D50"/>
    <mergeCell ref="E50:F50"/>
    <mergeCell ref="G50:H50"/>
    <mergeCell ref="A47:B47"/>
    <mergeCell ref="C47:D47"/>
    <mergeCell ref="E47:F47"/>
    <mergeCell ref="G47:H47"/>
    <mergeCell ref="A48:B48"/>
    <mergeCell ref="C48:D48"/>
    <mergeCell ref="E48:F48"/>
    <mergeCell ref="G48:H48"/>
    <mergeCell ref="A45:B45"/>
    <mergeCell ref="C45:D45"/>
    <mergeCell ref="E45:F45"/>
    <mergeCell ref="G45:H45"/>
    <mergeCell ref="A46:B46"/>
    <mergeCell ref="C46:D46"/>
    <mergeCell ref="E46:F46"/>
    <mergeCell ref="G46:H46"/>
    <mergeCell ref="A42:B42"/>
    <mergeCell ref="C42:D42"/>
    <mergeCell ref="E42:F42"/>
    <mergeCell ref="G42:H42"/>
    <mergeCell ref="A44:B44"/>
    <mergeCell ref="C44:D44"/>
    <mergeCell ref="E44:F44"/>
    <mergeCell ref="G44:H44"/>
    <mergeCell ref="A40:B40"/>
    <mergeCell ref="C40:D40"/>
    <mergeCell ref="E40:F40"/>
    <mergeCell ref="G40:H40"/>
    <mergeCell ref="A41:B41"/>
    <mergeCell ref="C41:D41"/>
    <mergeCell ref="E41:F41"/>
    <mergeCell ref="G41:H41"/>
    <mergeCell ref="A38:B38"/>
    <mergeCell ref="C38:D38"/>
    <mergeCell ref="E38:F38"/>
    <mergeCell ref="G38:H38"/>
    <mergeCell ref="A39:B39"/>
    <mergeCell ref="C39:D39"/>
    <mergeCell ref="E39:F39"/>
    <mergeCell ref="G39:H39"/>
    <mergeCell ref="A34:O34"/>
    <mergeCell ref="A36:B36"/>
    <mergeCell ref="C36:D36"/>
    <mergeCell ref="E36:F36"/>
    <mergeCell ref="G36:H36"/>
    <mergeCell ref="A37:B37"/>
    <mergeCell ref="C37:D37"/>
    <mergeCell ref="E37:F37"/>
    <mergeCell ref="G37:H37"/>
    <mergeCell ref="A31:B31"/>
    <mergeCell ref="C31:D31"/>
    <mergeCell ref="E31:F31"/>
    <mergeCell ref="G31:H31"/>
    <mergeCell ref="A32:B32"/>
    <mergeCell ref="C32:D32"/>
    <mergeCell ref="E32:F32"/>
    <mergeCell ref="G32:H32"/>
    <mergeCell ref="A29:B29"/>
    <mergeCell ref="C29:D29"/>
    <mergeCell ref="E29:F29"/>
    <mergeCell ref="G29:H29"/>
    <mergeCell ref="A30:B30"/>
    <mergeCell ref="C30:D30"/>
    <mergeCell ref="E30:F30"/>
    <mergeCell ref="G30:H30"/>
    <mergeCell ref="A27:B27"/>
    <mergeCell ref="C27:D27"/>
    <mergeCell ref="E27:F27"/>
    <mergeCell ref="G27:H27"/>
    <mergeCell ref="A28:B28"/>
    <mergeCell ref="C28:D28"/>
    <mergeCell ref="E28:F28"/>
    <mergeCell ref="G28:H28"/>
    <mergeCell ref="A24:B24"/>
    <mergeCell ref="C24:D24"/>
    <mergeCell ref="E24:F24"/>
    <mergeCell ref="G24:H24"/>
    <mergeCell ref="A26:B26"/>
    <mergeCell ref="C26:D26"/>
    <mergeCell ref="E26:F26"/>
    <mergeCell ref="G26:H26"/>
    <mergeCell ref="A22:B22"/>
    <mergeCell ref="C22:D22"/>
    <mergeCell ref="E22:F22"/>
    <mergeCell ref="G22:H22"/>
    <mergeCell ref="A23:B23"/>
    <mergeCell ref="C23:D23"/>
    <mergeCell ref="E23:F23"/>
    <mergeCell ref="G23:H23"/>
    <mergeCell ref="A20:B20"/>
    <mergeCell ref="C20:D20"/>
    <mergeCell ref="E20:F20"/>
    <mergeCell ref="G20:H20"/>
    <mergeCell ref="A21:B21"/>
    <mergeCell ref="C21:D21"/>
    <mergeCell ref="E21:F21"/>
    <mergeCell ref="G21:H21"/>
    <mergeCell ref="A18:B18"/>
    <mergeCell ref="C18:D18"/>
    <mergeCell ref="E18:F18"/>
    <mergeCell ref="G18:H18"/>
    <mergeCell ref="A19:B19"/>
    <mergeCell ref="C19:D19"/>
    <mergeCell ref="E19:F19"/>
    <mergeCell ref="G19:H19"/>
    <mergeCell ref="G12:H12"/>
    <mergeCell ref="G13:H13"/>
    <mergeCell ref="G14:H14"/>
    <mergeCell ref="G15:H15"/>
    <mergeCell ref="A16:B16"/>
    <mergeCell ref="C16:D16"/>
    <mergeCell ref="E16:F16"/>
    <mergeCell ref="G16:H16"/>
    <mergeCell ref="A14:B14"/>
    <mergeCell ref="A15:B15"/>
    <mergeCell ref="C14:D14"/>
    <mergeCell ref="C15:D15"/>
    <mergeCell ref="E15:F15"/>
    <mergeCell ref="E14:F14"/>
    <mergeCell ref="E13:F13"/>
    <mergeCell ref="E12:F12"/>
    <mergeCell ref="A11:B11"/>
    <mergeCell ref="A12:B12"/>
    <mergeCell ref="A13:B13"/>
    <mergeCell ref="E10:F10"/>
    <mergeCell ref="G10:H10"/>
    <mergeCell ref="C11:D11"/>
    <mergeCell ref="C12:D12"/>
    <mergeCell ref="C13:D13"/>
    <mergeCell ref="E11:F11"/>
    <mergeCell ref="G11:H11"/>
    <mergeCell ref="A10:B10"/>
    <mergeCell ref="C10:D10"/>
    <mergeCell ref="J4:K4"/>
    <mergeCell ref="J5:K5"/>
    <mergeCell ref="J6:K6"/>
    <mergeCell ref="L4:M4"/>
    <mergeCell ref="L5:M5"/>
    <mergeCell ref="L6:M6"/>
    <mergeCell ref="F4:G4"/>
    <mergeCell ref="F5:G5"/>
    <mergeCell ref="F6:G6"/>
    <mergeCell ref="H4:I4"/>
    <mergeCell ref="H5:I5"/>
    <mergeCell ref="H6:I6"/>
    <mergeCell ref="A5:B5"/>
    <mergeCell ref="A6:B6"/>
    <mergeCell ref="C4:E4"/>
    <mergeCell ref="C5:E5"/>
    <mergeCell ref="C6:E6"/>
    <mergeCell ref="N4:O4"/>
    <mergeCell ref="N5:O5"/>
    <mergeCell ref="N6:O6"/>
    <mergeCell ref="A8:O8"/>
    <mergeCell ref="A1:O1"/>
    <mergeCell ref="A3:B3"/>
    <mergeCell ref="C3:E3"/>
    <mergeCell ref="F3:G3"/>
    <mergeCell ref="H3:I3"/>
    <mergeCell ref="J3:K3"/>
    <mergeCell ref="L3:M3"/>
    <mergeCell ref="N3:O3"/>
    <mergeCell ref="A4:B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F45F-4A06-4BBE-9674-4D7FB3B016C4}">
  <dimension ref="A1:J76"/>
  <sheetViews>
    <sheetView showGridLines="0" topLeftCell="A10" workbookViewId="0">
      <selection activeCell="I1" sqref="I1"/>
    </sheetView>
  </sheetViews>
  <sheetFormatPr baseColWidth="10" defaultRowHeight="15" x14ac:dyDescent="0.25"/>
  <cols>
    <col min="1" max="1" width="11.5703125" style="1" bestFit="1" customWidth="1"/>
    <col min="2" max="3" width="18.140625" style="1" bestFit="1" customWidth="1"/>
    <col min="4" max="4" width="11.42578125" style="1"/>
    <col min="5" max="5" width="11.5703125" style="1" bestFit="1" customWidth="1"/>
    <col min="6" max="7" width="18.140625" style="1" bestFit="1" customWidth="1"/>
    <col min="8" max="16384" width="11.42578125" style="1"/>
  </cols>
  <sheetData>
    <row r="1" spans="1:10" x14ac:dyDescent="0.25">
      <c r="A1" s="7" t="s">
        <v>21</v>
      </c>
      <c r="B1" s="87" t="s">
        <v>22</v>
      </c>
      <c r="C1" s="87"/>
      <c r="D1" s="87" t="s">
        <v>23</v>
      </c>
      <c r="E1" s="87"/>
    </row>
    <row r="2" spans="1:10" x14ac:dyDescent="0.25">
      <c r="A2" s="8">
        <v>0</v>
      </c>
      <c r="B2" s="85">
        <v>-120000</v>
      </c>
      <c r="C2" s="85"/>
      <c r="D2" s="85">
        <v>-120000</v>
      </c>
      <c r="E2" s="85"/>
    </row>
    <row r="3" spans="1:10" x14ac:dyDescent="0.25">
      <c r="A3" s="7">
        <v>1</v>
      </c>
      <c r="B3" s="86">
        <v>70000</v>
      </c>
      <c r="C3" s="86"/>
      <c r="D3" s="86">
        <v>10000</v>
      </c>
      <c r="E3" s="86"/>
    </row>
    <row r="4" spans="1:10" x14ac:dyDescent="0.25">
      <c r="A4" s="8">
        <v>2</v>
      </c>
      <c r="B4" s="85">
        <v>40000</v>
      </c>
      <c r="C4" s="85"/>
      <c r="D4" s="85">
        <v>20000</v>
      </c>
      <c r="E4" s="85"/>
    </row>
    <row r="5" spans="1:10" x14ac:dyDescent="0.25">
      <c r="A5" s="7">
        <v>3</v>
      </c>
      <c r="B5" s="86">
        <v>30000</v>
      </c>
      <c r="C5" s="86"/>
      <c r="D5" s="86">
        <v>30000</v>
      </c>
      <c r="E5" s="86"/>
    </row>
    <row r="6" spans="1:10" x14ac:dyDescent="0.25">
      <c r="A6" s="8">
        <v>4</v>
      </c>
      <c r="B6" s="85">
        <v>10000</v>
      </c>
      <c r="C6" s="85"/>
      <c r="D6" s="85">
        <v>50000</v>
      </c>
      <c r="E6" s="85"/>
    </row>
    <row r="7" spans="1:10" x14ac:dyDescent="0.25">
      <c r="A7" s="7">
        <v>5</v>
      </c>
      <c r="B7" s="86">
        <v>10000</v>
      </c>
      <c r="C7" s="86"/>
      <c r="D7" s="86">
        <v>80000</v>
      </c>
      <c r="E7" s="86"/>
    </row>
    <row r="9" spans="1:10" ht="15.75" customHeight="1" x14ac:dyDescent="0.25">
      <c r="A9" s="84" t="s">
        <v>26</v>
      </c>
      <c r="B9" s="84"/>
      <c r="C9" s="84"/>
      <c r="D9" s="84"/>
      <c r="E9" s="84"/>
      <c r="F9" s="84"/>
      <c r="G9" s="84"/>
      <c r="H9" s="84"/>
      <c r="I9" s="84"/>
      <c r="J9" s="84"/>
    </row>
    <row r="10" spans="1:10" ht="15" customHeight="1" x14ac:dyDescent="0.25">
      <c r="A10" s="84"/>
      <c r="B10" s="84"/>
      <c r="C10" s="84"/>
      <c r="D10" s="84"/>
      <c r="E10" s="84"/>
      <c r="F10" s="84"/>
      <c r="G10" s="84"/>
      <c r="H10" s="84"/>
      <c r="I10" s="84"/>
      <c r="J10" s="84"/>
    </row>
    <row r="12" spans="1:10" ht="15.75" x14ac:dyDescent="0.3">
      <c r="A12" s="74" t="s">
        <v>22</v>
      </c>
      <c r="B12" s="74"/>
      <c r="C12" s="74"/>
      <c r="D12" s="74"/>
      <c r="E12" s="74"/>
      <c r="F12" s="74"/>
      <c r="G12" s="74"/>
      <c r="H12" s="74"/>
      <c r="I12" s="74"/>
      <c r="J12" s="74"/>
    </row>
    <row r="13" spans="1:10" x14ac:dyDescent="0.25">
      <c r="A13" s="5" t="s">
        <v>21</v>
      </c>
      <c r="B13" s="5" t="s">
        <v>12</v>
      </c>
      <c r="C13" s="89">
        <v>0</v>
      </c>
      <c r="D13" s="79"/>
      <c r="E13" s="89">
        <v>0.06</v>
      </c>
      <c r="F13" s="79"/>
      <c r="G13" s="89">
        <v>0.1</v>
      </c>
      <c r="H13" s="79"/>
      <c r="I13" s="89">
        <v>0.2</v>
      </c>
      <c r="J13" s="79"/>
    </row>
    <row r="14" spans="1:10" x14ac:dyDescent="0.25">
      <c r="A14" s="6">
        <v>1</v>
      </c>
      <c r="B14" s="12"/>
      <c r="C14" s="81">
        <f>(B3/(1+$C$13)^A14)</f>
        <v>70000</v>
      </c>
      <c r="D14" s="73"/>
      <c r="E14" s="81">
        <f>(B3/(1+$E$13)^A14)</f>
        <v>66037.735849056597</v>
      </c>
      <c r="F14" s="73"/>
      <c r="G14" s="81">
        <f>(B3/(1+$G$13)^A14)</f>
        <v>63636.363636363632</v>
      </c>
      <c r="H14" s="73"/>
      <c r="I14" s="81">
        <f>(B3/(1+$I$13)^A14)</f>
        <v>58333.333333333336</v>
      </c>
      <c r="J14" s="73"/>
    </row>
    <row r="15" spans="1:10" x14ac:dyDescent="0.25">
      <c r="A15" s="5">
        <v>2</v>
      </c>
      <c r="B15" s="4"/>
      <c r="C15" s="80">
        <f t="shared" ref="C15:C18" si="0">(B4/(1+$C$13)^A15)</f>
        <v>40000</v>
      </c>
      <c r="D15" s="79"/>
      <c r="E15" s="80">
        <f t="shared" ref="E15:E18" si="1">(B4/(1+$E$13)^A15)</f>
        <v>35599.857600569594</v>
      </c>
      <c r="F15" s="79"/>
      <c r="G15" s="80">
        <f t="shared" ref="G15:G18" si="2">(B4/(1+$G$13)^A15)</f>
        <v>33057.851239669413</v>
      </c>
      <c r="H15" s="79"/>
      <c r="I15" s="80">
        <f t="shared" ref="I15:I18" si="3">(B4/(1+$I$13)^A15)</f>
        <v>27777.777777777777</v>
      </c>
      <c r="J15" s="79"/>
    </row>
    <row r="16" spans="1:10" x14ac:dyDescent="0.25">
      <c r="A16" s="6">
        <v>3</v>
      </c>
      <c r="B16" s="12"/>
      <c r="C16" s="81">
        <f t="shared" si="0"/>
        <v>30000</v>
      </c>
      <c r="D16" s="73"/>
      <c r="E16" s="81">
        <f t="shared" si="1"/>
        <v>25188.578490969048</v>
      </c>
      <c r="F16" s="73"/>
      <c r="G16" s="81">
        <f t="shared" si="2"/>
        <v>22539.444027047324</v>
      </c>
      <c r="H16" s="73"/>
      <c r="I16" s="81">
        <f t="shared" si="3"/>
        <v>17361.111111111109</v>
      </c>
      <c r="J16" s="73"/>
    </row>
    <row r="17" spans="1:10" x14ac:dyDescent="0.25">
      <c r="A17" s="5">
        <v>4</v>
      </c>
      <c r="B17" s="4"/>
      <c r="C17" s="80">
        <f t="shared" si="0"/>
        <v>10000</v>
      </c>
      <c r="D17" s="79"/>
      <c r="E17" s="80">
        <f t="shared" si="1"/>
        <v>7920.9366323802042</v>
      </c>
      <c r="F17" s="79"/>
      <c r="G17" s="80">
        <f t="shared" si="2"/>
        <v>6830.1345536507051</v>
      </c>
      <c r="H17" s="79"/>
      <c r="I17" s="80">
        <f t="shared" si="3"/>
        <v>4822.5308641975307</v>
      </c>
      <c r="J17" s="79"/>
    </row>
    <row r="18" spans="1:10" x14ac:dyDescent="0.25">
      <c r="A18" s="6">
        <v>5</v>
      </c>
      <c r="B18" s="12"/>
      <c r="C18" s="81">
        <f t="shared" si="0"/>
        <v>10000</v>
      </c>
      <c r="D18" s="73"/>
      <c r="E18" s="81">
        <f t="shared" si="1"/>
        <v>7472.5817286605688</v>
      </c>
      <c r="F18" s="73"/>
      <c r="G18" s="81">
        <f t="shared" si="2"/>
        <v>6209.2132305915493</v>
      </c>
      <c r="H18" s="73"/>
      <c r="I18" s="81">
        <f t="shared" si="3"/>
        <v>4018.7757201646091</v>
      </c>
      <c r="J18" s="73"/>
    </row>
    <row r="19" spans="1:10" ht="15.75" x14ac:dyDescent="0.3">
      <c r="A19" s="75" t="s">
        <v>13</v>
      </c>
      <c r="B19" s="75"/>
      <c r="C19" s="88">
        <f>SUM(C14:D18)+B2</f>
        <v>40000</v>
      </c>
      <c r="D19" s="75"/>
      <c r="E19" s="88">
        <f>SUM(E14:F18)+B2</f>
        <v>22219.690301636001</v>
      </c>
      <c r="F19" s="75"/>
      <c r="G19" s="88">
        <f>SUM(G14:H18)+B2</f>
        <v>12273.006687322631</v>
      </c>
      <c r="H19" s="75"/>
      <c r="I19" s="88">
        <f>SUM(I14:J18)+B2</f>
        <v>-7686.4711934156367</v>
      </c>
      <c r="J19" s="75"/>
    </row>
    <row r="21" spans="1:10" ht="15.75" x14ac:dyDescent="0.3">
      <c r="A21" s="74" t="s">
        <v>24</v>
      </c>
      <c r="B21" s="74"/>
      <c r="C21" s="74"/>
      <c r="D21" s="74"/>
      <c r="E21" s="74"/>
      <c r="F21" s="74"/>
      <c r="G21" s="74"/>
      <c r="H21" s="74"/>
      <c r="I21" s="74"/>
      <c r="J21" s="74"/>
    </row>
    <row r="22" spans="1:10" x14ac:dyDescent="0.25">
      <c r="A22" s="5" t="s">
        <v>21</v>
      </c>
      <c r="B22" s="5" t="s">
        <v>12</v>
      </c>
      <c r="C22" s="89">
        <v>0</v>
      </c>
      <c r="D22" s="79"/>
      <c r="E22" s="89">
        <v>0.06</v>
      </c>
      <c r="F22" s="79"/>
      <c r="G22" s="89">
        <v>0.1</v>
      </c>
      <c r="H22" s="79"/>
      <c r="I22" s="89">
        <v>0.2</v>
      </c>
      <c r="J22" s="79"/>
    </row>
    <row r="23" spans="1:10" x14ac:dyDescent="0.25">
      <c r="A23" s="6">
        <v>1</v>
      </c>
      <c r="B23" s="12"/>
      <c r="C23" s="81">
        <f>(D3/(1+$C$13)^A23)</f>
        <v>10000</v>
      </c>
      <c r="D23" s="73"/>
      <c r="E23" s="81">
        <f>(D3/(1+$E$13)^A23)</f>
        <v>9433.9622641509432</v>
      </c>
      <c r="F23" s="73"/>
      <c r="G23" s="81">
        <f>(D3/(1+$G$13)^A23)</f>
        <v>9090.9090909090901</v>
      </c>
      <c r="H23" s="73"/>
      <c r="I23" s="81">
        <f>(D3/(1+$I$13)^A23)</f>
        <v>8333.3333333333339</v>
      </c>
      <c r="J23" s="73"/>
    </row>
    <row r="24" spans="1:10" x14ac:dyDescent="0.25">
      <c r="A24" s="5">
        <v>2</v>
      </c>
      <c r="B24" s="4"/>
      <c r="C24" s="80">
        <f t="shared" ref="C24:C27" si="4">(D4/(1+$C$13)^A24)</f>
        <v>20000</v>
      </c>
      <c r="D24" s="79"/>
      <c r="E24" s="80">
        <f>(D4/(1+$E$13)^A24)</f>
        <v>17799.928800284797</v>
      </c>
      <c r="F24" s="79"/>
      <c r="G24" s="80">
        <f t="shared" ref="G24:G27" si="5">(D4/(1+$G$13)^A24)</f>
        <v>16528.925619834707</v>
      </c>
      <c r="H24" s="79"/>
      <c r="I24" s="80">
        <f t="shared" ref="I24:I27" si="6">(D4/(1+$I$13)^A24)</f>
        <v>13888.888888888889</v>
      </c>
      <c r="J24" s="79"/>
    </row>
    <row r="25" spans="1:10" x14ac:dyDescent="0.25">
      <c r="A25" s="6">
        <v>3</v>
      </c>
      <c r="B25" s="12"/>
      <c r="C25" s="81">
        <f t="shared" si="4"/>
        <v>30000</v>
      </c>
      <c r="D25" s="73"/>
      <c r="E25" s="81">
        <f>(D5/(1+$E$13)^A25)</f>
        <v>25188.578490969048</v>
      </c>
      <c r="F25" s="73"/>
      <c r="G25" s="81">
        <f t="shared" si="5"/>
        <v>22539.444027047324</v>
      </c>
      <c r="H25" s="73"/>
      <c r="I25" s="81">
        <f t="shared" si="6"/>
        <v>17361.111111111109</v>
      </c>
      <c r="J25" s="73"/>
    </row>
    <row r="26" spans="1:10" x14ac:dyDescent="0.25">
      <c r="A26" s="5">
        <v>4</v>
      </c>
      <c r="B26" s="4"/>
      <c r="C26" s="80">
        <f t="shared" si="4"/>
        <v>50000</v>
      </c>
      <c r="D26" s="79"/>
      <c r="E26" s="80">
        <f>(D6/(1+$E$13)^A26)</f>
        <v>39604.683161901019</v>
      </c>
      <c r="F26" s="79"/>
      <c r="G26" s="80">
        <f t="shared" si="5"/>
        <v>34150.672768253527</v>
      </c>
      <c r="H26" s="79"/>
      <c r="I26" s="80">
        <f t="shared" si="6"/>
        <v>24112.654320987655</v>
      </c>
      <c r="J26" s="79"/>
    </row>
    <row r="27" spans="1:10" x14ac:dyDescent="0.25">
      <c r="A27" s="6">
        <v>5</v>
      </c>
      <c r="B27" s="12"/>
      <c r="C27" s="81">
        <f t="shared" si="4"/>
        <v>80000</v>
      </c>
      <c r="D27" s="73"/>
      <c r="E27" s="81">
        <f>(D7/(1+$E$13)^A27)</f>
        <v>59780.653829284551</v>
      </c>
      <c r="F27" s="73"/>
      <c r="G27" s="81">
        <f t="shared" si="5"/>
        <v>49673.705844732394</v>
      </c>
      <c r="H27" s="73"/>
      <c r="I27" s="81">
        <f t="shared" si="6"/>
        <v>32150.205761316873</v>
      </c>
      <c r="J27" s="73"/>
    </row>
    <row r="28" spans="1:10" ht="15.75" x14ac:dyDescent="0.3">
      <c r="A28" s="75" t="s">
        <v>13</v>
      </c>
      <c r="B28" s="75"/>
      <c r="C28" s="88">
        <f>SUM(C23:D27)+D2</f>
        <v>70000</v>
      </c>
      <c r="D28" s="75"/>
      <c r="E28" s="88">
        <f>SUM(E23:F27)+D2</f>
        <v>31807.806546590349</v>
      </c>
      <c r="F28" s="75"/>
      <c r="G28" s="88">
        <f>SUM(G23:H27)+D2</f>
        <v>11983.657350777037</v>
      </c>
      <c r="H28" s="75"/>
      <c r="I28" s="88">
        <f>SUM(I23:J27)+D2</f>
        <v>-24153.806584362144</v>
      </c>
      <c r="J28" s="75"/>
    </row>
    <row r="30" spans="1:10" ht="15" customHeight="1" x14ac:dyDescent="0.25">
      <c r="A30" s="90" t="s">
        <v>25</v>
      </c>
      <c r="B30" s="90"/>
      <c r="C30" s="90"/>
      <c r="D30" s="90"/>
      <c r="E30" s="90"/>
      <c r="F30" s="90"/>
      <c r="G30" s="90"/>
      <c r="H30" s="90"/>
      <c r="I30" s="90"/>
      <c r="J30" s="90"/>
    </row>
    <row r="31" spans="1:10" ht="15" customHeigh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 ht="15.75" x14ac:dyDescent="0.3">
      <c r="A32" s="74" t="s">
        <v>22</v>
      </c>
      <c r="B32" s="74"/>
      <c r="C32" s="74"/>
      <c r="D32" s="74"/>
      <c r="E32" s="74"/>
      <c r="F32" s="74"/>
      <c r="G32" s="74"/>
      <c r="H32" s="74"/>
      <c r="I32" s="74"/>
      <c r="J32" s="74"/>
    </row>
    <row r="33" spans="1:10" x14ac:dyDescent="0.25">
      <c r="A33" s="5" t="s">
        <v>21</v>
      </c>
      <c r="B33" s="5" t="s">
        <v>12</v>
      </c>
      <c r="C33" s="89">
        <v>0</v>
      </c>
      <c r="D33" s="79"/>
      <c r="E33" s="89">
        <v>0.06</v>
      </c>
      <c r="F33" s="79"/>
      <c r="G33" s="89">
        <v>0.1</v>
      </c>
      <c r="H33" s="79"/>
      <c r="I33" s="89">
        <v>0.2</v>
      </c>
      <c r="J33" s="79"/>
    </row>
    <row r="34" spans="1:10" x14ac:dyDescent="0.25">
      <c r="A34" s="6">
        <v>1</v>
      </c>
      <c r="B34" s="12"/>
      <c r="C34" s="81">
        <f>(B3/(1+$C$13)^A34)</f>
        <v>70000</v>
      </c>
      <c r="D34" s="73"/>
      <c r="E34" s="81">
        <f>(B3/(1+$E$13)^A34)</f>
        <v>66037.735849056597</v>
      </c>
      <c r="F34" s="73"/>
      <c r="G34" s="81">
        <f>(B3/(1+$G$13)^A34)</f>
        <v>63636.363636363632</v>
      </c>
      <c r="H34" s="73"/>
      <c r="I34" s="81">
        <f>(B3/(1+$I$13)^A34)</f>
        <v>58333.333333333336</v>
      </c>
      <c r="J34" s="73"/>
    </row>
    <row r="35" spans="1:10" x14ac:dyDescent="0.25">
      <c r="A35" s="5">
        <v>2</v>
      </c>
      <c r="B35" s="4"/>
      <c r="C35" s="80">
        <f t="shared" ref="C35:C38" si="7">(B4/(1+$C$13)^A35)</f>
        <v>40000</v>
      </c>
      <c r="D35" s="79"/>
      <c r="E35" s="80">
        <f t="shared" ref="E35:E38" si="8">(B4/(1+$E$13)^A35)</f>
        <v>35599.857600569594</v>
      </c>
      <c r="F35" s="79"/>
      <c r="G35" s="80">
        <f t="shared" ref="G35:G38" si="9">(B4/(1+$G$13)^A35)</f>
        <v>33057.851239669413</v>
      </c>
      <c r="H35" s="79"/>
      <c r="I35" s="80">
        <f t="shared" ref="I35:I38" si="10">(B4/(1+$I$13)^A35)</f>
        <v>27777.777777777777</v>
      </c>
      <c r="J35" s="79"/>
    </row>
    <row r="36" spans="1:10" x14ac:dyDescent="0.25">
      <c r="A36" s="6">
        <v>3</v>
      </c>
      <c r="B36" s="12"/>
      <c r="C36" s="81">
        <f t="shared" si="7"/>
        <v>30000</v>
      </c>
      <c r="D36" s="73"/>
      <c r="E36" s="81">
        <f t="shared" si="8"/>
        <v>25188.578490969048</v>
      </c>
      <c r="F36" s="73"/>
      <c r="G36" s="81">
        <f t="shared" si="9"/>
        <v>22539.444027047324</v>
      </c>
      <c r="H36" s="73"/>
      <c r="I36" s="81">
        <f t="shared" si="10"/>
        <v>17361.111111111109</v>
      </c>
      <c r="J36" s="73"/>
    </row>
    <row r="37" spans="1:10" x14ac:dyDescent="0.25">
      <c r="A37" s="5">
        <v>4</v>
      </c>
      <c r="B37" s="4"/>
      <c r="C37" s="80">
        <f t="shared" si="7"/>
        <v>10000</v>
      </c>
      <c r="D37" s="79"/>
      <c r="E37" s="80">
        <f t="shared" si="8"/>
        <v>7920.9366323802042</v>
      </c>
      <c r="F37" s="79"/>
      <c r="G37" s="80">
        <f t="shared" si="9"/>
        <v>6830.1345536507051</v>
      </c>
      <c r="H37" s="79"/>
      <c r="I37" s="80">
        <f t="shared" si="10"/>
        <v>4822.5308641975307</v>
      </c>
      <c r="J37" s="79"/>
    </row>
    <row r="38" spans="1:10" x14ac:dyDescent="0.25">
      <c r="A38" s="6">
        <v>5</v>
      </c>
      <c r="B38" s="12"/>
      <c r="C38" s="81">
        <f t="shared" si="7"/>
        <v>10000</v>
      </c>
      <c r="D38" s="73"/>
      <c r="E38" s="81">
        <f t="shared" si="8"/>
        <v>7472.5817286605688</v>
      </c>
      <c r="F38" s="73"/>
      <c r="G38" s="81">
        <f t="shared" si="9"/>
        <v>6209.2132305915493</v>
      </c>
      <c r="H38" s="73"/>
      <c r="I38" s="81">
        <f t="shared" si="10"/>
        <v>4018.7757201646091</v>
      </c>
      <c r="J38" s="73"/>
    </row>
    <row r="39" spans="1:10" ht="15.75" x14ac:dyDescent="0.3">
      <c r="A39" s="75" t="s">
        <v>18</v>
      </c>
      <c r="B39" s="75"/>
      <c r="C39" s="88">
        <f>SUM(C34:D38)</f>
        <v>160000</v>
      </c>
      <c r="D39" s="75"/>
      <c r="E39" s="88">
        <f>SUM(E34:F38)</f>
        <v>142219.690301636</v>
      </c>
      <c r="F39" s="75"/>
      <c r="G39" s="88">
        <f>SUM(G34:H38)</f>
        <v>132273.00668732263</v>
      </c>
      <c r="H39" s="75"/>
      <c r="I39" s="88">
        <f>SUM(I34:J38)</f>
        <v>112313.52880658436</v>
      </c>
      <c r="J39" s="75"/>
    </row>
    <row r="41" spans="1:10" ht="15.75" x14ac:dyDescent="0.3">
      <c r="A41" s="74" t="s">
        <v>24</v>
      </c>
      <c r="B41" s="74"/>
      <c r="C41" s="74"/>
      <c r="D41" s="74"/>
      <c r="E41" s="74"/>
      <c r="F41" s="74"/>
      <c r="G41" s="74"/>
      <c r="H41" s="74"/>
      <c r="I41" s="74"/>
      <c r="J41" s="74"/>
    </row>
    <row r="42" spans="1:10" x14ac:dyDescent="0.25">
      <c r="A42" s="5" t="s">
        <v>21</v>
      </c>
      <c r="B42" s="5" t="s">
        <v>12</v>
      </c>
      <c r="C42" s="89">
        <v>0</v>
      </c>
      <c r="D42" s="79"/>
      <c r="E42" s="89">
        <v>0.06</v>
      </c>
      <c r="F42" s="79"/>
      <c r="G42" s="89">
        <v>0.1</v>
      </c>
      <c r="H42" s="79"/>
      <c r="I42" s="89">
        <v>0.2</v>
      </c>
      <c r="J42" s="79"/>
    </row>
    <row r="43" spans="1:10" x14ac:dyDescent="0.25">
      <c r="A43" s="6">
        <v>1</v>
      </c>
      <c r="B43" s="12"/>
      <c r="C43" s="81">
        <f>(D3/(1+$C$13)^A43)</f>
        <v>10000</v>
      </c>
      <c r="D43" s="73"/>
      <c r="E43" s="81">
        <f>(D3/(1+$E$13)^A43)</f>
        <v>9433.9622641509432</v>
      </c>
      <c r="F43" s="73"/>
      <c r="G43" s="81">
        <f>(D3/(1+$G$13)^A43)</f>
        <v>9090.9090909090901</v>
      </c>
      <c r="H43" s="73"/>
      <c r="I43" s="81">
        <f>(D3/(1+$I$13)^A43)</f>
        <v>8333.3333333333339</v>
      </c>
      <c r="J43" s="73"/>
    </row>
    <row r="44" spans="1:10" x14ac:dyDescent="0.25">
      <c r="A44" s="5">
        <v>2</v>
      </c>
      <c r="B44" s="4"/>
      <c r="C44" s="80">
        <f t="shared" ref="C44:C47" si="11">(D4/(1+$C$13)^A44)</f>
        <v>20000</v>
      </c>
      <c r="D44" s="79"/>
      <c r="E44" s="80">
        <f t="shared" ref="E44:E47" si="12">(D4/(1+$E$13)^A44)</f>
        <v>17799.928800284797</v>
      </c>
      <c r="F44" s="79"/>
      <c r="G44" s="80">
        <f t="shared" ref="G44:G47" si="13">(D4/(1+$G$13)^A44)</f>
        <v>16528.925619834707</v>
      </c>
      <c r="H44" s="79"/>
      <c r="I44" s="80">
        <f t="shared" ref="I44:I47" si="14">(D4/(1+$I$13)^A44)</f>
        <v>13888.888888888889</v>
      </c>
      <c r="J44" s="79"/>
    </row>
    <row r="45" spans="1:10" x14ac:dyDescent="0.25">
      <c r="A45" s="6">
        <v>3</v>
      </c>
      <c r="B45" s="12"/>
      <c r="C45" s="81">
        <f t="shared" si="11"/>
        <v>30000</v>
      </c>
      <c r="D45" s="73"/>
      <c r="E45" s="81">
        <f t="shared" si="12"/>
        <v>25188.578490969048</v>
      </c>
      <c r="F45" s="73"/>
      <c r="G45" s="81">
        <f t="shared" si="13"/>
        <v>22539.444027047324</v>
      </c>
      <c r="H45" s="73"/>
      <c r="I45" s="81">
        <f t="shared" si="14"/>
        <v>17361.111111111109</v>
      </c>
      <c r="J45" s="73"/>
    </row>
    <row r="46" spans="1:10" x14ac:dyDescent="0.25">
      <c r="A46" s="5">
        <v>4</v>
      </c>
      <c r="B46" s="4"/>
      <c r="C46" s="80">
        <f t="shared" si="11"/>
        <v>50000</v>
      </c>
      <c r="D46" s="79"/>
      <c r="E46" s="80">
        <f t="shared" si="12"/>
        <v>39604.683161901019</v>
      </c>
      <c r="F46" s="79"/>
      <c r="G46" s="80">
        <f t="shared" si="13"/>
        <v>34150.672768253527</v>
      </c>
      <c r="H46" s="79"/>
      <c r="I46" s="80">
        <f t="shared" si="14"/>
        <v>24112.654320987655</v>
      </c>
      <c r="J46" s="79"/>
    </row>
    <row r="47" spans="1:10" x14ac:dyDescent="0.25">
      <c r="A47" s="6">
        <v>5</v>
      </c>
      <c r="B47" s="12"/>
      <c r="C47" s="81">
        <f t="shared" si="11"/>
        <v>80000</v>
      </c>
      <c r="D47" s="73"/>
      <c r="E47" s="81">
        <f t="shared" si="12"/>
        <v>59780.653829284551</v>
      </c>
      <c r="F47" s="73"/>
      <c r="G47" s="81">
        <f t="shared" si="13"/>
        <v>49673.705844732394</v>
      </c>
      <c r="H47" s="73"/>
      <c r="I47" s="81">
        <f t="shared" si="14"/>
        <v>32150.205761316873</v>
      </c>
      <c r="J47" s="73"/>
    </row>
    <row r="48" spans="1:10" ht="15.75" x14ac:dyDescent="0.3">
      <c r="A48" s="75" t="s">
        <v>18</v>
      </c>
      <c r="B48" s="75"/>
      <c r="C48" s="88">
        <f>SUM(C43:D47)</f>
        <v>190000</v>
      </c>
      <c r="D48" s="75"/>
      <c r="E48" s="88">
        <f>SUM(E43:F47)</f>
        <v>151807.80654659035</v>
      </c>
      <c r="F48" s="75"/>
      <c r="G48" s="88">
        <f>SUM(G43:H47)</f>
        <v>131983.65735077704</v>
      </c>
      <c r="H48" s="75"/>
      <c r="I48" s="88">
        <f>SUM(I43:J47)</f>
        <v>95846.193415637856</v>
      </c>
      <c r="J48" s="75"/>
    </row>
    <row r="50" spans="1:10" ht="15.75" x14ac:dyDescent="0.3">
      <c r="A50" s="78" t="s">
        <v>27</v>
      </c>
      <c r="B50" s="78"/>
      <c r="C50" s="78"/>
      <c r="D50" s="78"/>
      <c r="E50" s="78"/>
      <c r="F50" s="78"/>
      <c r="G50" s="78"/>
      <c r="H50" s="78"/>
      <c r="I50" s="78"/>
      <c r="J50" s="78"/>
    </row>
    <row r="71" spans="1:7" x14ac:dyDescent="0.25">
      <c r="A71" s="20" t="s">
        <v>11</v>
      </c>
      <c r="B71" s="21"/>
      <c r="C71" s="21"/>
      <c r="E71" s="20" t="s">
        <v>11</v>
      </c>
      <c r="F71" s="21"/>
      <c r="G71" s="21"/>
    </row>
    <row r="72" spans="1:7" x14ac:dyDescent="0.25">
      <c r="A72" s="13">
        <v>0.1</v>
      </c>
      <c r="B72" s="14">
        <v>132273.00668732263</v>
      </c>
      <c r="C72" s="14">
        <v>132273.00668732263</v>
      </c>
      <c r="E72" s="17">
        <v>0.1</v>
      </c>
      <c r="F72" s="14">
        <v>131983.65735077704</v>
      </c>
      <c r="G72" s="14">
        <v>131983.65735077704</v>
      </c>
    </row>
    <row r="73" spans="1:7" x14ac:dyDescent="0.25">
      <c r="A73" s="20" t="s">
        <v>28</v>
      </c>
      <c r="B73" s="21"/>
      <c r="C73" s="22">
        <v>120000</v>
      </c>
      <c r="E73" s="20" t="s">
        <v>28</v>
      </c>
      <c r="F73" s="22"/>
      <c r="G73" s="22">
        <v>120000</v>
      </c>
    </row>
    <row r="74" spans="1:7" x14ac:dyDescent="0.25">
      <c r="A74" s="13">
        <v>0.2</v>
      </c>
      <c r="B74" s="15">
        <v>112313.52880658436</v>
      </c>
      <c r="C74" s="15">
        <f>C72-C73</f>
        <v>12273.006687322631</v>
      </c>
      <c r="E74" s="17">
        <v>0.2</v>
      </c>
      <c r="F74" s="18">
        <v>95846.193415637856</v>
      </c>
      <c r="G74" s="18">
        <f>G72-G73</f>
        <v>11983.657350777037</v>
      </c>
    </row>
    <row r="75" spans="1:7" x14ac:dyDescent="0.25">
      <c r="A75" s="20"/>
      <c r="B75" s="23">
        <f>B72-B74</f>
        <v>19959.477880738268</v>
      </c>
      <c r="C75" s="21"/>
      <c r="E75" s="20"/>
      <c r="F75" s="22">
        <f>F72-F74</f>
        <v>36137.463935139182</v>
      </c>
      <c r="G75" s="22"/>
    </row>
    <row r="76" spans="1:7" ht="15.75" x14ac:dyDescent="0.3">
      <c r="A76" s="16" t="s">
        <v>18</v>
      </c>
      <c r="B76" s="91">
        <f>(C74/B75)*(A74-A72)+A72</f>
        <v>0.16148961791814503</v>
      </c>
      <c r="C76" s="91"/>
      <c r="E76" s="19" t="s">
        <v>18</v>
      </c>
      <c r="F76" s="92">
        <f>(G74/F75)*(E74-E72)+E72</f>
        <v>0.13316131251569213</v>
      </c>
      <c r="G76" s="92"/>
    </row>
  </sheetData>
  <mergeCells count="139">
    <mergeCell ref="B76:C76"/>
    <mergeCell ref="F76:G76"/>
    <mergeCell ref="A48:B48"/>
    <mergeCell ref="C48:D48"/>
    <mergeCell ref="E48:F48"/>
    <mergeCell ref="G48:H48"/>
    <mergeCell ref="I48:J48"/>
    <mergeCell ref="A50:J50"/>
    <mergeCell ref="C46:D46"/>
    <mergeCell ref="E46:F46"/>
    <mergeCell ref="G46:H46"/>
    <mergeCell ref="I46:J46"/>
    <mergeCell ref="C47:D47"/>
    <mergeCell ref="E47:F47"/>
    <mergeCell ref="G47:H47"/>
    <mergeCell ref="I47:J47"/>
    <mergeCell ref="C44:D44"/>
    <mergeCell ref="E44:F44"/>
    <mergeCell ref="G44:H44"/>
    <mergeCell ref="I44:J44"/>
    <mergeCell ref="C45:D45"/>
    <mergeCell ref="E45:F45"/>
    <mergeCell ref="G45:H45"/>
    <mergeCell ref="I45:J45"/>
    <mergeCell ref="C42:D42"/>
    <mergeCell ref="E42:F42"/>
    <mergeCell ref="G42:H42"/>
    <mergeCell ref="I42:J42"/>
    <mergeCell ref="C43:D43"/>
    <mergeCell ref="E43:F43"/>
    <mergeCell ref="G43:H43"/>
    <mergeCell ref="I43:J43"/>
    <mergeCell ref="A39:B39"/>
    <mergeCell ref="C39:D39"/>
    <mergeCell ref="E39:F39"/>
    <mergeCell ref="G39:H39"/>
    <mergeCell ref="I39:J39"/>
    <mergeCell ref="A41:J41"/>
    <mergeCell ref="C37:D37"/>
    <mergeCell ref="E37:F37"/>
    <mergeCell ref="G37:H37"/>
    <mergeCell ref="I37:J37"/>
    <mergeCell ref="C38:D38"/>
    <mergeCell ref="E38:F38"/>
    <mergeCell ref="G38:H38"/>
    <mergeCell ref="I38:J38"/>
    <mergeCell ref="C35:D35"/>
    <mergeCell ref="E35:F35"/>
    <mergeCell ref="G35:H35"/>
    <mergeCell ref="I35:J35"/>
    <mergeCell ref="C36:D36"/>
    <mergeCell ref="E36:F36"/>
    <mergeCell ref="G36:H36"/>
    <mergeCell ref="I36:J36"/>
    <mergeCell ref="A32:J32"/>
    <mergeCell ref="C33:D33"/>
    <mergeCell ref="E33:F33"/>
    <mergeCell ref="G33:H33"/>
    <mergeCell ref="I33:J33"/>
    <mergeCell ref="C34:D34"/>
    <mergeCell ref="E34:F34"/>
    <mergeCell ref="G34:H34"/>
    <mergeCell ref="I34:J34"/>
    <mergeCell ref="A28:B28"/>
    <mergeCell ref="C28:D28"/>
    <mergeCell ref="E28:F28"/>
    <mergeCell ref="G28:H28"/>
    <mergeCell ref="I28:J28"/>
    <mergeCell ref="A30:J30"/>
    <mergeCell ref="C26:D26"/>
    <mergeCell ref="E26:F26"/>
    <mergeCell ref="G26:H26"/>
    <mergeCell ref="I26:J26"/>
    <mergeCell ref="C27:D27"/>
    <mergeCell ref="E27:F27"/>
    <mergeCell ref="G27:H27"/>
    <mergeCell ref="I27:J27"/>
    <mergeCell ref="C25:D25"/>
    <mergeCell ref="E25:F25"/>
    <mergeCell ref="G25:H25"/>
    <mergeCell ref="I25:J25"/>
    <mergeCell ref="A21:J21"/>
    <mergeCell ref="C22:D22"/>
    <mergeCell ref="E22:F22"/>
    <mergeCell ref="G22:H22"/>
    <mergeCell ref="I22:J22"/>
    <mergeCell ref="C23:D23"/>
    <mergeCell ref="E23:F23"/>
    <mergeCell ref="G23:H23"/>
    <mergeCell ref="I23:J23"/>
    <mergeCell ref="I14:J14"/>
    <mergeCell ref="I15:J15"/>
    <mergeCell ref="I16:J16"/>
    <mergeCell ref="I17:J17"/>
    <mergeCell ref="I18:J18"/>
    <mergeCell ref="C24:D24"/>
    <mergeCell ref="E24:F24"/>
    <mergeCell ref="G24:H24"/>
    <mergeCell ref="I24:J24"/>
    <mergeCell ref="I19:J19"/>
    <mergeCell ref="C18:D18"/>
    <mergeCell ref="C17:D17"/>
    <mergeCell ref="E17:F17"/>
    <mergeCell ref="E18:F18"/>
    <mergeCell ref="A19:B19"/>
    <mergeCell ref="C13:D13"/>
    <mergeCell ref="E13:F13"/>
    <mergeCell ref="G13:H13"/>
    <mergeCell ref="I13:J13"/>
    <mergeCell ref="C16:D16"/>
    <mergeCell ref="C15:D15"/>
    <mergeCell ref="C14:D14"/>
    <mergeCell ref="E14:F14"/>
    <mergeCell ref="E15:F15"/>
    <mergeCell ref="E16:F16"/>
    <mergeCell ref="C19:D19"/>
    <mergeCell ref="E19:F19"/>
    <mergeCell ref="G19:H19"/>
    <mergeCell ref="G14:H14"/>
    <mergeCell ref="G15:H15"/>
    <mergeCell ref="G16:H16"/>
    <mergeCell ref="G17:H17"/>
    <mergeCell ref="G18:H18"/>
    <mergeCell ref="A12:J12"/>
    <mergeCell ref="A9:J10"/>
    <mergeCell ref="B6:C6"/>
    <mergeCell ref="B7:C7"/>
    <mergeCell ref="D7:E7"/>
    <mergeCell ref="D6:E6"/>
    <mergeCell ref="D5:E5"/>
    <mergeCell ref="D4:E4"/>
    <mergeCell ref="B1:C1"/>
    <mergeCell ref="D1:E1"/>
    <mergeCell ref="B2:C2"/>
    <mergeCell ref="B3:C3"/>
    <mergeCell ref="B4:C4"/>
    <mergeCell ref="B5:C5"/>
    <mergeCell ref="D3:E3"/>
    <mergeCell ref="D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B638-22F4-4901-9B80-E2DA92BCBC71}">
  <dimension ref="A1:L52"/>
  <sheetViews>
    <sheetView showGridLines="0" workbookViewId="0">
      <selection activeCell="E7" sqref="E7"/>
    </sheetView>
  </sheetViews>
  <sheetFormatPr baseColWidth="10" defaultRowHeight="15" x14ac:dyDescent="0.25"/>
  <cols>
    <col min="1" max="1" width="11.42578125" style="1"/>
    <col min="2" max="2" width="18.140625" style="1" bestFit="1" customWidth="1"/>
    <col min="3" max="4" width="11.42578125" style="1"/>
    <col min="5" max="5" width="18.140625" style="1" bestFit="1" customWidth="1"/>
    <col min="6" max="7" width="11.42578125" style="1"/>
    <col min="8" max="8" width="18.140625" style="1" bestFit="1" customWidth="1"/>
    <col min="9" max="9" width="11.42578125" style="1"/>
    <col min="10" max="10" width="11.5703125" style="1" bestFit="1" customWidth="1"/>
    <col min="11" max="12" width="18.140625" style="1" bestFit="1" customWidth="1"/>
    <col min="13" max="16384" width="11.42578125" style="1"/>
  </cols>
  <sheetData>
    <row r="1" spans="1:12" x14ac:dyDescent="0.25">
      <c r="A1" s="32" t="s">
        <v>29</v>
      </c>
      <c r="B1" s="27">
        <v>275000</v>
      </c>
    </row>
    <row r="2" spans="1:12" x14ac:dyDescent="0.25">
      <c r="A2" s="33" t="s">
        <v>30</v>
      </c>
      <c r="B2" s="34">
        <v>210000</v>
      </c>
    </row>
    <row r="3" spans="1:12" x14ac:dyDescent="0.25">
      <c r="A3" s="32" t="s">
        <v>31</v>
      </c>
      <c r="B3" s="35">
        <v>144000</v>
      </c>
    </row>
    <row r="4" spans="1:12" x14ac:dyDescent="0.25">
      <c r="A4" s="36" t="s">
        <v>32</v>
      </c>
      <c r="B4" s="37">
        <v>8</v>
      </c>
    </row>
    <row r="5" spans="1:12" x14ac:dyDescent="0.25">
      <c r="A5" s="32" t="s">
        <v>33</v>
      </c>
      <c r="B5" s="38">
        <v>0.4</v>
      </c>
    </row>
    <row r="6" spans="1:12" x14ac:dyDescent="0.25">
      <c r="A6" s="33" t="s">
        <v>12</v>
      </c>
      <c r="B6" s="39">
        <v>0.14000000000000001</v>
      </c>
    </row>
    <row r="7" spans="1:12" x14ac:dyDescent="0.25">
      <c r="A7" s="32" t="s">
        <v>34</v>
      </c>
      <c r="B7" s="35">
        <f>B1-B2</f>
        <v>65000</v>
      </c>
    </row>
    <row r="9" spans="1:12" ht="15" customHeight="1" x14ac:dyDescent="0.25">
      <c r="A9" s="90" t="s">
        <v>35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</row>
    <row r="10" spans="1:12" ht="15" customHeight="1" x14ac:dyDescent="0.25">
      <c r="A10" s="9"/>
      <c r="B10" s="9"/>
      <c r="C10" s="9"/>
      <c r="D10" s="9"/>
      <c r="E10" s="9"/>
      <c r="F10" s="9"/>
      <c r="G10" s="9"/>
      <c r="H10" s="9"/>
    </row>
    <row r="11" spans="1:12" ht="15.75" x14ac:dyDescent="0.3">
      <c r="J11" s="10"/>
    </row>
    <row r="12" spans="1:12" ht="15.75" x14ac:dyDescent="0.3">
      <c r="A12" s="28" t="s">
        <v>36</v>
      </c>
      <c r="B12" s="28" t="s">
        <v>37</v>
      </c>
      <c r="D12" s="52">
        <v>1</v>
      </c>
      <c r="E12" s="25">
        <f>B14/((1+$B$6)^A14)</f>
        <v>57017.543859649115</v>
      </c>
      <c r="F12"/>
      <c r="G12" s="40" t="s">
        <v>11</v>
      </c>
      <c r="H12" s="41">
        <v>0.42499999999999999</v>
      </c>
      <c r="I12"/>
      <c r="J12" s="43"/>
      <c r="K12" s="25">
        <v>145400.14890266946</v>
      </c>
      <c r="L12" s="25">
        <v>145400.14890266946</v>
      </c>
    </row>
    <row r="13" spans="1:12" x14ac:dyDescent="0.25">
      <c r="A13" s="54">
        <v>0</v>
      </c>
      <c r="B13" s="29">
        <v>-144000</v>
      </c>
      <c r="D13" s="53">
        <v>2</v>
      </c>
      <c r="E13" s="27">
        <f t="shared" ref="E13:E19" si="0">B15/((1+$B$6)^A15)</f>
        <v>50015.389350569392</v>
      </c>
      <c r="F13"/>
      <c r="G13" s="26"/>
      <c r="H13" s="27">
        <f>B14/((1+$H$12)^A14)</f>
        <v>45614.035087719298</v>
      </c>
      <c r="I13"/>
      <c r="J13" s="26" t="s">
        <v>28</v>
      </c>
      <c r="K13" s="26"/>
      <c r="L13" s="31">
        <f>-H13</f>
        <v>-45614.035087719298</v>
      </c>
    </row>
    <row r="14" spans="1:12" x14ac:dyDescent="0.25">
      <c r="A14" s="55">
        <v>1</v>
      </c>
      <c r="B14" s="30">
        <f>$B$7</f>
        <v>65000</v>
      </c>
      <c r="D14" s="52">
        <v>3</v>
      </c>
      <c r="E14" s="25">
        <f t="shared" si="0"/>
        <v>43873.148553131046</v>
      </c>
      <c r="F14"/>
      <c r="G14" s="42"/>
      <c r="H14" s="25">
        <f t="shared" ref="H14:H20" si="1">B15/((1+$H$12)^A15)</f>
        <v>32009.849184364419</v>
      </c>
      <c r="I14"/>
      <c r="J14" s="44">
        <v>0.42499999999999999</v>
      </c>
      <c r="K14" s="45">
        <v>143946.08649507861</v>
      </c>
      <c r="L14" s="45">
        <f>L12-L13</f>
        <v>191014.18399038876</v>
      </c>
    </row>
    <row r="15" spans="1:12" x14ac:dyDescent="0.25">
      <c r="A15" s="54">
        <v>2</v>
      </c>
      <c r="B15" s="31">
        <f t="shared" ref="B15:B21" si="2">$B$7</f>
        <v>65000</v>
      </c>
      <c r="D15" s="53">
        <v>4</v>
      </c>
      <c r="E15" s="27">
        <f t="shared" si="0"/>
        <v>38485.218029062315</v>
      </c>
      <c r="F15"/>
      <c r="G15" s="26"/>
      <c r="H15" s="27">
        <f t="shared" si="1"/>
        <v>22463.052059203099</v>
      </c>
      <c r="I15"/>
      <c r="J15" s="26"/>
      <c r="K15" s="31">
        <f>K12-K14</f>
        <v>1454.0624075908563</v>
      </c>
      <c r="L15" s="26"/>
    </row>
    <row r="16" spans="1:12" ht="15.75" x14ac:dyDescent="0.3">
      <c r="A16" s="55">
        <v>3</v>
      </c>
      <c r="B16" s="30">
        <f t="shared" si="2"/>
        <v>65000</v>
      </c>
      <c r="D16" s="52">
        <v>5</v>
      </c>
      <c r="E16" s="25">
        <f t="shared" si="0"/>
        <v>33758.96318338799</v>
      </c>
      <c r="F16"/>
      <c r="G16" s="42"/>
      <c r="H16" s="25">
        <f t="shared" si="1"/>
        <v>15763.54530470393</v>
      </c>
      <c r="I16"/>
      <c r="J16" s="47" t="s">
        <v>18</v>
      </c>
      <c r="K16" s="94">
        <f>(L14/K15)*(J14-J12)+J12</f>
        <v>55.830497901681476</v>
      </c>
      <c r="L16" s="94"/>
    </row>
    <row r="17" spans="1:12" x14ac:dyDescent="0.25">
      <c r="A17" s="54">
        <v>4</v>
      </c>
      <c r="B17" s="31">
        <f t="shared" si="2"/>
        <v>65000</v>
      </c>
      <c r="D17" s="53">
        <v>6</v>
      </c>
      <c r="E17" s="27">
        <f t="shared" si="0"/>
        <v>29613.125599463147</v>
      </c>
      <c r="F17"/>
      <c r="G17" s="26"/>
      <c r="H17" s="27">
        <f t="shared" si="1"/>
        <v>11062.137055932581</v>
      </c>
      <c r="I17"/>
      <c r="J17"/>
      <c r="K17"/>
      <c r="L17"/>
    </row>
    <row r="18" spans="1:12" x14ac:dyDescent="0.25">
      <c r="A18" s="55">
        <v>5</v>
      </c>
      <c r="B18" s="30">
        <f t="shared" si="2"/>
        <v>65000</v>
      </c>
      <c r="D18" s="52">
        <v>7</v>
      </c>
      <c r="E18" s="25">
        <f t="shared" si="0"/>
        <v>25976.425964441354</v>
      </c>
      <c r="F18"/>
      <c r="G18" s="42"/>
      <c r="H18" s="25">
        <f t="shared" si="1"/>
        <v>7762.9031971456716</v>
      </c>
      <c r="I18"/>
      <c r="J18"/>
      <c r="K18"/>
      <c r="L18"/>
    </row>
    <row r="19" spans="1:12" x14ac:dyDescent="0.25">
      <c r="A19" s="54">
        <v>6</v>
      </c>
      <c r="B19" s="31">
        <f t="shared" si="2"/>
        <v>65000</v>
      </c>
      <c r="D19" s="53">
        <v>8</v>
      </c>
      <c r="E19" s="27">
        <f t="shared" si="0"/>
        <v>22786.338565299429</v>
      </c>
      <c r="F19"/>
      <c r="G19" s="26"/>
      <c r="H19" s="27">
        <f t="shared" si="1"/>
        <v>5447.6513664180147</v>
      </c>
      <c r="I19"/>
      <c r="J19"/>
      <c r="K19"/>
      <c r="L19"/>
    </row>
    <row r="20" spans="1:12" ht="15.75" x14ac:dyDescent="0.3">
      <c r="A20" s="55">
        <v>7</v>
      </c>
      <c r="B20" s="30">
        <f t="shared" si="2"/>
        <v>65000</v>
      </c>
      <c r="D20" s="50" t="s">
        <v>13</v>
      </c>
      <c r="E20" s="51">
        <f>SUM(E12:E19)+B13</f>
        <v>157526.15310500376</v>
      </c>
      <c r="F20"/>
      <c r="G20" s="42"/>
      <c r="H20" s="25">
        <f t="shared" si="1"/>
        <v>3822.913239591589</v>
      </c>
      <c r="I20"/>
      <c r="J20"/>
      <c r="K20"/>
      <c r="L20"/>
    </row>
    <row r="21" spans="1:12" ht="15.75" x14ac:dyDescent="0.3">
      <c r="A21" s="54">
        <v>8</v>
      </c>
      <c r="B21" s="31">
        <f t="shared" si="2"/>
        <v>65000</v>
      </c>
      <c r="D21"/>
      <c r="E21" s="24"/>
      <c r="F21"/>
      <c r="G21" s="48" t="s">
        <v>18</v>
      </c>
      <c r="H21" s="49">
        <f>SUM(H13:H20)</f>
        <v>143946.08649507861</v>
      </c>
      <c r="I21"/>
      <c r="J21"/>
      <c r="K21"/>
      <c r="L21"/>
    </row>
    <row r="24" spans="1:12" ht="15.75" x14ac:dyDescent="0.3">
      <c r="A24" s="95" t="s">
        <v>38</v>
      </c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</row>
    <row r="26" spans="1:12" ht="15.75" x14ac:dyDescent="0.3">
      <c r="A26" s="10" t="s">
        <v>37</v>
      </c>
      <c r="B26" s="58">
        <f>B14-40000</f>
        <v>25000</v>
      </c>
    </row>
    <row r="28" spans="1:12" ht="15.75" x14ac:dyDescent="0.3">
      <c r="A28" s="59" t="s">
        <v>36</v>
      </c>
      <c r="B28" s="59" t="s">
        <v>37</v>
      </c>
    </row>
    <row r="29" spans="1:12" x14ac:dyDescent="0.25">
      <c r="A29" s="56">
        <v>0</v>
      </c>
      <c r="B29" s="57">
        <v>-144000</v>
      </c>
      <c r="D29" s="46"/>
      <c r="E29" s="45">
        <f>B30/((1+$B$6)^A30)</f>
        <v>21929.824561403508</v>
      </c>
    </row>
    <row r="30" spans="1:12" x14ac:dyDescent="0.25">
      <c r="A30" s="55">
        <v>1</v>
      </c>
      <c r="B30" s="30">
        <f>$B$26</f>
        <v>25000</v>
      </c>
      <c r="D30" s="26"/>
      <c r="E30" s="61">
        <f t="shared" ref="E30:E35" si="3">B31/((1+$B$6)^A31)</f>
        <v>19236.688211757461</v>
      </c>
    </row>
    <row r="31" spans="1:12" x14ac:dyDescent="0.25">
      <c r="A31" s="56">
        <v>2</v>
      </c>
      <c r="B31" s="31">
        <f t="shared" ref="B31:B37" si="4">$B$26</f>
        <v>25000</v>
      </c>
      <c r="D31" s="46"/>
      <c r="E31" s="45">
        <f t="shared" si="3"/>
        <v>16874.287905050402</v>
      </c>
    </row>
    <row r="32" spans="1:12" x14ac:dyDescent="0.25">
      <c r="A32" s="55">
        <v>3</v>
      </c>
      <c r="B32" s="30">
        <f t="shared" si="4"/>
        <v>25000</v>
      </c>
      <c r="D32" s="26"/>
      <c r="E32" s="61">
        <f t="shared" si="3"/>
        <v>14802.006934254736</v>
      </c>
    </row>
    <row r="33" spans="1:12" x14ac:dyDescent="0.25">
      <c r="A33" s="56">
        <v>4</v>
      </c>
      <c r="B33" s="31">
        <f t="shared" si="4"/>
        <v>25000</v>
      </c>
      <c r="D33" s="46"/>
      <c r="E33" s="45">
        <f t="shared" si="3"/>
        <v>12984.216608995381</v>
      </c>
    </row>
    <row r="34" spans="1:12" x14ac:dyDescent="0.25">
      <c r="A34" s="55">
        <v>5</v>
      </c>
      <c r="B34" s="30">
        <f t="shared" si="4"/>
        <v>25000</v>
      </c>
      <c r="D34" s="26"/>
      <c r="E34" s="61">
        <f t="shared" si="3"/>
        <v>11389.66369210121</v>
      </c>
    </row>
    <row r="35" spans="1:12" x14ac:dyDescent="0.25">
      <c r="A35" s="56">
        <v>6</v>
      </c>
      <c r="B35" s="31">
        <f t="shared" si="4"/>
        <v>25000</v>
      </c>
      <c r="D35" s="46"/>
      <c r="E35" s="45">
        <f t="shared" si="3"/>
        <v>9990.9330632466736</v>
      </c>
    </row>
    <row r="36" spans="1:12" x14ac:dyDescent="0.25">
      <c r="A36" s="55">
        <v>7</v>
      </c>
      <c r="B36" s="30">
        <f t="shared" si="4"/>
        <v>25000</v>
      </c>
      <c r="D36" s="26"/>
      <c r="E36" s="61">
        <f>B37/((1+$B$6)^A37)</f>
        <v>8763.976371269011</v>
      </c>
    </row>
    <row r="37" spans="1:12" ht="15.75" x14ac:dyDescent="0.3">
      <c r="A37" s="56">
        <v>8</v>
      </c>
      <c r="B37" s="31">
        <f t="shared" si="4"/>
        <v>25000</v>
      </c>
      <c r="D37" s="47" t="s">
        <v>13</v>
      </c>
      <c r="E37" s="60">
        <f>SUM(E29:E36)+B29</f>
        <v>-28028.402651921613</v>
      </c>
    </row>
    <row r="40" spans="1:12" ht="15.75" x14ac:dyDescent="0.3">
      <c r="A40" s="78" t="s">
        <v>39</v>
      </c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1:12" x14ac:dyDescent="0.25">
      <c r="A41" s="93">
        <f>((40000)-(40000)*B5)/B4</f>
        <v>3000</v>
      </c>
      <c r="B41" s="93"/>
    </row>
    <row r="42" spans="1:12" x14ac:dyDescent="0.25">
      <c r="C42" s="93"/>
      <c r="D42" s="93"/>
    </row>
    <row r="44" spans="1:12" x14ac:dyDescent="0.25">
      <c r="A44" s="52">
        <v>1</v>
      </c>
      <c r="B44" s="25">
        <f>$B$14/((1+$B$6)^A44)</f>
        <v>57017.543859649115</v>
      </c>
    </row>
    <row r="45" spans="1:12" x14ac:dyDescent="0.25">
      <c r="A45" s="53">
        <v>2</v>
      </c>
      <c r="B45" s="27">
        <f t="shared" ref="B45:B51" si="5">$B$14/((1+$B$6)^A45)</f>
        <v>50015.389350569392</v>
      </c>
    </row>
    <row r="46" spans="1:12" x14ac:dyDescent="0.25">
      <c r="A46" s="52">
        <v>3</v>
      </c>
      <c r="B46" s="25">
        <f t="shared" si="5"/>
        <v>43873.148553131046</v>
      </c>
    </row>
    <row r="47" spans="1:12" x14ac:dyDescent="0.25">
      <c r="A47" s="53">
        <v>4</v>
      </c>
      <c r="B47" s="27">
        <f t="shared" si="5"/>
        <v>38485.218029062315</v>
      </c>
    </row>
    <row r="48" spans="1:12" x14ac:dyDescent="0.25">
      <c r="A48" s="52">
        <v>5</v>
      </c>
      <c r="B48" s="25">
        <f t="shared" si="5"/>
        <v>33758.96318338799</v>
      </c>
    </row>
    <row r="49" spans="1:2" x14ac:dyDescent="0.25">
      <c r="A49" s="53">
        <v>6</v>
      </c>
      <c r="B49" s="27">
        <f t="shared" si="5"/>
        <v>29613.125599463147</v>
      </c>
    </row>
    <row r="50" spans="1:2" x14ac:dyDescent="0.25">
      <c r="A50" s="52">
        <v>7</v>
      </c>
      <c r="B50" s="25">
        <f t="shared" si="5"/>
        <v>25976.425964441354</v>
      </c>
    </row>
    <row r="51" spans="1:2" x14ac:dyDescent="0.25">
      <c r="A51" s="53">
        <v>8</v>
      </c>
      <c r="B51" s="27">
        <f t="shared" si="5"/>
        <v>22786.338565299429</v>
      </c>
    </row>
    <row r="52" spans="1:2" ht="15.75" x14ac:dyDescent="0.3">
      <c r="A52" s="50" t="s">
        <v>13</v>
      </c>
      <c r="B52" s="51">
        <f>SUM(B44:B51)-B3</f>
        <v>157526.15310500376</v>
      </c>
    </row>
  </sheetData>
  <mergeCells count="6">
    <mergeCell ref="A40:L40"/>
    <mergeCell ref="A41:B41"/>
    <mergeCell ref="C42:D42"/>
    <mergeCell ref="K16:L16"/>
    <mergeCell ref="A9:L9"/>
    <mergeCell ref="A24:L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A5A1-E58E-4DA2-BD06-EF721321DDD8}">
  <dimension ref="A1:L18"/>
  <sheetViews>
    <sheetView showGridLines="0" tabSelected="1" workbookViewId="0">
      <selection activeCell="J6" sqref="J6:L6"/>
    </sheetView>
  </sheetViews>
  <sheetFormatPr baseColWidth="10" defaultRowHeight="15" x14ac:dyDescent="0.25"/>
  <cols>
    <col min="1" max="6" width="11.42578125" style="1"/>
    <col min="7" max="7" width="15.42578125" style="1" bestFit="1" customWidth="1"/>
    <col min="8" max="9" width="11.42578125" style="1"/>
    <col min="10" max="10" width="16.85546875" style="1" bestFit="1" customWidth="1"/>
    <col min="11" max="16384" width="11.42578125" style="1"/>
  </cols>
  <sheetData>
    <row r="1" spans="1:12" ht="15.75" x14ac:dyDescent="0.3">
      <c r="A1" s="74" t="s">
        <v>41</v>
      </c>
      <c r="B1" s="74"/>
      <c r="C1" s="74"/>
      <c r="D1" s="74"/>
      <c r="F1" s="2" t="s">
        <v>12</v>
      </c>
      <c r="G1" s="65">
        <v>0.12</v>
      </c>
      <c r="I1" s="68" t="s">
        <v>42</v>
      </c>
      <c r="J1" s="67">
        <f>SUM(G2:G5)</f>
        <v>16705.421406445228</v>
      </c>
      <c r="K1" s="69"/>
      <c r="L1" s="69"/>
    </row>
    <row r="2" spans="1:12" x14ac:dyDescent="0.25">
      <c r="A2" s="79">
        <v>0</v>
      </c>
      <c r="B2" s="79"/>
      <c r="C2" s="76">
        <f>-15000</f>
        <v>-15000</v>
      </c>
      <c r="D2" s="76"/>
      <c r="F2" s="5">
        <v>1</v>
      </c>
      <c r="G2" s="70">
        <f>C3/((1+$G$1)^A3)</f>
        <v>4910.7142857142853</v>
      </c>
      <c r="I2" s="11">
        <v>0.12</v>
      </c>
      <c r="J2" s="70">
        <v>15186.74</v>
      </c>
      <c r="K2" s="76">
        <f>J2</f>
        <v>15186.74</v>
      </c>
      <c r="L2" s="76"/>
    </row>
    <row r="3" spans="1:12" x14ac:dyDescent="0.25">
      <c r="A3" s="73">
        <v>1</v>
      </c>
      <c r="B3" s="73"/>
      <c r="C3" s="77">
        <v>5500</v>
      </c>
      <c r="D3" s="77"/>
      <c r="F3" s="6">
        <v>2</v>
      </c>
      <c r="G3" s="66">
        <f t="shared" ref="G3:G5" si="0">C4/((1+$G$1)^A4)</f>
        <v>4384.5663265306121</v>
      </c>
      <c r="I3" s="6" t="s">
        <v>28</v>
      </c>
      <c r="J3" s="66"/>
      <c r="K3" s="77">
        <f>-C2</f>
        <v>15000</v>
      </c>
      <c r="L3" s="77"/>
    </row>
    <row r="4" spans="1:12" x14ac:dyDescent="0.25">
      <c r="A4" s="79">
        <v>2</v>
      </c>
      <c r="B4" s="79"/>
      <c r="C4" s="76">
        <v>5500</v>
      </c>
      <c r="D4" s="76"/>
      <c r="F4" s="5">
        <v>3</v>
      </c>
      <c r="G4" s="70">
        <f t="shared" si="0"/>
        <v>3914.79136297376</v>
      </c>
      <c r="I4" s="11">
        <v>0.13</v>
      </c>
      <c r="J4" s="70">
        <v>14872.35</v>
      </c>
      <c r="K4" s="76"/>
      <c r="L4" s="76"/>
    </row>
    <row r="5" spans="1:12" x14ac:dyDescent="0.25">
      <c r="A5" s="73">
        <v>3</v>
      </c>
      <c r="B5" s="73"/>
      <c r="C5" s="77">
        <v>5500</v>
      </c>
      <c r="D5" s="77"/>
      <c r="F5" s="6">
        <v>4</v>
      </c>
      <c r="G5" s="66">
        <f t="shared" si="0"/>
        <v>3495.3494312265716</v>
      </c>
      <c r="I5" s="6"/>
      <c r="J5" s="66">
        <f>J2-J4</f>
        <v>314.38999999999942</v>
      </c>
      <c r="K5" s="77">
        <f>K2-K3</f>
        <v>186.73999999999978</v>
      </c>
      <c r="L5" s="77"/>
    </row>
    <row r="6" spans="1:12" ht="15.75" x14ac:dyDescent="0.3">
      <c r="A6" s="79">
        <v>4</v>
      </c>
      <c r="B6" s="79"/>
      <c r="C6" s="76">
        <v>5500</v>
      </c>
      <c r="D6" s="76"/>
      <c r="F6" s="3" t="s">
        <v>13</v>
      </c>
      <c r="G6" s="71">
        <f>SUM(G2:G5)+C2</f>
        <v>1705.4214064452281</v>
      </c>
      <c r="I6" s="3" t="s">
        <v>18</v>
      </c>
      <c r="J6" s="96">
        <f>(J5/K5)*(I4-I2)+I2</f>
        <v>0.13683570740066403</v>
      </c>
      <c r="K6" s="75"/>
      <c r="L6" s="75"/>
    </row>
    <row r="8" spans="1:12" ht="15.75" x14ac:dyDescent="0.3">
      <c r="A8" s="74" t="s">
        <v>40</v>
      </c>
      <c r="B8" s="74"/>
      <c r="C8" s="74"/>
      <c r="D8" s="74"/>
      <c r="F8" s="2" t="s">
        <v>12</v>
      </c>
      <c r="G8" s="65">
        <v>0.12</v>
      </c>
      <c r="I8" s="68" t="s">
        <v>42</v>
      </c>
      <c r="J8" s="67">
        <f>SUM(G9:G16)</f>
        <v>15896.447253883478</v>
      </c>
      <c r="K8" s="69"/>
      <c r="L8" s="69"/>
    </row>
    <row r="9" spans="1:12" x14ac:dyDescent="0.25">
      <c r="A9" s="79">
        <v>0</v>
      </c>
      <c r="B9" s="79"/>
      <c r="C9" s="76">
        <f>-15000</f>
        <v>-15000</v>
      </c>
      <c r="D9" s="76"/>
      <c r="F9" s="5">
        <v>1</v>
      </c>
      <c r="G9" s="70">
        <f>C10/((1+$G$8)^A10)</f>
        <v>2857.1428571428569</v>
      </c>
      <c r="I9" s="11">
        <v>0.12</v>
      </c>
      <c r="J9" s="70">
        <f>15896.45</f>
        <v>15896.45</v>
      </c>
      <c r="K9" s="76">
        <f>J9</f>
        <v>15896.45</v>
      </c>
      <c r="L9" s="76"/>
    </row>
    <row r="10" spans="1:12" x14ac:dyDescent="0.25">
      <c r="A10" s="73">
        <v>1</v>
      </c>
      <c r="B10" s="73"/>
      <c r="C10" s="77">
        <v>3200</v>
      </c>
      <c r="D10" s="77"/>
      <c r="F10" s="6">
        <v>2</v>
      </c>
      <c r="G10" s="66">
        <f t="shared" ref="G10:G15" si="1">C11/((1+$G$8)^A11)</f>
        <v>2551.0204081632651</v>
      </c>
      <c r="I10" s="6" t="s">
        <v>28</v>
      </c>
      <c r="J10" s="66"/>
      <c r="K10" s="77">
        <f>-C9</f>
        <v>15000</v>
      </c>
      <c r="L10" s="77"/>
    </row>
    <row r="11" spans="1:12" x14ac:dyDescent="0.25">
      <c r="A11" s="79">
        <v>2</v>
      </c>
      <c r="B11" s="79"/>
      <c r="C11" s="76">
        <v>3200</v>
      </c>
      <c r="D11" s="76"/>
      <c r="F11" s="5">
        <v>3</v>
      </c>
      <c r="G11" s="70">
        <f t="shared" si="1"/>
        <v>2277.696793002915</v>
      </c>
      <c r="I11" s="11">
        <v>0.13</v>
      </c>
      <c r="J11" s="70">
        <v>15356.06</v>
      </c>
      <c r="K11" s="76"/>
      <c r="L11" s="76"/>
    </row>
    <row r="12" spans="1:12" x14ac:dyDescent="0.25">
      <c r="A12" s="73">
        <v>3</v>
      </c>
      <c r="B12" s="73"/>
      <c r="C12" s="77">
        <v>3200</v>
      </c>
      <c r="D12" s="77"/>
      <c r="F12" s="6">
        <v>4</v>
      </c>
      <c r="G12" s="66">
        <f t="shared" si="1"/>
        <v>2033.6578508954597</v>
      </c>
      <c r="I12" s="6"/>
      <c r="J12" s="66">
        <f>J9-J11</f>
        <v>540.39000000000124</v>
      </c>
      <c r="K12" s="77">
        <f>K9-K10</f>
        <v>896.45000000000073</v>
      </c>
      <c r="L12" s="77"/>
    </row>
    <row r="13" spans="1:12" ht="15.75" x14ac:dyDescent="0.3">
      <c r="A13" s="79">
        <v>4</v>
      </c>
      <c r="B13" s="79"/>
      <c r="C13" s="76">
        <v>3200</v>
      </c>
      <c r="D13" s="76"/>
      <c r="F13" s="5">
        <v>5</v>
      </c>
      <c r="G13" s="70">
        <f t="shared" si="1"/>
        <v>1815.7659382995175</v>
      </c>
      <c r="I13" s="3" t="s">
        <v>18</v>
      </c>
      <c r="J13" s="96">
        <f>(J12/K12)*(I11-I9)+I9</f>
        <v>0.12602811088181159</v>
      </c>
      <c r="K13" s="75"/>
      <c r="L13" s="75"/>
    </row>
    <row r="14" spans="1:12" x14ac:dyDescent="0.25">
      <c r="A14" s="73">
        <v>5</v>
      </c>
      <c r="B14" s="73"/>
      <c r="C14" s="77">
        <v>3200</v>
      </c>
      <c r="D14" s="77"/>
      <c r="F14" s="6">
        <v>6</v>
      </c>
      <c r="G14" s="66">
        <f t="shared" si="1"/>
        <v>1621.2195877674262</v>
      </c>
    </row>
    <row r="15" spans="1:12" x14ac:dyDescent="0.25">
      <c r="A15" s="79">
        <v>6</v>
      </c>
      <c r="B15" s="79"/>
      <c r="C15" s="76">
        <v>3200</v>
      </c>
      <c r="D15" s="76"/>
      <c r="F15" s="5">
        <v>7</v>
      </c>
      <c r="G15" s="70">
        <f t="shared" si="1"/>
        <v>1447.517489078059</v>
      </c>
      <c r="I15" s="97" t="s">
        <v>43</v>
      </c>
      <c r="J15" s="97"/>
      <c r="K15" s="97"/>
      <c r="L15" s="97"/>
    </row>
    <row r="16" spans="1:12" x14ac:dyDescent="0.25">
      <c r="A16" s="73">
        <v>7</v>
      </c>
      <c r="B16" s="73"/>
      <c r="C16" s="77">
        <v>3200</v>
      </c>
      <c r="D16" s="77"/>
      <c r="F16" s="6">
        <v>8</v>
      </c>
      <c r="G16" s="66">
        <f>C17/((1+$G$8)^A17)</f>
        <v>1292.4263295339813</v>
      </c>
      <c r="I16" s="97"/>
      <c r="J16" s="97"/>
      <c r="K16" s="97"/>
      <c r="L16" s="97"/>
    </row>
    <row r="17" spans="1:12" ht="15.75" x14ac:dyDescent="0.3">
      <c r="A17" s="79">
        <v>8</v>
      </c>
      <c r="B17" s="79"/>
      <c r="C17" s="76">
        <v>3200</v>
      </c>
      <c r="D17" s="76"/>
      <c r="F17" s="3" t="s">
        <v>13</v>
      </c>
      <c r="G17" s="71">
        <f>SUM(G9:G16)+C9</f>
        <v>896.44725388347797</v>
      </c>
      <c r="I17" s="97"/>
      <c r="J17" s="97"/>
      <c r="K17" s="97"/>
      <c r="L17" s="97"/>
    </row>
    <row r="18" spans="1:12" x14ac:dyDescent="0.25">
      <c r="A18" s="98"/>
      <c r="B18" s="98"/>
    </row>
  </sheetData>
  <mergeCells count="42">
    <mergeCell ref="A1:D1"/>
    <mergeCell ref="A2:B2"/>
    <mergeCell ref="A3:B3"/>
    <mergeCell ref="A4:B4"/>
    <mergeCell ref="A13:B13"/>
    <mergeCell ref="A5:B5"/>
    <mergeCell ref="A6:B6"/>
    <mergeCell ref="C2:D2"/>
    <mergeCell ref="C3:D3"/>
    <mergeCell ref="C4:D4"/>
    <mergeCell ref="C5:D5"/>
    <mergeCell ref="C6:D6"/>
    <mergeCell ref="A8:D8"/>
    <mergeCell ref="A9:B9"/>
    <mergeCell ref="A10:B10"/>
    <mergeCell ref="A11:B11"/>
    <mergeCell ref="A12:B12"/>
    <mergeCell ref="C9:D9"/>
    <mergeCell ref="C10:D10"/>
    <mergeCell ref="C11:D11"/>
    <mergeCell ref="C12:D12"/>
    <mergeCell ref="C13:D13"/>
    <mergeCell ref="A14:B14"/>
    <mergeCell ref="A15:B15"/>
    <mergeCell ref="A16:B16"/>
    <mergeCell ref="A17:B17"/>
    <mergeCell ref="A18:B18"/>
    <mergeCell ref="K2:L2"/>
    <mergeCell ref="K3:L3"/>
    <mergeCell ref="K4:L4"/>
    <mergeCell ref="K5:L5"/>
    <mergeCell ref="J6:L6"/>
    <mergeCell ref="I15:L17"/>
    <mergeCell ref="C14:D14"/>
    <mergeCell ref="C15:D15"/>
    <mergeCell ref="C16:D16"/>
    <mergeCell ref="C17:D17"/>
    <mergeCell ref="J13:L13"/>
    <mergeCell ref="K12:L12"/>
    <mergeCell ref="K11:L11"/>
    <mergeCell ref="K10:L10"/>
    <mergeCell ref="K9:L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E106-97DC-4DA3-94CC-D80BEA5524AA}">
  <dimension ref="A1:L62"/>
  <sheetViews>
    <sheetView showGridLines="0" topLeftCell="A50" workbookViewId="0">
      <selection activeCell="J47" sqref="J47:K47"/>
    </sheetView>
  </sheetViews>
  <sheetFormatPr baseColWidth="10" defaultRowHeight="15" x14ac:dyDescent="0.25"/>
  <cols>
    <col min="1" max="16384" width="11.42578125" style="1"/>
  </cols>
  <sheetData>
    <row r="1" spans="1:12" ht="15.75" x14ac:dyDescent="0.3">
      <c r="A1" s="74" t="s">
        <v>44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2" ht="15.75" x14ac:dyDescent="0.3">
      <c r="A2" s="102" t="s">
        <v>45</v>
      </c>
      <c r="B2" s="102"/>
      <c r="C2" s="75" t="s">
        <v>46</v>
      </c>
      <c r="D2" s="75"/>
      <c r="E2" s="75" t="s">
        <v>47</v>
      </c>
      <c r="F2" s="79"/>
      <c r="G2" s="75" t="s">
        <v>48</v>
      </c>
      <c r="H2" s="79"/>
      <c r="I2" s="75" t="s">
        <v>49</v>
      </c>
      <c r="J2" s="75"/>
      <c r="K2" s="75" t="s">
        <v>50</v>
      </c>
      <c r="L2" s="79"/>
    </row>
    <row r="3" spans="1:12" ht="15.75" x14ac:dyDescent="0.3">
      <c r="A3" s="74" t="s">
        <v>7</v>
      </c>
      <c r="B3" s="74"/>
      <c r="C3" s="101">
        <v>0</v>
      </c>
      <c r="D3" s="101"/>
      <c r="E3" s="101">
        <v>0</v>
      </c>
      <c r="F3" s="101"/>
      <c r="G3" s="101">
        <v>6000000</v>
      </c>
      <c r="H3" s="101"/>
      <c r="I3" s="101">
        <v>6000000</v>
      </c>
      <c r="J3" s="101"/>
      <c r="K3" s="101">
        <v>8000000</v>
      </c>
      <c r="L3" s="101"/>
    </row>
    <row r="4" spans="1:12" ht="15.75" x14ac:dyDescent="0.3">
      <c r="A4" s="100">
        <v>10000000</v>
      </c>
      <c r="B4" s="100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2" ht="15.75" x14ac:dyDescent="0.3">
      <c r="A5" s="75" t="s">
        <v>8</v>
      </c>
      <c r="B5" s="75"/>
      <c r="C5" s="103">
        <v>3000000</v>
      </c>
      <c r="D5" s="103"/>
      <c r="E5" s="103">
        <v>4000000</v>
      </c>
      <c r="F5" s="103"/>
      <c r="G5" s="103">
        <v>5000000</v>
      </c>
      <c r="H5" s="103"/>
      <c r="I5" s="103">
        <v>6000000</v>
      </c>
      <c r="J5" s="103"/>
      <c r="K5" s="103">
        <v>8000000</v>
      </c>
      <c r="L5" s="103"/>
    </row>
    <row r="6" spans="1:12" ht="15.75" x14ac:dyDescent="0.3">
      <c r="A6" s="104">
        <v>20000000</v>
      </c>
      <c r="B6" s="104"/>
      <c r="C6" s="103"/>
      <c r="D6" s="103"/>
      <c r="E6" s="103"/>
      <c r="F6" s="103"/>
      <c r="G6" s="103"/>
      <c r="H6" s="103"/>
      <c r="I6" s="103"/>
      <c r="J6" s="103"/>
      <c r="K6" s="103"/>
      <c r="L6" s="103"/>
    </row>
    <row r="7" spans="1:12" ht="15.75" x14ac:dyDescent="0.3">
      <c r="A7" s="74" t="s">
        <v>9</v>
      </c>
      <c r="B7" s="74"/>
      <c r="C7" s="101">
        <v>4000000</v>
      </c>
      <c r="D7" s="101"/>
      <c r="E7" s="101">
        <v>5000000</v>
      </c>
      <c r="F7" s="101"/>
      <c r="G7" s="101">
        <v>8000000</v>
      </c>
      <c r="H7" s="101"/>
      <c r="I7" s="101">
        <v>3000000</v>
      </c>
      <c r="J7" s="101"/>
      <c r="K7" s="101">
        <v>3000000</v>
      </c>
      <c r="L7" s="101"/>
    </row>
    <row r="8" spans="1:12" ht="15.75" x14ac:dyDescent="0.3">
      <c r="A8" s="100">
        <v>16000000</v>
      </c>
      <c r="B8" s="100"/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12" ht="15.75" x14ac:dyDescent="0.3">
      <c r="A9" s="105" t="s">
        <v>51</v>
      </c>
      <c r="B9" s="106">
        <v>0.06</v>
      </c>
      <c r="C9" s="107"/>
      <c r="D9" s="107"/>
      <c r="E9" s="107"/>
      <c r="F9" s="107"/>
      <c r="G9" s="107"/>
      <c r="H9" s="107"/>
      <c r="I9" s="107"/>
      <c r="J9" s="107"/>
      <c r="K9" s="107"/>
      <c r="L9" s="107"/>
    </row>
    <row r="11" spans="1:12" ht="15.75" x14ac:dyDescent="0.3">
      <c r="A11" s="108" t="s">
        <v>52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</row>
    <row r="13" spans="1:12" ht="15.75" x14ac:dyDescent="0.3">
      <c r="A13" s="74" t="s">
        <v>7</v>
      </c>
      <c r="B13" s="74"/>
      <c r="C13" s="74"/>
      <c r="D13" s="99"/>
      <c r="E13" s="74" t="s">
        <v>8</v>
      </c>
      <c r="F13" s="74"/>
      <c r="G13" s="74"/>
      <c r="I13" s="74" t="s">
        <v>9</v>
      </c>
      <c r="J13" s="74"/>
      <c r="K13" s="74"/>
    </row>
    <row r="14" spans="1:12" x14ac:dyDescent="0.25">
      <c r="A14" s="64">
        <v>1</v>
      </c>
      <c r="B14" s="76">
        <f>C3/(1+$B$9)^A14</f>
        <v>0</v>
      </c>
      <c r="C14" s="76"/>
      <c r="D14" s="109"/>
      <c r="E14" s="64">
        <v>1</v>
      </c>
      <c r="F14" s="76">
        <f>C5/(1+$B$9)^E14</f>
        <v>2830188.6792452829</v>
      </c>
      <c r="G14" s="76"/>
      <c r="I14" s="64">
        <v>1</v>
      </c>
      <c r="J14" s="76">
        <f>C7/(1+$B$9)^I14</f>
        <v>3773584.9056603773</v>
      </c>
      <c r="K14" s="76"/>
    </row>
    <row r="15" spans="1:12" x14ac:dyDescent="0.25">
      <c r="A15" s="63">
        <v>2</v>
      </c>
      <c r="B15" s="77">
        <f>E3/(1+$B$9)^A15</f>
        <v>0</v>
      </c>
      <c r="C15" s="77"/>
      <c r="D15" s="109"/>
      <c r="E15" s="63">
        <v>2</v>
      </c>
      <c r="F15" s="77">
        <f>E5/(1+$B$9)^E15</f>
        <v>3559985.7600569595</v>
      </c>
      <c r="G15" s="77"/>
      <c r="I15" s="63">
        <v>2</v>
      </c>
      <c r="J15" s="77">
        <f>E7/(1+$B$9)^I15</f>
        <v>4449982.2000711989</v>
      </c>
      <c r="K15" s="77"/>
    </row>
    <row r="16" spans="1:12" x14ac:dyDescent="0.25">
      <c r="A16" s="64">
        <v>3</v>
      </c>
      <c r="B16" s="76">
        <f>G3/(1+$B$9)^A16</f>
        <v>5037715.6981938099</v>
      </c>
      <c r="C16" s="76"/>
      <c r="D16" s="109"/>
      <c r="E16" s="64">
        <v>3</v>
      </c>
      <c r="F16" s="76">
        <f>G5/(1+$B$9)^E16</f>
        <v>4198096.4151615081</v>
      </c>
      <c r="G16" s="76"/>
      <c r="I16" s="64">
        <v>3</v>
      </c>
      <c r="J16" s="76">
        <f>G7/(1+$B$9)^I16</f>
        <v>6716954.2642584126</v>
      </c>
      <c r="K16" s="76"/>
    </row>
    <row r="17" spans="1:11" x14ac:dyDescent="0.25">
      <c r="A17" s="63">
        <v>4</v>
      </c>
      <c r="B17" s="77">
        <f>I3/(1+$B$9)^A17</f>
        <v>4752561.9794281228</v>
      </c>
      <c r="C17" s="77"/>
      <c r="D17" s="109"/>
      <c r="E17" s="63">
        <v>4</v>
      </c>
      <c r="F17" s="77">
        <f>I5/(1+$B$9)^E17</f>
        <v>4752561.9794281228</v>
      </c>
      <c r="G17" s="77"/>
      <c r="I17" s="63">
        <v>4</v>
      </c>
      <c r="J17" s="77">
        <f>I7/(1+$B$9)^I17</f>
        <v>2376280.9897140614</v>
      </c>
      <c r="K17" s="77"/>
    </row>
    <row r="18" spans="1:11" x14ac:dyDescent="0.25">
      <c r="A18" s="64">
        <v>5</v>
      </c>
      <c r="B18" s="76">
        <f>K3/(1+$B$9)^A18</f>
        <v>5978065.3829284552</v>
      </c>
      <c r="C18" s="76"/>
      <c r="D18" s="109"/>
      <c r="E18" s="64">
        <v>5</v>
      </c>
      <c r="F18" s="76">
        <f>K5/(1+$B$9)^E18</f>
        <v>5978065.3829284552</v>
      </c>
      <c r="G18" s="76"/>
      <c r="I18" s="64">
        <v>5</v>
      </c>
      <c r="J18" s="76">
        <f>K7/(1+$B$9)^I18</f>
        <v>2241774.5185981705</v>
      </c>
      <c r="K18" s="76"/>
    </row>
    <row r="19" spans="1:11" ht="15.75" x14ac:dyDescent="0.3">
      <c r="A19" s="62" t="s">
        <v>13</v>
      </c>
      <c r="B19" s="100">
        <f>SUM(B14:C18)-A4</f>
        <v>5768343.0605503879</v>
      </c>
      <c r="C19" s="100"/>
      <c r="D19" s="110"/>
      <c r="E19" s="62" t="s">
        <v>13</v>
      </c>
      <c r="F19" s="100">
        <f>SUM(F14:G18)-A6</f>
        <v>1318898.2168203294</v>
      </c>
      <c r="G19" s="100"/>
      <c r="I19" s="62" t="s">
        <v>13</v>
      </c>
      <c r="J19" s="100">
        <f>SUM(J14:K18)-A8</f>
        <v>3558576.8783022203</v>
      </c>
      <c r="K19" s="100"/>
    </row>
    <row r="21" spans="1:11" ht="15.75" x14ac:dyDescent="0.3">
      <c r="A21" s="74" t="s">
        <v>53</v>
      </c>
      <c r="B21" s="74"/>
      <c r="C21" s="74"/>
      <c r="D21" s="74"/>
      <c r="E21" s="99"/>
      <c r="F21" s="99"/>
    </row>
    <row r="22" spans="1:11" ht="15.75" x14ac:dyDescent="0.3">
      <c r="A22" s="75" t="s">
        <v>7</v>
      </c>
      <c r="B22" s="75"/>
      <c r="C22" s="76">
        <f>B19</f>
        <v>5768343.0605503879</v>
      </c>
      <c r="D22" s="76"/>
    </row>
    <row r="23" spans="1:11" ht="15.75" x14ac:dyDescent="0.3">
      <c r="A23" s="74" t="s">
        <v>9</v>
      </c>
      <c r="B23" s="74"/>
      <c r="C23" s="77">
        <f>J19</f>
        <v>3558576.8783022203</v>
      </c>
      <c r="D23" s="77"/>
    </row>
    <row r="24" spans="1:11" ht="15.75" x14ac:dyDescent="0.3">
      <c r="A24" s="75" t="s">
        <v>8</v>
      </c>
      <c r="B24" s="75"/>
      <c r="C24" s="76">
        <f>F19</f>
        <v>1318898.2168203294</v>
      </c>
      <c r="D24" s="76"/>
    </row>
    <row r="41" spans="1:12" ht="15.75" x14ac:dyDescent="0.3">
      <c r="A41" s="108" t="s">
        <v>54</v>
      </c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</row>
    <row r="43" spans="1:12" ht="15.75" x14ac:dyDescent="0.3">
      <c r="A43" s="74" t="s">
        <v>7</v>
      </c>
      <c r="B43" s="74"/>
      <c r="C43" s="74"/>
      <c r="D43" s="74"/>
      <c r="E43" s="74"/>
      <c r="G43" s="74" t="s">
        <v>8</v>
      </c>
      <c r="H43" s="74"/>
      <c r="I43" s="74"/>
      <c r="J43" s="74"/>
      <c r="K43" s="74"/>
    </row>
    <row r="44" spans="1:12" ht="15.75" x14ac:dyDescent="0.3">
      <c r="A44" s="75" t="s">
        <v>42</v>
      </c>
      <c r="B44" s="75"/>
      <c r="C44" s="76">
        <f>SUM(B14:C18)</f>
        <v>15768343.060550388</v>
      </c>
      <c r="D44" s="76"/>
      <c r="E44" s="76"/>
      <c r="G44" s="75" t="s">
        <v>42</v>
      </c>
      <c r="H44" s="75"/>
      <c r="I44" s="76">
        <f>SUM(F14:G18)</f>
        <v>21318898.216820329</v>
      </c>
      <c r="J44" s="76"/>
      <c r="K44" s="76"/>
    </row>
    <row r="45" spans="1:12" x14ac:dyDescent="0.25">
      <c r="A45" s="111">
        <v>0.06</v>
      </c>
      <c r="B45" s="81">
        <f>((C3/(1+$B$9)^1)+(E3/(1+$B$9)^2)+(G3/(1+$B$9)^3)+(I3/(1+$B$9)^4)+(K3/(1+$B$9)^5))</f>
        <v>15768343.060550388</v>
      </c>
      <c r="C45" s="73"/>
      <c r="D45" s="81">
        <f>B45</f>
        <v>15768343.060550388</v>
      </c>
      <c r="E45" s="73"/>
      <c r="G45" s="111">
        <v>0.06</v>
      </c>
      <c r="H45" s="81">
        <f>((C5/(1+$B$9)^1)+(E5/(1+$B$9)^2)+(G5/(1+$B$9)^3)+(I5/(1+$B$9)^4)+(K5/(1+$B$9)^5))</f>
        <v>21318898.216820329</v>
      </c>
      <c r="I45" s="73"/>
      <c r="J45" s="81">
        <f>H45</f>
        <v>21318898.216820329</v>
      </c>
      <c r="K45" s="73"/>
    </row>
    <row r="46" spans="1:12" x14ac:dyDescent="0.25">
      <c r="A46" s="64" t="s">
        <v>28</v>
      </c>
      <c r="B46" s="79"/>
      <c r="C46" s="79"/>
      <c r="D46" s="80">
        <f>$A$4</f>
        <v>10000000</v>
      </c>
      <c r="E46" s="79"/>
      <c r="G46" s="64" t="s">
        <v>28</v>
      </c>
      <c r="H46" s="79"/>
      <c r="I46" s="79"/>
      <c r="J46" s="80">
        <f>$A$6</f>
        <v>20000000</v>
      </c>
      <c r="K46" s="79"/>
    </row>
    <row r="47" spans="1:12" x14ac:dyDescent="0.25">
      <c r="A47" s="111">
        <v>7.0000000000000007E-2</v>
      </c>
      <c r="B47" s="81">
        <f>((C3/(1.07)^1)+(E3/(1.07)^2)+(G3/(1.07)^3)+(I3/(1.07)^4)+(K3/(1+0.07)^5))</f>
        <v>15179047.96949961</v>
      </c>
      <c r="C47" s="73"/>
      <c r="D47" s="73"/>
      <c r="E47" s="73"/>
      <c r="G47" s="111">
        <v>7.0000000000000007E-2</v>
      </c>
      <c r="H47" s="81">
        <f>((C5/(1.07)^1)+(E5/(1.07)^2)+(G5/(1.07)^3)+(I5/(1.07)^4)+(K5/(1+0.07)^5))</f>
        <v>20660243.323458616</v>
      </c>
      <c r="I47" s="73"/>
      <c r="J47" s="73"/>
      <c r="K47" s="73"/>
    </row>
    <row r="48" spans="1:12" x14ac:dyDescent="0.25">
      <c r="A48" s="107"/>
      <c r="B48" s="80">
        <f>B45-B47</f>
        <v>589295.09105077758</v>
      </c>
      <c r="C48" s="79"/>
      <c r="D48" s="80">
        <f>D45-D46</f>
        <v>5768343.0605503879</v>
      </c>
      <c r="E48" s="79"/>
      <c r="G48" s="107"/>
      <c r="H48" s="80">
        <f>H45-H47</f>
        <v>658654.89336171374</v>
      </c>
      <c r="I48" s="79"/>
      <c r="J48" s="80">
        <f>J45-J46</f>
        <v>1318898.2168203294</v>
      </c>
      <c r="K48" s="79"/>
    </row>
    <row r="49" spans="1:11" ht="15.75" x14ac:dyDescent="0.3">
      <c r="A49" s="62" t="s">
        <v>18</v>
      </c>
      <c r="B49" s="112">
        <f>(B48/D48)*(A47-A45)+A45</f>
        <v>6.1021602017884403E-2</v>
      </c>
      <c r="C49" s="74"/>
      <c r="D49" s="74"/>
      <c r="E49" s="74"/>
      <c r="G49" s="62" t="s">
        <v>18</v>
      </c>
      <c r="H49" s="112">
        <f>(H48/J48)*(G47-G45)+G45</f>
        <v>6.499397819302262E-2</v>
      </c>
      <c r="I49" s="74"/>
      <c r="J49" s="74"/>
      <c r="K49" s="74"/>
    </row>
    <row r="51" spans="1:11" ht="15.75" x14ac:dyDescent="0.3">
      <c r="D51" s="74" t="s">
        <v>9</v>
      </c>
      <c r="E51" s="74"/>
      <c r="F51" s="74"/>
      <c r="G51" s="74"/>
      <c r="H51" s="74"/>
    </row>
    <row r="52" spans="1:11" ht="15.75" x14ac:dyDescent="0.3">
      <c r="D52" s="75" t="s">
        <v>42</v>
      </c>
      <c r="E52" s="75"/>
      <c r="F52" s="76">
        <f>SUM(J14:K18)</f>
        <v>19558576.87830222</v>
      </c>
      <c r="G52" s="76"/>
      <c r="H52" s="76"/>
    </row>
    <row r="53" spans="1:11" x14ac:dyDescent="0.25">
      <c r="D53" s="111">
        <v>0.06</v>
      </c>
      <c r="E53" s="81">
        <f>((C7/(1+$B$9)^1)+(E7/(1+$B$9)^2)+(G7/(1+$B$9)^3)+(I7/(1+$B$9)^4)+(K7/(1+$B$9)^5))</f>
        <v>19558576.87830222</v>
      </c>
      <c r="F53" s="73"/>
      <c r="G53" s="81">
        <f>E53</f>
        <v>19558576.87830222</v>
      </c>
      <c r="H53" s="73"/>
    </row>
    <row r="54" spans="1:11" x14ac:dyDescent="0.25">
      <c r="D54" s="64" t="s">
        <v>28</v>
      </c>
      <c r="E54" s="79"/>
      <c r="F54" s="79"/>
      <c r="G54" s="80">
        <f>A8</f>
        <v>16000000</v>
      </c>
      <c r="H54" s="79"/>
    </row>
    <row r="55" spans="1:11" x14ac:dyDescent="0.25">
      <c r="D55" s="111">
        <v>7.0000000000000007E-2</v>
      </c>
      <c r="E55" s="81">
        <f>((C7/(1.07)^1)+(E7/(1.07)^2)+(G7/(1.07)^3)+(I7/(1.07)^4)+(K7/(1+0.07)^5))</f>
        <v>19063538.588095799</v>
      </c>
      <c r="F55" s="73"/>
      <c r="G55" s="73"/>
      <c r="H55" s="73"/>
    </row>
    <row r="56" spans="1:11" x14ac:dyDescent="0.25">
      <c r="D56" s="107"/>
      <c r="E56" s="80">
        <f>E53-E55</f>
        <v>495038.29020642117</v>
      </c>
      <c r="F56" s="79"/>
      <c r="G56" s="80">
        <f>G53-G54</f>
        <v>3558576.8783022203</v>
      </c>
      <c r="H56" s="79"/>
    </row>
    <row r="57" spans="1:11" ht="15.75" x14ac:dyDescent="0.3">
      <c r="D57" s="62" t="s">
        <v>18</v>
      </c>
      <c r="E57" s="112">
        <f>(E56/G56)*(D55-D53)+D53</f>
        <v>6.1391113096993431E-2</v>
      </c>
      <c r="F57" s="74"/>
      <c r="G57" s="74"/>
      <c r="H57" s="74"/>
    </row>
    <row r="59" spans="1:11" ht="15.75" x14ac:dyDescent="0.3">
      <c r="A59" s="74" t="s">
        <v>55</v>
      </c>
      <c r="B59" s="74"/>
      <c r="C59" s="74"/>
      <c r="D59" s="74"/>
    </row>
    <row r="60" spans="1:11" ht="15.75" x14ac:dyDescent="0.3">
      <c r="A60" s="75" t="s">
        <v>8</v>
      </c>
      <c r="B60" s="75"/>
      <c r="C60" s="113">
        <f>H49</f>
        <v>6.499397819302262E-2</v>
      </c>
      <c r="D60" s="114"/>
    </row>
    <row r="61" spans="1:11" ht="15.75" x14ac:dyDescent="0.3">
      <c r="A61" s="74" t="s">
        <v>9</v>
      </c>
      <c r="B61" s="74"/>
      <c r="C61" s="116">
        <f>E57</f>
        <v>6.1391113096993431E-2</v>
      </c>
      <c r="D61" s="115"/>
    </row>
    <row r="62" spans="1:11" ht="15.75" x14ac:dyDescent="0.3">
      <c r="A62" s="75" t="s">
        <v>7</v>
      </c>
      <c r="B62" s="75"/>
      <c r="C62" s="113">
        <f>B49</f>
        <v>6.1021602017884403E-2</v>
      </c>
      <c r="D62" s="114"/>
    </row>
  </sheetData>
  <mergeCells count="101">
    <mergeCell ref="A59:D59"/>
    <mergeCell ref="A60:B60"/>
    <mergeCell ref="C60:D60"/>
    <mergeCell ref="A61:B61"/>
    <mergeCell ref="C61:D61"/>
    <mergeCell ref="A62:B62"/>
    <mergeCell ref="C62:D62"/>
    <mergeCell ref="G54:H54"/>
    <mergeCell ref="E55:F55"/>
    <mergeCell ref="G55:H55"/>
    <mergeCell ref="E56:F56"/>
    <mergeCell ref="G56:H56"/>
    <mergeCell ref="E57:H57"/>
    <mergeCell ref="D51:H51"/>
    <mergeCell ref="D52:E52"/>
    <mergeCell ref="F52:H52"/>
    <mergeCell ref="E53:F53"/>
    <mergeCell ref="G53:H53"/>
    <mergeCell ref="E54:F54"/>
    <mergeCell ref="H47:I47"/>
    <mergeCell ref="J47:K47"/>
    <mergeCell ref="H48:I48"/>
    <mergeCell ref="J48:K48"/>
    <mergeCell ref="H49:K49"/>
    <mergeCell ref="B49:E49"/>
    <mergeCell ref="B48:C48"/>
    <mergeCell ref="D48:E48"/>
    <mergeCell ref="G43:K43"/>
    <mergeCell ref="G44:H44"/>
    <mergeCell ref="I44:K44"/>
    <mergeCell ref="H45:I45"/>
    <mergeCell ref="J45:K45"/>
    <mergeCell ref="H46:I46"/>
    <mergeCell ref="J46:K46"/>
    <mergeCell ref="B45:C45"/>
    <mergeCell ref="D45:E45"/>
    <mergeCell ref="B46:C46"/>
    <mergeCell ref="D46:E46"/>
    <mergeCell ref="B47:C47"/>
    <mergeCell ref="D47:E47"/>
    <mergeCell ref="A41:L41"/>
    <mergeCell ref="A44:B44"/>
    <mergeCell ref="A43:E43"/>
    <mergeCell ref="C44:E44"/>
    <mergeCell ref="A22:B22"/>
    <mergeCell ref="A23:B23"/>
    <mergeCell ref="A24:B24"/>
    <mergeCell ref="C22:D22"/>
    <mergeCell ref="A21:D21"/>
    <mergeCell ref="C23:D23"/>
    <mergeCell ref="C24:D24"/>
    <mergeCell ref="J14:K14"/>
    <mergeCell ref="J15:K15"/>
    <mergeCell ref="J16:K16"/>
    <mergeCell ref="J17:K17"/>
    <mergeCell ref="J18:K18"/>
    <mergeCell ref="J19:K19"/>
    <mergeCell ref="F19:G19"/>
    <mergeCell ref="F18:G18"/>
    <mergeCell ref="F17:G17"/>
    <mergeCell ref="F16:G16"/>
    <mergeCell ref="F15:G15"/>
    <mergeCell ref="F14:G14"/>
    <mergeCell ref="B19:C19"/>
    <mergeCell ref="B18:C18"/>
    <mergeCell ref="B17:C17"/>
    <mergeCell ref="B16:C16"/>
    <mergeCell ref="B14:C14"/>
    <mergeCell ref="B15:C15"/>
    <mergeCell ref="K3:L4"/>
    <mergeCell ref="K5:L6"/>
    <mergeCell ref="K7:L8"/>
    <mergeCell ref="A11:L11"/>
    <mergeCell ref="A13:C13"/>
    <mergeCell ref="E13:G13"/>
    <mergeCell ref="I13:K13"/>
    <mergeCell ref="G3:H4"/>
    <mergeCell ref="G5:H6"/>
    <mergeCell ref="G7:H8"/>
    <mergeCell ref="I3:J4"/>
    <mergeCell ref="I5:J6"/>
    <mergeCell ref="I7:J8"/>
    <mergeCell ref="A7:B7"/>
    <mergeCell ref="A8:B8"/>
    <mergeCell ref="C3:D4"/>
    <mergeCell ref="C5:D6"/>
    <mergeCell ref="C7:D8"/>
    <mergeCell ref="E3:F4"/>
    <mergeCell ref="E5:F6"/>
    <mergeCell ref="E7:F8"/>
    <mergeCell ref="A3:B3"/>
    <mergeCell ref="A4:B4"/>
    <mergeCell ref="A5:B5"/>
    <mergeCell ref="A6:B6"/>
    <mergeCell ref="A2:B2"/>
    <mergeCell ref="C2:D2"/>
    <mergeCell ref="E2:F2"/>
    <mergeCell ref="G2:H2"/>
    <mergeCell ref="I2:J2"/>
    <mergeCell ref="A1:L1"/>
    <mergeCell ref="K2:L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2E429-050A-4574-A902-2987F6756CF0}">
  <dimension ref="A1:L62"/>
  <sheetViews>
    <sheetView showGridLines="0" topLeftCell="A50" workbookViewId="0">
      <selection activeCell="C61" sqref="C61:D61"/>
    </sheetView>
  </sheetViews>
  <sheetFormatPr baseColWidth="10" defaultRowHeight="15" x14ac:dyDescent="0.25"/>
  <cols>
    <col min="1" max="16384" width="11.42578125" style="1"/>
  </cols>
  <sheetData>
    <row r="1" spans="1:12" ht="15.75" x14ac:dyDescent="0.3">
      <c r="A1" s="74" t="s">
        <v>44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2" ht="15.75" x14ac:dyDescent="0.3">
      <c r="A2" s="102" t="s">
        <v>45</v>
      </c>
      <c r="B2" s="102"/>
      <c r="C2" s="75" t="s">
        <v>46</v>
      </c>
      <c r="D2" s="75"/>
      <c r="E2" s="75" t="s">
        <v>47</v>
      </c>
      <c r="F2" s="79"/>
      <c r="G2" s="75" t="s">
        <v>48</v>
      </c>
      <c r="H2" s="79"/>
      <c r="I2" s="75" t="s">
        <v>49</v>
      </c>
      <c r="J2" s="75"/>
      <c r="K2" s="75" t="s">
        <v>50</v>
      </c>
      <c r="L2" s="79"/>
    </row>
    <row r="3" spans="1:12" ht="15.75" x14ac:dyDescent="0.3">
      <c r="A3" s="74" t="s">
        <v>7</v>
      </c>
      <c r="B3" s="74"/>
      <c r="C3" s="101">
        <v>1000000</v>
      </c>
      <c r="D3" s="101"/>
      <c r="E3" s="101">
        <v>-2000000</v>
      </c>
      <c r="F3" s="101"/>
      <c r="G3" s="101">
        <v>6000000</v>
      </c>
      <c r="H3" s="101"/>
      <c r="I3" s="101">
        <v>6000000</v>
      </c>
      <c r="J3" s="101"/>
      <c r="K3" s="101">
        <v>8000000</v>
      </c>
      <c r="L3" s="101"/>
    </row>
    <row r="4" spans="1:12" ht="15.75" x14ac:dyDescent="0.3">
      <c r="A4" s="100">
        <v>10000000</v>
      </c>
      <c r="B4" s="100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2" ht="15.75" x14ac:dyDescent="0.3">
      <c r="A5" s="75" t="s">
        <v>8</v>
      </c>
      <c r="B5" s="75"/>
      <c r="C5" s="103">
        <v>-3000000</v>
      </c>
      <c r="D5" s="103"/>
      <c r="E5" s="103">
        <v>4000000</v>
      </c>
      <c r="F5" s="103"/>
      <c r="G5" s="103">
        <v>5000000</v>
      </c>
      <c r="H5" s="103"/>
      <c r="I5" s="103">
        <v>6000000</v>
      </c>
      <c r="J5" s="103"/>
      <c r="K5" s="103">
        <v>8000000</v>
      </c>
      <c r="L5" s="103"/>
    </row>
    <row r="6" spans="1:12" ht="15.75" x14ac:dyDescent="0.3">
      <c r="A6" s="104">
        <v>18000000</v>
      </c>
      <c r="B6" s="104"/>
      <c r="C6" s="103"/>
      <c r="D6" s="103"/>
      <c r="E6" s="103"/>
      <c r="F6" s="103"/>
      <c r="G6" s="103"/>
      <c r="H6" s="103"/>
      <c r="I6" s="103"/>
      <c r="J6" s="103"/>
      <c r="K6" s="103"/>
      <c r="L6" s="103"/>
    </row>
    <row r="7" spans="1:12" ht="15.75" x14ac:dyDescent="0.3">
      <c r="A7" s="74" t="s">
        <v>9</v>
      </c>
      <c r="B7" s="74"/>
      <c r="C7" s="101">
        <v>4000000</v>
      </c>
      <c r="D7" s="101"/>
      <c r="E7" s="101">
        <v>5000000</v>
      </c>
      <c r="F7" s="101"/>
      <c r="G7" s="101">
        <v>8000000</v>
      </c>
      <c r="H7" s="101"/>
      <c r="I7" s="101">
        <v>3000000</v>
      </c>
      <c r="J7" s="101"/>
      <c r="K7" s="101">
        <v>3000000</v>
      </c>
      <c r="L7" s="101"/>
    </row>
    <row r="8" spans="1:12" ht="15.75" x14ac:dyDescent="0.3">
      <c r="A8" s="100">
        <v>16000000</v>
      </c>
      <c r="B8" s="100"/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12" ht="15.75" x14ac:dyDescent="0.3">
      <c r="A9" s="105" t="s">
        <v>51</v>
      </c>
      <c r="B9" s="106">
        <v>0.08</v>
      </c>
      <c r="C9" s="107"/>
      <c r="D9" s="107"/>
      <c r="E9" s="107"/>
      <c r="F9" s="107"/>
      <c r="G9" s="107"/>
      <c r="H9" s="107"/>
      <c r="I9" s="107"/>
      <c r="J9" s="107"/>
      <c r="K9" s="107"/>
      <c r="L9" s="107"/>
    </row>
    <row r="11" spans="1:12" ht="15.75" x14ac:dyDescent="0.3">
      <c r="A11" s="108" t="s">
        <v>52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</row>
    <row r="13" spans="1:12" ht="15.75" x14ac:dyDescent="0.3">
      <c r="A13" s="74" t="s">
        <v>7</v>
      </c>
      <c r="B13" s="74"/>
      <c r="C13" s="74"/>
      <c r="D13" s="99"/>
      <c r="E13" s="74" t="s">
        <v>8</v>
      </c>
      <c r="F13" s="74"/>
      <c r="G13" s="74"/>
      <c r="I13" s="74" t="s">
        <v>9</v>
      </c>
      <c r="J13" s="74"/>
      <c r="K13" s="74"/>
    </row>
    <row r="14" spans="1:12" x14ac:dyDescent="0.25">
      <c r="A14" s="64">
        <v>1</v>
      </c>
      <c r="B14" s="76">
        <f>C3/(1+$B$9)^A14</f>
        <v>925925.92592592584</v>
      </c>
      <c r="C14" s="76"/>
      <c r="D14" s="109"/>
      <c r="E14" s="64">
        <v>1</v>
      </c>
      <c r="F14" s="76">
        <f>C5/(1+$B$9)^E14</f>
        <v>-2777777.7777777775</v>
      </c>
      <c r="G14" s="76"/>
      <c r="I14" s="64">
        <v>1</v>
      </c>
      <c r="J14" s="76">
        <f>C7/(1+$B$9)^I14</f>
        <v>3703703.7037037034</v>
      </c>
      <c r="K14" s="76"/>
    </row>
    <row r="15" spans="1:12" x14ac:dyDescent="0.25">
      <c r="A15" s="63">
        <v>2</v>
      </c>
      <c r="B15" s="77">
        <f>E3/(1+$B$9)^A15</f>
        <v>-1714677.6406035663</v>
      </c>
      <c r="C15" s="77"/>
      <c r="D15" s="109"/>
      <c r="E15" s="63">
        <v>2</v>
      </c>
      <c r="F15" s="77">
        <f>E5/(1+$B$9)^E15</f>
        <v>3429355.2812071326</v>
      </c>
      <c r="G15" s="77"/>
      <c r="I15" s="63">
        <v>2</v>
      </c>
      <c r="J15" s="77">
        <f>E7/(1+$B$9)^I15</f>
        <v>4286694.1015089164</v>
      </c>
      <c r="K15" s="77"/>
    </row>
    <row r="16" spans="1:12" x14ac:dyDescent="0.25">
      <c r="A16" s="64">
        <v>3</v>
      </c>
      <c r="B16" s="76">
        <f>G3/(1+$B$9)^A16</f>
        <v>4762993.4461210174</v>
      </c>
      <c r="C16" s="76"/>
      <c r="D16" s="109"/>
      <c r="E16" s="64">
        <v>3</v>
      </c>
      <c r="F16" s="76">
        <f>G5/(1+$B$9)^E16</f>
        <v>3969161.2051008479</v>
      </c>
      <c r="G16" s="76"/>
      <c r="I16" s="64">
        <v>3</v>
      </c>
      <c r="J16" s="76">
        <f>G7/(1+$B$9)^I16</f>
        <v>6350657.9281613566</v>
      </c>
      <c r="K16" s="76"/>
    </row>
    <row r="17" spans="1:11" x14ac:dyDescent="0.25">
      <c r="A17" s="63">
        <v>4</v>
      </c>
      <c r="B17" s="77">
        <f>I3/(1+$B$9)^A17</f>
        <v>4410179.1167787192</v>
      </c>
      <c r="C17" s="77"/>
      <c r="D17" s="109"/>
      <c r="E17" s="63">
        <v>4</v>
      </c>
      <c r="F17" s="77">
        <f>I5/(1+$B$9)^E17</f>
        <v>4410179.1167787192</v>
      </c>
      <c r="G17" s="77"/>
      <c r="I17" s="63">
        <v>4</v>
      </c>
      <c r="J17" s="77">
        <f>I7/(1+$B$9)^I17</f>
        <v>2205089.5583893596</v>
      </c>
      <c r="K17" s="77"/>
    </row>
    <row r="18" spans="1:11" x14ac:dyDescent="0.25">
      <c r="A18" s="64">
        <v>5</v>
      </c>
      <c r="B18" s="76">
        <f>K3/(1+$B$9)^A18</f>
        <v>5444665.5762700243</v>
      </c>
      <c r="C18" s="76"/>
      <c r="D18" s="109"/>
      <c r="E18" s="64">
        <v>5</v>
      </c>
      <c r="F18" s="76">
        <f>K5/(1+$B$9)^E18</f>
        <v>5444665.5762700243</v>
      </c>
      <c r="G18" s="76"/>
      <c r="I18" s="64">
        <v>5</v>
      </c>
      <c r="J18" s="76">
        <f>K7/(1+$B$9)^I18</f>
        <v>2041749.591101259</v>
      </c>
      <c r="K18" s="76"/>
    </row>
    <row r="19" spans="1:11" ht="15.75" x14ac:dyDescent="0.3">
      <c r="A19" s="62" t="s">
        <v>13</v>
      </c>
      <c r="B19" s="100">
        <f>SUM(B14:C18)-A4</f>
        <v>3829086.4244921207</v>
      </c>
      <c r="C19" s="100"/>
      <c r="D19" s="110"/>
      <c r="E19" s="62" t="s">
        <v>13</v>
      </c>
      <c r="F19" s="100">
        <f>SUM(F14:G18)-A6</f>
        <v>-3524416.5984210521</v>
      </c>
      <c r="G19" s="100"/>
      <c r="I19" s="62" t="s">
        <v>13</v>
      </c>
      <c r="J19" s="100">
        <f>SUM(J14:K18)-A8</f>
        <v>2587894.8828645945</v>
      </c>
      <c r="K19" s="100"/>
    </row>
    <row r="21" spans="1:11" ht="15.75" x14ac:dyDescent="0.3">
      <c r="A21" s="74" t="s">
        <v>53</v>
      </c>
      <c r="B21" s="74"/>
      <c r="C21" s="74"/>
      <c r="D21" s="74"/>
      <c r="E21" s="99"/>
      <c r="F21" s="99"/>
    </row>
    <row r="22" spans="1:11" ht="15.75" x14ac:dyDescent="0.3">
      <c r="A22" s="75" t="s">
        <v>7</v>
      </c>
      <c r="B22" s="75"/>
      <c r="C22" s="76">
        <f>B19</f>
        <v>3829086.4244921207</v>
      </c>
      <c r="D22" s="76"/>
    </row>
    <row r="23" spans="1:11" ht="15.75" x14ac:dyDescent="0.3">
      <c r="A23" s="74" t="s">
        <v>9</v>
      </c>
      <c r="B23" s="74"/>
      <c r="C23" s="77">
        <f>J19</f>
        <v>2587894.8828645945</v>
      </c>
      <c r="D23" s="77"/>
    </row>
    <row r="24" spans="1:11" ht="15.75" x14ac:dyDescent="0.3">
      <c r="A24" s="75" t="s">
        <v>8</v>
      </c>
      <c r="B24" s="75"/>
      <c r="C24" s="76">
        <f>F19</f>
        <v>-3524416.5984210521</v>
      </c>
      <c r="D24" s="76"/>
    </row>
    <row r="41" spans="1:12" ht="15.75" x14ac:dyDescent="0.3">
      <c r="A41" s="108" t="s">
        <v>54</v>
      </c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</row>
    <row r="43" spans="1:12" ht="15.75" x14ac:dyDescent="0.3">
      <c r="A43" s="74" t="s">
        <v>7</v>
      </c>
      <c r="B43" s="74"/>
      <c r="C43" s="74"/>
      <c r="D43" s="74"/>
      <c r="E43" s="74"/>
      <c r="G43" s="74" t="s">
        <v>8</v>
      </c>
      <c r="H43" s="74"/>
      <c r="I43" s="74"/>
      <c r="J43" s="74"/>
      <c r="K43" s="74"/>
    </row>
    <row r="44" spans="1:12" ht="15.75" x14ac:dyDescent="0.3">
      <c r="A44" s="75" t="s">
        <v>42</v>
      </c>
      <c r="B44" s="75"/>
      <c r="C44" s="76">
        <f>SUM(B14:C18)</f>
        <v>13829086.424492121</v>
      </c>
      <c r="D44" s="76"/>
      <c r="E44" s="76"/>
      <c r="G44" s="75" t="s">
        <v>42</v>
      </c>
      <c r="H44" s="75"/>
      <c r="I44" s="76">
        <f>SUM(F14:G18)</f>
        <v>14475583.401578948</v>
      </c>
      <c r="J44" s="76"/>
      <c r="K44" s="76"/>
    </row>
    <row r="45" spans="1:12" x14ac:dyDescent="0.25">
      <c r="A45" s="111">
        <v>0.08</v>
      </c>
      <c r="B45" s="81">
        <f>((C3/(1+$B$9)^1)+(E3/(1+$B$9)^2)+(G3/(1+$B$9)^3)+(I3/(1+$B$9)^4)+(K3/(1+$B$9)^5))</f>
        <v>13829086.424492121</v>
      </c>
      <c r="C45" s="73"/>
      <c r="D45" s="81">
        <f>B45</f>
        <v>13829086.424492121</v>
      </c>
      <c r="E45" s="73"/>
      <c r="G45" s="111">
        <v>0.08</v>
      </c>
      <c r="H45" s="81">
        <f>((C5/(1+$B$9)^1)+(E5/(1+$B$9)^2)+(G5/(1+$B$9)^3)+(I5/(1+$B$9)^4)+(K5/(1+$B$9)^5))</f>
        <v>14475583.401578948</v>
      </c>
      <c r="I45" s="73"/>
      <c r="J45" s="81">
        <f>H45</f>
        <v>14475583.401578948</v>
      </c>
      <c r="K45" s="73"/>
    </row>
    <row r="46" spans="1:12" x14ac:dyDescent="0.25">
      <c r="A46" s="64" t="s">
        <v>28</v>
      </c>
      <c r="B46" s="79"/>
      <c r="C46" s="79"/>
      <c r="D46" s="80">
        <f>$A$4</f>
        <v>10000000</v>
      </c>
      <c r="E46" s="79"/>
      <c r="G46" s="64" t="s">
        <v>28</v>
      </c>
      <c r="H46" s="79"/>
      <c r="I46" s="79"/>
      <c r="J46" s="80">
        <f>$A$6</f>
        <v>18000000</v>
      </c>
      <c r="K46" s="79"/>
    </row>
    <row r="47" spans="1:12" x14ac:dyDescent="0.25">
      <c r="A47" s="111">
        <v>0.09</v>
      </c>
      <c r="B47" s="81">
        <f>((C3/(1.09)^1)+(E3/(1.09)^2)+(G3/(1.09)^3)+(I3/(1.09)^4)+(K3/(1+0.09)^5))</f>
        <v>13317174.443271756</v>
      </c>
      <c r="C47" s="73"/>
      <c r="D47" s="73"/>
      <c r="E47" s="73"/>
      <c r="G47" s="111">
        <v>0.09</v>
      </c>
      <c r="H47" s="81">
        <f>((C5/(1.09)^1)+(E5/(1.09)^2)+(G5/(1.09)^3)+(I5/(1.09)^4)+(K5/(1+0.09)^5))</f>
        <v>13925346.152167849</v>
      </c>
      <c r="I47" s="73"/>
      <c r="J47" s="73"/>
      <c r="K47" s="73"/>
    </row>
    <row r="48" spans="1:12" x14ac:dyDescent="0.25">
      <c r="A48" s="107"/>
      <c r="B48" s="80">
        <f>B45-B47</f>
        <v>511911.98122036457</v>
      </c>
      <c r="C48" s="79"/>
      <c r="D48" s="80">
        <f>D45-D46</f>
        <v>3829086.4244921207</v>
      </c>
      <c r="E48" s="79"/>
      <c r="G48" s="107"/>
      <c r="H48" s="80">
        <f>H45-H47</f>
        <v>550237.24941109866</v>
      </c>
      <c r="I48" s="79"/>
      <c r="J48" s="80">
        <f>J45-J46</f>
        <v>-3524416.5984210521</v>
      </c>
      <c r="K48" s="79"/>
    </row>
    <row r="49" spans="1:11" ht="15.75" x14ac:dyDescent="0.3">
      <c r="A49" s="62" t="s">
        <v>18</v>
      </c>
      <c r="B49" s="112">
        <f>(B48/D48)*(A47-A45)+A45</f>
        <v>8.1336903700961166E-2</v>
      </c>
      <c r="C49" s="74"/>
      <c r="D49" s="74"/>
      <c r="E49" s="74"/>
      <c r="G49" s="62" t="s">
        <v>18</v>
      </c>
      <c r="H49" s="112">
        <f>(H48/J48)*(G47-G45)+G45</f>
        <v>7.843878487674355E-2</v>
      </c>
      <c r="I49" s="74"/>
      <c r="J49" s="74"/>
      <c r="K49" s="74"/>
    </row>
    <row r="51" spans="1:11" ht="15.75" x14ac:dyDescent="0.3">
      <c r="D51" s="74" t="s">
        <v>9</v>
      </c>
      <c r="E51" s="74"/>
      <c r="F51" s="74"/>
      <c r="G51" s="74"/>
      <c r="H51" s="74"/>
    </row>
    <row r="52" spans="1:11" ht="15.75" x14ac:dyDescent="0.3">
      <c r="D52" s="75" t="s">
        <v>42</v>
      </c>
      <c r="E52" s="75"/>
      <c r="F52" s="76">
        <f>SUM(J14:K18)</f>
        <v>18587894.882864594</v>
      </c>
      <c r="G52" s="76"/>
      <c r="H52" s="76"/>
    </row>
    <row r="53" spans="1:11" x14ac:dyDescent="0.25">
      <c r="D53" s="111">
        <v>0.08</v>
      </c>
      <c r="E53" s="81">
        <f>((C7/(1+$B$9)^1)+(E7/(1+$B$9)^2)+(G7/(1+$B$9)^3)+(I7/(1+$B$9)^4)+(K7/(1+$B$9)^5))</f>
        <v>18587894.882864594</v>
      </c>
      <c r="F53" s="73"/>
      <c r="G53" s="81">
        <f>E53</f>
        <v>18587894.882864594</v>
      </c>
      <c r="H53" s="73"/>
    </row>
    <row r="54" spans="1:11" x14ac:dyDescent="0.25">
      <c r="D54" s="64" t="s">
        <v>28</v>
      </c>
      <c r="E54" s="79"/>
      <c r="F54" s="79"/>
      <c r="G54" s="80">
        <f>A8</f>
        <v>16000000</v>
      </c>
      <c r="H54" s="79"/>
    </row>
    <row r="55" spans="1:11" x14ac:dyDescent="0.25">
      <c r="D55" s="111">
        <v>0.09</v>
      </c>
      <c r="E55" s="81">
        <f>((C7/(1.09)^1)+(E7/(1.09)^2)+(G7/(1.09)^3)+(I7/(1.09)^4)+(K7/(1+0.09)^5))</f>
        <v>18130662.36955414</v>
      </c>
      <c r="F55" s="73"/>
      <c r="G55" s="73"/>
      <c r="H55" s="73"/>
    </row>
    <row r="56" spans="1:11" x14ac:dyDescent="0.25">
      <c r="D56" s="107"/>
      <c r="E56" s="80">
        <f>E53-E55</f>
        <v>457232.51331045479</v>
      </c>
      <c r="F56" s="79"/>
      <c r="G56" s="80">
        <f>G53-G54</f>
        <v>2587894.8828645945</v>
      </c>
      <c r="H56" s="79"/>
    </row>
    <row r="57" spans="1:11" ht="15.75" x14ac:dyDescent="0.3">
      <c r="D57" s="62" t="s">
        <v>18</v>
      </c>
      <c r="E57" s="112">
        <f>(E56/G56)*(D55-D53)+D53</f>
        <v>8.1766812540717784E-2</v>
      </c>
      <c r="F57" s="74"/>
      <c r="G57" s="74"/>
      <c r="H57" s="74"/>
    </row>
    <row r="59" spans="1:11" ht="15.75" x14ac:dyDescent="0.3">
      <c r="A59" s="74" t="s">
        <v>55</v>
      </c>
      <c r="B59" s="74"/>
      <c r="C59" s="74"/>
      <c r="D59" s="74"/>
    </row>
    <row r="60" spans="1:11" ht="15.75" x14ac:dyDescent="0.3">
      <c r="A60" s="75" t="s">
        <v>9</v>
      </c>
      <c r="B60" s="75"/>
      <c r="C60" s="113">
        <f>E57</f>
        <v>8.1766812540717784E-2</v>
      </c>
      <c r="D60" s="114"/>
    </row>
    <row r="61" spans="1:11" ht="15.75" x14ac:dyDescent="0.3">
      <c r="A61" s="74" t="s">
        <v>7</v>
      </c>
      <c r="B61" s="74"/>
      <c r="C61" s="116">
        <f>B49</f>
        <v>8.1336903700961166E-2</v>
      </c>
      <c r="D61" s="115"/>
    </row>
    <row r="62" spans="1:11" ht="15.75" x14ac:dyDescent="0.3">
      <c r="A62" s="75" t="s">
        <v>8</v>
      </c>
      <c r="B62" s="75"/>
      <c r="C62" s="113">
        <f>H49</f>
        <v>7.843878487674355E-2</v>
      </c>
      <c r="D62" s="114"/>
    </row>
  </sheetData>
  <mergeCells count="101">
    <mergeCell ref="A60:B60"/>
    <mergeCell ref="C60:D60"/>
    <mergeCell ref="A61:B61"/>
    <mergeCell ref="C61:D61"/>
    <mergeCell ref="A62:B62"/>
    <mergeCell ref="C62:D62"/>
    <mergeCell ref="E55:F55"/>
    <mergeCell ref="G55:H55"/>
    <mergeCell ref="E56:F56"/>
    <mergeCell ref="G56:H56"/>
    <mergeCell ref="E57:H57"/>
    <mergeCell ref="A59:D59"/>
    <mergeCell ref="D51:H51"/>
    <mergeCell ref="D52:E52"/>
    <mergeCell ref="F52:H52"/>
    <mergeCell ref="E53:F53"/>
    <mergeCell ref="G53:H53"/>
    <mergeCell ref="E54:F54"/>
    <mergeCell ref="G54:H54"/>
    <mergeCell ref="B48:C48"/>
    <mergeCell ref="D48:E48"/>
    <mergeCell ref="H48:I48"/>
    <mergeCell ref="J48:K48"/>
    <mergeCell ref="B49:E49"/>
    <mergeCell ref="H49:K49"/>
    <mergeCell ref="B46:C46"/>
    <mergeCell ref="D46:E46"/>
    <mergeCell ref="H46:I46"/>
    <mergeCell ref="J46:K46"/>
    <mergeCell ref="B47:C47"/>
    <mergeCell ref="D47:E47"/>
    <mergeCell ref="H47:I47"/>
    <mergeCell ref="J47:K47"/>
    <mergeCell ref="A44:B44"/>
    <mergeCell ref="C44:E44"/>
    <mergeCell ref="G44:H44"/>
    <mergeCell ref="I44:K44"/>
    <mergeCell ref="B45:C45"/>
    <mergeCell ref="D45:E45"/>
    <mergeCell ref="H45:I45"/>
    <mergeCell ref="J45:K45"/>
    <mergeCell ref="A23:B23"/>
    <mergeCell ref="C23:D23"/>
    <mergeCell ref="A24:B24"/>
    <mergeCell ref="C24:D24"/>
    <mergeCell ref="A41:L41"/>
    <mergeCell ref="A43:E43"/>
    <mergeCell ref="G43:K43"/>
    <mergeCell ref="B19:C19"/>
    <mergeCell ref="F19:G19"/>
    <mergeCell ref="J19:K19"/>
    <mergeCell ref="A21:D21"/>
    <mergeCell ref="A22:B22"/>
    <mergeCell ref="C22:D22"/>
    <mergeCell ref="B17:C17"/>
    <mergeCell ref="F17:G17"/>
    <mergeCell ref="J17:K17"/>
    <mergeCell ref="B18:C18"/>
    <mergeCell ref="F18:G18"/>
    <mergeCell ref="J18:K18"/>
    <mergeCell ref="B15:C15"/>
    <mergeCell ref="F15:G15"/>
    <mergeCell ref="J15:K15"/>
    <mergeCell ref="B16:C16"/>
    <mergeCell ref="F16:G16"/>
    <mergeCell ref="J16:K16"/>
    <mergeCell ref="A11:L11"/>
    <mergeCell ref="A13:C13"/>
    <mergeCell ref="E13:G13"/>
    <mergeCell ref="I13:K13"/>
    <mergeCell ref="B14:C14"/>
    <mergeCell ref="F14:G14"/>
    <mergeCell ref="J14:K14"/>
    <mergeCell ref="A7:B7"/>
    <mergeCell ref="C7:D8"/>
    <mergeCell ref="E7:F8"/>
    <mergeCell ref="G7:H8"/>
    <mergeCell ref="I7:J8"/>
    <mergeCell ref="K7:L8"/>
    <mergeCell ref="A8:B8"/>
    <mergeCell ref="A5:B5"/>
    <mergeCell ref="C5:D6"/>
    <mergeCell ref="E5:F6"/>
    <mergeCell ref="G5:H6"/>
    <mergeCell ref="I5:J6"/>
    <mergeCell ref="K5:L6"/>
    <mergeCell ref="A6:B6"/>
    <mergeCell ref="A3:B3"/>
    <mergeCell ref="C3:D4"/>
    <mergeCell ref="E3:F4"/>
    <mergeCell ref="G3:H4"/>
    <mergeCell ref="I3:J4"/>
    <mergeCell ref="K3:L4"/>
    <mergeCell ref="A4:B4"/>
    <mergeCell ref="A1:L1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Ejercicio 2</vt:lpstr>
      <vt:lpstr>Proyectos</vt:lpstr>
      <vt:lpstr>Lapicito</vt:lpstr>
      <vt:lpstr>Langosta S.A</vt:lpstr>
      <vt:lpstr>Ejercicio3</vt:lpstr>
      <vt:lpstr>Ejercicio4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2019-05-08T19:57:55Z</dcterms:created>
  <dcterms:modified xsi:type="dcterms:W3CDTF">2019-05-13T00:09:44Z</dcterms:modified>
</cp:coreProperties>
</file>