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AROL\Documents\Financieras\"/>
    </mc:Choice>
  </mc:AlternateContent>
  <xr:revisionPtr revIDLastSave="0" documentId="13_ncr:1_{E2AF6542-4D27-45FF-869B-118A084F3207}" xr6:coauthVersionLast="43" xr6:coauthVersionMax="43" xr10:uidLastSave="{00000000-0000-0000-0000-000000000000}"/>
  <bookViews>
    <workbookView xWindow="-120" yWindow="-120" windowWidth="20730" windowHeight="11160" firstSheet="3" activeTab="3" xr2:uid="{6EB86908-FF81-4A1E-9FDE-3305B4A5C689}"/>
  </bookViews>
  <sheets>
    <sheet name="Portada" sheetId="1" r:id="rId1"/>
    <sheet name="Fundamentacion" sheetId="12" r:id="rId2"/>
    <sheet name="Datos" sheetId="2" r:id="rId3"/>
    <sheet name="Balance General Inicial" sheetId="3" r:id="rId4"/>
    <sheet name="Presupuesto De Ventas" sheetId="10" r:id="rId5"/>
    <sheet name="Tabla de Amortizacion" sheetId="4" r:id="rId6"/>
    <sheet name="Estado de Resultados" sheetId="5" r:id="rId7"/>
    <sheet name="FNE" sheetId="6" r:id="rId8"/>
    <sheet name="Balance General Final" sheetId="9" r:id="rId9"/>
    <sheet name="Evaluacion"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0" i="5" l="1"/>
  <c r="K10" i="5"/>
  <c r="I10" i="5"/>
  <c r="G10" i="5"/>
  <c r="C60" i="11" l="1"/>
  <c r="C59" i="11"/>
  <c r="B53" i="11"/>
  <c r="D46" i="11"/>
  <c r="D45" i="11"/>
  <c r="B41" i="11"/>
  <c r="B40" i="11"/>
  <c r="G23" i="11"/>
  <c r="C23" i="11"/>
  <c r="B8" i="11"/>
  <c r="E8" i="6"/>
  <c r="E7" i="6"/>
  <c r="E6" i="6"/>
  <c r="G5" i="6"/>
  <c r="E5" i="6"/>
  <c r="G17" i="5"/>
  <c r="I4" i="6"/>
  <c r="G4" i="6"/>
  <c r="E4" i="6"/>
  <c r="C4" i="6"/>
  <c r="M12" i="5"/>
  <c r="K12" i="5"/>
  <c r="G12" i="5"/>
  <c r="I12" i="5" s="1"/>
  <c r="M15" i="5"/>
  <c r="I15" i="5"/>
  <c r="I14" i="5"/>
  <c r="K15" i="5"/>
  <c r="K14" i="5"/>
  <c r="M14" i="5"/>
  <c r="G15" i="5"/>
  <c r="G14" i="5"/>
  <c r="E15" i="5"/>
  <c r="E14" i="5"/>
  <c r="M9" i="5"/>
  <c r="K9" i="5"/>
  <c r="I9" i="5"/>
  <c r="G9" i="5"/>
  <c r="E9" i="5"/>
  <c r="F80" i="11" l="1"/>
  <c r="E69" i="11"/>
  <c r="D31" i="11" l="1"/>
  <c r="L14" i="10" l="1"/>
  <c r="J14" i="10"/>
  <c r="H14" i="10"/>
  <c r="F14" i="10"/>
  <c r="D14" i="10"/>
  <c r="L13" i="10"/>
  <c r="J13" i="10"/>
  <c r="H13" i="10"/>
  <c r="F13" i="10"/>
  <c r="D13" i="10"/>
  <c r="L12" i="10"/>
  <c r="J12" i="10"/>
  <c r="H12" i="10"/>
  <c r="F12" i="10"/>
  <c r="D12" i="10"/>
  <c r="L11" i="10"/>
  <c r="J11" i="10"/>
  <c r="H11" i="10"/>
  <c r="F11" i="10"/>
  <c r="D11" i="10"/>
  <c r="L10" i="10"/>
  <c r="J10" i="10"/>
  <c r="H10" i="10"/>
  <c r="F10" i="10"/>
  <c r="D10" i="10"/>
  <c r="L9" i="10"/>
  <c r="J9" i="10"/>
  <c r="H9" i="10"/>
  <c r="F9" i="10"/>
  <c r="D9" i="10"/>
  <c r="C6" i="10"/>
  <c r="C5" i="10"/>
  <c r="C4" i="10"/>
  <c r="D27" i="9" l="1"/>
  <c r="D20" i="9"/>
  <c r="D18" i="9"/>
  <c r="D16" i="9"/>
  <c r="D24" i="9"/>
  <c r="D22" i="9"/>
  <c r="D19" i="9"/>
  <c r="J16" i="9"/>
  <c r="D17" i="9"/>
  <c r="D15" i="9"/>
  <c r="M13" i="5" l="1"/>
  <c r="M16" i="5" s="1"/>
  <c r="M11" i="5"/>
  <c r="M7" i="5"/>
  <c r="K13" i="5"/>
  <c r="K16" i="5" s="1"/>
  <c r="K11" i="5"/>
  <c r="K7" i="5"/>
  <c r="I13" i="5"/>
  <c r="I16" i="5" s="1"/>
  <c r="I11" i="5"/>
  <c r="I7" i="5"/>
  <c r="G11" i="5" l="1"/>
  <c r="G13" i="5" l="1"/>
  <c r="G16" i="5" s="1"/>
  <c r="J20" i="2"/>
  <c r="H20" i="2"/>
  <c r="F20" i="2"/>
  <c r="G7" i="5"/>
  <c r="D20" i="2"/>
  <c r="E17" i="5" l="1"/>
  <c r="E13" i="5"/>
  <c r="E16" i="5" s="1"/>
  <c r="E18" i="5" s="1"/>
  <c r="E20" i="5" s="1"/>
  <c r="E11" i="5"/>
  <c r="G10" i="2"/>
  <c r="G9" i="2"/>
  <c r="G8" i="2"/>
  <c r="G7" i="2"/>
  <c r="G6" i="2"/>
  <c r="B54" i="11" l="1"/>
  <c r="E10" i="5"/>
  <c r="J23" i="2"/>
  <c r="H23" i="2"/>
  <c r="F23" i="2"/>
  <c r="D23" i="2"/>
  <c r="J22" i="2"/>
  <c r="H22" i="2"/>
  <c r="F22" i="2"/>
  <c r="D22" i="2"/>
  <c r="J21" i="2"/>
  <c r="H21" i="2"/>
  <c r="F21" i="2"/>
  <c r="D21" i="2"/>
  <c r="G18" i="5" l="1"/>
  <c r="G20" i="5" s="1"/>
  <c r="C5" i="6" s="1"/>
  <c r="I5" i="6" s="1"/>
  <c r="B55" i="11"/>
  <c r="E7" i="5"/>
  <c r="C53" i="11" l="1"/>
  <c r="B9" i="11"/>
  <c r="G6" i="6"/>
  <c r="I17" i="5"/>
  <c r="I18" i="5" s="1"/>
  <c r="C54" i="11"/>
  <c r="C40" i="11" l="1"/>
  <c r="C41" i="11" s="1"/>
  <c r="E43" i="11" s="1"/>
  <c r="C24" i="11"/>
  <c r="G24" i="11"/>
  <c r="C55" i="11"/>
  <c r="I20" i="5"/>
  <c r="I16" i="4"/>
  <c r="B4" i="4"/>
  <c r="H5" i="4" s="1"/>
  <c r="J16" i="3"/>
  <c r="J18" i="3" s="1"/>
  <c r="J9" i="3"/>
  <c r="J11" i="3" s="1"/>
  <c r="J13" i="3" s="1"/>
  <c r="J20" i="3" s="1"/>
  <c r="D20" i="3"/>
  <c r="D19" i="3"/>
  <c r="D17" i="3"/>
  <c r="D16" i="3"/>
  <c r="D22" i="3" s="1"/>
  <c r="D15" i="3"/>
  <c r="D11" i="3"/>
  <c r="D9" i="3"/>
  <c r="E44" i="11" l="1"/>
  <c r="C44" i="11"/>
  <c r="C6" i="6"/>
  <c r="I6" i="6" s="1"/>
  <c r="D24" i="3"/>
  <c r="H4" i="4"/>
  <c r="H14" i="4"/>
  <c r="H12" i="4"/>
  <c r="H10" i="4"/>
  <c r="H8" i="4"/>
  <c r="H6" i="4"/>
  <c r="F4" i="4"/>
  <c r="H15" i="4"/>
  <c r="H13" i="4"/>
  <c r="H11" i="4"/>
  <c r="H9" i="4"/>
  <c r="H7" i="4"/>
  <c r="D53" i="11" l="1"/>
  <c r="D54" i="11" s="1"/>
  <c r="B10" i="11"/>
  <c r="G7" i="6"/>
  <c r="K17" i="5"/>
  <c r="K18" i="5" s="1"/>
  <c r="D4" i="4"/>
  <c r="J4" i="4" s="1"/>
  <c r="B5" i="4" s="1"/>
  <c r="F5" i="4" s="1"/>
  <c r="D5" i="4" s="1"/>
  <c r="J5" i="4" s="1"/>
  <c r="B6" i="4" s="1"/>
  <c r="F6" i="4" s="1"/>
  <c r="D6" i="4" s="1"/>
  <c r="J6" i="4" s="1"/>
  <c r="B7" i="4" s="1"/>
  <c r="F7" i="4" s="1"/>
  <c r="D7" i="4" s="1"/>
  <c r="J7" i="4" s="1"/>
  <c r="B8" i="4" s="1"/>
  <c r="G25" i="11" l="1"/>
  <c r="D40" i="11"/>
  <c r="D41" i="11" s="1"/>
  <c r="C25" i="11"/>
  <c r="D55" i="11"/>
  <c r="D57" i="11" s="1"/>
  <c r="B58" i="11" s="1"/>
  <c r="K20" i="5"/>
  <c r="F8" i="4"/>
  <c r="D8" i="4" s="1"/>
  <c r="J8" i="4" s="1"/>
  <c r="B9" i="4" s="1"/>
  <c r="C7" i="6" l="1"/>
  <c r="I7" i="6" s="1"/>
  <c r="F9" i="4"/>
  <c r="D9" i="4" s="1"/>
  <c r="J9" i="4" s="1"/>
  <c r="B10" i="4" s="1"/>
  <c r="E53" i="11" l="1"/>
  <c r="B11" i="11"/>
  <c r="G8" i="6"/>
  <c r="M17" i="5"/>
  <c r="E54" i="11"/>
  <c r="F10" i="4"/>
  <c r="D10" i="4" s="1"/>
  <c r="J10" i="4" s="1"/>
  <c r="B11" i="4" s="1"/>
  <c r="E40" i="11" l="1"/>
  <c r="E41" i="11" s="1"/>
  <c r="C26" i="11"/>
  <c r="G26" i="11"/>
  <c r="E55" i="11"/>
  <c r="F11" i="4"/>
  <c r="D11" i="4" s="1"/>
  <c r="J11" i="4" s="1"/>
  <c r="B12" i="4" s="1"/>
  <c r="F12" i="4" l="1"/>
  <c r="D12" i="4" s="1"/>
  <c r="J12" i="4" s="1"/>
  <c r="B13" i="4" s="1"/>
  <c r="F13" i="4" l="1"/>
  <c r="D13" i="4" s="1"/>
  <c r="J13" i="4" s="1"/>
  <c r="B14" i="4" s="1"/>
  <c r="F14" i="4" l="1"/>
  <c r="D14" i="4" s="1"/>
  <c r="J14" i="4" s="1"/>
  <c r="B15" i="4" s="1"/>
  <c r="F15" i="4" l="1"/>
  <c r="D15" i="4" s="1"/>
  <c r="J15" i="4" s="1"/>
  <c r="M18" i="5"/>
  <c r="M20" i="5" s="1"/>
  <c r="C8" i="6" l="1"/>
  <c r="I8" i="6" s="1"/>
  <c r="J17" i="9"/>
  <c r="J18" i="9" s="1"/>
  <c r="F53" i="11" l="1"/>
  <c r="F54" i="11" s="1"/>
  <c r="B12" i="11"/>
  <c r="E67" i="11"/>
  <c r="D72" i="11" s="1"/>
  <c r="D10" i="9"/>
  <c r="D11" i="9" s="1"/>
  <c r="D29" i="9" s="1"/>
  <c r="J10" i="9"/>
  <c r="J11" i="9" s="1"/>
  <c r="J13" i="9" s="1"/>
  <c r="G27" i="11" l="1"/>
  <c r="G28" i="11" s="1"/>
  <c r="B32" i="11" s="1"/>
  <c r="F40" i="11"/>
  <c r="C27" i="11"/>
  <c r="C28" i="11" s="1"/>
  <c r="B13" i="11"/>
  <c r="B14" i="11" s="1"/>
  <c r="F79" i="11"/>
  <c r="E82" i="11" s="1"/>
  <c r="F55" i="11"/>
  <c r="J20" i="9"/>
  <c r="B30" i="11" l="1"/>
  <c r="B33" i="11" s="1"/>
  <c r="D30" i="11"/>
  <c r="D33" i="11" s="1"/>
  <c r="B34" i="11" l="1"/>
</calcChain>
</file>

<file path=xl/sharedStrings.xml><?xml version="1.0" encoding="utf-8"?>
<sst xmlns="http://schemas.openxmlformats.org/spreadsheetml/2006/main" count="217" uniqueCount="140">
  <si>
    <t xml:space="preserve"> Instituo Politécnico Nacional.</t>
  </si>
  <si>
    <t>Escuela Superior de Cómputo.</t>
  </si>
  <si>
    <t>Materia: Administración Financiera.</t>
  </si>
  <si>
    <t>Docente: Eduardo Rodríguez Flores.</t>
  </si>
  <si>
    <t>Alumno: Mario Alberto Miranda Sandoval.</t>
  </si>
  <si>
    <t>Grupo: 2CM10</t>
  </si>
  <si>
    <t>Tema: Evaluación Escrita.</t>
  </si>
  <si>
    <t>Datos.</t>
  </si>
  <si>
    <t>Datos</t>
  </si>
  <si>
    <t>Capital Social</t>
  </si>
  <si>
    <t>Préstamo</t>
  </si>
  <si>
    <t>Mobiliario y equipo</t>
  </si>
  <si>
    <t>Equipo de cómputo</t>
  </si>
  <si>
    <t>Equipo de reparto</t>
  </si>
  <si>
    <t>Licencias y permisos</t>
  </si>
  <si>
    <t>Acta constitutiva</t>
  </si>
  <si>
    <t>Caja y Bancos</t>
  </si>
  <si>
    <t>Venta Página</t>
  </si>
  <si>
    <t>Ventas por mes</t>
  </si>
  <si>
    <t>Costos de producción</t>
  </si>
  <si>
    <t>Gastos administrativos</t>
  </si>
  <si>
    <t>Gastos de Venta</t>
  </si>
  <si>
    <t>Balance General Inicial.</t>
  </si>
  <si>
    <t>Balance General</t>
  </si>
  <si>
    <t>Hermanos Pérez Peña</t>
  </si>
  <si>
    <t>31 de Diciembre del 2017</t>
  </si>
  <si>
    <t>M.N. /00</t>
  </si>
  <si>
    <t>Activos</t>
  </si>
  <si>
    <t>Activos Circulantes.</t>
  </si>
  <si>
    <t>Total Activos Circulantes</t>
  </si>
  <si>
    <t>Activos No Circulantes</t>
  </si>
  <si>
    <t>Mobiliario, planta y equipo.</t>
  </si>
  <si>
    <t>Mobiliario y equipo de of.</t>
  </si>
  <si>
    <t>Equipo de transporte</t>
  </si>
  <si>
    <t>Gastos de Organización.</t>
  </si>
  <si>
    <t>Acta Constitutiva</t>
  </si>
  <si>
    <t>Total Activos No Circulantes</t>
  </si>
  <si>
    <t>Total de Activos</t>
  </si>
  <si>
    <t>Pasivos</t>
  </si>
  <si>
    <t>Pasivos Largo Plazo</t>
  </si>
  <si>
    <t>Préstamos</t>
  </si>
  <si>
    <t>Total Pasivos Largo Plazo</t>
  </si>
  <si>
    <t>Total Pasivos.</t>
  </si>
  <si>
    <t>Capital Contable</t>
  </si>
  <si>
    <t>Total Capital Contable</t>
  </si>
  <si>
    <t>T. P. + T. C. C</t>
  </si>
  <si>
    <t>Tabla de amortización.</t>
  </si>
  <si>
    <t>Periodo</t>
  </si>
  <si>
    <t>Capital inicial</t>
  </si>
  <si>
    <t>Amortización</t>
  </si>
  <si>
    <t>Interés</t>
  </si>
  <si>
    <t>Pago</t>
  </si>
  <si>
    <t>Capital Final</t>
  </si>
  <si>
    <t>Tasa de Amortización</t>
  </si>
  <si>
    <t>Tasa efectiva</t>
  </si>
  <si>
    <t>Aumento a las ventas</t>
  </si>
  <si>
    <t>Aumento costos de producción.</t>
  </si>
  <si>
    <t>Aumento Gastos Admin.</t>
  </si>
  <si>
    <t>Aumento Gastos Venta.</t>
  </si>
  <si>
    <t>Estado de resultados.</t>
  </si>
  <si>
    <t>Estado de resultados</t>
  </si>
  <si>
    <t>Hermanos Peréz Peña</t>
  </si>
  <si>
    <t>-</t>
  </si>
  <si>
    <t>Ventas</t>
  </si>
  <si>
    <t>IVA</t>
  </si>
  <si>
    <t>=</t>
  </si>
  <si>
    <t>Venta Neta</t>
  </si>
  <si>
    <t>Depreciación</t>
  </si>
  <si>
    <t>Utilidad Bruta</t>
  </si>
  <si>
    <t>Gastos de Administración</t>
  </si>
  <si>
    <t>Gastos de venta</t>
  </si>
  <si>
    <t>Utilidad de operación</t>
  </si>
  <si>
    <t>Gastos financieros</t>
  </si>
  <si>
    <t>Utilidad antes de impuestos</t>
  </si>
  <si>
    <t>Impuestos</t>
  </si>
  <si>
    <t>Utilidad Neta</t>
  </si>
  <si>
    <t xml:space="preserve">Depreciacion </t>
  </si>
  <si>
    <t>Flujo Neto de Efectivo.</t>
  </si>
  <si>
    <t>Prestamo</t>
  </si>
  <si>
    <t>Balance General Final.</t>
  </si>
  <si>
    <t>31 de Diciembre del 2022</t>
  </si>
  <si>
    <t>Utilidad del ejercicio</t>
  </si>
  <si>
    <t>Presupuesto De Ventas.</t>
  </si>
  <si>
    <t>Precio Venta Unidad</t>
  </si>
  <si>
    <t>Costo Fijo</t>
  </si>
  <si>
    <t>Costo Variable Unidad</t>
  </si>
  <si>
    <t>Año</t>
  </si>
  <si>
    <t>Unidades Vendidas</t>
  </si>
  <si>
    <t>Ingreso por Ventas</t>
  </si>
  <si>
    <t>Costo Variable Total</t>
  </si>
  <si>
    <t>Margen de utilidad</t>
  </si>
  <si>
    <t>Costos Fijos</t>
  </si>
  <si>
    <t>Ingresos Netos En la Operación</t>
  </si>
  <si>
    <t>Evaluación del proyecto.</t>
  </si>
  <si>
    <t>VPN.</t>
  </si>
  <si>
    <t>K=</t>
  </si>
  <si>
    <t>Suma</t>
  </si>
  <si>
    <t>VPN</t>
  </si>
  <si>
    <t>Aprobado</t>
  </si>
  <si>
    <t>TIR</t>
  </si>
  <si>
    <t>TIR MENOR</t>
  </si>
  <si>
    <t>TIR MAYOR</t>
  </si>
  <si>
    <t>AÑO</t>
  </si>
  <si>
    <t>TIR=</t>
  </si>
  <si>
    <t>r%</t>
  </si>
  <si>
    <t>Aceptado</t>
  </si>
  <si>
    <t>Recuperación de la inversión</t>
  </si>
  <si>
    <t>FNE</t>
  </si>
  <si>
    <t>Rec. Invers=</t>
  </si>
  <si>
    <t>años</t>
  </si>
  <si>
    <t>Rec. In=</t>
  </si>
  <si>
    <t>Recuperación de la inversión descontado</t>
  </si>
  <si>
    <t>Suma VPN</t>
  </si>
  <si>
    <t>Re Inv=</t>
  </si>
  <si>
    <t>Rendimiento a nivel Promedio</t>
  </si>
  <si>
    <t>SUMA FNE=</t>
  </si>
  <si>
    <t>Tiempo Vida=</t>
  </si>
  <si>
    <t>Inversion=</t>
  </si>
  <si>
    <t>RAP=</t>
  </si>
  <si>
    <t>RAP&gt;K</t>
  </si>
  <si>
    <t>Índice De Rentabildad</t>
  </si>
  <si>
    <t>SUMA VPN=</t>
  </si>
  <si>
    <t>INVERSION INCIAL=</t>
  </si>
  <si>
    <t>I.R=</t>
  </si>
  <si>
    <t>I.R&gt;1 Aprobado</t>
  </si>
  <si>
    <t>Utilidad Total</t>
  </si>
  <si>
    <t>Depreciacion</t>
  </si>
  <si>
    <t>.4*12=</t>
  </si>
  <si>
    <t>.8*30=</t>
  </si>
  <si>
    <t>1 año, 4 meses y 8 días</t>
  </si>
  <si>
    <t>2 años, 4 meses y 24 días</t>
  </si>
  <si>
    <t>1+((413691.05)/925285.52)</t>
  </si>
  <si>
    <t>2 años+(748034.46/1666316.06)</t>
  </si>
  <si>
    <t>Fundamentación.</t>
  </si>
  <si>
    <t>Estados Financieros Proforma</t>
  </si>
  <si>
    <t>Los Estados financieros Proforma, son estados que contienen en todo o en parte, uno o varios supuestos o hipótesis con el fin de mostrar cuál sería la situación financiera o los resultados de las operaciones si éstos acontecieran. b) Estados que pretenden mostrar los resultados y la situación financiera basada en proyectos o fenómenos que se supone se realicen como planes o proyectos futuros, o, simplemente, la proyección de las tendencias observadas, así como estados que se formulan con hipótesis sobre el pasado o el presente con objeto de mostrar los resultados y la situación financiera si tales hipótesis se “hubieran realizado” o “hubieran sucedido”. Para estos casos se recomienda el uso genérico del término proyecciones y no del término Pro forma.
Los estados financieros se preparan bajo principios de contabilidad: los que identifican y delimitan el ente económico y sus aspectos financieros, que incluyen los principios de realización y periodo contable que señalan:
Realización. La contabilidad cuantifica en términos monetarios las operaciones que realiza.
Periodo contable. Las operaciones y eventos, así como sus efectos derivados, susceptibles de ser cuantificados, se identifican con el periodo en que ocurren.
La aplicación conjunta de los principios de contabilidad de realización y periodo contable que indican:
La información contable incluye hechos consumados que desde el punto de vista de principios de contabilidad se han realizado.
Por lo tanto la incorporación de operaciones o hechos ocurridos con posterioridad a la fecha en que son relativos los estados financieros constituyen una desviación a estos principios.
Estos estados financieros pueden dividirse en dos grupos, como sigue:
a) Estados que contienen operaciones reales y que muestran además hechos posteriores a la fecha en que están cortadas las cifras de los estados financieros. Los hechos posteriores pueden haber ocurrido ya a la fecha de emisión de los estados financieros, o bien, que su posibilidad de ocurrir es suficientemente cierta. Puede decirse que este grupo considera operaciones consumadas. Para referirse a estos estados debe usarse el término proforma.</t>
  </si>
  <si>
    <t>Presupuesto de ventas</t>
  </si>
  <si>
    <t>El presupuesto de ventas es un pequeño apartado de un elemento mayor dentro de cualquier empresa: el plan financiero. Aunque lo cierto es que en otras ocasiones puede formar parte también del plan de negocios. Lo que no se puede dudar es que un buen presupuesto de ventas puede ayudar a la empresa a conseguir sus objetivos y lograr beneficios.
Características de un presupuesto de ventas
Cualquier presupuesto de ventas tiene las siguientes características básicas:
Este presupuesto debe incluir una relación de todos los productos o servicios que comercializa la empresa.
Las ventas previstas deben estar valuadas en cantidad (número de unidades y valor económico)
El presupuesto de ventas debe incluir un pronóstico de ventas del sector y de la empresa.</t>
  </si>
  <si>
    <t>Amortización financiera.</t>
  </si>
  <si>
    <t xml:space="preserve">La amortización financiera es el reintegro de un capital propio o ajeno, habitualmente distribuyendo pagos en el tiempo. Suele ser el producto de una prestación única, que genera una contraprestación múltiple con vencimiento posterior. Es común que el pago de estas obligaciones se haga a través de desembolsos escalonados en el tiempo, aunque también sepuede acordar un solo pago al final del período. Un ejemplo típico de amortización es el pago o amortización de un préstamo.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</si>
</sst>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0%"/>
    <numFmt numFmtId="165" formatCode="0.000000000000000%"/>
    <numFmt numFmtId="166" formatCode="0.0"/>
  </numFmts>
  <fonts count="12" x14ac:knownFonts="1">
    <font>
      <sz val="11"/>
      <color theme="1"/>
      <name val="Calibri"/>
      <family val="2"/>
      <scheme val="minor"/>
    </font>
    <font>
      <sz val="11"/>
      <color theme="1"/>
      <name val="Calibri"/>
      <family val="2"/>
      <scheme val="minor"/>
    </font>
    <font>
      <b/>
      <sz val="12"/>
      <color theme="4" tint="-0.499984740745262"/>
      <name val="Courier New"/>
      <family val="3"/>
    </font>
    <font>
      <b/>
      <sz val="11"/>
      <color theme="4" tint="-0.499984740745262"/>
      <name val="Courier New"/>
      <family val="3"/>
    </font>
    <font>
      <sz val="11"/>
      <color theme="1"/>
      <name val="Courier New"/>
      <family val="3"/>
    </font>
    <font>
      <b/>
      <sz val="11"/>
      <color theme="1"/>
      <name val="Courier New"/>
      <family val="3"/>
    </font>
    <font>
      <b/>
      <sz val="14"/>
      <color theme="1"/>
      <name val="Courier New"/>
      <family val="3"/>
    </font>
    <font>
      <sz val="10"/>
      <color theme="1"/>
      <name val="Courier New"/>
      <family val="3"/>
    </font>
    <font>
      <sz val="9"/>
      <color theme="1"/>
      <name val="Courier New"/>
      <family val="3"/>
    </font>
    <font>
      <b/>
      <sz val="10"/>
      <color theme="1"/>
      <name val="Courier New"/>
      <family val="3"/>
    </font>
    <font>
      <b/>
      <sz val="9"/>
      <color theme="1"/>
      <name val="Courier New"/>
      <family val="3"/>
    </font>
    <font>
      <b/>
      <sz val="12"/>
      <color theme="1"/>
      <name val="Courier New"/>
      <family val="3"/>
    </font>
  </fonts>
  <fills count="12">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0" fillId="2" borderId="0" xfId="0" applyFill="1"/>
    <xf numFmtId="0" fontId="4" fillId="2" borderId="0" xfId="0" applyFont="1" applyFill="1"/>
    <xf numFmtId="0" fontId="4" fillId="0" borderId="0" xfId="0" applyFont="1"/>
    <xf numFmtId="0" fontId="5" fillId="7" borderId="0" xfId="0" applyFont="1" applyFill="1" applyAlignment="1">
      <alignment horizontal="center"/>
    </xf>
    <xf numFmtId="0" fontId="4" fillId="7" borderId="0" xfId="0" applyFont="1" applyFill="1" applyAlignment="1">
      <alignment horizontal="center"/>
    </xf>
    <xf numFmtId="0" fontId="4" fillId="8" borderId="0" xfId="0" applyFont="1" applyFill="1" applyAlignment="1">
      <alignment horizontal="center"/>
    </xf>
    <xf numFmtId="9" fontId="4" fillId="10" borderId="0" xfId="0" applyNumberFormat="1" applyFont="1" applyFill="1"/>
    <xf numFmtId="164" fontId="4" fillId="10" borderId="0" xfId="3" applyNumberFormat="1" applyFont="1" applyFill="1"/>
    <xf numFmtId="0" fontId="4" fillId="3" borderId="0" xfId="0" quotePrefix="1" applyFont="1" applyFill="1"/>
    <xf numFmtId="0" fontId="4" fillId="3" borderId="0" xfId="0" applyFont="1" applyFill="1"/>
    <xf numFmtId="0" fontId="4" fillId="4" borderId="0" xfId="0" quotePrefix="1" applyFont="1" applyFill="1"/>
    <xf numFmtId="0" fontId="4" fillId="4" borderId="0" xfId="0" applyFont="1" applyFill="1"/>
    <xf numFmtId="0" fontId="5" fillId="4" borderId="0" xfId="0" quotePrefix="1" applyFont="1" applyFill="1"/>
    <xf numFmtId="44" fontId="4" fillId="0" borderId="0" xfId="0" applyNumberFormat="1" applyFont="1"/>
    <xf numFmtId="0" fontId="5" fillId="8" borderId="0" xfId="0" applyFont="1" applyFill="1" applyAlignment="1">
      <alignment horizontal="center"/>
    </xf>
    <xf numFmtId="0" fontId="4" fillId="8" borderId="0" xfId="0" applyFont="1" applyFill="1" applyAlignment="1">
      <alignment horizontal="center"/>
    </xf>
    <xf numFmtId="0" fontId="5" fillId="7" borderId="0" xfId="0" applyFont="1" applyFill="1" applyAlignment="1">
      <alignment horizontal="center"/>
    </xf>
    <xf numFmtId="0" fontId="4" fillId="7" borderId="0" xfId="0" applyFont="1" applyFill="1" applyAlignment="1">
      <alignment horizontal="center"/>
    </xf>
    <xf numFmtId="0" fontId="4" fillId="0" borderId="0" xfId="0" applyFont="1" applyAlignment="1"/>
    <xf numFmtId="0" fontId="4" fillId="7" borderId="0" xfId="0" applyFont="1" applyFill="1"/>
    <xf numFmtId="44" fontId="4" fillId="8" borderId="0" xfId="2" applyFont="1" applyFill="1"/>
    <xf numFmtId="9" fontId="4" fillId="7" borderId="0" xfId="0" applyNumberFormat="1" applyFont="1" applyFill="1"/>
    <xf numFmtId="9" fontId="4" fillId="8" borderId="0" xfId="0" applyNumberFormat="1" applyFont="1" applyFill="1"/>
    <xf numFmtId="0" fontId="4" fillId="8" borderId="0" xfId="0" applyFont="1" applyFill="1"/>
    <xf numFmtId="44" fontId="4" fillId="8" borderId="0" xfId="0" applyNumberFormat="1" applyFont="1" applyFill="1"/>
    <xf numFmtId="44" fontId="5" fillId="8" borderId="0" xfId="0" applyNumberFormat="1" applyFont="1" applyFill="1"/>
    <xf numFmtId="44" fontId="4" fillId="7" borderId="0" xfId="0" applyNumberFormat="1" applyFont="1" applyFill="1"/>
    <xf numFmtId="9" fontId="4" fillId="7" borderId="0" xfId="0" applyNumberFormat="1" applyFont="1" applyFill="1" applyAlignment="1">
      <alignment horizontal="center"/>
    </xf>
    <xf numFmtId="166" fontId="4" fillId="8" borderId="0" xfId="0" applyNumberFormat="1" applyFont="1" applyFill="1" applyAlignment="1"/>
    <xf numFmtId="0" fontId="5" fillId="11" borderId="0" xfId="0" applyFont="1" applyFill="1"/>
    <xf numFmtId="0" fontId="5" fillId="7" borderId="0" xfId="0" applyFont="1" applyFill="1"/>
    <xf numFmtId="44" fontId="5" fillId="7" borderId="0" xfId="0" applyNumberFormat="1" applyFont="1" applyFill="1"/>
    <xf numFmtId="0" fontId="5" fillId="8" borderId="0" xfId="0" applyFont="1" applyFill="1"/>
    <xf numFmtId="0" fontId="5" fillId="11" borderId="0" xfId="0" applyFont="1" applyFill="1" applyAlignment="1">
      <alignment horizontal="center"/>
    </xf>
    <xf numFmtId="0" fontId="4" fillId="11" borderId="0" xfId="0" applyFont="1" applyFill="1" applyAlignment="1">
      <alignment horizontal="center"/>
    </xf>
    <xf numFmtId="166" fontId="4" fillId="8" borderId="0" xfId="0" applyNumberFormat="1" applyFont="1" applyFill="1"/>
    <xf numFmtId="9" fontId="4" fillId="7" borderId="0" xfId="3" applyFont="1" applyFill="1"/>
    <xf numFmtId="0" fontId="7" fillId="8" borderId="0" xfId="0" applyFont="1" applyFill="1"/>
    <xf numFmtId="43" fontId="4" fillId="11" borderId="0" xfId="1" applyFont="1" applyFill="1" applyAlignment="1">
      <alignment horizontal="center"/>
    </xf>
    <xf numFmtId="44" fontId="7" fillId="8" borderId="0" xfId="0" applyNumberFormat="1" applyFont="1" applyFill="1"/>
    <xf numFmtId="44" fontId="9" fillId="7" borderId="0" xfId="0" applyNumberFormat="1" applyFont="1" applyFill="1"/>
    <xf numFmtId="166" fontId="4" fillId="0" borderId="0" xfId="0" applyNumberFormat="1" applyFont="1"/>
    <xf numFmtId="0" fontId="4" fillId="0" borderId="0" xfId="0" applyFont="1" applyAlignment="1">
      <alignment vertical="top" wrapText="1"/>
    </xf>
    <xf numFmtId="0" fontId="4" fillId="2" borderId="0" xfId="0" applyFont="1" applyFill="1" applyAlignment="1">
      <alignment vertical="top" wrapText="1"/>
    </xf>
    <xf numFmtId="0" fontId="2" fillId="2" borderId="0" xfId="0" applyFont="1" applyFill="1" applyAlignment="1">
      <alignment horizontal="center"/>
    </xf>
    <xf numFmtId="0" fontId="3" fillId="2" borderId="0" xfId="0" applyFont="1" applyFill="1" applyAlignment="1">
      <alignment horizontal="center"/>
    </xf>
    <xf numFmtId="0" fontId="4" fillId="4" borderId="0" xfId="0" applyFont="1" applyFill="1" applyAlignment="1">
      <alignment horizontal="left" vertical="top" wrapText="1"/>
    </xf>
    <xf numFmtId="0" fontId="11" fillId="3" borderId="0" xfId="0" applyFont="1" applyFill="1" applyAlignment="1">
      <alignment horizontal="center"/>
    </xf>
    <xf numFmtId="0" fontId="4" fillId="6" borderId="0" xfId="0" applyFont="1" applyFill="1" applyAlignment="1">
      <alignment horizontal="left" vertical="top" wrapText="1"/>
    </xf>
    <xf numFmtId="0" fontId="6" fillId="3" borderId="0" xfId="0" applyFont="1" applyFill="1" applyAlignment="1">
      <alignment horizontal="center"/>
    </xf>
    <xf numFmtId="0" fontId="5" fillId="3" borderId="0" xfId="0" applyFont="1" applyFill="1" applyAlignment="1">
      <alignment horizontal="center"/>
    </xf>
    <xf numFmtId="0" fontId="5" fillId="3" borderId="0" xfId="0" applyFont="1" applyFill="1" applyAlignment="1">
      <alignment horizontal="center" vertical="top" wrapText="1"/>
    </xf>
    <xf numFmtId="44" fontId="4" fillId="3" borderId="0" xfId="0" applyNumberFormat="1" applyFont="1" applyFill="1" applyAlignment="1">
      <alignment horizontal="center"/>
    </xf>
    <xf numFmtId="0" fontId="4" fillId="3" borderId="0" xfId="0" applyFont="1" applyFill="1" applyAlignment="1">
      <alignment horizontal="center"/>
    </xf>
    <xf numFmtId="44" fontId="4" fillId="4" borderId="0" xfId="0" applyNumberFormat="1" applyFont="1" applyFill="1" applyAlignment="1">
      <alignment horizontal="center"/>
    </xf>
    <xf numFmtId="0" fontId="4" fillId="4" borderId="0" xfId="0" applyFont="1" applyFill="1" applyAlignment="1">
      <alignment horizontal="center"/>
    </xf>
    <xf numFmtId="0" fontId="5" fillId="8" borderId="0" xfId="0" applyFont="1" applyFill="1" applyAlignment="1">
      <alignment horizontal="center"/>
    </xf>
    <xf numFmtId="0" fontId="7" fillId="4" borderId="0" xfId="0" applyFont="1" applyFill="1" applyAlignment="1">
      <alignment horizontal="center"/>
    </xf>
    <xf numFmtId="0" fontId="4" fillId="3" borderId="0" xfId="0" applyFont="1" applyFill="1" applyAlignment="1">
      <alignment horizontal="left"/>
    </xf>
    <xf numFmtId="44" fontId="4" fillId="3" borderId="0" xfId="2" applyFont="1" applyFill="1" applyAlignment="1">
      <alignment horizontal="center" vertical="center"/>
    </xf>
    <xf numFmtId="44" fontId="4" fillId="4" borderId="0" xfId="2" applyFont="1" applyFill="1" applyAlignment="1">
      <alignment horizontal="center" vertical="center"/>
    </xf>
    <xf numFmtId="0" fontId="4" fillId="4" borderId="0" xfId="0" applyFont="1" applyFill="1" applyAlignment="1">
      <alignment horizontal="left"/>
    </xf>
    <xf numFmtId="0" fontId="7" fillId="3" borderId="0" xfId="0" applyFont="1" applyFill="1" applyAlignment="1">
      <alignment horizontal="left"/>
    </xf>
    <xf numFmtId="0" fontId="5" fillId="4" borderId="0" xfId="0" applyFont="1" applyFill="1" applyAlignment="1">
      <alignment horizontal="left"/>
    </xf>
    <xf numFmtId="0" fontId="7" fillId="4" borderId="0" xfId="0" applyFont="1" applyFill="1" applyAlignment="1">
      <alignment horizontal="left"/>
    </xf>
    <xf numFmtId="0" fontId="4" fillId="0" borderId="0" xfId="0" applyFont="1" applyAlignment="1">
      <alignment horizontal="center"/>
    </xf>
    <xf numFmtId="0" fontId="4" fillId="3" borderId="0" xfId="1" applyNumberFormat="1" applyFont="1" applyFill="1" applyAlignment="1">
      <alignment horizontal="center" vertical="center"/>
    </xf>
    <xf numFmtId="0" fontId="8" fillId="4" borderId="0" xfId="0" applyFont="1" applyFill="1" applyAlignment="1">
      <alignment horizontal="left"/>
    </xf>
    <xf numFmtId="0" fontId="8" fillId="3" borderId="0" xfId="0" applyFont="1" applyFill="1" applyAlignment="1">
      <alignment horizontal="left"/>
    </xf>
    <xf numFmtId="44" fontId="4" fillId="3" borderId="0" xfId="2" applyFont="1" applyFill="1" applyAlignment="1">
      <alignment horizontal="center"/>
    </xf>
    <xf numFmtId="44" fontId="4" fillId="4" borderId="0" xfId="2"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5" fillId="6" borderId="0" xfId="0" applyFont="1" applyFill="1" applyAlignment="1">
      <alignment horizontal="center"/>
    </xf>
    <xf numFmtId="0" fontId="4" fillId="8" borderId="0" xfId="0" applyFont="1" applyFill="1" applyAlignment="1">
      <alignment horizontal="center"/>
    </xf>
    <xf numFmtId="44" fontId="4" fillId="8" borderId="0" xfId="2" applyFont="1" applyFill="1" applyAlignment="1">
      <alignment horizontal="center"/>
    </xf>
    <xf numFmtId="44" fontId="4" fillId="8" borderId="0" xfId="0" applyNumberFormat="1" applyFont="1" applyFill="1" applyAlignment="1">
      <alignment horizontal="center"/>
    </xf>
    <xf numFmtId="0" fontId="4" fillId="9" borderId="0" xfId="0" applyFont="1" applyFill="1" applyAlignment="1">
      <alignment horizontal="center"/>
    </xf>
    <xf numFmtId="44" fontId="4" fillId="9" borderId="0" xfId="0" applyNumberFormat="1" applyFont="1" applyFill="1" applyAlignment="1">
      <alignment horizontal="center"/>
    </xf>
    <xf numFmtId="0" fontId="9" fillId="4" borderId="0" xfId="0" applyFont="1" applyFill="1" applyAlignment="1">
      <alignment horizontal="center"/>
    </xf>
    <xf numFmtId="0" fontId="5" fillId="7" borderId="0" xfId="0" applyFont="1" applyFill="1" applyAlignment="1">
      <alignment horizontal="center"/>
    </xf>
    <xf numFmtId="44" fontId="5" fillId="7" borderId="0" xfId="2" applyFont="1" applyFill="1" applyAlignment="1">
      <alignment horizontal="center"/>
    </xf>
    <xf numFmtId="0" fontId="4" fillId="6" borderId="0" xfId="0" applyFont="1" applyFill="1" applyAlignment="1">
      <alignment horizontal="center"/>
    </xf>
    <xf numFmtId="44" fontId="5" fillId="7" borderId="0" xfId="0" applyNumberFormat="1" applyFont="1" applyFill="1" applyAlignment="1">
      <alignment horizontal="center"/>
    </xf>
    <xf numFmtId="0" fontId="4" fillId="7" borderId="0" xfId="0" applyFont="1" applyFill="1" applyAlignment="1">
      <alignment horizontal="center"/>
    </xf>
    <xf numFmtId="44" fontId="4" fillId="7" borderId="0" xfId="0" applyNumberFormat="1" applyFont="1" applyFill="1" applyAlignment="1">
      <alignment horizontal="center"/>
    </xf>
    <xf numFmtId="0" fontId="7" fillId="9" borderId="0" xfId="0" applyFont="1" applyFill="1" applyAlignment="1">
      <alignment horizontal="center"/>
    </xf>
    <xf numFmtId="0" fontId="8" fillId="9" borderId="0" xfId="0" applyFont="1" applyFill="1" applyAlignment="1">
      <alignment horizontal="center"/>
    </xf>
    <xf numFmtId="44" fontId="4" fillId="9" borderId="0" xfId="2" applyFont="1" applyFill="1" applyAlignment="1">
      <alignment horizontal="center"/>
    </xf>
    <xf numFmtId="44" fontId="5" fillId="6" borderId="0" xfId="0" applyNumberFormat="1" applyFont="1" applyFill="1" applyAlignment="1">
      <alignment horizontal="center"/>
    </xf>
    <xf numFmtId="0" fontId="10" fillId="6" borderId="0" xfId="0" applyFont="1" applyFill="1" applyAlignment="1">
      <alignment horizontal="center"/>
    </xf>
    <xf numFmtId="44" fontId="4" fillId="6" borderId="0" xfId="0" applyNumberFormat="1" applyFont="1" applyFill="1" applyAlignment="1">
      <alignment horizontal="center"/>
    </xf>
    <xf numFmtId="1" fontId="4" fillId="8" borderId="0" xfId="0" applyNumberFormat="1" applyFont="1" applyFill="1" applyAlignment="1">
      <alignment horizontal="center"/>
    </xf>
    <xf numFmtId="0" fontId="4" fillId="8" borderId="0" xfId="0" applyNumberFormat="1" applyFont="1" applyFill="1" applyAlignment="1">
      <alignment horizontal="center"/>
    </xf>
    <xf numFmtId="44" fontId="4" fillId="7" borderId="0" xfId="2" applyFont="1" applyFill="1" applyAlignment="1">
      <alignment horizontal="center"/>
    </xf>
    <xf numFmtId="0" fontId="4" fillId="10" borderId="0" xfId="0" applyFont="1" applyFill="1" applyAlignment="1">
      <alignment horizontal="center"/>
    </xf>
    <xf numFmtId="44" fontId="4" fillId="3" borderId="0" xfId="2" applyNumberFormat="1" applyFont="1" applyFill="1" applyAlignment="1">
      <alignment horizontal="center"/>
    </xf>
    <xf numFmtId="44" fontId="4" fillId="4" borderId="0" xfId="2" applyNumberFormat="1" applyFont="1" applyFill="1" applyAlignment="1">
      <alignment horizontal="center"/>
    </xf>
    <xf numFmtId="44" fontId="5" fillId="4" borderId="0" xfId="0" applyNumberFormat="1" applyFont="1" applyFill="1" applyAlignment="1">
      <alignment horizontal="center"/>
    </xf>
    <xf numFmtId="44" fontId="6" fillId="3" borderId="0" xfId="0" applyNumberFormat="1" applyFont="1" applyFill="1" applyAlignment="1">
      <alignment horizontal="center"/>
    </xf>
    <xf numFmtId="0" fontId="4" fillId="7" borderId="0" xfId="0" applyNumberFormat="1" applyFont="1" applyFill="1" applyAlignment="1">
      <alignment horizontal="center"/>
    </xf>
    <xf numFmtId="0" fontId="4" fillId="8" borderId="0" xfId="1" applyNumberFormat="1" applyFont="1" applyFill="1" applyAlignment="1">
      <alignment horizontal="center"/>
    </xf>
    <xf numFmtId="0" fontId="4" fillId="7" borderId="0" xfId="1" applyNumberFormat="1" applyFont="1" applyFill="1" applyAlignment="1">
      <alignment horizontal="center"/>
    </xf>
    <xf numFmtId="0" fontId="5" fillId="11" borderId="0" xfId="0" applyFont="1" applyFill="1" applyAlignment="1">
      <alignment horizontal="center"/>
    </xf>
    <xf numFmtId="165" fontId="4" fillId="7" borderId="0" xfId="0" applyNumberFormat="1" applyFont="1" applyFill="1" applyAlignment="1">
      <alignment horizontal="center"/>
    </xf>
    <xf numFmtId="44" fontId="5" fillId="8" borderId="0" xfId="0" applyNumberFormat="1" applyFont="1" applyFill="1" applyAlignment="1">
      <alignment horizontal="center"/>
    </xf>
    <xf numFmtId="9" fontId="4" fillId="7" borderId="0" xfId="0" applyNumberFormat="1" applyFont="1" applyFill="1" applyAlignment="1">
      <alignment horizontal="center"/>
    </xf>
  </cellXfs>
  <cellStyles count="4">
    <cellStyle name="Millares" xfId="1" builtinId="3"/>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Estado de Resultados'!A1"/><Relationship Id="rId3" Type="http://schemas.openxmlformats.org/officeDocument/2006/relationships/hyperlink" Target="#Portada!A1"/><Relationship Id="rId7" Type="http://schemas.openxmlformats.org/officeDocument/2006/relationships/hyperlink" Target="#'Tabla de Amortizacion'!A1"/><Relationship Id="rId12" Type="http://schemas.openxmlformats.org/officeDocument/2006/relationships/hyperlink" Target="#Fundamentacio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resupuesto De Ventas'!A1"/><Relationship Id="rId11" Type="http://schemas.openxmlformats.org/officeDocument/2006/relationships/hyperlink" Target="#Evaluacion!A1"/><Relationship Id="rId5" Type="http://schemas.openxmlformats.org/officeDocument/2006/relationships/hyperlink" Target="#'Balance General Inicial'!A1"/><Relationship Id="rId10" Type="http://schemas.openxmlformats.org/officeDocument/2006/relationships/hyperlink" Target="#'Balance General Final'!A1"/><Relationship Id="rId4" Type="http://schemas.openxmlformats.org/officeDocument/2006/relationships/hyperlink" Target="#Datos!A1"/><Relationship Id="rId9" Type="http://schemas.openxmlformats.org/officeDocument/2006/relationships/hyperlink" Target="#FNE!A1"/></Relationships>
</file>

<file path=xl/drawings/_rels/drawing10.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2.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3.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4.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5.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6.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7.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8.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_rels/drawing9.xml.rels><?xml version="1.0" encoding="UTF-8" standalone="yes"?>
<Relationships xmlns="http://schemas.openxmlformats.org/package/2006/relationships"><Relationship Id="rId8" Type="http://schemas.openxmlformats.org/officeDocument/2006/relationships/hyperlink" Target="#'Balance General Final'!A1"/><Relationship Id="rId3" Type="http://schemas.openxmlformats.org/officeDocument/2006/relationships/hyperlink" Target="#'Balance General Inicial'!A1"/><Relationship Id="rId7" Type="http://schemas.openxmlformats.org/officeDocument/2006/relationships/hyperlink" Target="#FNE!A1"/><Relationship Id="rId2" Type="http://schemas.openxmlformats.org/officeDocument/2006/relationships/hyperlink" Target="#Datos!A1"/><Relationship Id="rId1" Type="http://schemas.openxmlformats.org/officeDocument/2006/relationships/hyperlink" Target="#Portada!A1"/><Relationship Id="rId6" Type="http://schemas.openxmlformats.org/officeDocument/2006/relationships/hyperlink" Target="#'Estado de Resultados'!A1"/><Relationship Id="rId5" Type="http://schemas.openxmlformats.org/officeDocument/2006/relationships/hyperlink" Target="#'Tabla de Amortizacion'!A1"/><Relationship Id="rId10" Type="http://schemas.openxmlformats.org/officeDocument/2006/relationships/hyperlink" Target="#Fundamentacion!A1"/><Relationship Id="rId4" Type="http://schemas.openxmlformats.org/officeDocument/2006/relationships/hyperlink" Target="#'Presupuesto De Ventas'!A1"/><Relationship Id="rId9" Type="http://schemas.openxmlformats.org/officeDocument/2006/relationships/hyperlink" Target="#Evaluacion!A1"/></Relationships>
</file>

<file path=xl/drawings/drawing1.xml><?xml version="1.0" encoding="utf-8"?>
<xdr:wsDr xmlns:xdr="http://schemas.openxmlformats.org/drawingml/2006/spreadsheetDrawing" xmlns:a="http://schemas.openxmlformats.org/drawingml/2006/main">
  <xdr:twoCellAnchor editAs="oneCell">
    <xdr:from>
      <xdr:col>0</xdr:col>
      <xdr:colOff>165287</xdr:colOff>
      <xdr:row>1</xdr:row>
      <xdr:rowOff>25214</xdr:rowOff>
    </xdr:from>
    <xdr:to>
      <xdr:col>2</xdr:col>
      <xdr:colOff>231962</xdr:colOff>
      <xdr:row>13</xdr:row>
      <xdr:rowOff>76014</xdr:rowOff>
    </xdr:to>
    <xdr:pic>
      <xdr:nvPicPr>
        <xdr:cNvPr id="2" name="27 Imagen" descr="ipn.png">
          <a:extLst>
            <a:ext uri="{FF2B5EF4-FFF2-40B4-BE49-F238E27FC236}">
              <a16:creationId xmlns:a16="http://schemas.microsoft.com/office/drawing/2014/main" id="{5FAC2731-7B01-4D40-A7E3-7727C2DB782D}"/>
            </a:ext>
          </a:extLst>
        </xdr:cNvPr>
        <xdr:cNvPicPr>
          <a:picLocks noChangeAspect="1"/>
        </xdr:cNvPicPr>
      </xdr:nvPicPr>
      <xdr:blipFill rotWithShape="1">
        <a:blip xmlns:r="http://schemas.openxmlformats.org/officeDocument/2006/relationships" r:embed="rId1"/>
        <a:srcRect l="14571" r="13857"/>
        <a:stretch/>
      </xdr:blipFill>
      <xdr:spPr>
        <a:xfrm>
          <a:off x="165287" y="215714"/>
          <a:ext cx="1590675" cy="2336800"/>
        </a:xfrm>
        <a:prstGeom prst="rect">
          <a:avLst/>
        </a:prstGeom>
      </xdr:spPr>
    </xdr:pic>
    <xdr:clientData/>
  </xdr:twoCellAnchor>
  <xdr:twoCellAnchor editAs="oneCell">
    <xdr:from>
      <xdr:col>6</xdr:col>
      <xdr:colOff>657225</xdr:colOff>
      <xdr:row>3</xdr:row>
      <xdr:rowOff>85725</xdr:rowOff>
    </xdr:from>
    <xdr:to>
      <xdr:col>9</xdr:col>
      <xdr:colOff>393195</xdr:colOff>
      <xdr:row>11</xdr:row>
      <xdr:rowOff>133350</xdr:rowOff>
    </xdr:to>
    <xdr:pic>
      <xdr:nvPicPr>
        <xdr:cNvPr id="3" name="22 Imagen" descr="escom.png">
          <a:extLst>
            <a:ext uri="{FF2B5EF4-FFF2-40B4-BE49-F238E27FC236}">
              <a16:creationId xmlns:a16="http://schemas.microsoft.com/office/drawing/2014/main" id="{38750D29-D042-4D92-931D-587B7E601F77}"/>
            </a:ext>
          </a:extLst>
        </xdr:cNvPr>
        <xdr:cNvPicPr>
          <a:picLocks noChangeAspect="1"/>
        </xdr:cNvPicPr>
      </xdr:nvPicPr>
      <xdr:blipFill rotWithShape="1">
        <a:blip xmlns:r="http://schemas.openxmlformats.org/officeDocument/2006/relationships" r:embed="rId2"/>
        <a:srcRect t="10028" b="16530"/>
        <a:stretch/>
      </xdr:blipFill>
      <xdr:spPr>
        <a:xfrm>
          <a:off x="5229225" y="657225"/>
          <a:ext cx="2021970" cy="1571625"/>
        </a:xfrm>
        <a:prstGeom prst="rect">
          <a:avLst/>
        </a:prstGeom>
      </xdr:spPr>
    </xdr:pic>
    <xdr:clientData/>
  </xdr:twoCellAnchor>
  <xdr:twoCellAnchor>
    <xdr:from>
      <xdr:col>0</xdr:col>
      <xdr:colOff>438151</xdr:colOff>
      <xdr:row>23</xdr:row>
      <xdr:rowOff>95250</xdr:rowOff>
    </xdr:from>
    <xdr:to>
      <xdr:col>2</xdr:col>
      <xdr:colOff>152401</xdr:colOff>
      <xdr:row>24</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B5BEC0A1-1F4A-48D1-AC8D-36B8EDF1A389}"/>
            </a:ext>
          </a:extLst>
        </xdr:cNvPr>
        <xdr:cNvSpPr/>
      </xdr:nvSpPr>
      <xdr:spPr>
        <a:xfrm>
          <a:off x="438151" y="46005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23</xdr:row>
      <xdr:rowOff>85725</xdr:rowOff>
    </xdr:from>
    <xdr:to>
      <xdr:col>4</xdr:col>
      <xdr:colOff>57150</xdr:colOff>
      <xdr:row>24</xdr:row>
      <xdr:rowOff>152400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9CA31EBF-054B-48CF-96FF-D2CDBDC0ED8E}"/>
            </a:ext>
          </a:extLst>
        </xdr:cNvPr>
        <xdr:cNvSpPr/>
      </xdr:nvSpPr>
      <xdr:spPr>
        <a:xfrm>
          <a:off x="1866900" y="45910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25</xdr:row>
      <xdr:rowOff>85725</xdr:rowOff>
    </xdr:from>
    <xdr:to>
      <xdr:col>3</xdr:col>
      <xdr:colOff>285750</xdr:colOff>
      <xdr:row>27</xdr:row>
      <xdr:rowOff>161925</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904EF75B-0C49-4862-9880-33800355102C}"/>
            </a:ext>
          </a:extLst>
        </xdr:cNvPr>
        <xdr:cNvSpPr/>
      </xdr:nvSpPr>
      <xdr:spPr>
        <a:xfrm>
          <a:off x="762000" y="49720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25</xdr:row>
      <xdr:rowOff>76200</xdr:rowOff>
    </xdr:from>
    <xdr:to>
      <xdr:col>5</xdr:col>
      <xdr:colOff>752475</xdr:colOff>
      <xdr:row>28</xdr:row>
      <xdr:rowOff>0</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821C85D2-ACD2-46CF-848C-F6B58C07A56F}"/>
            </a:ext>
          </a:extLst>
        </xdr:cNvPr>
        <xdr:cNvSpPr/>
      </xdr:nvSpPr>
      <xdr:spPr>
        <a:xfrm>
          <a:off x="2714625" y="49625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25</xdr:row>
      <xdr:rowOff>95250</xdr:rowOff>
    </xdr:from>
    <xdr:to>
      <xdr:col>8</xdr:col>
      <xdr:colOff>85725</xdr:colOff>
      <xdr:row>28</xdr:row>
      <xdr:rowOff>19050</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774C4A4F-881B-4FE0-B844-D4F19E880CDB}"/>
            </a:ext>
          </a:extLst>
        </xdr:cNvPr>
        <xdr:cNvSpPr/>
      </xdr:nvSpPr>
      <xdr:spPr>
        <a:xfrm>
          <a:off x="4791075" y="49815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23</xdr:row>
      <xdr:rowOff>76200</xdr:rowOff>
    </xdr:from>
    <xdr:to>
      <xdr:col>8</xdr:col>
      <xdr:colOff>66674</xdr:colOff>
      <xdr:row>24</xdr:row>
      <xdr:rowOff>142875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25A549D8-141E-4E14-973E-6CE2D101C2EE}"/>
            </a:ext>
          </a:extLst>
        </xdr:cNvPr>
        <xdr:cNvSpPr/>
      </xdr:nvSpPr>
      <xdr:spPr>
        <a:xfrm>
          <a:off x="3276599" y="45815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28</xdr:row>
      <xdr:rowOff>85725</xdr:rowOff>
    </xdr:from>
    <xdr:to>
      <xdr:col>4</xdr:col>
      <xdr:colOff>228599</xdr:colOff>
      <xdr:row>31</xdr:row>
      <xdr:rowOff>9525</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2378EB79-6F6C-4CE6-B275-30B1DD718087}"/>
            </a:ext>
          </a:extLst>
        </xdr:cNvPr>
        <xdr:cNvSpPr/>
      </xdr:nvSpPr>
      <xdr:spPr>
        <a:xfrm>
          <a:off x="1628774" y="55435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28</xdr:row>
      <xdr:rowOff>85725</xdr:rowOff>
    </xdr:from>
    <xdr:to>
      <xdr:col>6</xdr:col>
      <xdr:colOff>695325</xdr:colOff>
      <xdr:row>31</xdr:row>
      <xdr:rowOff>9525</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B9228D1B-C3AC-4451-9DCD-D7267B8D9256}"/>
            </a:ext>
          </a:extLst>
        </xdr:cNvPr>
        <xdr:cNvSpPr/>
      </xdr:nvSpPr>
      <xdr:spPr>
        <a:xfrm>
          <a:off x="3609975" y="55435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31</xdr:row>
      <xdr:rowOff>142875</xdr:rowOff>
    </xdr:from>
    <xdr:to>
      <xdr:col>5</xdr:col>
      <xdr:colOff>142875</xdr:colOff>
      <xdr:row>33</xdr:row>
      <xdr:rowOff>19050</xdr:rowOff>
    </xdr:to>
    <xdr:sp macro="" textlink="">
      <xdr:nvSpPr>
        <xdr:cNvPr id="12" name="Rectángulo: esquinas redondeadas 11">
          <a:hlinkClick xmlns:r="http://schemas.openxmlformats.org/officeDocument/2006/relationships" r:id="rId11"/>
          <a:extLst>
            <a:ext uri="{FF2B5EF4-FFF2-40B4-BE49-F238E27FC236}">
              <a16:creationId xmlns:a16="http://schemas.microsoft.com/office/drawing/2014/main" id="{4DDE4A6C-269E-4009-A5E2-3FDF53D1D477}"/>
            </a:ext>
          </a:extLst>
        </xdr:cNvPr>
        <xdr:cNvSpPr/>
      </xdr:nvSpPr>
      <xdr:spPr>
        <a:xfrm>
          <a:off x="2714625" y="61722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276225</xdr:colOff>
      <xdr:row>33</xdr:row>
      <xdr:rowOff>142875</xdr:rowOff>
    </xdr:from>
    <xdr:to>
      <xdr:col>5</xdr:col>
      <xdr:colOff>266700</xdr:colOff>
      <xdr:row>35</xdr:row>
      <xdr:rowOff>47625</xdr:rowOff>
    </xdr:to>
    <xdr:sp macro="" textlink="">
      <xdr:nvSpPr>
        <xdr:cNvPr id="13" name="Rectángulo: esquinas redondeadas 12">
          <a:hlinkClick xmlns:r="http://schemas.openxmlformats.org/officeDocument/2006/relationships" r:id="rId12"/>
          <a:extLst>
            <a:ext uri="{FF2B5EF4-FFF2-40B4-BE49-F238E27FC236}">
              <a16:creationId xmlns:a16="http://schemas.microsoft.com/office/drawing/2014/main" id="{142076CA-E34D-4924-B20E-B45DEDB4A6B7}"/>
            </a:ext>
          </a:extLst>
        </xdr:cNvPr>
        <xdr:cNvSpPr/>
      </xdr:nvSpPr>
      <xdr:spPr>
        <a:xfrm>
          <a:off x="2562225" y="6553200"/>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438151</xdr:colOff>
      <xdr:row>84</xdr:row>
      <xdr:rowOff>95250</xdr:rowOff>
    </xdr:from>
    <xdr:to>
      <xdr:col>2</xdr:col>
      <xdr:colOff>152401</xdr:colOff>
      <xdr:row>85</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661848FF-A44E-4BBA-AA83-F91ED3CE7304}"/>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84</xdr:row>
      <xdr:rowOff>85725</xdr:rowOff>
    </xdr:from>
    <xdr:to>
      <xdr:col>4</xdr:col>
      <xdr:colOff>57150</xdr:colOff>
      <xdr:row>85</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A0044FD9-558D-4DDC-A9D8-0E454D31C780}"/>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86</xdr:row>
      <xdr:rowOff>85725</xdr:rowOff>
    </xdr:from>
    <xdr:to>
      <xdr:col>3</xdr:col>
      <xdr:colOff>285750</xdr:colOff>
      <xdr:row>88</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93569DCD-FC89-4045-AA7C-B35E0BA3C063}"/>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86</xdr:row>
      <xdr:rowOff>76200</xdr:rowOff>
    </xdr:from>
    <xdr:to>
      <xdr:col>5</xdr:col>
      <xdr:colOff>752475</xdr:colOff>
      <xdr:row>89</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07AAE111-65D4-4ECD-8E82-5FC1F3B80A20}"/>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86</xdr:row>
      <xdr:rowOff>95250</xdr:rowOff>
    </xdr:from>
    <xdr:to>
      <xdr:col>8</xdr:col>
      <xdr:colOff>85725</xdr:colOff>
      <xdr:row>89</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CBA93B66-B1AA-459F-9511-1FA19B323527}"/>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84</xdr:row>
      <xdr:rowOff>76200</xdr:rowOff>
    </xdr:from>
    <xdr:to>
      <xdr:col>8</xdr:col>
      <xdr:colOff>66674</xdr:colOff>
      <xdr:row>85</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947AAD9E-887F-432A-8B8E-B161BCE942F7}"/>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89</xdr:row>
      <xdr:rowOff>85725</xdr:rowOff>
    </xdr:from>
    <xdr:to>
      <xdr:col>4</xdr:col>
      <xdr:colOff>228599</xdr:colOff>
      <xdr:row>92</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8A760102-06E2-488F-BB2D-9C9EA191F299}"/>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89</xdr:row>
      <xdr:rowOff>85725</xdr:rowOff>
    </xdr:from>
    <xdr:to>
      <xdr:col>6</xdr:col>
      <xdr:colOff>695325</xdr:colOff>
      <xdr:row>92</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B9FFEAF7-165A-404A-A66A-6E329A52C48C}"/>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92</xdr:row>
      <xdr:rowOff>142875</xdr:rowOff>
    </xdr:from>
    <xdr:to>
      <xdr:col>5</xdr:col>
      <xdr:colOff>142875</xdr:colOff>
      <xdr:row>94</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D20702AC-5BB5-4983-82B2-83561803E6BC}"/>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oneCellAnchor>
    <xdr:from>
      <xdr:col>1</xdr:col>
      <xdr:colOff>314325</xdr:colOff>
      <xdr:row>66</xdr:row>
      <xdr:rowOff>114300</xdr:rowOff>
    </xdr:from>
    <xdr:ext cx="1750479" cy="439416"/>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5A33022-BBC8-4E23-9B23-D0429DAD4E9C}"/>
                </a:ext>
              </a:extLst>
            </xdr:cNvPr>
            <xdr:cNvSpPr txBox="1"/>
          </xdr:nvSpPr>
          <xdr:spPr>
            <a:xfrm>
              <a:off x="1076325" y="12906375"/>
              <a:ext cx="1750479" cy="439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𝑅𝐴𝑃</m:t>
                    </m:r>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r>
                              <a:rPr lang="es-MX" sz="1100" b="0" i="1">
                                <a:latin typeface="Cambria Math" panose="02040503050406030204" pitchFamily="18" charset="0"/>
                              </a:rPr>
                              <m:t>𝑆𝑈𝑀𝐴</m:t>
                            </m:r>
                            <m:r>
                              <a:rPr lang="es-MX" sz="1100" b="0" i="1">
                                <a:latin typeface="Cambria Math" panose="02040503050406030204" pitchFamily="18" charset="0"/>
                              </a:rPr>
                              <m:t> </m:t>
                            </m:r>
                            <m:r>
                              <a:rPr lang="es-MX" sz="1100" b="0" i="1">
                                <a:latin typeface="Cambria Math" panose="02040503050406030204" pitchFamily="18" charset="0"/>
                              </a:rPr>
                              <m:t>𝐷𝐸</m:t>
                            </m:r>
                            <m:r>
                              <a:rPr lang="es-MX" sz="1100" b="0" i="1">
                                <a:latin typeface="Cambria Math" panose="02040503050406030204" pitchFamily="18" charset="0"/>
                              </a:rPr>
                              <m:t> </m:t>
                            </m:r>
                            <m:r>
                              <a:rPr lang="es-MX" sz="1100" b="0" i="1">
                                <a:latin typeface="Cambria Math" panose="02040503050406030204" pitchFamily="18" charset="0"/>
                              </a:rPr>
                              <m:t>𝐿𝑂𝑆</m:t>
                            </m:r>
                            <m:r>
                              <a:rPr lang="es-MX" sz="1100" b="0" i="1">
                                <a:latin typeface="Cambria Math" panose="02040503050406030204" pitchFamily="18" charset="0"/>
                              </a:rPr>
                              <m:t> </m:t>
                            </m:r>
                            <m:r>
                              <a:rPr lang="es-MX" sz="1100" b="0" i="1">
                                <a:latin typeface="Cambria Math" panose="02040503050406030204" pitchFamily="18" charset="0"/>
                              </a:rPr>
                              <m:t>𝐹𝑁𝐸</m:t>
                            </m:r>
                          </m:num>
                          <m:den>
                            <m:r>
                              <a:rPr lang="es-MX" sz="1100" b="0" i="1">
                                <a:latin typeface="Cambria Math" panose="02040503050406030204" pitchFamily="18" charset="0"/>
                              </a:rPr>
                              <m:t>𝑇𝐼𝐸𝑀𝑃𝑂</m:t>
                            </m:r>
                            <m:r>
                              <a:rPr lang="es-MX" sz="1100" b="0" i="1">
                                <a:latin typeface="Cambria Math" panose="02040503050406030204" pitchFamily="18" charset="0"/>
                              </a:rPr>
                              <m:t> </m:t>
                            </m:r>
                            <m:r>
                              <a:rPr lang="es-MX" sz="1100" b="0" i="1">
                                <a:latin typeface="Cambria Math" panose="02040503050406030204" pitchFamily="18" charset="0"/>
                              </a:rPr>
                              <m:t>𝐷𝐸</m:t>
                            </m:r>
                            <m:r>
                              <a:rPr lang="es-MX" sz="1100" b="0" i="1">
                                <a:latin typeface="Cambria Math" panose="02040503050406030204" pitchFamily="18" charset="0"/>
                              </a:rPr>
                              <m:t> </m:t>
                            </m:r>
                            <m:r>
                              <a:rPr lang="es-MX" sz="1100" b="0" i="1">
                                <a:latin typeface="Cambria Math" panose="02040503050406030204" pitchFamily="18" charset="0"/>
                              </a:rPr>
                              <m:t>𝑉𝐼𝐷𝐴</m:t>
                            </m:r>
                          </m:den>
                        </m:f>
                      </m:num>
                      <m:den>
                        <m:r>
                          <a:rPr lang="es-MX" sz="1100" b="0" i="1">
                            <a:latin typeface="Cambria Math" panose="02040503050406030204" pitchFamily="18" charset="0"/>
                          </a:rPr>
                          <m:t>𝐼𝑁𝑉𝐸𝑅𝑆𝐼</m:t>
                        </m:r>
                        <m:r>
                          <a:rPr lang="es-MX" sz="1100" b="0" i="1">
                            <a:latin typeface="Cambria Math" panose="02040503050406030204" pitchFamily="18" charset="0"/>
                          </a:rPr>
                          <m:t>Ó</m:t>
                        </m:r>
                        <m:r>
                          <a:rPr lang="es-MX" sz="1100" b="0" i="1">
                            <a:latin typeface="Cambria Math" panose="02040503050406030204" pitchFamily="18" charset="0"/>
                          </a:rPr>
                          <m:t>𝑁</m:t>
                        </m:r>
                      </m:den>
                    </m:f>
                  </m:oMath>
                </m:oMathPara>
              </a14:m>
              <a:endParaRPr lang="es-ES" sz="1100">
                <a:latin typeface="Courier New" panose="02070309020205020404" pitchFamily="49" charset="0"/>
                <a:cs typeface="Courier New" panose="02070309020205020404" pitchFamily="49" charset="0"/>
              </a:endParaRPr>
            </a:p>
          </xdr:txBody>
        </xdr:sp>
      </mc:Choice>
      <mc:Fallback xmlns="">
        <xdr:sp macro="" textlink="">
          <xdr:nvSpPr>
            <xdr:cNvPr id="11" name="CuadroTexto 10">
              <a:extLst>
                <a:ext uri="{FF2B5EF4-FFF2-40B4-BE49-F238E27FC236}">
                  <a16:creationId xmlns:a16="http://schemas.microsoft.com/office/drawing/2014/main" id="{85A33022-BBC8-4E23-9B23-D0429DAD4E9C}"/>
                </a:ext>
              </a:extLst>
            </xdr:cNvPr>
            <xdr:cNvSpPr txBox="1"/>
          </xdr:nvSpPr>
          <xdr:spPr>
            <a:xfrm>
              <a:off x="1076325" y="12906375"/>
              <a:ext cx="1750479" cy="439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𝑅𝐴𝑃=((𝑆𝑈𝑀𝐴 𝐷𝐸 𝐿𝑂𝑆 𝐹𝑁𝐸)/(𝑇𝐼𝐸𝑀𝑃𝑂 𝐷𝐸 𝑉𝐼𝐷𝐴))/𝐼𝑁𝑉𝐸𝑅𝑆𝐼Ó𝑁</a:t>
              </a:r>
              <a:endParaRPr lang="es-ES" sz="1100">
                <a:latin typeface="Courier New" panose="02070309020205020404" pitchFamily="49" charset="0"/>
                <a:cs typeface="Courier New" panose="02070309020205020404" pitchFamily="49" charset="0"/>
              </a:endParaRPr>
            </a:p>
          </xdr:txBody>
        </xdr:sp>
      </mc:Fallback>
    </mc:AlternateContent>
    <xdr:clientData/>
  </xdr:oneCellAnchor>
  <xdr:oneCellAnchor>
    <xdr:from>
      <xdr:col>1</xdr:col>
      <xdr:colOff>542925</xdr:colOff>
      <xdr:row>78</xdr:row>
      <xdr:rowOff>28575</xdr:rowOff>
    </xdr:from>
    <xdr:ext cx="2169119" cy="32868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4A706BBE-E03D-4CDC-9BCD-4B4956854F07}"/>
                </a:ext>
              </a:extLst>
            </xdr:cNvPr>
            <xdr:cNvSpPr txBox="1"/>
          </xdr:nvSpPr>
          <xdr:spPr>
            <a:xfrm>
              <a:off x="1304925" y="15125700"/>
              <a:ext cx="2169119" cy="328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𝐼𝑅</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𝑆𝑈𝑀𝐴</m:t>
                        </m:r>
                        <m:r>
                          <a:rPr lang="es-MX" sz="1100" b="0" i="1">
                            <a:latin typeface="Cambria Math" panose="02040503050406030204" pitchFamily="18" charset="0"/>
                          </a:rPr>
                          <m:t> </m:t>
                        </m:r>
                        <m:r>
                          <a:rPr lang="es-MX" sz="1100" b="0" i="1">
                            <a:latin typeface="Cambria Math" panose="02040503050406030204" pitchFamily="18" charset="0"/>
                          </a:rPr>
                          <m:t>𝐷𝐸𝐿</m:t>
                        </m:r>
                        <m:r>
                          <a:rPr lang="es-MX" sz="1100" b="0" i="1">
                            <a:latin typeface="Cambria Math" panose="02040503050406030204" pitchFamily="18" charset="0"/>
                          </a:rPr>
                          <m:t> </m:t>
                        </m:r>
                        <m:r>
                          <a:rPr lang="es-MX" sz="1100" b="0" i="1">
                            <a:latin typeface="Cambria Math" panose="02040503050406030204" pitchFamily="18" charset="0"/>
                          </a:rPr>
                          <m:t>𝑉𝑃𝑁</m:t>
                        </m:r>
                        <m:r>
                          <a:rPr lang="es-MX" sz="1100" b="0" i="1">
                            <a:latin typeface="Cambria Math" panose="02040503050406030204" pitchFamily="18" charset="0"/>
                          </a:rPr>
                          <m:t> </m:t>
                        </m:r>
                        <m:r>
                          <a:rPr lang="es-MX" sz="1100" b="0" i="1">
                            <a:latin typeface="Cambria Math" panose="02040503050406030204" pitchFamily="18" charset="0"/>
                          </a:rPr>
                          <m:t>𝐷𝐸</m:t>
                        </m:r>
                        <m:r>
                          <a:rPr lang="es-MX" sz="1100" b="0" i="1">
                            <a:latin typeface="Cambria Math" panose="02040503050406030204" pitchFamily="18" charset="0"/>
                          </a:rPr>
                          <m:t> </m:t>
                        </m:r>
                        <m:r>
                          <a:rPr lang="es-MX" sz="1100" b="0" i="1">
                            <a:latin typeface="Cambria Math" panose="02040503050406030204" pitchFamily="18" charset="0"/>
                          </a:rPr>
                          <m:t>𝐿𝑂𝑆</m:t>
                        </m:r>
                        <m:r>
                          <a:rPr lang="es-MX" sz="1100" b="0" i="1">
                            <a:latin typeface="Cambria Math" panose="02040503050406030204" pitchFamily="18" charset="0"/>
                          </a:rPr>
                          <m:t> </m:t>
                        </m:r>
                        <m:r>
                          <a:rPr lang="es-MX" sz="1100" b="0" i="1">
                            <a:latin typeface="Cambria Math" panose="02040503050406030204" pitchFamily="18" charset="0"/>
                          </a:rPr>
                          <m:t>𝐹𝑁𝐸</m:t>
                        </m:r>
                      </m:num>
                      <m:den>
                        <m:r>
                          <a:rPr lang="es-MX" sz="1100" b="0" i="1">
                            <a:latin typeface="Cambria Math" panose="02040503050406030204" pitchFamily="18" charset="0"/>
                          </a:rPr>
                          <m:t>𝐼𝑁𝑉𝐸𝑅𝑆𝐼</m:t>
                        </m:r>
                        <m:r>
                          <a:rPr lang="es-MX" sz="1100" b="0" i="1">
                            <a:latin typeface="Cambria Math" panose="02040503050406030204" pitchFamily="18" charset="0"/>
                          </a:rPr>
                          <m:t>Ó</m:t>
                        </m:r>
                        <m:r>
                          <a:rPr lang="es-MX" sz="1100" b="0" i="1">
                            <a:latin typeface="Cambria Math" panose="02040503050406030204" pitchFamily="18" charset="0"/>
                          </a:rPr>
                          <m:t>𝑁</m:t>
                        </m:r>
                        <m:r>
                          <a:rPr lang="es-MX" sz="1100" b="0" i="1">
                            <a:latin typeface="Cambria Math" panose="02040503050406030204" pitchFamily="18" charset="0"/>
                          </a:rPr>
                          <m:t> </m:t>
                        </m:r>
                        <m:r>
                          <a:rPr lang="es-MX" sz="1100" b="0" i="1">
                            <a:latin typeface="Cambria Math" panose="02040503050406030204" pitchFamily="18" charset="0"/>
                          </a:rPr>
                          <m:t>𝐼𝑁𝐼𝐶𝐼𝐴𝐿</m:t>
                        </m:r>
                      </m:den>
                    </m:f>
                  </m:oMath>
                </m:oMathPara>
              </a14:m>
              <a:endParaRPr lang="es-ES" sz="1100"/>
            </a:p>
          </xdr:txBody>
        </xdr:sp>
      </mc:Choice>
      <mc:Fallback xmlns="">
        <xdr:sp macro="" textlink="">
          <xdr:nvSpPr>
            <xdr:cNvPr id="12" name="CuadroTexto 11">
              <a:extLst>
                <a:ext uri="{FF2B5EF4-FFF2-40B4-BE49-F238E27FC236}">
                  <a16:creationId xmlns:a16="http://schemas.microsoft.com/office/drawing/2014/main" id="{4A706BBE-E03D-4CDC-9BCD-4B4956854F07}"/>
                </a:ext>
              </a:extLst>
            </xdr:cNvPr>
            <xdr:cNvSpPr txBox="1"/>
          </xdr:nvSpPr>
          <xdr:spPr>
            <a:xfrm>
              <a:off x="1304925" y="15125700"/>
              <a:ext cx="2169119" cy="328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𝐼𝑅=(𝑆𝑈𝑀𝐴 𝐷𝐸𝐿 𝑉𝑃𝑁 𝐷𝐸 𝐿𝑂𝑆 𝐹𝑁𝐸)/(𝐼𝑁𝑉𝐸𝑅𝑆𝐼Ó𝑁 𝐼𝑁𝐼𝐶𝐼𝐴𝐿)</a:t>
              </a:r>
              <a:endParaRPr lang="es-ES" sz="1100"/>
            </a:p>
          </xdr:txBody>
        </xdr:sp>
      </mc:Fallback>
    </mc:AlternateContent>
    <xdr:clientData/>
  </xdr:oneCellAnchor>
  <xdr:twoCellAnchor>
    <xdr:from>
      <xdr:col>3</xdr:col>
      <xdr:colOff>828675</xdr:colOff>
      <xdr:row>94</xdr:row>
      <xdr:rowOff>161925</xdr:rowOff>
    </xdr:from>
    <xdr:to>
      <xdr:col>4</xdr:col>
      <xdr:colOff>962025</xdr:colOff>
      <xdr:row>96</xdr:row>
      <xdr:rowOff>66675</xdr:rowOff>
    </xdr:to>
    <xdr:sp macro="" textlink="">
      <xdr:nvSpPr>
        <xdr:cNvPr id="13" name="Rectángulo: esquinas redondeadas 12">
          <a:hlinkClick xmlns:r="http://schemas.openxmlformats.org/officeDocument/2006/relationships" r:id="rId10"/>
          <a:extLst>
            <a:ext uri="{FF2B5EF4-FFF2-40B4-BE49-F238E27FC236}">
              <a16:creationId xmlns:a16="http://schemas.microsoft.com/office/drawing/2014/main" id="{F6B34A43-94C9-4034-B0FD-635C7DC8B79F}"/>
            </a:ext>
          </a:extLst>
        </xdr:cNvPr>
        <xdr:cNvSpPr/>
      </xdr:nvSpPr>
      <xdr:spPr>
        <a:xfrm>
          <a:off x="4267200" y="18316575"/>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438151</xdr:colOff>
      <xdr:row>50</xdr:row>
      <xdr:rowOff>95250</xdr:rowOff>
    </xdr:from>
    <xdr:to>
      <xdr:col>2</xdr:col>
      <xdr:colOff>152401</xdr:colOff>
      <xdr:row>51</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554F28E-0C9D-4648-A8F8-F9C2C7F273BB}"/>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50</xdr:row>
      <xdr:rowOff>85725</xdr:rowOff>
    </xdr:from>
    <xdr:to>
      <xdr:col>4</xdr:col>
      <xdr:colOff>57150</xdr:colOff>
      <xdr:row>51</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BAAA3E76-80AD-4487-90B4-8C83F99EAB6F}"/>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52</xdr:row>
      <xdr:rowOff>85725</xdr:rowOff>
    </xdr:from>
    <xdr:to>
      <xdr:col>3</xdr:col>
      <xdr:colOff>285750</xdr:colOff>
      <xdr:row>54</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6AAD0F06-8DBB-4CBE-B13E-89309FB3F92B}"/>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52</xdr:row>
      <xdr:rowOff>76200</xdr:rowOff>
    </xdr:from>
    <xdr:to>
      <xdr:col>5</xdr:col>
      <xdr:colOff>752475</xdr:colOff>
      <xdr:row>55</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869387BB-566E-4577-BC9C-443313C07EAD}"/>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52</xdr:row>
      <xdr:rowOff>95250</xdr:rowOff>
    </xdr:from>
    <xdr:to>
      <xdr:col>8</xdr:col>
      <xdr:colOff>85725</xdr:colOff>
      <xdr:row>55</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902E67C1-B494-47FF-B376-A10981ACC5A7}"/>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50</xdr:row>
      <xdr:rowOff>76200</xdr:rowOff>
    </xdr:from>
    <xdr:to>
      <xdr:col>8</xdr:col>
      <xdr:colOff>66674</xdr:colOff>
      <xdr:row>51</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30C496B0-12CB-4708-8C62-FDC5FEE8DD01}"/>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55</xdr:row>
      <xdr:rowOff>85725</xdr:rowOff>
    </xdr:from>
    <xdr:to>
      <xdr:col>4</xdr:col>
      <xdr:colOff>228599</xdr:colOff>
      <xdr:row>58</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5616FEB7-7678-4FDD-BC25-8F339513233D}"/>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55</xdr:row>
      <xdr:rowOff>85725</xdr:rowOff>
    </xdr:from>
    <xdr:to>
      <xdr:col>6</xdr:col>
      <xdr:colOff>695325</xdr:colOff>
      <xdr:row>58</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A523B073-EA0C-46CE-B372-FEDB18E9F381}"/>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58</xdr:row>
      <xdr:rowOff>142875</xdr:rowOff>
    </xdr:from>
    <xdr:to>
      <xdr:col>5</xdr:col>
      <xdr:colOff>142875</xdr:colOff>
      <xdr:row>60</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BB955BB4-7CFB-4CAB-A3E8-61C24A1A7723}"/>
            </a:ext>
          </a:extLst>
        </xdr:cNvPr>
        <xdr:cNvSpPr/>
      </xdr:nvSpPr>
      <xdr:spPr>
        <a:xfrm>
          <a:off x="2714625" y="1128712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266699</xdr:colOff>
      <xdr:row>60</xdr:row>
      <xdr:rowOff>104775</xdr:rowOff>
    </xdr:from>
    <xdr:to>
      <xdr:col>5</xdr:col>
      <xdr:colOff>257174</xdr:colOff>
      <xdr:row>62</xdr:row>
      <xdr:rowOff>9525</xdr:rowOff>
    </xdr:to>
    <xdr:sp macro="" textlink="">
      <xdr:nvSpPr>
        <xdr:cNvPr id="21" name="Rectángulo: esquinas redondeadas 20">
          <a:hlinkClick xmlns:r="http://schemas.openxmlformats.org/officeDocument/2006/relationships" r:id="rId10"/>
          <a:extLst>
            <a:ext uri="{FF2B5EF4-FFF2-40B4-BE49-F238E27FC236}">
              <a16:creationId xmlns:a16="http://schemas.microsoft.com/office/drawing/2014/main" id="{CBFC51A3-19C5-4CB8-9727-94EE587582DA}"/>
            </a:ext>
          </a:extLst>
        </xdr:cNvPr>
        <xdr:cNvSpPr/>
      </xdr:nvSpPr>
      <xdr:spPr>
        <a:xfrm>
          <a:off x="2552699" y="11630025"/>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438151</xdr:colOff>
      <xdr:row>26</xdr:row>
      <xdr:rowOff>95250</xdr:rowOff>
    </xdr:from>
    <xdr:to>
      <xdr:col>2</xdr:col>
      <xdr:colOff>152401</xdr:colOff>
      <xdr:row>27</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846309CA-6B4E-4D94-8D1D-68618DD66E6A}"/>
            </a:ext>
          </a:extLst>
        </xdr:cNvPr>
        <xdr:cNvSpPr/>
      </xdr:nvSpPr>
      <xdr:spPr>
        <a:xfrm>
          <a:off x="438151" y="46005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26</xdr:row>
      <xdr:rowOff>85725</xdr:rowOff>
    </xdr:from>
    <xdr:to>
      <xdr:col>4</xdr:col>
      <xdr:colOff>57150</xdr:colOff>
      <xdr:row>27</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43EE4897-A74D-48A7-B98B-75984E0CF413}"/>
            </a:ext>
          </a:extLst>
        </xdr:cNvPr>
        <xdr:cNvSpPr/>
      </xdr:nvSpPr>
      <xdr:spPr>
        <a:xfrm>
          <a:off x="1866900" y="45910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28</xdr:row>
      <xdr:rowOff>85725</xdr:rowOff>
    </xdr:from>
    <xdr:to>
      <xdr:col>3</xdr:col>
      <xdr:colOff>285750</xdr:colOff>
      <xdr:row>30</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FD6E9FDA-D83E-413E-91BD-1631518992AC}"/>
            </a:ext>
          </a:extLst>
        </xdr:cNvPr>
        <xdr:cNvSpPr/>
      </xdr:nvSpPr>
      <xdr:spPr>
        <a:xfrm>
          <a:off x="762000" y="49720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28</xdr:row>
      <xdr:rowOff>76200</xdr:rowOff>
    </xdr:from>
    <xdr:to>
      <xdr:col>5</xdr:col>
      <xdr:colOff>752475</xdr:colOff>
      <xdr:row>31</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E6DA6324-1F60-4960-8E9D-EB454C03CB30}"/>
            </a:ext>
          </a:extLst>
        </xdr:cNvPr>
        <xdr:cNvSpPr/>
      </xdr:nvSpPr>
      <xdr:spPr>
        <a:xfrm>
          <a:off x="2714625" y="49625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28</xdr:row>
      <xdr:rowOff>95250</xdr:rowOff>
    </xdr:from>
    <xdr:to>
      <xdr:col>8</xdr:col>
      <xdr:colOff>85725</xdr:colOff>
      <xdr:row>31</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6385BA98-1AE2-4768-B59C-B312B8550972}"/>
            </a:ext>
          </a:extLst>
        </xdr:cNvPr>
        <xdr:cNvSpPr/>
      </xdr:nvSpPr>
      <xdr:spPr>
        <a:xfrm>
          <a:off x="4791075" y="49815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26</xdr:row>
      <xdr:rowOff>76200</xdr:rowOff>
    </xdr:from>
    <xdr:to>
      <xdr:col>8</xdr:col>
      <xdr:colOff>66674</xdr:colOff>
      <xdr:row>27</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9D149EC1-509D-4ACA-A548-A2A5DC4EDA2B}"/>
            </a:ext>
          </a:extLst>
        </xdr:cNvPr>
        <xdr:cNvSpPr/>
      </xdr:nvSpPr>
      <xdr:spPr>
        <a:xfrm>
          <a:off x="3276599" y="45815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31</xdr:row>
      <xdr:rowOff>85725</xdr:rowOff>
    </xdr:from>
    <xdr:to>
      <xdr:col>4</xdr:col>
      <xdr:colOff>228599</xdr:colOff>
      <xdr:row>34</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36011738-0F8F-4C1A-8430-FBF190402872}"/>
            </a:ext>
          </a:extLst>
        </xdr:cNvPr>
        <xdr:cNvSpPr/>
      </xdr:nvSpPr>
      <xdr:spPr>
        <a:xfrm>
          <a:off x="1628774" y="55435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31</xdr:row>
      <xdr:rowOff>85725</xdr:rowOff>
    </xdr:from>
    <xdr:to>
      <xdr:col>6</xdr:col>
      <xdr:colOff>695325</xdr:colOff>
      <xdr:row>34</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6E4C3115-077D-4DA7-A87A-8DFA6E488222}"/>
            </a:ext>
          </a:extLst>
        </xdr:cNvPr>
        <xdr:cNvSpPr/>
      </xdr:nvSpPr>
      <xdr:spPr>
        <a:xfrm>
          <a:off x="3609975" y="55435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34</xdr:row>
      <xdr:rowOff>142875</xdr:rowOff>
    </xdr:from>
    <xdr:to>
      <xdr:col>5</xdr:col>
      <xdr:colOff>142875</xdr:colOff>
      <xdr:row>36</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E53CCC22-BE94-4053-9334-5BF930193971}"/>
            </a:ext>
          </a:extLst>
        </xdr:cNvPr>
        <xdr:cNvSpPr/>
      </xdr:nvSpPr>
      <xdr:spPr>
        <a:xfrm>
          <a:off x="2714625" y="61722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276225</xdr:colOff>
      <xdr:row>36</xdr:row>
      <xdr:rowOff>142875</xdr:rowOff>
    </xdr:from>
    <xdr:to>
      <xdr:col>5</xdr:col>
      <xdr:colOff>266700</xdr:colOff>
      <xdr:row>38</xdr:row>
      <xdr:rowOff>47625</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CD1B7C9B-C150-4FBF-946C-0DE8A4F8B530}"/>
            </a:ext>
          </a:extLst>
        </xdr:cNvPr>
        <xdr:cNvSpPr/>
      </xdr:nvSpPr>
      <xdr:spPr>
        <a:xfrm>
          <a:off x="2562225" y="7086600"/>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438151</xdr:colOff>
      <xdr:row>27</xdr:row>
      <xdr:rowOff>95250</xdr:rowOff>
    </xdr:from>
    <xdr:to>
      <xdr:col>2</xdr:col>
      <xdr:colOff>152401</xdr:colOff>
      <xdr:row>28</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48C63A1F-1CE5-450E-A218-9EE91ABE325A}"/>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27</xdr:row>
      <xdr:rowOff>85725</xdr:rowOff>
    </xdr:from>
    <xdr:to>
      <xdr:col>4</xdr:col>
      <xdr:colOff>57150</xdr:colOff>
      <xdr:row>28</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E171E5A9-92CD-4DBA-808F-D3CB97D8A8C4}"/>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29</xdr:row>
      <xdr:rowOff>85725</xdr:rowOff>
    </xdr:from>
    <xdr:to>
      <xdr:col>3</xdr:col>
      <xdr:colOff>285750</xdr:colOff>
      <xdr:row>31</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6C550399-FAF5-46EE-9013-19986D5F514F}"/>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29</xdr:row>
      <xdr:rowOff>76200</xdr:rowOff>
    </xdr:from>
    <xdr:to>
      <xdr:col>5</xdr:col>
      <xdr:colOff>752475</xdr:colOff>
      <xdr:row>32</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FB2F8D50-3F83-4D72-9B2C-31336D615BEB}"/>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29</xdr:row>
      <xdr:rowOff>95250</xdr:rowOff>
    </xdr:from>
    <xdr:to>
      <xdr:col>8</xdr:col>
      <xdr:colOff>85725</xdr:colOff>
      <xdr:row>32</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28AD40B0-D760-4535-B617-839144548F1D}"/>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27</xdr:row>
      <xdr:rowOff>76200</xdr:rowOff>
    </xdr:from>
    <xdr:to>
      <xdr:col>8</xdr:col>
      <xdr:colOff>66674</xdr:colOff>
      <xdr:row>28</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B484D3EC-60D7-4054-975E-3353B233A56E}"/>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32</xdr:row>
      <xdr:rowOff>85725</xdr:rowOff>
    </xdr:from>
    <xdr:to>
      <xdr:col>4</xdr:col>
      <xdr:colOff>228599</xdr:colOff>
      <xdr:row>35</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391EAC4E-1AC9-4CEF-A495-B226772DE6A4}"/>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32</xdr:row>
      <xdr:rowOff>85725</xdr:rowOff>
    </xdr:from>
    <xdr:to>
      <xdr:col>6</xdr:col>
      <xdr:colOff>695325</xdr:colOff>
      <xdr:row>35</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E3F73211-7E56-4816-9957-C4CA890FFEA3}"/>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35</xdr:row>
      <xdr:rowOff>142875</xdr:rowOff>
    </xdr:from>
    <xdr:to>
      <xdr:col>5</xdr:col>
      <xdr:colOff>142875</xdr:colOff>
      <xdr:row>37</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37D752F3-F63D-4D23-85ED-1B1187752731}"/>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285750</xdr:colOff>
      <xdr:row>37</xdr:row>
      <xdr:rowOff>133350</xdr:rowOff>
    </xdr:from>
    <xdr:to>
      <xdr:col>5</xdr:col>
      <xdr:colOff>276225</xdr:colOff>
      <xdr:row>39</xdr:row>
      <xdr:rowOff>38100</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19E0566A-EB85-407B-AD0A-6A7F88796A9A}"/>
            </a:ext>
          </a:extLst>
        </xdr:cNvPr>
        <xdr:cNvSpPr/>
      </xdr:nvSpPr>
      <xdr:spPr>
        <a:xfrm>
          <a:off x="2571750" y="7362825"/>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438151</xdr:colOff>
      <xdr:row>16</xdr:row>
      <xdr:rowOff>95250</xdr:rowOff>
    </xdr:from>
    <xdr:to>
      <xdr:col>2</xdr:col>
      <xdr:colOff>152401</xdr:colOff>
      <xdr:row>17</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F3CF856C-C0A5-41B2-BF2E-D2AE15C9D174}"/>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16</xdr:row>
      <xdr:rowOff>85725</xdr:rowOff>
    </xdr:from>
    <xdr:to>
      <xdr:col>4</xdr:col>
      <xdr:colOff>57150</xdr:colOff>
      <xdr:row>17</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AE6125E4-8E62-4DD7-8023-7BFF1DEC3776}"/>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18</xdr:row>
      <xdr:rowOff>85725</xdr:rowOff>
    </xdr:from>
    <xdr:to>
      <xdr:col>3</xdr:col>
      <xdr:colOff>285750</xdr:colOff>
      <xdr:row>20</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DB13DB45-50E7-4017-923F-C8F219AEC3A0}"/>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18</xdr:row>
      <xdr:rowOff>76200</xdr:rowOff>
    </xdr:from>
    <xdr:to>
      <xdr:col>5</xdr:col>
      <xdr:colOff>752475</xdr:colOff>
      <xdr:row>21</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FC642B7D-3EAE-45B5-8BE5-43388904C1A0}"/>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18</xdr:row>
      <xdr:rowOff>95250</xdr:rowOff>
    </xdr:from>
    <xdr:to>
      <xdr:col>8</xdr:col>
      <xdr:colOff>85725</xdr:colOff>
      <xdr:row>21</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EF16880F-3489-4F52-B9B9-470480CA02D9}"/>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16</xdr:row>
      <xdr:rowOff>76200</xdr:rowOff>
    </xdr:from>
    <xdr:to>
      <xdr:col>8</xdr:col>
      <xdr:colOff>66674</xdr:colOff>
      <xdr:row>17</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A27FD5F1-B65B-4825-B7BD-BF46AD76039E}"/>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21</xdr:row>
      <xdr:rowOff>85725</xdr:rowOff>
    </xdr:from>
    <xdr:to>
      <xdr:col>4</xdr:col>
      <xdr:colOff>228599</xdr:colOff>
      <xdr:row>24</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298D81FE-E47C-4B76-A5D7-41BDF9DB9ABB}"/>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21</xdr:row>
      <xdr:rowOff>85725</xdr:rowOff>
    </xdr:from>
    <xdr:to>
      <xdr:col>6</xdr:col>
      <xdr:colOff>695325</xdr:colOff>
      <xdr:row>24</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58524D06-070E-4371-A97A-ED5D17A6F508}"/>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24</xdr:row>
      <xdr:rowOff>142875</xdr:rowOff>
    </xdr:from>
    <xdr:to>
      <xdr:col>5</xdr:col>
      <xdr:colOff>142875</xdr:colOff>
      <xdr:row>26</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EE784268-3BFE-4D3C-844C-B7796832C000}"/>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285750</xdr:colOff>
      <xdr:row>26</xdr:row>
      <xdr:rowOff>104775</xdr:rowOff>
    </xdr:from>
    <xdr:to>
      <xdr:col>5</xdr:col>
      <xdr:colOff>276225</xdr:colOff>
      <xdr:row>28</xdr:row>
      <xdr:rowOff>9525</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B5BF2830-3F16-4092-9677-2CD252F9CDE8}"/>
            </a:ext>
          </a:extLst>
        </xdr:cNvPr>
        <xdr:cNvSpPr/>
      </xdr:nvSpPr>
      <xdr:spPr>
        <a:xfrm>
          <a:off x="2571750" y="5143500"/>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438151</xdr:colOff>
      <xdr:row>18</xdr:row>
      <xdr:rowOff>95250</xdr:rowOff>
    </xdr:from>
    <xdr:to>
      <xdr:col>2</xdr:col>
      <xdr:colOff>152401</xdr:colOff>
      <xdr:row>19</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9E898D96-CB9B-4012-B8A6-02A7658F8AAF}"/>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18</xdr:row>
      <xdr:rowOff>85725</xdr:rowOff>
    </xdr:from>
    <xdr:to>
      <xdr:col>4</xdr:col>
      <xdr:colOff>57150</xdr:colOff>
      <xdr:row>19</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DF88DB49-0231-4D55-B319-1FCDFA2B7B73}"/>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20</xdr:row>
      <xdr:rowOff>85725</xdr:rowOff>
    </xdr:from>
    <xdr:to>
      <xdr:col>3</xdr:col>
      <xdr:colOff>285750</xdr:colOff>
      <xdr:row>22</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421CEC12-21D7-4C14-ADD3-D8154DBD6100}"/>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20</xdr:row>
      <xdr:rowOff>76200</xdr:rowOff>
    </xdr:from>
    <xdr:to>
      <xdr:col>5</xdr:col>
      <xdr:colOff>752475</xdr:colOff>
      <xdr:row>23</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0CD4B57B-C74D-4BAA-B9B8-F68A044FD622}"/>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20</xdr:row>
      <xdr:rowOff>95250</xdr:rowOff>
    </xdr:from>
    <xdr:to>
      <xdr:col>8</xdr:col>
      <xdr:colOff>85725</xdr:colOff>
      <xdr:row>23</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AD044926-29F3-4877-8FDA-DC9C4C486C81}"/>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18</xdr:row>
      <xdr:rowOff>76200</xdr:rowOff>
    </xdr:from>
    <xdr:to>
      <xdr:col>8</xdr:col>
      <xdr:colOff>66674</xdr:colOff>
      <xdr:row>19</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1D924CD3-E6A6-41BC-AEC5-7DEA0718F914}"/>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23</xdr:row>
      <xdr:rowOff>85725</xdr:rowOff>
    </xdr:from>
    <xdr:to>
      <xdr:col>4</xdr:col>
      <xdr:colOff>228599</xdr:colOff>
      <xdr:row>26</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B081BD2D-0B94-46D2-9E42-33102459FD92}"/>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23</xdr:row>
      <xdr:rowOff>85725</xdr:rowOff>
    </xdr:from>
    <xdr:to>
      <xdr:col>6</xdr:col>
      <xdr:colOff>695325</xdr:colOff>
      <xdr:row>26</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D3B66318-588B-4E03-BA01-BA5D0B85D28D}"/>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26</xdr:row>
      <xdr:rowOff>142875</xdr:rowOff>
    </xdr:from>
    <xdr:to>
      <xdr:col>5</xdr:col>
      <xdr:colOff>142875</xdr:colOff>
      <xdr:row>28</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3B1120B1-D89C-4B51-AF55-032D44E31140}"/>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276225</xdr:colOff>
      <xdr:row>28</xdr:row>
      <xdr:rowOff>123825</xdr:rowOff>
    </xdr:from>
    <xdr:to>
      <xdr:col>5</xdr:col>
      <xdr:colOff>266700</xdr:colOff>
      <xdr:row>30</xdr:row>
      <xdr:rowOff>28575</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2AB19EA9-0F3F-4B0C-BBB8-7DCF15C36FFC}"/>
            </a:ext>
          </a:extLst>
        </xdr:cNvPr>
        <xdr:cNvSpPr/>
      </xdr:nvSpPr>
      <xdr:spPr>
        <a:xfrm>
          <a:off x="2562225" y="5524500"/>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438151</xdr:colOff>
      <xdr:row>22</xdr:row>
      <xdr:rowOff>95250</xdr:rowOff>
    </xdr:from>
    <xdr:to>
      <xdr:col>3</xdr:col>
      <xdr:colOff>152401</xdr:colOff>
      <xdr:row>23</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BCCAC562-D13C-485D-88FC-C0CDEDB6A509}"/>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3</xdr:col>
      <xdr:colOff>342900</xdr:colOff>
      <xdr:row>22</xdr:row>
      <xdr:rowOff>85725</xdr:rowOff>
    </xdr:from>
    <xdr:to>
      <xdr:col>5</xdr:col>
      <xdr:colOff>57150</xdr:colOff>
      <xdr:row>23</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32759032-26CB-447E-9445-ECA70554A2B7}"/>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0</xdr:colOff>
      <xdr:row>24</xdr:row>
      <xdr:rowOff>85725</xdr:rowOff>
    </xdr:from>
    <xdr:to>
      <xdr:col>4</xdr:col>
      <xdr:colOff>285750</xdr:colOff>
      <xdr:row>26</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DFC2B13D-9EC8-4B84-8685-61CCB1A1788A}"/>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428625</xdr:colOff>
      <xdr:row>24</xdr:row>
      <xdr:rowOff>76200</xdr:rowOff>
    </xdr:from>
    <xdr:to>
      <xdr:col>6</xdr:col>
      <xdr:colOff>752475</xdr:colOff>
      <xdr:row>27</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04F57D50-3D95-488E-AC6F-C6ECB20651A5}"/>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7</xdr:col>
      <xdr:colOff>219075</xdr:colOff>
      <xdr:row>24</xdr:row>
      <xdr:rowOff>95250</xdr:rowOff>
    </xdr:from>
    <xdr:to>
      <xdr:col>9</xdr:col>
      <xdr:colOff>85725</xdr:colOff>
      <xdr:row>27</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8C1635B6-F07F-47A3-A9A0-6A87BE9C3DE0}"/>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5</xdr:col>
      <xdr:colOff>228599</xdr:colOff>
      <xdr:row>22</xdr:row>
      <xdr:rowOff>76200</xdr:rowOff>
    </xdr:from>
    <xdr:to>
      <xdr:col>9</xdr:col>
      <xdr:colOff>66674</xdr:colOff>
      <xdr:row>23</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03C6B773-2575-49AE-8769-1ADB93756006}"/>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104774</xdr:colOff>
      <xdr:row>27</xdr:row>
      <xdr:rowOff>85725</xdr:rowOff>
    </xdr:from>
    <xdr:to>
      <xdr:col>5</xdr:col>
      <xdr:colOff>228599</xdr:colOff>
      <xdr:row>30</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D78712BC-4919-4F3D-8461-DFF6042A5373}"/>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5</xdr:col>
      <xdr:colOff>561975</xdr:colOff>
      <xdr:row>27</xdr:row>
      <xdr:rowOff>85725</xdr:rowOff>
    </xdr:from>
    <xdr:to>
      <xdr:col>7</xdr:col>
      <xdr:colOff>695325</xdr:colOff>
      <xdr:row>30</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E59342BF-655A-48B6-83D9-D575FDE25E86}"/>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428625</xdr:colOff>
      <xdr:row>30</xdr:row>
      <xdr:rowOff>142875</xdr:rowOff>
    </xdr:from>
    <xdr:to>
      <xdr:col>6</xdr:col>
      <xdr:colOff>142875</xdr:colOff>
      <xdr:row>32</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00AE8159-FE60-4892-B30E-DC93390A8009}"/>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4</xdr:col>
      <xdr:colOff>285750</xdr:colOff>
      <xdr:row>32</xdr:row>
      <xdr:rowOff>123825</xdr:rowOff>
    </xdr:from>
    <xdr:to>
      <xdr:col>6</xdr:col>
      <xdr:colOff>276225</xdr:colOff>
      <xdr:row>34</xdr:row>
      <xdr:rowOff>28575</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007E7349-8235-4EDA-887A-8D6065BAD865}"/>
            </a:ext>
          </a:extLst>
        </xdr:cNvPr>
        <xdr:cNvSpPr/>
      </xdr:nvSpPr>
      <xdr:spPr>
        <a:xfrm>
          <a:off x="2809875" y="6324600"/>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438151</xdr:colOff>
      <xdr:row>9</xdr:row>
      <xdr:rowOff>95250</xdr:rowOff>
    </xdr:from>
    <xdr:to>
      <xdr:col>2</xdr:col>
      <xdr:colOff>152401</xdr:colOff>
      <xdr:row>10</xdr:row>
      <xdr:rowOff>161925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4FDF114E-FA3C-4B77-B6FD-A10B1AE25AB4}"/>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9</xdr:row>
      <xdr:rowOff>85725</xdr:rowOff>
    </xdr:from>
    <xdr:to>
      <xdr:col>4</xdr:col>
      <xdr:colOff>57150</xdr:colOff>
      <xdr:row>10</xdr:row>
      <xdr:rowOff>152400</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4E398840-0B97-4DB8-AE12-2ACB770C77FB}"/>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11</xdr:row>
      <xdr:rowOff>85725</xdr:rowOff>
    </xdr:from>
    <xdr:to>
      <xdr:col>3</xdr:col>
      <xdr:colOff>285750</xdr:colOff>
      <xdr:row>13</xdr:row>
      <xdr:rowOff>161925</xdr:rowOff>
    </xdr:to>
    <xdr:sp macro="" textlink="">
      <xdr:nvSpPr>
        <xdr:cNvPr id="4" name="Rectángulo: esquinas redondeadas 3">
          <a:hlinkClick xmlns:r="http://schemas.openxmlformats.org/officeDocument/2006/relationships" r:id="rId3"/>
          <a:extLst>
            <a:ext uri="{FF2B5EF4-FFF2-40B4-BE49-F238E27FC236}">
              <a16:creationId xmlns:a16="http://schemas.microsoft.com/office/drawing/2014/main" id="{6B9A924E-E996-43CE-B3F1-897E5B403685}"/>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11</xdr:row>
      <xdr:rowOff>76200</xdr:rowOff>
    </xdr:from>
    <xdr:to>
      <xdr:col>5</xdr:col>
      <xdr:colOff>752475</xdr:colOff>
      <xdr:row>14</xdr:row>
      <xdr:rowOff>0</xdr:rowOff>
    </xdr:to>
    <xdr:sp macro="" textlink="">
      <xdr:nvSpPr>
        <xdr:cNvPr id="5" name="Rectángulo: esquinas redondeadas 4">
          <a:hlinkClick xmlns:r="http://schemas.openxmlformats.org/officeDocument/2006/relationships" r:id="rId4"/>
          <a:extLst>
            <a:ext uri="{FF2B5EF4-FFF2-40B4-BE49-F238E27FC236}">
              <a16:creationId xmlns:a16="http://schemas.microsoft.com/office/drawing/2014/main" id="{3A8C7A98-CFA5-4793-83DD-3A934C7BAE91}"/>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11</xdr:row>
      <xdr:rowOff>95250</xdr:rowOff>
    </xdr:from>
    <xdr:to>
      <xdr:col>8</xdr:col>
      <xdr:colOff>85725</xdr:colOff>
      <xdr:row>14</xdr:row>
      <xdr:rowOff>19050</xdr:rowOff>
    </xdr:to>
    <xdr:sp macro="" textlink="">
      <xdr:nvSpPr>
        <xdr:cNvPr id="6" name="Rectángulo: esquinas redondeadas 5">
          <a:hlinkClick xmlns:r="http://schemas.openxmlformats.org/officeDocument/2006/relationships" r:id="rId5"/>
          <a:extLst>
            <a:ext uri="{FF2B5EF4-FFF2-40B4-BE49-F238E27FC236}">
              <a16:creationId xmlns:a16="http://schemas.microsoft.com/office/drawing/2014/main" id="{BDEA5EEE-ACD4-46E0-A025-89F830AC1260}"/>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9</xdr:row>
      <xdr:rowOff>76200</xdr:rowOff>
    </xdr:from>
    <xdr:to>
      <xdr:col>8</xdr:col>
      <xdr:colOff>66674</xdr:colOff>
      <xdr:row>10</xdr:row>
      <xdr:rowOff>142875</xdr:rowOff>
    </xdr:to>
    <xdr:sp macro="" textlink="">
      <xdr:nvSpPr>
        <xdr:cNvPr id="7" name="Rectángulo: esquinas redondeadas 6">
          <a:hlinkClick xmlns:r="http://schemas.openxmlformats.org/officeDocument/2006/relationships" r:id="rId6"/>
          <a:extLst>
            <a:ext uri="{FF2B5EF4-FFF2-40B4-BE49-F238E27FC236}">
              <a16:creationId xmlns:a16="http://schemas.microsoft.com/office/drawing/2014/main" id="{097D83C7-8A22-4661-B1F6-BFC96C330D6A}"/>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14</xdr:row>
      <xdr:rowOff>85725</xdr:rowOff>
    </xdr:from>
    <xdr:to>
      <xdr:col>4</xdr:col>
      <xdr:colOff>228599</xdr:colOff>
      <xdr:row>17</xdr:row>
      <xdr:rowOff>9525</xdr:rowOff>
    </xdr:to>
    <xdr:sp macro="" textlink="">
      <xdr:nvSpPr>
        <xdr:cNvPr id="8" name="Rectángulo: esquinas redondeadas 7">
          <a:hlinkClick xmlns:r="http://schemas.openxmlformats.org/officeDocument/2006/relationships" r:id="rId7"/>
          <a:extLst>
            <a:ext uri="{FF2B5EF4-FFF2-40B4-BE49-F238E27FC236}">
              <a16:creationId xmlns:a16="http://schemas.microsoft.com/office/drawing/2014/main" id="{4DCD78B9-B617-42F3-8668-4718F860283E}"/>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14</xdr:row>
      <xdr:rowOff>85725</xdr:rowOff>
    </xdr:from>
    <xdr:to>
      <xdr:col>6</xdr:col>
      <xdr:colOff>695325</xdr:colOff>
      <xdr:row>17</xdr:row>
      <xdr:rowOff>9525</xdr:rowOff>
    </xdr:to>
    <xdr:sp macro="" textlink="">
      <xdr:nvSpPr>
        <xdr:cNvPr id="9" name="Rectángulo: esquinas redondeadas 8">
          <a:hlinkClick xmlns:r="http://schemas.openxmlformats.org/officeDocument/2006/relationships" r:id="rId8"/>
          <a:extLst>
            <a:ext uri="{FF2B5EF4-FFF2-40B4-BE49-F238E27FC236}">
              <a16:creationId xmlns:a16="http://schemas.microsoft.com/office/drawing/2014/main" id="{305BE499-B852-4967-A814-FAE1A27485F7}"/>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17</xdr:row>
      <xdr:rowOff>142875</xdr:rowOff>
    </xdr:from>
    <xdr:to>
      <xdr:col>5</xdr:col>
      <xdr:colOff>142875</xdr:colOff>
      <xdr:row>19</xdr:row>
      <xdr:rowOff>19050</xdr:rowOff>
    </xdr:to>
    <xdr:sp macro="" textlink="">
      <xdr:nvSpPr>
        <xdr:cNvPr id="10" name="Rectángulo: esquinas redondeadas 9">
          <a:hlinkClick xmlns:r="http://schemas.openxmlformats.org/officeDocument/2006/relationships" r:id="rId9"/>
          <a:extLst>
            <a:ext uri="{FF2B5EF4-FFF2-40B4-BE49-F238E27FC236}">
              <a16:creationId xmlns:a16="http://schemas.microsoft.com/office/drawing/2014/main" id="{CEA5EF72-9301-4496-84C7-EACFADFACD1A}"/>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276225</xdr:colOff>
      <xdr:row>19</xdr:row>
      <xdr:rowOff>114300</xdr:rowOff>
    </xdr:from>
    <xdr:to>
      <xdr:col>5</xdr:col>
      <xdr:colOff>266700</xdr:colOff>
      <xdr:row>21</xdr:row>
      <xdr:rowOff>19050</xdr:rowOff>
    </xdr:to>
    <xdr:sp macro="" textlink="">
      <xdr:nvSpPr>
        <xdr:cNvPr id="11" name="Rectángulo: esquinas redondeadas 10">
          <a:hlinkClick xmlns:r="http://schemas.openxmlformats.org/officeDocument/2006/relationships" r:id="rId10"/>
          <a:extLst>
            <a:ext uri="{FF2B5EF4-FFF2-40B4-BE49-F238E27FC236}">
              <a16:creationId xmlns:a16="http://schemas.microsoft.com/office/drawing/2014/main" id="{EF6ACF63-D5E2-4225-B053-24C4618BF1F1}"/>
            </a:ext>
          </a:extLst>
        </xdr:cNvPr>
        <xdr:cNvSpPr/>
      </xdr:nvSpPr>
      <xdr:spPr>
        <a:xfrm>
          <a:off x="2562225" y="3800475"/>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438151</xdr:colOff>
      <xdr:row>31</xdr:row>
      <xdr:rowOff>95250</xdr:rowOff>
    </xdr:from>
    <xdr:to>
      <xdr:col>2</xdr:col>
      <xdr:colOff>152401</xdr:colOff>
      <xdr:row>32</xdr:row>
      <xdr:rowOff>161925</xdr:rowOff>
    </xdr:to>
    <xdr:sp macro="" textlink="">
      <xdr:nvSpPr>
        <xdr:cNvPr id="11" name="Rectángulo: esquinas redondeadas 10">
          <a:hlinkClick xmlns:r="http://schemas.openxmlformats.org/officeDocument/2006/relationships" r:id="rId1"/>
          <a:extLst>
            <a:ext uri="{FF2B5EF4-FFF2-40B4-BE49-F238E27FC236}">
              <a16:creationId xmlns:a16="http://schemas.microsoft.com/office/drawing/2014/main" id="{0A2193AA-3B13-4393-AF9F-1618D07E2979}"/>
            </a:ext>
          </a:extLst>
        </xdr:cNvPr>
        <xdr:cNvSpPr/>
      </xdr:nvSpPr>
      <xdr:spPr>
        <a:xfrm>
          <a:off x="438151" y="5133975"/>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Portada</a:t>
          </a:r>
        </a:p>
      </xdr:txBody>
    </xdr:sp>
    <xdr:clientData/>
  </xdr:twoCellAnchor>
  <xdr:twoCellAnchor>
    <xdr:from>
      <xdr:col>2</xdr:col>
      <xdr:colOff>342900</xdr:colOff>
      <xdr:row>31</xdr:row>
      <xdr:rowOff>85725</xdr:rowOff>
    </xdr:from>
    <xdr:to>
      <xdr:col>4</xdr:col>
      <xdr:colOff>57150</xdr:colOff>
      <xdr:row>32</xdr:row>
      <xdr:rowOff>152400</xdr:rowOff>
    </xdr:to>
    <xdr:sp macro="" textlink="">
      <xdr:nvSpPr>
        <xdr:cNvPr id="12" name="Rectángulo: esquinas redondeadas 11">
          <a:hlinkClick xmlns:r="http://schemas.openxmlformats.org/officeDocument/2006/relationships" r:id="rId2"/>
          <a:extLst>
            <a:ext uri="{FF2B5EF4-FFF2-40B4-BE49-F238E27FC236}">
              <a16:creationId xmlns:a16="http://schemas.microsoft.com/office/drawing/2014/main" id="{7C0C23ED-D3A7-46DB-9C13-3A0245674C97}"/>
            </a:ext>
          </a:extLst>
        </xdr:cNvPr>
        <xdr:cNvSpPr/>
      </xdr:nvSpPr>
      <xdr:spPr>
        <a:xfrm>
          <a:off x="1866900" y="512445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Datos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1</xdr:col>
      <xdr:colOff>0</xdr:colOff>
      <xdr:row>33</xdr:row>
      <xdr:rowOff>85725</xdr:rowOff>
    </xdr:from>
    <xdr:to>
      <xdr:col>3</xdr:col>
      <xdr:colOff>285750</xdr:colOff>
      <xdr:row>35</xdr:row>
      <xdr:rowOff>161925</xdr:rowOff>
    </xdr:to>
    <xdr:sp macro="" textlink="">
      <xdr:nvSpPr>
        <xdr:cNvPr id="13" name="Rectángulo: esquinas redondeadas 12">
          <a:hlinkClick xmlns:r="http://schemas.openxmlformats.org/officeDocument/2006/relationships" r:id="rId3"/>
          <a:extLst>
            <a:ext uri="{FF2B5EF4-FFF2-40B4-BE49-F238E27FC236}">
              <a16:creationId xmlns:a16="http://schemas.microsoft.com/office/drawing/2014/main" id="{AE7041EC-6540-4E08-9D8A-DF2BACFADBCE}"/>
            </a:ext>
          </a:extLst>
        </xdr:cNvPr>
        <xdr:cNvSpPr/>
      </xdr:nvSpPr>
      <xdr:spPr>
        <a:xfrm>
          <a:off x="762000" y="5505450"/>
          <a:ext cx="1809750" cy="4572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Inicial</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33</xdr:row>
      <xdr:rowOff>76200</xdr:rowOff>
    </xdr:from>
    <xdr:to>
      <xdr:col>5</xdr:col>
      <xdr:colOff>752475</xdr:colOff>
      <xdr:row>36</xdr:row>
      <xdr:rowOff>0</xdr:rowOff>
    </xdr:to>
    <xdr:sp macro="" textlink="">
      <xdr:nvSpPr>
        <xdr:cNvPr id="14" name="Rectángulo: esquinas redondeadas 13">
          <a:hlinkClick xmlns:r="http://schemas.openxmlformats.org/officeDocument/2006/relationships" r:id="rId4"/>
          <a:extLst>
            <a:ext uri="{FF2B5EF4-FFF2-40B4-BE49-F238E27FC236}">
              <a16:creationId xmlns:a16="http://schemas.microsoft.com/office/drawing/2014/main" id="{2B928600-B47A-432D-9332-A54A9258E8E1}"/>
            </a:ext>
          </a:extLst>
        </xdr:cNvPr>
        <xdr:cNvSpPr/>
      </xdr:nvSpPr>
      <xdr:spPr>
        <a:xfrm>
          <a:off x="2714625" y="5495925"/>
          <a:ext cx="18478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Presupuesto</a:t>
          </a:r>
          <a:r>
            <a:rPr lang="es-MX" sz="1100" baseline="0">
              <a:solidFill>
                <a:schemeClr val="accent1"/>
              </a:solidFill>
              <a:latin typeface="Courier New" panose="02070309020205020404" pitchFamily="49" charset="0"/>
              <a:cs typeface="Courier New" panose="02070309020205020404" pitchFamily="49" charset="0"/>
            </a:rPr>
            <a:t> De Ventas</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6</xdr:col>
      <xdr:colOff>219075</xdr:colOff>
      <xdr:row>33</xdr:row>
      <xdr:rowOff>95250</xdr:rowOff>
    </xdr:from>
    <xdr:to>
      <xdr:col>8</xdr:col>
      <xdr:colOff>85725</xdr:colOff>
      <xdr:row>36</xdr:row>
      <xdr:rowOff>19050</xdr:rowOff>
    </xdr:to>
    <xdr:sp macro="" textlink="">
      <xdr:nvSpPr>
        <xdr:cNvPr id="15" name="Rectángulo: esquinas redondeadas 14">
          <a:hlinkClick xmlns:r="http://schemas.openxmlformats.org/officeDocument/2006/relationships" r:id="rId5"/>
          <a:extLst>
            <a:ext uri="{FF2B5EF4-FFF2-40B4-BE49-F238E27FC236}">
              <a16:creationId xmlns:a16="http://schemas.microsoft.com/office/drawing/2014/main" id="{250A9935-E524-42FD-9777-44E14690C03C}"/>
            </a:ext>
          </a:extLst>
        </xdr:cNvPr>
        <xdr:cNvSpPr/>
      </xdr:nvSpPr>
      <xdr:spPr>
        <a:xfrm>
          <a:off x="4791075" y="5514975"/>
          <a:ext cx="13906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Tabla</a:t>
          </a:r>
          <a:r>
            <a:rPr lang="es-MX" sz="1100" baseline="0">
              <a:solidFill>
                <a:schemeClr val="accent1"/>
              </a:solidFill>
              <a:latin typeface="Courier New" panose="02070309020205020404" pitchFamily="49" charset="0"/>
              <a:cs typeface="Courier New" panose="02070309020205020404" pitchFamily="49" charset="0"/>
            </a:rPr>
            <a:t> de Amortización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228599</xdr:colOff>
      <xdr:row>31</xdr:row>
      <xdr:rowOff>76200</xdr:rowOff>
    </xdr:from>
    <xdr:to>
      <xdr:col>8</xdr:col>
      <xdr:colOff>66674</xdr:colOff>
      <xdr:row>32</xdr:row>
      <xdr:rowOff>142875</xdr:rowOff>
    </xdr:to>
    <xdr:sp macro="" textlink="">
      <xdr:nvSpPr>
        <xdr:cNvPr id="16" name="Rectángulo: esquinas redondeadas 15">
          <a:hlinkClick xmlns:r="http://schemas.openxmlformats.org/officeDocument/2006/relationships" r:id="rId6"/>
          <a:extLst>
            <a:ext uri="{FF2B5EF4-FFF2-40B4-BE49-F238E27FC236}">
              <a16:creationId xmlns:a16="http://schemas.microsoft.com/office/drawing/2014/main" id="{05A7DDEE-29FE-4590-92B4-443B57783D4C}"/>
            </a:ext>
          </a:extLst>
        </xdr:cNvPr>
        <xdr:cNvSpPr/>
      </xdr:nvSpPr>
      <xdr:spPr>
        <a:xfrm>
          <a:off x="3276599" y="5114925"/>
          <a:ext cx="2886075"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Estado</a:t>
          </a:r>
          <a:r>
            <a:rPr lang="es-MX" sz="1100" baseline="0">
              <a:solidFill>
                <a:schemeClr val="accent1"/>
              </a:solidFill>
              <a:latin typeface="Courier New" panose="02070309020205020404" pitchFamily="49" charset="0"/>
              <a:cs typeface="Courier New" panose="02070309020205020404" pitchFamily="49" charset="0"/>
            </a:rPr>
            <a:t> de Resultados</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2</xdr:col>
      <xdr:colOff>104774</xdr:colOff>
      <xdr:row>36</xdr:row>
      <xdr:rowOff>85725</xdr:rowOff>
    </xdr:from>
    <xdr:to>
      <xdr:col>4</xdr:col>
      <xdr:colOff>228599</xdr:colOff>
      <xdr:row>39</xdr:row>
      <xdr:rowOff>9525</xdr:rowOff>
    </xdr:to>
    <xdr:sp macro="" textlink="">
      <xdr:nvSpPr>
        <xdr:cNvPr id="17" name="Rectángulo: esquinas redondeadas 16">
          <a:hlinkClick xmlns:r="http://schemas.openxmlformats.org/officeDocument/2006/relationships" r:id="rId7"/>
          <a:extLst>
            <a:ext uri="{FF2B5EF4-FFF2-40B4-BE49-F238E27FC236}">
              <a16:creationId xmlns:a16="http://schemas.microsoft.com/office/drawing/2014/main" id="{B9BE0AC9-3C5F-45C5-9121-527134CA1512}"/>
            </a:ext>
          </a:extLst>
        </xdr:cNvPr>
        <xdr:cNvSpPr/>
      </xdr:nvSpPr>
      <xdr:spPr>
        <a:xfrm>
          <a:off x="1628774" y="6076950"/>
          <a:ext cx="1647825"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Flujo</a:t>
          </a:r>
          <a:r>
            <a:rPr lang="es-MX" sz="1100" baseline="0">
              <a:solidFill>
                <a:schemeClr val="accent1"/>
              </a:solidFill>
              <a:latin typeface="Courier New" panose="02070309020205020404" pitchFamily="49" charset="0"/>
              <a:cs typeface="Courier New" panose="02070309020205020404" pitchFamily="49" charset="0"/>
            </a:rPr>
            <a:t> Neto De Efectivo</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4</xdr:col>
      <xdr:colOff>561975</xdr:colOff>
      <xdr:row>36</xdr:row>
      <xdr:rowOff>85725</xdr:rowOff>
    </xdr:from>
    <xdr:to>
      <xdr:col>6</xdr:col>
      <xdr:colOff>695325</xdr:colOff>
      <xdr:row>39</xdr:row>
      <xdr:rowOff>9525</xdr:rowOff>
    </xdr:to>
    <xdr:sp macro="" textlink="">
      <xdr:nvSpPr>
        <xdr:cNvPr id="18" name="Rectángulo: esquinas redondeadas 17">
          <a:hlinkClick xmlns:r="http://schemas.openxmlformats.org/officeDocument/2006/relationships" r:id="rId8"/>
          <a:extLst>
            <a:ext uri="{FF2B5EF4-FFF2-40B4-BE49-F238E27FC236}">
              <a16:creationId xmlns:a16="http://schemas.microsoft.com/office/drawing/2014/main" id="{ED6237F3-5F7A-4897-84FE-482C449E81AE}"/>
            </a:ext>
          </a:extLst>
        </xdr:cNvPr>
        <xdr:cNvSpPr/>
      </xdr:nvSpPr>
      <xdr:spPr>
        <a:xfrm>
          <a:off x="3609975" y="6076950"/>
          <a:ext cx="1657350" cy="495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Balance</a:t>
          </a:r>
          <a:r>
            <a:rPr lang="es-MX" sz="1100" baseline="0">
              <a:solidFill>
                <a:schemeClr val="accent1"/>
              </a:solidFill>
              <a:latin typeface="Courier New" panose="02070309020205020404" pitchFamily="49" charset="0"/>
              <a:cs typeface="Courier New" panose="02070309020205020404" pitchFamily="49" charset="0"/>
            </a:rPr>
            <a:t> General Final</a:t>
          </a: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twoCellAnchor>
    <xdr:from>
      <xdr:col>3</xdr:col>
      <xdr:colOff>428625</xdr:colOff>
      <xdr:row>39</xdr:row>
      <xdr:rowOff>142875</xdr:rowOff>
    </xdr:from>
    <xdr:to>
      <xdr:col>5</xdr:col>
      <xdr:colOff>142875</xdr:colOff>
      <xdr:row>41</xdr:row>
      <xdr:rowOff>19050</xdr:rowOff>
    </xdr:to>
    <xdr:sp macro="" textlink="">
      <xdr:nvSpPr>
        <xdr:cNvPr id="19" name="Rectángulo: esquinas redondeadas 18">
          <a:hlinkClick xmlns:r="http://schemas.openxmlformats.org/officeDocument/2006/relationships" r:id="rId9"/>
          <a:extLst>
            <a:ext uri="{FF2B5EF4-FFF2-40B4-BE49-F238E27FC236}">
              <a16:creationId xmlns:a16="http://schemas.microsoft.com/office/drawing/2014/main" id="{7856C763-F1ED-4C46-BA19-275DD646A59C}"/>
            </a:ext>
          </a:extLst>
        </xdr:cNvPr>
        <xdr:cNvSpPr/>
      </xdr:nvSpPr>
      <xdr:spPr>
        <a:xfrm>
          <a:off x="2714625" y="6705600"/>
          <a:ext cx="1238250" cy="2571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a:solidFill>
                <a:schemeClr val="accent1"/>
              </a:solidFill>
              <a:latin typeface="Courier New" panose="02070309020205020404" pitchFamily="49" charset="0"/>
              <a:cs typeface="Courier New" panose="02070309020205020404" pitchFamily="49" charset="0"/>
            </a:rPr>
            <a:t>Evaluación</a:t>
          </a:r>
        </a:p>
      </xdr:txBody>
    </xdr:sp>
    <xdr:clientData/>
  </xdr:twoCellAnchor>
  <xdr:twoCellAnchor>
    <xdr:from>
      <xdr:col>3</xdr:col>
      <xdr:colOff>276225</xdr:colOff>
      <xdr:row>41</xdr:row>
      <xdr:rowOff>104775</xdr:rowOff>
    </xdr:from>
    <xdr:to>
      <xdr:col>5</xdr:col>
      <xdr:colOff>266700</xdr:colOff>
      <xdr:row>43</xdr:row>
      <xdr:rowOff>9525</xdr:rowOff>
    </xdr:to>
    <xdr:sp macro="" textlink="">
      <xdr:nvSpPr>
        <xdr:cNvPr id="20" name="Rectángulo: esquinas redondeadas 19">
          <a:hlinkClick xmlns:r="http://schemas.openxmlformats.org/officeDocument/2006/relationships" r:id="rId10"/>
          <a:extLst>
            <a:ext uri="{FF2B5EF4-FFF2-40B4-BE49-F238E27FC236}">
              <a16:creationId xmlns:a16="http://schemas.microsoft.com/office/drawing/2014/main" id="{57F0010D-CC47-4A6C-BAEE-50EE702062BE}"/>
            </a:ext>
          </a:extLst>
        </xdr:cNvPr>
        <xdr:cNvSpPr/>
      </xdr:nvSpPr>
      <xdr:spPr>
        <a:xfrm>
          <a:off x="2562225" y="8105775"/>
          <a:ext cx="1514475" cy="28575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MX" sz="1100" b="1">
              <a:solidFill>
                <a:schemeClr val="accent1"/>
              </a:solidFill>
              <a:latin typeface="Courier New" panose="02070309020205020404" pitchFamily="49" charset="0"/>
              <a:cs typeface="Courier New" panose="02070309020205020404" pitchFamily="49" charset="0"/>
            </a:rPr>
            <a:t>Fundamentación</a:t>
          </a:r>
        </a:p>
        <a:p>
          <a:pPr algn="ctr"/>
          <a:endParaRPr lang="es-MX" sz="1100">
            <a:solidFill>
              <a:schemeClr val="accent1"/>
            </a:solidFill>
            <a:latin typeface="Courier New" panose="02070309020205020404" pitchFamily="49" charset="0"/>
            <a:cs typeface="Courier New" panose="02070309020205020404" pitchFamily="49"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5B52E-9B4C-45AC-902C-540DDB639571}">
  <dimension ref="A1:J23"/>
  <sheetViews>
    <sheetView showGridLines="0" topLeftCell="A19" workbookViewId="0">
      <selection activeCell="D34" sqref="D34"/>
    </sheetView>
  </sheetViews>
  <sheetFormatPr baseColWidth="10" defaultRowHeight="15" x14ac:dyDescent="0.25"/>
  <sheetData>
    <row r="1" spans="1:10" x14ac:dyDescent="0.25">
      <c r="A1" s="1"/>
      <c r="B1" s="1"/>
      <c r="C1" s="1"/>
      <c r="D1" s="1"/>
      <c r="E1" s="1"/>
      <c r="F1" s="1"/>
      <c r="G1" s="1"/>
      <c r="H1" s="1"/>
      <c r="I1" s="1"/>
      <c r="J1" s="1"/>
    </row>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ht="16.5" x14ac:dyDescent="0.3">
      <c r="A6" s="1"/>
      <c r="B6" s="1"/>
      <c r="C6" s="45" t="s">
        <v>0</v>
      </c>
      <c r="D6" s="45"/>
      <c r="E6" s="45"/>
      <c r="F6" s="45"/>
      <c r="G6" s="45"/>
      <c r="H6" s="1"/>
      <c r="I6" s="1"/>
      <c r="J6" s="1"/>
    </row>
    <row r="7" spans="1:10" x14ac:dyDescent="0.25">
      <c r="A7" s="1"/>
      <c r="B7" s="1"/>
      <c r="C7" s="1"/>
      <c r="D7" s="1"/>
      <c r="E7" s="1"/>
      <c r="F7" s="1"/>
      <c r="G7" s="1"/>
      <c r="H7" s="1"/>
      <c r="I7" s="1"/>
      <c r="J7" s="1"/>
    </row>
    <row r="8" spans="1:10" ht="16.5" x14ac:dyDescent="0.3">
      <c r="A8" s="1"/>
      <c r="B8" s="1"/>
      <c r="C8" s="45" t="s">
        <v>1</v>
      </c>
      <c r="D8" s="45"/>
      <c r="E8" s="45"/>
      <c r="F8" s="45"/>
      <c r="G8" s="45"/>
      <c r="H8" s="1"/>
      <c r="I8" s="1"/>
      <c r="J8" s="1"/>
    </row>
    <row r="9" spans="1:10" x14ac:dyDescent="0.25">
      <c r="A9" s="1"/>
      <c r="B9" s="1"/>
      <c r="C9" s="1"/>
      <c r="D9" s="1"/>
      <c r="E9" s="1"/>
      <c r="F9" s="1"/>
      <c r="G9" s="1"/>
      <c r="H9" s="1"/>
      <c r="I9" s="1"/>
      <c r="J9" s="1"/>
    </row>
    <row r="10" spans="1:10" x14ac:dyDescent="0.25">
      <c r="A10" s="1"/>
      <c r="B10" s="1"/>
      <c r="C10" s="1"/>
      <c r="D10" s="1"/>
      <c r="E10" s="1"/>
      <c r="F10" s="1"/>
      <c r="G10" s="1"/>
      <c r="H10" s="1"/>
      <c r="I10" s="1"/>
      <c r="J10" s="1"/>
    </row>
    <row r="11" spans="1:10" x14ac:dyDescent="0.25">
      <c r="A11" s="1"/>
      <c r="B11" s="1"/>
      <c r="C11" s="1"/>
      <c r="D11" s="1"/>
      <c r="E11" s="1"/>
      <c r="F11" s="1"/>
      <c r="G11" s="1"/>
      <c r="H11" s="1"/>
      <c r="I11" s="1"/>
      <c r="J11" s="1"/>
    </row>
    <row r="12" spans="1:10" x14ac:dyDescent="0.25">
      <c r="A12" s="1"/>
      <c r="B12" s="1"/>
      <c r="C12" s="1"/>
      <c r="D12" s="1"/>
      <c r="E12" s="1"/>
      <c r="F12" s="1"/>
      <c r="G12" s="1"/>
      <c r="H12" s="1"/>
      <c r="I12" s="1"/>
      <c r="J12" s="1"/>
    </row>
    <row r="13" spans="1:10" x14ac:dyDescent="0.25">
      <c r="A13" s="1"/>
      <c r="B13" s="1"/>
      <c r="C13" s="1"/>
      <c r="D13" s="1"/>
      <c r="E13" s="1"/>
      <c r="F13" s="1"/>
      <c r="G13" s="1"/>
      <c r="H13" s="1"/>
      <c r="I13" s="1"/>
      <c r="J13" s="1"/>
    </row>
    <row r="14" spans="1:10" ht="16.5" x14ac:dyDescent="0.3">
      <c r="A14" s="1"/>
      <c r="B14" s="1"/>
      <c r="C14" s="45" t="s">
        <v>2</v>
      </c>
      <c r="D14" s="45"/>
      <c r="E14" s="45"/>
      <c r="F14" s="45"/>
      <c r="G14" s="45"/>
      <c r="H14" s="1"/>
      <c r="I14" s="1"/>
      <c r="J14" s="1"/>
    </row>
    <row r="15" spans="1:10" x14ac:dyDescent="0.25">
      <c r="A15" s="1"/>
      <c r="B15" s="1"/>
      <c r="C15" s="1"/>
      <c r="D15" s="1"/>
      <c r="E15" s="1"/>
      <c r="F15" s="1"/>
      <c r="G15" s="1"/>
      <c r="H15" s="1"/>
      <c r="I15" s="1"/>
      <c r="J15" s="1"/>
    </row>
    <row r="16" spans="1:10" ht="15.75" x14ac:dyDescent="0.3">
      <c r="A16" s="1"/>
      <c r="B16" s="1"/>
      <c r="C16" s="46" t="s">
        <v>6</v>
      </c>
      <c r="D16" s="46"/>
      <c r="E16" s="46"/>
      <c r="F16" s="46"/>
      <c r="G16" s="46"/>
      <c r="H16" s="1"/>
      <c r="I16" s="1"/>
      <c r="J16" s="1"/>
    </row>
    <row r="17" spans="1:10" x14ac:dyDescent="0.25">
      <c r="A17" s="1"/>
      <c r="B17" s="1"/>
      <c r="C17" s="2"/>
      <c r="D17" s="1"/>
      <c r="E17" s="1"/>
      <c r="F17" s="1"/>
      <c r="G17" s="1"/>
      <c r="H17" s="1"/>
      <c r="I17" s="1"/>
      <c r="J17" s="1"/>
    </row>
    <row r="18" spans="1:10" ht="16.5" x14ac:dyDescent="0.3">
      <c r="A18" s="1"/>
      <c r="B18" s="1"/>
      <c r="C18" s="45" t="s">
        <v>3</v>
      </c>
      <c r="D18" s="45"/>
      <c r="E18" s="45"/>
      <c r="F18" s="45"/>
      <c r="G18" s="45"/>
      <c r="H18" s="1"/>
      <c r="I18" s="1"/>
      <c r="J18" s="1"/>
    </row>
    <row r="19" spans="1:10" x14ac:dyDescent="0.25">
      <c r="A19" s="1"/>
      <c r="B19" s="1"/>
      <c r="C19" s="1"/>
      <c r="D19" s="1"/>
      <c r="E19" s="1"/>
      <c r="F19" s="1"/>
      <c r="G19" s="1"/>
      <c r="H19" s="1"/>
      <c r="I19" s="1"/>
      <c r="J19" s="1"/>
    </row>
    <row r="20" spans="1:10" ht="16.5" x14ac:dyDescent="0.3">
      <c r="A20" s="1"/>
      <c r="B20" s="1"/>
      <c r="C20" s="45" t="s">
        <v>4</v>
      </c>
      <c r="D20" s="45"/>
      <c r="E20" s="45"/>
      <c r="F20" s="45"/>
      <c r="G20" s="45"/>
      <c r="H20" s="1"/>
      <c r="I20" s="1"/>
      <c r="J20" s="1"/>
    </row>
    <row r="21" spans="1:10" x14ac:dyDescent="0.25">
      <c r="A21" s="1"/>
      <c r="B21" s="1"/>
      <c r="C21" s="1"/>
      <c r="D21" s="1"/>
      <c r="E21" s="1"/>
      <c r="F21" s="1"/>
      <c r="G21" s="1"/>
      <c r="H21" s="1"/>
      <c r="I21" s="1"/>
      <c r="J21" s="1"/>
    </row>
    <row r="22" spans="1:10" ht="16.5" x14ac:dyDescent="0.3">
      <c r="A22" s="1"/>
      <c r="B22" s="1"/>
      <c r="C22" s="45" t="s">
        <v>5</v>
      </c>
      <c r="D22" s="45"/>
      <c r="E22" s="45"/>
      <c r="F22" s="45"/>
      <c r="G22" s="45"/>
      <c r="H22" s="1"/>
      <c r="I22" s="1"/>
      <c r="J22" s="1"/>
    </row>
    <row r="23" spans="1:10" x14ac:dyDescent="0.25">
      <c r="A23" s="1"/>
      <c r="B23" s="1"/>
      <c r="C23" s="1"/>
      <c r="D23" s="1"/>
      <c r="E23" s="1"/>
      <c r="F23" s="1"/>
      <c r="G23" s="1"/>
      <c r="H23" s="1"/>
      <c r="I23" s="1"/>
      <c r="J23" s="1"/>
    </row>
  </sheetData>
  <mergeCells count="7">
    <mergeCell ref="C22:G22"/>
    <mergeCell ref="C6:G6"/>
    <mergeCell ref="C8:G8"/>
    <mergeCell ref="C14:G14"/>
    <mergeCell ref="C16:G16"/>
    <mergeCell ref="C18:G18"/>
    <mergeCell ref="C20:G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F525-A61E-4E52-9E93-1F16347CE9A3}">
  <dimension ref="A1:J95"/>
  <sheetViews>
    <sheetView showGridLines="0" topLeftCell="A76" workbookViewId="0">
      <selection activeCell="F99" sqref="F99"/>
    </sheetView>
  </sheetViews>
  <sheetFormatPr baseColWidth="10" defaultRowHeight="15" x14ac:dyDescent="0.25"/>
  <cols>
    <col min="1" max="1" width="11.42578125" style="3"/>
    <col min="2" max="2" width="19.42578125" style="3" bestFit="1" customWidth="1"/>
    <col min="3" max="6" width="20.7109375" style="3" bestFit="1" customWidth="1"/>
    <col min="7" max="16384" width="11.42578125" style="3"/>
  </cols>
  <sheetData>
    <row r="1" spans="1:10" ht="19.5" x14ac:dyDescent="0.35">
      <c r="A1" s="50" t="s">
        <v>93</v>
      </c>
      <c r="B1" s="50"/>
      <c r="C1" s="50"/>
      <c r="D1" s="50"/>
      <c r="E1" s="50"/>
      <c r="F1" s="50"/>
      <c r="G1" s="50"/>
      <c r="H1" s="50"/>
      <c r="I1" s="50"/>
      <c r="J1" s="50"/>
    </row>
    <row r="3" spans="1:10" ht="15.75" x14ac:dyDescent="0.3">
      <c r="A3" s="51" t="s">
        <v>94</v>
      </c>
      <c r="B3" s="51"/>
      <c r="C3" s="51"/>
      <c r="D3" s="51"/>
      <c r="E3" s="51"/>
      <c r="F3" s="51"/>
      <c r="G3" s="51"/>
      <c r="H3" s="51"/>
      <c r="I3" s="51"/>
      <c r="J3" s="51"/>
    </row>
    <row r="4" spans="1:10" x14ac:dyDescent="0.25">
      <c r="A4" s="20" t="s">
        <v>95</v>
      </c>
      <c r="B4" s="107">
        <v>0.25</v>
      </c>
      <c r="C4" s="107"/>
    </row>
    <row r="5" spans="1:10" x14ac:dyDescent="0.25">
      <c r="A5" s="75" t="s">
        <v>48</v>
      </c>
      <c r="B5" s="75"/>
      <c r="C5" s="21">
        <v>950000</v>
      </c>
    </row>
    <row r="7" spans="1:10" x14ac:dyDescent="0.25">
      <c r="A7" s="18" t="s">
        <v>86</v>
      </c>
      <c r="B7" s="85"/>
      <c r="C7" s="85"/>
    </row>
    <row r="8" spans="1:10" x14ac:dyDescent="0.25">
      <c r="A8" s="16">
        <v>1</v>
      </c>
      <c r="B8" s="77">
        <f>FNE!I4</f>
        <v>426605.52392652113</v>
      </c>
      <c r="C8" s="75"/>
    </row>
    <row r="9" spans="1:10" x14ac:dyDescent="0.25">
      <c r="A9" s="18">
        <v>2</v>
      </c>
      <c r="B9" s="86">
        <f>FNE!I5</f>
        <v>937085.52392652119</v>
      </c>
      <c r="C9" s="85"/>
    </row>
    <row r="10" spans="1:10" x14ac:dyDescent="0.25">
      <c r="A10" s="16">
        <v>3</v>
      </c>
      <c r="B10" s="77">
        <f>FNE!I6</f>
        <v>1478545.5239265212</v>
      </c>
      <c r="C10" s="75"/>
    </row>
    <row r="11" spans="1:10" x14ac:dyDescent="0.25">
      <c r="A11" s="18">
        <v>4</v>
      </c>
      <c r="B11" s="86">
        <f>FNE!I7</f>
        <v>2050985.5239265212</v>
      </c>
      <c r="C11" s="85"/>
    </row>
    <row r="12" spans="1:10" x14ac:dyDescent="0.25">
      <c r="A12" s="16">
        <v>5</v>
      </c>
      <c r="B12" s="77">
        <f>FNE!I8</f>
        <v>2654405.5239265212</v>
      </c>
      <c r="C12" s="75"/>
    </row>
    <row r="13" spans="1:10" x14ac:dyDescent="0.25">
      <c r="A13" s="18" t="s">
        <v>96</v>
      </c>
      <c r="B13" s="86">
        <f>SUM(B8:C12)</f>
        <v>7547627.6196326055</v>
      </c>
      <c r="C13" s="85"/>
    </row>
    <row r="14" spans="1:10" ht="15.75" x14ac:dyDescent="0.3">
      <c r="A14" s="15" t="s">
        <v>97</v>
      </c>
      <c r="B14" s="106">
        <f>B13-C5</f>
        <v>6597627.6196326055</v>
      </c>
      <c r="C14" s="57"/>
    </row>
    <row r="15" spans="1:10" ht="15.75" x14ac:dyDescent="0.3">
      <c r="A15" s="81" t="s">
        <v>98</v>
      </c>
      <c r="B15" s="81"/>
      <c r="C15" s="81"/>
    </row>
    <row r="17" spans="1:10" ht="15.75" x14ac:dyDescent="0.3">
      <c r="A17" s="51" t="s">
        <v>99</v>
      </c>
      <c r="B17" s="51"/>
      <c r="C17" s="51"/>
      <c r="D17" s="51"/>
      <c r="E17" s="51"/>
      <c r="F17" s="51"/>
      <c r="G17" s="51"/>
      <c r="H17" s="51"/>
      <c r="I17" s="51"/>
      <c r="J17" s="51"/>
    </row>
    <row r="18" spans="1:10" x14ac:dyDescent="0.25">
      <c r="A18" s="85" t="s">
        <v>100</v>
      </c>
      <c r="B18" s="85"/>
      <c r="C18" s="22">
        <v>0.2</v>
      </c>
    </row>
    <row r="19" spans="1:10" x14ac:dyDescent="0.25">
      <c r="A19" s="75" t="s">
        <v>101</v>
      </c>
      <c r="B19" s="75"/>
      <c r="C19" s="23">
        <v>0.3</v>
      </c>
    </row>
    <row r="21" spans="1:10" ht="15.75" x14ac:dyDescent="0.3">
      <c r="A21" s="81" t="s">
        <v>100</v>
      </c>
      <c r="B21" s="81"/>
      <c r="C21" s="81"/>
      <c r="E21" s="81" t="s">
        <v>101</v>
      </c>
      <c r="F21" s="81"/>
      <c r="G21" s="81"/>
      <c r="H21" s="81"/>
    </row>
    <row r="22" spans="1:10" x14ac:dyDescent="0.25">
      <c r="A22" s="75" t="s">
        <v>102</v>
      </c>
      <c r="B22" s="75"/>
      <c r="C22" s="24"/>
      <c r="E22" s="75" t="s">
        <v>102</v>
      </c>
      <c r="F22" s="75"/>
      <c r="G22" s="75"/>
      <c r="H22" s="75"/>
      <c r="I22" s="19"/>
    </row>
    <row r="23" spans="1:10" x14ac:dyDescent="0.25">
      <c r="A23" s="85">
        <v>1</v>
      </c>
      <c r="B23" s="85"/>
      <c r="C23" s="27">
        <f>FNE!I4/((1+Evaluacion!C18)^1)</f>
        <v>355504.60327210097</v>
      </c>
      <c r="E23" s="85">
        <v>1</v>
      </c>
      <c r="F23" s="85"/>
      <c r="G23" s="86">
        <f>B8/((1+Evaluacion!C19)^1)</f>
        <v>328158.09532809316</v>
      </c>
      <c r="H23" s="85"/>
    </row>
    <row r="24" spans="1:10" x14ac:dyDescent="0.25">
      <c r="A24" s="75">
        <v>2</v>
      </c>
      <c r="B24" s="75"/>
      <c r="C24" s="25">
        <f>B9/((1+Evaluacion!C18)^2)</f>
        <v>650753.83606008417</v>
      </c>
      <c r="E24" s="75">
        <v>2</v>
      </c>
      <c r="F24" s="75"/>
      <c r="G24" s="77">
        <f>B9/((1+Evaluacion!C19)^2)</f>
        <v>554488.47569616628</v>
      </c>
      <c r="H24" s="75"/>
    </row>
    <row r="25" spans="1:10" x14ac:dyDescent="0.25">
      <c r="A25" s="85">
        <v>3</v>
      </c>
      <c r="B25" s="85"/>
      <c r="C25" s="27">
        <f>B10/((1+Evaluacion!C18)^3)</f>
        <v>855639.77079081093</v>
      </c>
      <c r="E25" s="85">
        <v>3</v>
      </c>
      <c r="F25" s="85"/>
      <c r="G25" s="86">
        <f>B10/((1+Evaluacion!C19)^3)</f>
        <v>672983.85249272687</v>
      </c>
      <c r="H25" s="85"/>
    </row>
    <row r="26" spans="1:10" x14ac:dyDescent="0.25">
      <c r="A26" s="75">
        <v>4</v>
      </c>
      <c r="B26" s="75"/>
      <c r="C26" s="25">
        <f>B11/((1+Evaluacion!C18)^4)</f>
        <v>989094.09911579918</v>
      </c>
      <c r="E26" s="75">
        <v>4</v>
      </c>
      <c r="F26" s="75"/>
      <c r="G26" s="77">
        <f>B11/((1+Evaluacion!C19)^4)</f>
        <v>718107.04244477465</v>
      </c>
      <c r="H26" s="75"/>
    </row>
    <row r="27" spans="1:10" x14ac:dyDescent="0.25">
      <c r="A27" s="85">
        <v>5</v>
      </c>
      <c r="B27" s="85"/>
      <c r="C27" s="27">
        <f>B12/((1+Evaluacion!C18)^5)</f>
        <v>1066746.0471026723</v>
      </c>
      <c r="E27" s="85">
        <v>5</v>
      </c>
      <c r="F27" s="85"/>
      <c r="G27" s="86">
        <f>B12/((1+Evaluacion!C19)^5)</f>
        <v>714908.58268982195</v>
      </c>
      <c r="H27" s="85"/>
    </row>
    <row r="28" spans="1:10" ht="15.75" x14ac:dyDescent="0.3">
      <c r="A28" s="57" t="s">
        <v>103</v>
      </c>
      <c r="B28" s="57"/>
      <c r="C28" s="26">
        <f>SUM(C23:C27)</f>
        <v>3917738.3563414672</v>
      </c>
      <c r="E28" s="57" t="s">
        <v>103</v>
      </c>
      <c r="F28" s="57"/>
      <c r="G28" s="106">
        <f>SUM(G23:H27)</f>
        <v>2988646.0486515826</v>
      </c>
      <c r="H28" s="57"/>
    </row>
    <row r="30" spans="1:10" x14ac:dyDescent="0.25">
      <c r="A30" s="28">
        <v>0.2</v>
      </c>
      <c r="B30" s="86">
        <f>C28</f>
        <v>3917738.3563414672</v>
      </c>
      <c r="C30" s="85"/>
      <c r="D30" s="86">
        <f>C28</f>
        <v>3917738.3563414672</v>
      </c>
      <c r="E30" s="85"/>
    </row>
    <row r="31" spans="1:10" x14ac:dyDescent="0.25">
      <c r="A31" s="16" t="s">
        <v>104</v>
      </c>
      <c r="B31" s="75"/>
      <c r="C31" s="75"/>
      <c r="D31" s="77">
        <f>C5</f>
        <v>950000</v>
      </c>
      <c r="E31" s="75"/>
    </row>
    <row r="32" spans="1:10" x14ac:dyDescent="0.25">
      <c r="A32" s="28">
        <v>0.3</v>
      </c>
      <c r="B32" s="86">
        <f>G28</f>
        <v>2988646.0486515826</v>
      </c>
      <c r="C32" s="85"/>
      <c r="D32" s="85"/>
      <c r="E32" s="85"/>
    </row>
    <row r="33" spans="1:10" x14ac:dyDescent="0.25">
      <c r="A33" s="16"/>
      <c r="B33" s="77">
        <f>B30-B32</f>
        <v>929092.30768988468</v>
      </c>
      <c r="C33" s="75"/>
      <c r="D33" s="77">
        <f>D30-D31</f>
        <v>2967738.3563414672</v>
      </c>
      <c r="E33" s="75"/>
    </row>
    <row r="34" spans="1:10" ht="15.75" x14ac:dyDescent="0.3">
      <c r="A34" s="17" t="s">
        <v>99</v>
      </c>
      <c r="B34" s="105">
        <f>(D33/B33)*(A32-A30)+A30</f>
        <v>0.51942341269841275</v>
      </c>
      <c r="C34" s="85"/>
      <c r="D34" s="85"/>
      <c r="E34" s="85"/>
    </row>
    <row r="35" spans="1:10" ht="15.75" x14ac:dyDescent="0.3">
      <c r="A35" s="24"/>
      <c r="B35" s="57" t="s">
        <v>105</v>
      </c>
      <c r="C35" s="57"/>
      <c r="D35" s="57"/>
      <c r="E35" s="57"/>
    </row>
    <row r="37" spans="1:10" ht="15.75" x14ac:dyDescent="0.3">
      <c r="A37" s="51" t="s">
        <v>106</v>
      </c>
      <c r="B37" s="51"/>
      <c r="C37" s="51"/>
      <c r="D37" s="51"/>
      <c r="E37" s="51"/>
      <c r="F37" s="51"/>
      <c r="G37" s="51"/>
      <c r="H37" s="51"/>
      <c r="I37" s="51"/>
      <c r="J37" s="51"/>
    </row>
    <row r="39" spans="1:10" x14ac:dyDescent="0.25">
      <c r="A39" s="20" t="s">
        <v>86</v>
      </c>
      <c r="B39" s="20">
        <v>1</v>
      </c>
      <c r="C39" s="20">
        <v>2</v>
      </c>
      <c r="D39" s="20">
        <v>3</v>
      </c>
      <c r="E39" s="20">
        <v>4</v>
      </c>
      <c r="F39" s="20">
        <v>5</v>
      </c>
    </row>
    <row r="40" spans="1:10" x14ac:dyDescent="0.25">
      <c r="A40" s="24" t="s">
        <v>107</v>
      </c>
      <c r="B40" s="25">
        <f>B8</f>
        <v>426605.52392652113</v>
      </c>
      <c r="C40" s="25">
        <f>B9</f>
        <v>937085.52392652119</v>
      </c>
      <c r="D40" s="40">
        <f>B10</f>
        <v>1478545.5239265212</v>
      </c>
      <c r="E40" s="25">
        <f>B11</f>
        <v>2050985.5239265212</v>
      </c>
      <c r="F40" s="25">
        <f>B12</f>
        <v>2654405.5239265212</v>
      </c>
    </row>
    <row r="41" spans="1:10" ht="15.75" x14ac:dyDescent="0.3">
      <c r="A41" s="31" t="s">
        <v>96</v>
      </c>
      <c r="B41" s="32">
        <f>B40</f>
        <v>426605.52392652113</v>
      </c>
      <c r="C41" s="32">
        <f>B41+C40</f>
        <v>1363691.0478530424</v>
      </c>
      <c r="D41" s="41">
        <f>C41+D40</f>
        <v>2842236.5717795636</v>
      </c>
      <c r="E41" s="32">
        <f>D41+E40</f>
        <v>4893222.0957060847</v>
      </c>
      <c r="F41" s="31"/>
    </row>
    <row r="43" spans="1:10" x14ac:dyDescent="0.25">
      <c r="B43" s="20" t="s">
        <v>108</v>
      </c>
      <c r="C43" s="85" t="s">
        <v>131</v>
      </c>
      <c r="D43" s="85"/>
      <c r="E43" s="14">
        <f>C41-C5</f>
        <v>413691.04785304237</v>
      </c>
    </row>
    <row r="44" spans="1:10" x14ac:dyDescent="0.25">
      <c r="B44" s="24"/>
      <c r="C44" s="29">
        <f>1+((E43)/C40)</f>
        <v>1.4414656264452983</v>
      </c>
      <c r="D44" s="29" t="s">
        <v>109</v>
      </c>
      <c r="E44" s="42">
        <f>E43/C40</f>
        <v>0.44146562644529841</v>
      </c>
    </row>
    <row r="45" spans="1:10" x14ac:dyDescent="0.25">
      <c r="B45" s="20"/>
      <c r="C45" s="18" t="s">
        <v>127</v>
      </c>
      <c r="D45" s="18">
        <f>0.4*12</f>
        <v>4.8000000000000007</v>
      </c>
    </row>
    <row r="46" spans="1:10" x14ac:dyDescent="0.25">
      <c r="B46" s="24"/>
      <c r="C46" s="16" t="s">
        <v>128</v>
      </c>
      <c r="D46" s="16">
        <f>0.8*30</f>
        <v>24</v>
      </c>
    </row>
    <row r="47" spans="1:10" ht="15.75" x14ac:dyDescent="0.3">
      <c r="A47" s="30" t="s">
        <v>110</v>
      </c>
      <c r="B47" s="104" t="s">
        <v>129</v>
      </c>
      <c r="C47" s="104"/>
      <c r="D47" s="104"/>
    </row>
    <row r="48" spans="1:10" ht="15.75" x14ac:dyDescent="0.3">
      <c r="A48" s="104" t="s">
        <v>98</v>
      </c>
      <c r="B48" s="104"/>
      <c r="C48" s="104"/>
      <c r="D48" s="104"/>
    </row>
    <row r="50" spans="1:10" ht="15.75" x14ac:dyDescent="0.3">
      <c r="A50" s="51" t="s">
        <v>111</v>
      </c>
      <c r="B50" s="51"/>
      <c r="C50" s="51"/>
      <c r="D50" s="51"/>
      <c r="E50" s="51"/>
      <c r="F50" s="51"/>
      <c r="G50" s="51"/>
      <c r="H50" s="51"/>
      <c r="I50" s="51"/>
      <c r="J50" s="51"/>
    </row>
    <row r="52" spans="1:10" x14ac:dyDescent="0.25">
      <c r="A52" s="20" t="s">
        <v>86</v>
      </c>
      <c r="B52" s="20">
        <v>1</v>
      </c>
      <c r="C52" s="20">
        <v>2</v>
      </c>
      <c r="D52" s="20">
        <v>3</v>
      </c>
      <c r="E52" s="20">
        <v>4</v>
      </c>
      <c r="F52" s="20">
        <v>5</v>
      </c>
    </row>
    <row r="53" spans="1:10" x14ac:dyDescent="0.25">
      <c r="A53" s="24" t="s">
        <v>107</v>
      </c>
      <c r="B53" s="25">
        <f>FNE!I4</f>
        <v>426605.52392652113</v>
      </c>
      <c r="C53" s="25">
        <f>FNE!I5</f>
        <v>937085.52392652119</v>
      </c>
      <c r="D53" s="25">
        <f>FNE!I6</f>
        <v>1478545.5239265212</v>
      </c>
      <c r="E53" s="25">
        <f>FNE!I7</f>
        <v>2050985.5239265212</v>
      </c>
      <c r="F53" s="25">
        <f>FNE!I8</f>
        <v>2654405.5239265212</v>
      </c>
    </row>
    <row r="54" spans="1:10" x14ac:dyDescent="0.25">
      <c r="A54" s="20" t="s">
        <v>97</v>
      </c>
      <c r="B54" s="27">
        <f>B53/(1+B4)^1</f>
        <v>341284.4191412169</v>
      </c>
      <c r="C54" s="27">
        <f>C53/(1+B4)^2</f>
        <v>599734.73531297361</v>
      </c>
      <c r="D54" s="27">
        <f>D53/(1+B4)^3</f>
        <v>757015.30825037882</v>
      </c>
      <c r="E54" s="27">
        <f>E53/(1+B4)^4</f>
        <v>840083.6706003031</v>
      </c>
      <c r="F54" s="27">
        <f>F53/(1+B4)^5</f>
        <v>869795.60208024248</v>
      </c>
    </row>
    <row r="55" spans="1:10" ht="15.75" x14ac:dyDescent="0.3">
      <c r="A55" s="33" t="s">
        <v>112</v>
      </c>
      <c r="B55" s="26">
        <f>B54</f>
        <v>341284.4191412169</v>
      </c>
      <c r="C55" s="26">
        <f>B55+C54</f>
        <v>941019.15445419052</v>
      </c>
      <c r="D55" s="26">
        <f>C55+D54</f>
        <v>1698034.4627045693</v>
      </c>
      <c r="E55" s="26">
        <f>D55+E54</f>
        <v>2538118.1333048726</v>
      </c>
      <c r="F55" s="26">
        <f>E55+F54</f>
        <v>3407913.7353851153</v>
      </c>
    </row>
    <row r="57" spans="1:10" x14ac:dyDescent="0.25">
      <c r="A57" s="20" t="s">
        <v>113</v>
      </c>
      <c r="B57" s="85" t="s">
        <v>132</v>
      </c>
      <c r="C57" s="85"/>
      <c r="D57" s="14">
        <f>D55-C5</f>
        <v>748034.46270456933</v>
      </c>
    </row>
    <row r="58" spans="1:10" x14ac:dyDescent="0.25">
      <c r="A58" s="24"/>
      <c r="B58" s="36">
        <f>2+(D57/D55)</f>
        <v>2.4405296118154909</v>
      </c>
      <c r="C58" s="24" t="s">
        <v>109</v>
      </c>
    </row>
    <row r="59" spans="1:10" x14ac:dyDescent="0.25">
      <c r="A59" s="20"/>
      <c r="B59" s="18" t="s">
        <v>127</v>
      </c>
      <c r="C59" s="18">
        <f>0.4*12</f>
        <v>4.8000000000000007</v>
      </c>
    </row>
    <row r="60" spans="1:10" x14ac:dyDescent="0.25">
      <c r="A60" s="24"/>
      <c r="B60" s="16" t="s">
        <v>128</v>
      </c>
      <c r="C60" s="16">
        <f>0.8*30</f>
        <v>24</v>
      </c>
    </row>
    <row r="61" spans="1:10" ht="15.75" x14ac:dyDescent="0.3">
      <c r="A61" s="30" t="s">
        <v>113</v>
      </c>
      <c r="B61" s="104" t="s">
        <v>130</v>
      </c>
      <c r="C61" s="104"/>
    </row>
    <row r="62" spans="1:10" ht="15.75" x14ac:dyDescent="0.3">
      <c r="A62" s="104" t="s">
        <v>98</v>
      </c>
      <c r="B62" s="104"/>
      <c r="C62" s="104"/>
    </row>
    <row r="64" spans="1:10" ht="15.75" x14ac:dyDescent="0.3">
      <c r="A64" s="51" t="s">
        <v>114</v>
      </c>
      <c r="B64" s="51"/>
      <c r="C64" s="51"/>
      <c r="D64" s="51"/>
      <c r="E64" s="51"/>
      <c r="F64" s="51"/>
      <c r="G64" s="51"/>
      <c r="H64" s="51"/>
      <c r="I64" s="51"/>
      <c r="J64" s="51"/>
    </row>
    <row r="65" spans="1:10" x14ac:dyDescent="0.25">
      <c r="A65" s="1"/>
      <c r="B65" s="1"/>
      <c r="C65" s="1"/>
      <c r="D65" s="1"/>
      <c r="E65" s="1"/>
      <c r="F65" s="1"/>
      <c r="G65" s="1"/>
      <c r="H65" s="1"/>
      <c r="I65" s="1"/>
    </row>
    <row r="67" spans="1:10" x14ac:dyDescent="0.25">
      <c r="D67" s="20" t="s">
        <v>115</v>
      </c>
      <c r="E67" s="86">
        <f>SUM(FNE!I4:J8)</f>
        <v>7547627.6196326055</v>
      </c>
      <c r="F67" s="86"/>
    </row>
    <row r="68" spans="1:10" x14ac:dyDescent="0.25">
      <c r="D68" s="24" t="s">
        <v>116</v>
      </c>
      <c r="E68" s="24">
        <v>5</v>
      </c>
      <c r="F68" s="24" t="s">
        <v>109</v>
      </c>
    </row>
    <row r="69" spans="1:10" x14ac:dyDescent="0.25">
      <c r="D69" s="20" t="s">
        <v>117</v>
      </c>
      <c r="E69" s="86">
        <f>C5</f>
        <v>950000</v>
      </c>
      <c r="F69" s="85"/>
    </row>
    <row r="72" spans="1:10" x14ac:dyDescent="0.25">
      <c r="C72" s="18" t="s">
        <v>118</v>
      </c>
      <c r="D72" s="37">
        <f>((E67/E68)/E69)</f>
        <v>1.5889742357121275</v>
      </c>
    </row>
    <row r="73" spans="1:10" x14ac:dyDescent="0.25">
      <c r="C73" s="16" t="s">
        <v>95</v>
      </c>
      <c r="D73" s="23">
        <v>0.25</v>
      </c>
    </row>
    <row r="75" spans="1:10" ht="15.75" x14ac:dyDescent="0.3">
      <c r="C75" s="34" t="s">
        <v>119</v>
      </c>
      <c r="D75" s="34" t="s">
        <v>98</v>
      </c>
    </row>
    <row r="77" spans="1:10" ht="15.75" x14ac:dyDescent="0.3">
      <c r="A77" s="51" t="s">
        <v>120</v>
      </c>
      <c r="B77" s="51"/>
      <c r="C77" s="51"/>
      <c r="D77" s="51"/>
      <c r="E77" s="51"/>
      <c r="F77" s="51"/>
      <c r="G77" s="51"/>
      <c r="H77" s="51"/>
      <c r="I77" s="51"/>
      <c r="J77" s="51"/>
    </row>
    <row r="79" spans="1:10" x14ac:dyDescent="0.25">
      <c r="E79" s="20" t="s">
        <v>121</v>
      </c>
      <c r="F79" s="27">
        <f>B54+C54+D54+E54+F54</f>
        <v>3407913.7353851153</v>
      </c>
    </row>
    <row r="80" spans="1:10" x14ac:dyDescent="0.25">
      <c r="E80" s="38" t="s">
        <v>122</v>
      </c>
      <c r="F80" s="25">
        <f>C5</f>
        <v>950000</v>
      </c>
    </row>
    <row r="82" spans="1:9" x14ac:dyDescent="0.25">
      <c r="D82" s="35" t="s">
        <v>123</v>
      </c>
      <c r="E82" s="39">
        <f>F79/F80</f>
        <v>3.5872776161948581</v>
      </c>
    </row>
    <row r="83" spans="1:9" ht="15.75" x14ac:dyDescent="0.3">
      <c r="D83" s="104" t="s">
        <v>124</v>
      </c>
      <c r="E83" s="104"/>
    </row>
    <row r="85" spans="1:9" x14ac:dyDescent="0.25">
      <c r="A85"/>
      <c r="B85"/>
      <c r="C85"/>
      <c r="D85"/>
      <c r="E85"/>
      <c r="F85"/>
      <c r="G85"/>
      <c r="H85"/>
      <c r="I85"/>
    </row>
    <row r="86" spans="1:9" x14ac:dyDescent="0.25">
      <c r="A86"/>
      <c r="B86"/>
      <c r="C86"/>
      <c r="D86"/>
      <c r="E86"/>
      <c r="F86"/>
      <c r="G86"/>
      <c r="H86"/>
      <c r="I86"/>
    </row>
    <row r="87" spans="1:9" x14ac:dyDescent="0.25">
      <c r="A87"/>
      <c r="B87"/>
      <c r="C87"/>
      <c r="D87"/>
      <c r="E87"/>
      <c r="F87"/>
      <c r="G87"/>
      <c r="H87"/>
      <c r="I87"/>
    </row>
    <row r="88" spans="1:9" x14ac:dyDescent="0.25">
      <c r="A88"/>
      <c r="B88"/>
      <c r="C88"/>
      <c r="D88"/>
      <c r="E88"/>
      <c r="F88"/>
      <c r="G88"/>
      <c r="H88"/>
      <c r="I88"/>
    </row>
    <row r="89" spans="1:9" x14ac:dyDescent="0.25">
      <c r="A89"/>
      <c r="B89"/>
      <c r="C89"/>
      <c r="D89"/>
      <c r="E89"/>
      <c r="F89"/>
      <c r="G89"/>
      <c r="H89"/>
      <c r="I89"/>
    </row>
    <row r="90" spans="1:9" x14ac:dyDescent="0.25">
      <c r="A90"/>
      <c r="B90"/>
      <c r="C90"/>
      <c r="D90"/>
      <c r="E90"/>
      <c r="F90"/>
      <c r="G90"/>
      <c r="H90"/>
      <c r="I90"/>
    </row>
    <row r="91" spans="1:9" x14ac:dyDescent="0.25">
      <c r="A91"/>
      <c r="B91"/>
      <c r="C91"/>
      <c r="D91"/>
      <c r="E91"/>
      <c r="F91"/>
      <c r="G91"/>
      <c r="H91"/>
      <c r="I91"/>
    </row>
    <row r="92" spans="1:9" x14ac:dyDescent="0.25">
      <c r="A92"/>
      <c r="B92"/>
      <c r="C92"/>
      <c r="D92"/>
      <c r="E92"/>
      <c r="F92"/>
      <c r="G92"/>
      <c r="H92"/>
      <c r="I92"/>
    </row>
    <row r="93" spans="1:9" x14ac:dyDescent="0.25">
      <c r="A93"/>
      <c r="B93"/>
      <c r="C93"/>
      <c r="D93"/>
      <c r="E93"/>
      <c r="F93"/>
      <c r="G93"/>
      <c r="H93"/>
      <c r="I93"/>
    </row>
    <row r="94" spans="1:9" x14ac:dyDescent="0.25">
      <c r="A94"/>
      <c r="B94"/>
      <c r="C94"/>
      <c r="D94"/>
      <c r="E94"/>
      <c r="F94"/>
      <c r="G94"/>
      <c r="H94"/>
      <c r="I94"/>
    </row>
    <row r="95" spans="1:9" x14ac:dyDescent="0.25">
      <c r="A95"/>
      <c r="B95"/>
      <c r="C95"/>
      <c r="D95"/>
      <c r="E95"/>
      <c r="F95"/>
      <c r="G95"/>
      <c r="H95"/>
      <c r="I95"/>
    </row>
  </sheetData>
  <mergeCells count="62">
    <mergeCell ref="A1:J1"/>
    <mergeCell ref="A3:J3"/>
    <mergeCell ref="A5:B5"/>
    <mergeCell ref="B7:C7"/>
    <mergeCell ref="B8:C8"/>
    <mergeCell ref="B14:C14"/>
    <mergeCell ref="A15:C15"/>
    <mergeCell ref="A17:J17"/>
    <mergeCell ref="B4:C4"/>
    <mergeCell ref="A18:B18"/>
    <mergeCell ref="B9:C9"/>
    <mergeCell ref="B10:C10"/>
    <mergeCell ref="B11:C11"/>
    <mergeCell ref="B12:C12"/>
    <mergeCell ref="B13:C13"/>
    <mergeCell ref="A19:B19"/>
    <mergeCell ref="A21:C21"/>
    <mergeCell ref="A22:B22"/>
    <mergeCell ref="A23:B23"/>
    <mergeCell ref="A24:B24"/>
    <mergeCell ref="E21:H21"/>
    <mergeCell ref="E22:F22"/>
    <mergeCell ref="G22:H22"/>
    <mergeCell ref="E23:F23"/>
    <mergeCell ref="E24:F24"/>
    <mergeCell ref="G24:H24"/>
    <mergeCell ref="G23:H23"/>
    <mergeCell ref="G28:H28"/>
    <mergeCell ref="G27:H27"/>
    <mergeCell ref="G26:H26"/>
    <mergeCell ref="G25:H25"/>
    <mergeCell ref="B31:C31"/>
    <mergeCell ref="D31:E31"/>
    <mergeCell ref="A25:B25"/>
    <mergeCell ref="A26:B26"/>
    <mergeCell ref="B30:C30"/>
    <mergeCell ref="D30:E30"/>
    <mergeCell ref="A27:B27"/>
    <mergeCell ref="A28:B28"/>
    <mergeCell ref="E25:F25"/>
    <mergeCell ref="E26:F26"/>
    <mergeCell ref="E27:F27"/>
    <mergeCell ref="E28:F28"/>
    <mergeCell ref="B32:C32"/>
    <mergeCell ref="D32:E32"/>
    <mergeCell ref="B33:C33"/>
    <mergeCell ref="D33:E33"/>
    <mergeCell ref="B34:E34"/>
    <mergeCell ref="B35:E35"/>
    <mergeCell ref="A37:J37"/>
    <mergeCell ref="A48:D48"/>
    <mergeCell ref="A64:J64"/>
    <mergeCell ref="C43:D43"/>
    <mergeCell ref="B47:D47"/>
    <mergeCell ref="A50:J50"/>
    <mergeCell ref="E67:F67"/>
    <mergeCell ref="E69:F69"/>
    <mergeCell ref="A77:J77"/>
    <mergeCell ref="D83:E83"/>
    <mergeCell ref="B57:C57"/>
    <mergeCell ref="B61:C61"/>
    <mergeCell ref="A62:C6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55DD5-B4CD-4EFF-BD25-FAD042994AB3}">
  <dimension ref="A1:N61"/>
  <sheetViews>
    <sheetView showGridLines="0" workbookViewId="0">
      <selection activeCell="G63" sqref="G63"/>
    </sheetView>
  </sheetViews>
  <sheetFormatPr baseColWidth="10" defaultRowHeight="15" x14ac:dyDescent="0.25"/>
  <cols>
    <col min="1" max="16384" width="11.42578125" style="3"/>
  </cols>
  <sheetData>
    <row r="1" spans="1:14" ht="19.5" x14ac:dyDescent="0.35">
      <c r="A1" s="50" t="s">
        <v>133</v>
      </c>
      <c r="B1" s="50"/>
      <c r="C1" s="50"/>
      <c r="D1" s="50"/>
      <c r="E1" s="50"/>
      <c r="F1" s="50"/>
      <c r="G1" s="50"/>
      <c r="H1" s="50"/>
      <c r="I1" s="50"/>
      <c r="J1" s="50"/>
      <c r="K1" s="50"/>
      <c r="L1" s="50"/>
      <c r="M1" s="50"/>
      <c r="N1" s="50"/>
    </row>
    <row r="3" spans="1:14" ht="15.75" x14ac:dyDescent="0.3">
      <c r="A3" s="51" t="s">
        <v>134</v>
      </c>
      <c r="B3" s="51"/>
      <c r="C3" s="51"/>
      <c r="D3" s="51"/>
      <c r="E3" s="51"/>
      <c r="F3" s="51"/>
      <c r="G3" s="51"/>
      <c r="H3" s="51"/>
      <c r="I3" s="51"/>
      <c r="J3" s="51"/>
      <c r="K3" s="51"/>
      <c r="L3" s="51"/>
      <c r="M3" s="51"/>
      <c r="N3" s="51"/>
    </row>
    <row r="4" spans="1:14" ht="15" customHeight="1" x14ac:dyDescent="0.25">
      <c r="A4" s="47" t="s">
        <v>135</v>
      </c>
      <c r="B4" s="47"/>
      <c r="C4" s="47"/>
      <c r="D4" s="47"/>
      <c r="E4" s="47"/>
      <c r="F4" s="47"/>
      <c r="G4" s="47"/>
      <c r="H4" s="47"/>
      <c r="I4" s="47"/>
      <c r="J4" s="47"/>
      <c r="K4" s="47"/>
      <c r="L4" s="47"/>
      <c r="M4" s="47"/>
      <c r="N4" s="47"/>
    </row>
    <row r="5" spans="1:14" x14ac:dyDescent="0.25">
      <c r="A5" s="47"/>
      <c r="B5" s="47"/>
      <c r="C5" s="47"/>
      <c r="D5" s="47"/>
      <c r="E5" s="47"/>
      <c r="F5" s="47"/>
      <c r="G5" s="47"/>
      <c r="H5" s="47"/>
      <c r="I5" s="47"/>
      <c r="J5" s="47"/>
      <c r="K5" s="47"/>
      <c r="L5" s="47"/>
      <c r="M5" s="47"/>
      <c r="N5" s="47"/>
    </row>
    <row r="6" spans="1:14" x14ac:dyDescent="0.25">
      <c r="A6" s="47"/>
      <c r="B6" s="47"/>
      <c r="C6" s="47"/>
      <c r="D6" s="47"/>
      <c r="E6" s="47"/>
      <c r="F6" s="47"/>
      <c r="G6" s="47"/>
      <c r="H6" s="47"/>
      <c r="I6" s="47"/>
      <c r="J6" s="47"/>
      <c r="K6" s="47"/>
      <c r="L6" s="47"/>
      <c r="M6" s="47"/>
      <c r="N6" s="47"/>
    </row>
    <row r="7" spans="1:14" x14ac:dyDescent="0.25">
      <c r="A7" s="47"/>
      <c r="B7" s="47"/>
      <c r="C7" s="47"/>
      <c r="D7" s="47"/>
      <c r="E7" s="47"/>
      <c r="F7" s="47"/>
      <c r="G7" s="47"/>
      <c r="H7" s="47"/>
      <c r="I7" s="47"/>
      <c r="J7" s="47"/>
      <c r="K7" s="47"/>
      <c r="L7" s="47"/>
      <c r="M7" s="47"/>
      <c r="N7" s="47"/>
    </row>
    <row r="8" spans="1:14" x14ac:dyDescent="0.25">
      <c r="A8" s="47"/>
      <c r="B8" s="47"/>
      <c r="C8" s="47"/>
      <c r="D8" s="47"/>
      <c r="E8" s="47"/>
      <c r="F8" s="47"/>
      <c r="G8" s="47"/>
      <c r="H8" s="47"/>
      <c r="I8" s="47"/>
      <c r="J8" s="47"/>
      <c r="K8" s="47"/>
      <c r="L8" s="47"/>
      <c r="M8" s="47"/>
      <c r="N8" s="47"/>
    </row>
    <row r="9" spans="1:14" x14ac:dyDescent="0.25">
      <c r="A9" s="47"/>
      <c r="B9" s="47"/>
      <c r="C9" s="47"/>
      <c r="D9" s="47"/>
      <c r="E9" s="47"/>
      <c r="F9" s="47"/>
      <c r="G9" s="47"/>
      <c r="H9" s="47"/>
      <c r="I9" s="47"/>
      <c r="J9" s="47"/>
      <c r="K9" s="47"/>
      <c r="L9" s="47"/>
      <c r="M9" s="47"/>
      <c r="N9" s="47"/>
    </row>
    <row r="10" spans="1:14" x14ac:dyDescent="0.25">
      <c r="A10" s="47"/>
      <c r="B10" s="47"/>
      <c r="C10" s="47"/>
      <c r="D10" s="47"/>
      <c r="E10" s="47"/>
      <c r="F10" s="47"/>
      <c r="G10" s="47"/>
      <c r="H10" s="47"/>
      <c r="I10" s="47"/>
      <c r="J10" s="47"/>
      <c r="K10" s="47"/>
      <c r="L10" s="47"/>
      <c r="M10" s="47"/>
      <c r="N10" s="47"/>
    </row>
    <row r="11" spans="1:14" x14ac:dyDescent="0.25">
      <c r="A11" s="47"/>
      <c r="B11" s="47"/>
      <c r="C11" s="47"/>
      <c r="D11" s="47"/>
      <c r="E11" s="47"/>
      <c r="F11" s="47"/>
      <c r="G11" s="47"/>
      <c r="H11" s="47"/>
      <c r="I11" s="47"/>
      <c r="J11" s="47"/>
      <c r="K11" s="47"/>
      <c r="L11" s="47"/>
      <c r="M11" s="47"/>
      <c r="N11" s="47"/>
    </row>
    <row r="12" spans="1:14" x14ac:dyDescent="0.25">
      <c r="A12" s="47"/>
      <c r="B12" s="47"/>
      <c r="C12" s="47"/>
      <c r="D12" s="47"/>
      <c r="E12" s="47"/>
      <c r="F12" s="47"/>
      <c r="G12" s="47"/>
      <c r="H12" s="47"/>
      <c r="I12" s="47"/>
      <c r="J12" s="47"/>
      <c r="K12" s="47"/>
      <c r="L12" s="47"/>
      <c r="M12" s="47"/>
      <c r="N12" s="47"/>
    </row>
    <row r="13" spans="1:14" x14ac:dyDescent="0.25">
      <c r="A13" s="47"/>
      <c r="B13" s="47"/>
      <c r="C13" s="47"/>
      <c r="D13" s="47"/>
      <c r="E13" s="47"/>
      <c r="F13" s="47"/>
      <c r="G13" s="47"/>
      <c r="H13" s="47"/>
      <c r="I13" s="47"/>
      <c r="J13" s="47"/>
      <c r="K13" s="47"/>
      <c r="L13" s="47"/>
      <c r="M13" s="47"/>
      <c r="N13" s="47"/>
    </row>
    <row r="14" spans="1:14" x14ac:dyDescent="0.25">
      <c r="A14" s="47"/>
      <c r="B14" s="47"/>
      <c r="C14" s="47"/>
      <c r="D14" s="47"/>
      <c r="E14" s="47"/>
      <c r="F14" s="47"/>
      <c r="G14" s="47"/>
      <c r="H14" s="47"/>
      <c r="I14" s="47"/>
      <c r="J14" s="47"/>
      <c r="K14" s="47"/>
      <c r="L14" s="47"/>
      <c r="M14" s="47"/>
      <c r="N14" s="47"/>
    </row>
    <row r="15" spans="1:14" x14ac:dyDescent="0.25">
      <c r="A15" s="47"/>
      <c r="B15" s="47"/>
      <c r="C15" s="47"/>
      <c r="D15" s="47"/>
      <c r="E15" s="47"/>
      <c r="F15" s="47"/>
      <c r="G15" s="47"/>
      <c r="H15" s="47"/>
      <c r="I15" s="47"/>
      <c r="J15" s="47"/>
      <c r="K15" s="47"/>
      <c r="L15" s="47"/>
      <c r="M15" s="47"/>
      <c r="N15" s="47"/>
    </row>
    <row r="16" spans="1:14" x14ac:dyDescent="0.25">
      <c r="A16" s="47"/>
      <c r="B16" s="47"/>
      <c r="C16" s="47"/>
      <c r="D16" s="47"/>
      <c r="E16" s="47"/>
      <c r="F16" s="47"/>
      <c r="G16" s="47"/>
      <c r="H16" s="47"/>
      <c r="I16" s="47"/>
      <c r="J16" s="47"/>
      <c r="K16" s="47"/>
      <c r="L16" s="47"/>
      <c r="M16" s="47"/>
      <c r="N16" s="47"/>
    </row>
    <row r="17" spans="1:14" x14ac:dyDescent="0.25">
      <c r="A17" s="47"/>
      <c r="B17" s="47"/>
      <c r="C17" s="47"/>
      <c r="D17" s="47"/>
      <c r="E17" s="47"/>
      <c r="F17" s="47"/>
      <c r="G17" s="47"/>
      <c r="H17" s="47"/>
      <c r="I17" s="47"/>
      <c r="J17" s="47"/>
      <c r="K17" s="47"/>
      <c r="L17" s="47"/>
      <c r="M17" s="47"/>
      <c r="N17" s="47"/>
    </row>
    <row r="18" spans="1:14" x14ac:dyDescent="0.25">
      <c r="A18" s="47"/>
      <c r="B18" s="47"/>
      <c r="C18" s="47"/>
      <c r="D18" s="47"/>
      <c r="E18" s="47"/>
      <c r="F18" s="47"/>
      <c r="G18" s="47"/>
      <c r="H18" s="47"/>
      <c r="I18" s="47"/>
      <c r="J18" s="47"/>
      <c r="K18" s="47"/>
      <c r="L18" s="47"/>
      <c r="M18" s="47"/>
      <c r="N18" s="47"/>
    </row>
    <row r="19" spans="1:14" x14ac:dyDescent="0.25">
      <c r="A19" s="47"/>
      <c r="B19" s="47"/>
      <c r="C19" s="47"/>
      <c r="D19" s="47"/>
      <c r="E19" s="47"/>
      <c r="F19" s="47"/>
      <c r="G19" s="47"/>
      <c r="H19" s="47"/>
      <c r="I19" s="47"/>
      <c r="J19" s="47"/>
      <c r="K19" s="47"/>
      <c r="L19" s="47"/>
      <c r="M19" s="47"/>
      <c r="N19" s="47"/>
    </row>
    <row r="20" spans="1:14" x14ac:dyDescent="0.25">
      <c r="A20" s="47"/>
      <c r="B20" s="47"/>
      <c r="C20" s="47"/>
      <c r="D20" s="47"/>
      <c r="E20" s="47"/>
      <c r="F20" s="47"/>
      <c r="G20" s="47"/>
      <c r="H20" s="47"/>
      <c r="I20" s="47"/>
      <c r="J20" s="47"/>
      <c r="K20" s="47"/>
      <c r="L20" s="47"/>
      <c r="M20" s="47"/>
      <c r="N20" s="47"/>
    </row>
    <row r="21" spans="1:14" x14ac:dyDescent="0.25">
      <c r="A21" s="47"/>
      <c r="B21" s="47"/>
      <c r="C21" s="47"/>
      <c r="D21" s="47"/>
      <c r="E21" s="47"/>
      <c r="F21" s="47"/>
      <c r="G21" s="47"/>
      <c r="H21" s="47"/>
      <c r="I21" s="47"/>
      <c r="J21" s="47"/>
      <c r="K21" s="47"/>
      <c r="L21" s="47"/>
      <c r="M21" s="47"/>
      <c r="N21" s="47"/>
    </row>
    <row r="22" spans="1:14" x14ac:dyDescent="0.25">
      <c r="A22" s="47"/>
      <c r="B22" s="47"/>
      <c r="C22" s="47"/>
      <c r="D22" s="47"/>
      <c r="E22" s="47"/>
      <c r="F22" s="47"/>
      <c r="G22" s="47"/>
      <c r="H22" s="47"/>
      <c r="I22" s="47"/>
      <c r="J22" s="47"/>
      <c r="K22" s="47"/>
      <c r="L22" s="47"/>
      <c r="M22" s="47"/>
      <c r="N22" s="47"/>
    </row>
    <row r="23" spans="1:14" x14ac:dyDescent="0.25">
      <c r="A23" s="47"/>
      <c r="B23" s="47"/>
      <c r="C23" s="47"/>
      <c r="D23" s="47"/>
      <c r="E23" s="47"/>
      <c r="F23" s="47"/>
      <c r="G23" s="47"/>
      <c r="H23" s="47"/>
      <c r="I23" s="47"/>
      <c r="J23" s="47"/>
      <c r="K23" s="47"/>
      <c r="L23" s="47"/>
      <c r="M23" s="47"/>
      <c r="N23" s="47"/>
    </row>
    <row r="24" spans="1:14" x14ac:dyDescent="0.25">
      <c r="A24" s="47"/>
      <c r="B24" s="47"/>
      <c r="C24" s="47"/>
      <c r="D24" s="47"/>
      <c r="E24" s="47"/>
      <c r="F24" s="47"/>
      <c r="G24" s="47"/>
      <c r="H24" s="47"/>
      <c r="I24" s="47"/>
      <c r="J24" s="47"/>
      <c r="K24" s="47"/>
      <c r="L24" s="47"/>
      <c r="M24" s="47"/>
      <c r="N24" s="47"/>
    </row>
    <row r="25" spans="1:14" x14ac:dyDescent="0.25">
      <c r="A25" s="47"/>
      <c r="B25" s="47"/>
      <c r="C25" s="47"/>
      <c r="D25" s="47"/>
      <c r="E25" s="47"/>
      <c r="F25" s="47"/>
      <c r="G25" s="47"/>
      <c r="H25" s="47"/>
      <c r="I25" s="47"/>
      <c r="J25" s="47"/>
      <c r="K25" s="47"/>
      <c r="L25" s="47"/>
      <c r="M25" s="47"/>
      <c r="N25" s="47"/>
    </row>
    <row r="26" spans="1:14" x14ac:dyDescent="0.25">
      <c r="A26" s="47"/>
      <c r="B26" s="47"/>
      <c r="C26" s="47"/>
      <c r="D26" s="47"/>
      <c r="E26" s="47"/>
      <c r="F26" s="47"/>
      <c r="G26" s="47"/>
      <c r="H26" s="47"/>
      <c r="I26" s="47"/>
      <c r="J26" s="47"/>
      <c r="K26" s="47"/>
      <c r="L26" s="47"/>
      <c r="M26" s="47"/>
      <c r="N26" s="47"/>
    </row>
    <row r="27" spans="1:14" x14ac:dyDescent="0.25">
      <c r="A27" s="47"/>
      <c r="B27" s="47"/>
      <c r="C27" s="47"/>
      <c r="D27" s="47"/>
      <c r="E27" s="47"/>
      <c r="F27" s="47"/>
      <c r="G27" s="47"/>
      <c r="H27" s="47"/>
      <c r="I27" s="47"/>
      <c r="J27" s="47"/>
      <c r="K27" s="47"/>
      <c r="L27" s="47"/>
      <c r="M27" s="47"/>
      <c r="N27" s="47"/>
    </row>
    <row r="28" spans="1:14" x14ac:dyDescent="0.25">
      <c r="A28" s="47"/>
      <c r="B28" s="47"/>
      <c r="C28" s="47"/>
      <c r="D28" s="47"/>
      <c r="E28" s="47"/>
      <c r="F28" s="47"/>
      <c r="G28" s="47"/>
      <c r="H28" s="47"/>
      <c r="I28" s="47"/>
      <c r="J28" s="47"/>
      <c r="K28" s="47"/>
      <c r="L28" s="47"/>
      <c r="M28" s="47"/>
      <c r="N28" s="47"/>
    </row>
    <row r="29" spans="1:14" x14ac:dyDescent="0.25">
      <c r="A29" s="47"/>
      <c r="B29" s="47"/>
      <c r="C29" s="47"/>
      <c r="D29" s="47"/>
      <c r="E29" s="47"/>
      <c r="F29" s="47"/>
      <c r="G29" s="47"/>
      <c r="H29" s="47"/>
      <c r="I29" s="47"/>
      <c r="J29" s="47"/>
      <c r="K29" s="47"/>
      <c r="L29" s="47"/>
      <c r="M29" s="47"/>
      <c r="N29" s="47"/>
    </row>
    <row r="30" spans="1:14" x14ac:dyDescent="0.25">
      <c r="A30" s="47"/>
      <c r="B30" s="47"/>
      <c r="C30" s="47"/>
      <c r="D30" s="47"/>
      <c r="E30" s="47"/>
      <c r="F30" s="47"/>
      <c r="G30" s="47"/>
      <c r="H30" s="47"/>
      <c r="I30" s="47"/>
      <c r="J30" s="47"/>
      <c r="K30" s="47"/>
      <c r="L30" s="47"/>
      <c r="M30" s="47"/>
      <c r="N30" s="47"/>
    </row>
    <row r="31" spans="1:14" x14ac:dyDescent="0.25">
      <c r="A31" s="47"/>
      <c r="B31" s="47"/>
      <c r="C31" s="47"/>
      <c r="D31" s="47"/>
      <c r="E31" s="47"/>
      <c r="F31" s="47"/>
      <c r="G31" s="47"/>
      <c r="H31" s="47"/>
      <c r="I31" s="47"/>
      <c r="J31" s="47"/>
      <c r="K31" s="47"/>
      <c r="L31" s="47"/>
      <c r="M31" s="47"/>
      <c r="N31" s="47"/>
    </row>
    <row r="32" spans="1:14" x14ac:dyDescent="0.25">
      <c r="A32" s="43"/>
      <c r="B32" s="43"/>
      <c r="C32" s="43"/>
      <c r="D32" s="43"/>
      <c r="E32" s="43"/>
      <c r="F32" s="43"/>
      <c r="G32" s="43"/>
      <c r="H32" s="43"/>
      <c r="I32" s="43"/>
      <c r="J32" s="43"/>
      <c r="K32" s="43"/>
      <c r="L32" s="43"/>
      <c r="M32" s="43"/>
      <c r="N32" s="43"/>
    </row>
    <row r="33" spans="1:14" ht="15.75" x14ac:dyDescent="0.25">
      <c r="A33" s="52" t="s">
        <v>136</v>
      </c>
      <c r="B33" s="52"/>
      <c r="C33" s="52"/>
      <c r="D33" s="52"/>
      <c r="E33" s="52"/>
      <c r="F33" s="52"/>
      <c r="G33" s="52"/>
      <c r="H33" s="52"/>
      <c r="I33" s="52"/>
      <c r="J33" s="52"/>
      <c r="K33" s="52"/>
      <c r="L33" s="52"/>
      <c r="M33" s="52"/>
      <c r="N33" s="52"/>
    </row>
    <row r="34" spans="1:14" ht="15" customHeight="1" x14ac:dyDescent="0.25">
      <c r="A34" s="47" t="s">
        <v>137</v>
      </c>
      <c r="B34" s="47"/>
      <c r="C34" s="47"/>
      <c r="D34" s="47"/>
      <c r="E34" s="47"/>
      <c r="F34" s="47"/>
      <c r="G34" s="47"/>
      <c r="H34" s="47"/>
      <c r="I34" s="47"/>
      <c r="J34" s="47"/>
      <c r="K34" s="47"/>
      <c r="L34" s="47"/>
      <c r="M34" s="47"/>
      <c r="N34" s="47"/>
    </row>
    <row r="35" spans="1:14" x14ac:dyDescent="0.25">
      <c r="A35" s="47"/>
      <c r="B35" s="47"/>
      <c r="C35" s="47"/>
      <c r="D35" s="47"/>
      <c r="E35" s="47"/>
      <c r="F35" s="47"/>
      <c r="G35" s="47"/>
      <c r="H35" s="47"/>
      <c r="I35" s="47"/>
      <c r="J35" s="47"/>
      <c r="K35" s="47"/>
      <c r="L35" s="47"/>
      <c r="M35" s="47"/>
      <c r="N35" s="47"/>
    </row>
    <row r="36" spans="1:14" x14ac:dyDescent="0.25">
      <c r="A36" s="47"/>
      <c r="B36" s="47"/>
      <c r="C36" s="47"/>
      <c r="D36" s="47"/>
      <c r="E36" s="47"/>
      <c r="F36" s="47"/>
      <c r="G36" s="47"/>
      <c r="H36" s="47"/>
      <c r="I36" s="47"/>
      <c r="J36" s="47"/>
      <c r="K36" s="47"/>
      <c r="L36" s="47"/>
      <c r="M36" s="47"/>
      <c r="N36" s="47"/>
    </row>
    <row r="37" spans="1:14" x14ac:dyDescent="0.25">
      <c r="A37" s="47"/>
      <c r="B37" s="47"/>
      <c r="C37" s="47"/>
      <c r="D37" s="47"/>
      <c r="E37" s="47"/>
      <c r="F37" s="47"/>
      <c r="G37" s="47"/>
      <c r="H37" s="47"/>
      <c r="I37" s="47"/>
      <c r="J37" s="47"/>
      <c r="K37" s="47"/>
      <c r="L37" s="47"/>
      <c r="M37" s="47"/>
      <c r="N37" s="47"/>
    </row>
    <row r="38" spans="1:14" x14ac:dyDescent="0.25">
      <c r="A38" s="47"/>
      <c r="B38" s="47"/>
      <c r="C38" s="47"/>
      <c r="D38" s="47"/>
      <c r="E38" s="47"/>
      <c r="F38" s="47"/>
      <c r="G38" s="47"/>
      <c r="H38" s="47"/>
      <c r="I38" s="47"/>
      <c r="J38" s="47"/>
      <c r="K38" s="47"/>
      <c r="L38" s="47"/>
      <c r="M38" s="47"/>
      <c r="N38" s="47"/>
    </row>
    <row r="39" spans="1:14" x14ac:dyDescent="0.25">
      <c r="A39" s="47"/>
      <c r="B39" s="47"/>
      <c r="C39" s="47"/>
      <c r="D39" s="47"/>
      <c r="E39" s="47"/>
      <c r="F39" s="47"/>
      <c r="G39" s="47"/>
      <c r="H39" s="47"/>
      <c r="I39" s="47"/>
      <c r="J39" s="47"/>
      <c r="K39" s="47"/>
      <c r="L39" s="47"/>
      <c r="M39" s="47"/>
      <c r="N39" s="47"/>
    </row>
    <row r="40" spans="1:14" x14ac:dyDescent="0.25">
      <c r="A40" s="47"/>
      <c r="B40" s="47"/>
      <c r="C40" s="47"/>
      <c r="D40" s="47"/>
      <c r="E40" s="47"/>
      <c r="F40" s="47"/>
      <c r="G40" s="47"/>
      <c r="H40" s="47"/>
      <c r="I40" s="47"/>
      <c r="J40" s="47"/>
      <c r="K40" s="47"/>
      <c r="L40" s="47"/>
      <c r="M40" s="47"/>
      <c r="N40" s="47"/>
    </row>
    <row r="41" spans="1:14" x14ac:dyDescent="0.25">
      <c r="A41" s="47"/>
      <c r="B41" s="47"/>
      <c r="C41" s="47"/>
      <c r="D41" s="47"/>
      <c r="E41" s="47"/>
      <c r="F41" s="47"/>
      <c r="G41" s="47"/>
      <c r="H41" s="47"/>
      <c r="I41" s="47"/>
      <c r="J41" s="47"/>
      <c r="K41" s="47"/>
      <c r="L41" s="47"/>
      <c r="M41" s="47"/>
      <c r="N41" s="47"/>
    </row>
    <row r="42" spans="1:14" x14ac:dyDescent="0.25">
      <c r="A42" s="47"/>
      <c r="B42" s="47"/>
      <c r="C42" s="47"/>
      <c r="D42" s="47"/>
      <c r="E42" s="47"/>
      <c r="F42" s="47"/>
      <c r="G42" s="47"/>
      <c r="H42" s="47"/>
      <c r="I42" s="47"/>
      <c r="J42" s="47"/>
      <c r="K42" s="47"/>
      <c r="L42" s="47"/>
      <c r="M42" s="47"/>
      <c r="N42" s="47"/>
    </row>
    <row r="43" spans="1:14" x14ac:dyDescent="0.25">
      <c r="A43" s="47"/>
      <c r="B43" s="47"/>
      <c r="C43" s="47"/>
      <c r="D43" s="47"/>
      <c r="E43" s="47"/>
      <c r="F43" s="47"/>
      <c r="G43" s="47"/>
      <c r="H43" s="47"/>
      <c r="I43" s="47"/>
      <c r="J43" s="47"/>
      <c r="K43" s="47"/>
      <c r="L43" s="47"/>
      <c r="M43" s="47"/>
      <c r="N43" s="47"/>
    </row>
    <row r="44" spans="1:14" x14ac:dyDescent="0.25">
      <c r="A44" s="43"/>
      <c r="B44" s="43"/>
      <c r="C44" s="43"/>
      <c r="D44" s="43"/>
      <c r="E44" s="43"/>
      <c r="F44" s="43"/>
      <c r="G44" s="43"/>
      <c r="H44" s="43"/>
      <c r="I44" s="43"/>
      <c r="J44" s="43"/>
      <c r="K44" s="43"/>
      <c r="L44" s="43"/>
      <c r="M44" s="43"/>
      <c r="N44" s="43"/>
    </row>
    <row r="45" spans="1:14" ht="16.5" x14ac:dyDescent="0.3">
      <c r="A45" s="48" t="s">
        <v>138</v>
      </c>
      <c r="B45" s="48"/>
      <c r="C45" s="48"/>
      <c r="D45" s="48"/>
      <c r="E45" s="48"/>
      <c r="F45" s="48"/>
      <c r="G45" s="48"/>
      <c r="H45" s="48"/>
      <c r="I45" s="48"/>
      <c r="J45" s="48"/>
      <c r="K45" s="48"/>
      <c r="L45" s="48"/>
      <c r="M45" s="48"/>
      <c r="N45" s="48"/>
    </row>
    <row r="46" spans="1:14" ht="15" customHeight="1" x14ac:dyDescent="0.25">
      <c r="A46" s="49" t="s">
        <v>139</v>
      </c>
      <c r="B46" s="49"/>
      <c r="C46" s="49"/>
      <c r="D46" s="49"/>
      <c r="E46" s="49"/>
      <c r="F46" s="49"/>
      <c r="G46" s="49"/>
      <c r="H46" s="49"/>
      <c r="I46" s="49"/>
      <c r="J46" s="49"/>
      <c r="K46" s="49"/>
      <c r="L46" s="49"/>
      <c r="M46" s="49"/>
      <c r="N46" s="49"/>
    </row>
    <row r="47" spans="1:14" x14ac:dyDescent="0.25">
      <c r="A47" s="49"/>
      <c r="B47" s="49"/>
      <c r="C47" s="49"/>
      <c r="D47" s="49"/>
      <c r="E47" s="49"/>
      <c r="F47" s="49"/>
      <c r="G47" s="49"/>
      <c r="H47" s="49"/>
      <c r="I47" s="49"/>
      <c r="J47" s="49"/>
      <c r="K47" s="49"/>
      <c r="L47" s="49"/>
      <c r="M47" s="49"/>
      <c r="N47" s="49"/>
    </row>
    <row r="48" spans="1:14" x14ac:dyDescent="0.25">
      <c r="A48" s="49"/>
      <c r="B48" s="49"/>
      <c r="C48" s="49"/>
      <c r="D48" s="49"/>
      <c r="E48" s="49"/>
      <c r="F48" s="49"/>
      <c r="G48" s="49"/>
      <c r="H48" s="49"/>
      <c r="I48" s="49"/>
      <c r="J48" s="49"/>
      <c r="K48" s="49"/>
      <c r="L48" s="49"/>
      <c r="M48" s="49"/>
      <c r="N48" s="49"/>
    </row>
    <row r="49" spans="1:14" x14ac:dyDescent="0.25">
      <c r="A49" s="49"/>
      <c r="B49" s="49"/>
      <c r="C49" s="49"/>
      <c r="D49" s="49"/>
      <c r="E49" s="49"/>
      <c r="F49" s="49"/>
      <c r="G49" s="49"/>
      <c r="H49" s="49"/>
      <c r="I49" s="49"/>
      <c r="J49" s="49"/>
      <c r="K49" s="49"/>
      <c r="L49" s="49"/>
      <c r="M49" s="49"/>
      <c r="N49" s="49"/>
    </row>
    <row r="50" spans="1:14" x14ac:dyDescent="0.25">
      <c r="A50" s="44"/>
      <c r="B50" s="44"/>
      <c r="C50" s="44"/>
      <c r="D50" s="44"/>
      <c r="E50" s="44"/>
      <c r="F50" s="44"/>
      <c r="G50" s="44"/>
      <c r="H50" s="44"/>
      <c r="I50" s="44"/>
      <c r="J50" s="44"/>
      <c r="K50" s="44"/>
      <c r="L50" s="44"/>
      <c r="M50" s="44"/>
      <c r="N50" s="44"/>
    </row>
    <row r="51" spans="1:14" x14ac:dyDescent="0.25">
      <c r="A51"/>
      <c r="B51"/>
      <c r="C51"/>
      <c r="D51"/>
      <c r="E51"/>
      <c r="F51"/>
      <c r="G51"/>
      <c r="H51"/>
      <c r="I51"/>
      <c r="J51" s="44"/>
      <c r="K51" s="44"/>
      <c r="L51" s="44"/>
      <c r="M51" s="44"/>
      <c r="N51" s="44"/>
    </row>
    <row r="52" spans="1:14" x14ac:dyDescent="0.25">
      <c r="A52"/>
      <c r="B52"/>
      <c r="C52"/>
      <c r="D52"/>
      <c r="E52"/>
      <c r="F52"/>
      <c r="G52"/>
      <c r="H52"/>
      <c r="I52"/>
    </row>
    <row r="53" spans="1:14" x14ac:dyDescent="0.25">
      <c r="A53"/>
      <c r="B53"/>
      <c r="C53"/>
      <c r="D53"/>
      <c r="E53"/>
      <c r="F53"/>
      <c r="G53"/>
      <c r="H53"/>
      <c r="I53"/>
    </row>
    <row r="54" spans="1:14" x14ac:dyDescent="0.25">
      <c r="A54"/>
      <c r="B54"/>
      <c r="C54"/>
      <c r="D54"/>
      <c r="E54"/>
      <c r="F54"/>
      <c r="G54"/>
      <c r="H54"/>
      <c r="I54"/>
    </row>
    <row r="55" spans="1:14" x14ac:dyDescent="0.25">
      <c r="A55"/>
      <c r="B55"/>
      <c r="C55"/>
      <c r="D55"/>
      <c r="E55"/>
      <c r="F55"/>
      <c r="G55"/>
      <c r="H55"/>
      <c r="I55"/>
    </row>
    <row r="56" spans="1:14" x14ac:dyDescent="0.25">
      <c r="A56"/>
      <c r="B56"/>
      <c r="C56"/>
      <c r="D56"/>
      <c r="E56"/>
      <c r="F56"/>
      <c r="G56"/>
      <c r="H56"/>
      <c r="I56"/>
    </row>
    <row r="57" spans="1:14" x14ac:dyDescent="0.25">
      <c r="A57"/>
      <c r="B57"/>
      <c r="C57"/>
      <c r="D57"/>
      <c r="E57"/>
      <c r="F57"/>
      <c r="G57"/>
      <c r="H57"/>
      <c r="I57"/>
    </row>
    <row r="58" spans="1:14" x14ac:dyDescent="0.25">
      <c r="A58"/>
      <c r="B58"/>
      <c r="C58"/>
      <c r="D58"/>
      <c r="E58"/>
      <c r="F58"/>
      <c r="G58"/>
      <c r="H58"/>
      <c r="I58"/>
    </row>
    <row r="59" spans="1:14" x14ac:dyDescent="0.25">
      <c r="A59"/>
      <c r="B59"/>
      <c r="C59"/>
      <c r="D59"/>
      <c r="E59"/>
      <c r="F59"/>
      <c r="G59"/>
      <c r="H59"/>
      <c r="I59"/>
    </row>
    <row r="60" spans="1:14" x14ac:dyDescent="0.25">
      <c r="A60"/>
      <c r="B60"/>
      <c r="C60"/>
      <c r="D60"/>
      <c r="E60"/>
      <c r="F60"/>
      <c r="G60"/>
      <c r="H60"/>
      <c r="I60"/>
    </row>
    <row r="61" spans="1:14" x14ac:dyDescent="0.25">
      <c r="A61"/>
      <c r="B61"/>
      <c r="C61"/>
      <c r="D61"/>
      <c r="E61"/>
      <c r="F61"/>
      <c r="G61"/>
      <c r="H61"/>
      <c r="I61"/>
    </row>
  </sheetData>
  <mergeCells count="7">
    <mergeCell ref="A34:N43"/>
    <mergeCell ref="A45:N45"/>
    <mergeCell ref="A46:N49"/>
    <mergeCell ref="A1:N1"/>
    <mergeCell ref="A3:N3"/>
    <mergeCell ref="A4:N31"/>
    <mergeCell ref="A33:N3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1D2D-00F3-40B0-9B62-EFDA9AAD4F59}">
  <dimension ref="A1:K38"/>
  <sheetViews>
    <sheetView showGridLines="0" topLeftCell="A22" workbookViewId="0">
      <selection activeCell="F42" sqref="F42"/>
    </sheetView>
  </sheetViews>
  <sheetFormatPr baseColWidth="10" defaultRowHeight="15" x14ac:dyDescent="0.25"/>
  <cols>
    <col min="1" max="8" width="11.42578125" style="3"/>
    <col min="9" max="9" width="15.42578125" style="3" bestFit="1" customWidth="1"/>
    <col min="10" max="16384" width="11.42578125" style="3"/>
  </cols>
  <sheetData>
    <row r="1" spans="1:9" ht="19.5" x14ac:dyDescent="0.35">
      <c r="A1" s="50" t="s">
        <v>7</v>
      </c>
      <c r="B1" s="50"/>
      <c r="C1" s="50"/>
      <c r="D1" s="50"/>
      <c r="E1" s="50"/>
      <c r="F1" s="50"/>
      <c r="G1" s="50"/>
      <c r="H1" s="50"/>
    </row>
    <row r="3" spans="1:9" ht="15.75" x14ac:dyDescent="0.3">
      <c r="A3" s="51" t="s">
        <v>8</v>
      </c>
      <c r="B3" s="51"/>
      <c r="C3" s="51"/>
      <c r="D3" s="51"/>
    </row>
    <row r="4" spans="1:9" x14ac:dyDescent="0.25">
      <c r="A4" s="62" t="s">
        <v>9</v>
      </c>
      <c r="B4" s="62"/>
      <c r="C4" s="61">
        <v>855000</v>
      </c>
      <c r="D4" s="61"/>
    </row>
    <row r="5" spans="1:9" x14ac:dyDescent="0.25">
      <c r="A5" s="59" t="s">
        <v>10</v>
      </c>
      <c r="B5" s="59"/>
      <c r="C5" s="60">
        <v>95000</v>
      </c>
      <c r="D5" s="60"/>
    </row>
    <row r="6" spans="1:9" x14ac:dyDescent="0.25">
      <c r="A6" s="65" t="s">
        <v>11</v>
      </c>
      <c r="B6" s="65"/>
      <c r="C6" s="61">
        <v>362500</v>
      </c>
      <c r="D6" s="61"/>
      <c r="E6" s="56" t="s">
        <v>76</v>
      </c>
      <c r="F6" s="56"/>
      <c r="G6" s="71">
        <f>32625</f>
        <v>32625</v>
      </c>
      <c r="H6" s="71"/>
    </row>
    <row r="7" spans="1:9" x14ac:dyDescent="0.25">
      <c r="A7" s="59" t="s">
        <v>12</v>
      </c>
      <c r="B7" s="59"/>
      <c r="C7" s="60">
        <v>217500</v>
      </c>
      <c r="D7" s="60"/>
      <c r="E7" s="54" t="s">
        <v>76</v>
      </c>
      <c r="F7" s="54"/>
      <c r="G7" s="70">
        <f>58000</f>
        <v>58000</v>
      </c>
      <c r="H7" s="70"/>
    </row>
    <row r="8" spans="1:9" x14ac:dyDescent="0.25">
      <c r="A8" s="62" t="s">
        <v>13</v>
      </c>
      <c r="B8" s="62"/>
      <c r="C8" s="61">
        <v>287000</v>
      </c>
      <c r="D8" s="61"/>
      <c r="E8" s="56" t="s">
        <v>76</v>
      </c>
      <c r="F8" s="56"/>
      <c r="G8" s="71">
        <f>43125</f>
        <v>43125</v>
      </c>
      <c r="H8" s="71"/>
    </row>
    <row r="9" spans="1:9" x14ac:dyDescent="0.25">
      <c r="A9" s="63" t="s">
        <v>14</v>
      </c>
      <c r="B9" s="63"/>
      <c r="C9" s="60">
        <v>25000</v>
      </c>
      <c r="D9" s="60"/>
      <c r="E9" s="54" t="s">
        <v>49</v>
      </c>
      <c r="F9" s="54"/>
      <c r="G9" s="70">
        <f>C9*0.05</f>
        <v>1250</v>
      </c>
      <c r="H9" s="70"/>
      <c r="I9" s="14"/>
    </row>
    <row r="10" spans="1:9" x14ac:dyDescent="0.25">
      <c r="A10" s="62" t="s">
        <v>15</v>
      </c>
      <c r="B10" s="62"/>
      <c r="C10" s="61">
        <v>8000</v>
      </c>
      <c r="D10" s="61"/>
      <c r="E10" s="56" t="s">
        <v>49</v>
      </c>
      <c r="F10" s="56"/>
      <c r="G10" s="71">
        <f>C10*0.05</f>
        <v>400</v>
      </c>
      <c r="H10" s="71"/>
      <c r="I10" s="14"/>
    </row>
    <row r="11" spans="1:9" x14ac:dyDescent="0.25">
      <c r="A11" s="59" t="s">
        <v>16</v>
      </c>
      <c r="B11" s="59"/>
      <c r="C11" s="60">
        <v>50000</v>
      </c>
      <c r="D11" s="60"/>
    </row>
    <row r="12" spans="1:9" ht="15.75" x14ac:dyDescent="0.3">
      <c r="A12" s="62" t="s">
        <v>17</v>
      </c>
      <c r="B12" s="64"/>
      <c r="C12" s="61">
        <v>3400</v>
      </c>
      <c r="D12" s="61"/>
    </row>
    <row r="13" spans="1:9" x14ac:dyDescent="0.25">
      <c r="A13" s="59" t="s">
        <v>18</v>
      </c>
      <c r="B13" s="59"/>
      <c r="C13" s="67">
        <v>30</v>
      </c>
      <c r="D13" s="67"/>
    </row>
    <row r="14" spans="1:9" x14ac:dyDescent="0.25">
      <c r="A14" s="68" t="s">
        <v>19</v>
      </c>
      <c r="B14" s="68"/>
      <c r="C14" s="61">
        <v>295000</v>
      </c>
      <c r="D14" s="61"/>
    </row>
    <row r="15" spans="1:9" x14ac:dyDescent="0.25">
      <c r="A15" s="69" t="s">
        <v>20</v>
      </c>
      <c r="B15" s="69"/>
      <c r="C15" s="60">
        <v>410000</v>
      </c>
      <c r="D15" s="60"/>
    </row>
    <row r="16" spans="1:9" x14ac:dyDescent="0.25">
      <c r="A16" s="62" t="s">
        <v>21</v>
      </c>
      <c r="B16" s="62"/>
      <c r="C16" s="61">
        <v>39500</v>
      </c>
      <c r="D16" s="61"/>
    </row>
    <row r="17" spans="1:11" x14ac:dyDescent="0.25">
      <c r="A17" s="66"/>
      <c r="B17" s="66"/>
    </row>
    <row r="19" spans="1:11" ht="15.75" x14ac:dyDescent="0.3">
      <c r="A19" s="57"/>
      <c r="B19" s="57"/>
      <c r="C19" s="57"/>
      <c r="D19" s="57">
        <v>2019</v>
      </c>
      <c r="E19" s="57"/>
      <c r="F19" s="57">
        <v>2020</v>
      </c>
      <c r="G19" s="57"/>
      <c r="H19" s="57">
        <v>2021</v>
      </c>
      <c r="I19" s="57"/>
      <c r="J19" s="57">
        <v>2022</v>
      </c>
      <c r="K19" s="57"/>
    </row>
    <row r="20" spans="1:11" x14ac:dyDescent="0.25">
      <c r="A20" s="54" t="s">
        <v>55</v>
      </c>
      <c r="B20" s="54"/>
      <c r="C20" s="54"/>
      <c r="D20" s="53">
        <f>((C12*C13)+((C12*C13)*0.04))*12</f>
        <v>1272960</v>
      </c>
      <c r="E20" s="54"/>
      <c r="F20" s="53">
        <f>((C12*C13)+(C12*C13)*0.08)*12</f>
        <v>1321920</v>
      </c>
      <c r="G20" s="54"/>
      <c r="H20" s="53">
        <f>((C12*C13)+(C12*C13)*0.12)*12</f>
        <v>1370880</v>
      </c>
      <c r="I20" s="54"/>
      <c r="J20" s="53">
        <f>((C12*C13)+(C12*C13)*0.16)*12</f>
        <v>1419840</v>
      </c>
      <c r="K20" s="54"/>
    </row>
    <row r="21" spans="1:11" x14ac:dyDescent="0.25">
      <c r="A21" s="58" t="s">
        <v>56</v>
      </c>
      <c r="B21" s="58"/>
      <c r="C21" s="58"/>
      <c r="D21" s="55">
        <f>C14+(C14*0.04)</f>
        <v>306800</v>
      </c>
      <c r="E21" s="56"/>
      <c r="F21" s="55">
        <f>C14+(C14*0.08)</f>
        <v>318600</v>
      </c>
      <c r="G21" s="56"/>
      <c r="H21" s="55">
        <f>C14+(C14*0.12)</f>
        <v>330400</v>
      </c>
      <c r="I21" s="56"/>
      <c r="J21" s="55">
        <f>C14+(C14*0.16)</f>
        <v>342200</v>
      </c>
      <c r="K21" s="56"/>
    </row>
    <row r="22" spans="1:11" x14ac:dyDescent="0.25">
      <c r="A22" s="54" t="s">
        <v>57</v>
      </c>
      <c r="B22" s="54"/>
      <c r="C22" s="54"/>
      <c r="D22" s="53">
        <f>C15+(C15*0.04)</f>
        <v>426400</v>
      </c>
      <c r="E22" s="54"/>
      <c r="F22" s="53">
        <f>C15+(C15*0.08)</f>
        <v>442800</v>
      </c>
      <c r="G22" s="54"/>
      <c r="H22" s="53">
        <f>C15+(C15*0.12)</f>
        <v>459200</v>
      </c>
      <c r="I22" s="54"/>
      <c r="J22" s="53">
        <f>C15+(C15*0.16)</f>
        <v>475600</v>
      </c>
      <c r="K22" s="54"/>
    </row>
    <row r="23" spans="1:11" x14ac:dyDescent="0.25">
      <c r="A23" s="56" t="s">
        <v>58</v>
      </c>
      <c r="B23" s="56"/>
      <c r="C23" s="56"/>
      <c r="D23" s="55">
        <f>C16+(C16*0.04)</f>
        <v>41080</v>
      </c>
      <c r="E23" s="56"/>
      <c r="F23" s="55">
        <f>C16+(C16*0.08)</f>
        <v>42660</v>
      </c>
      <c r="G23" s="56"/>
      <c r="H23" s="55">
        <f>C16+(C16*0.12)</f>
        <v>44240</v>
      </c>
      <c r="I23" s="56"/>
      <c r="J23" s="55">
        <f>C16+(C16*0.16)</f>
        <v>45820</v>
      </c>
      <c r="K23" s="56"/>
    </row>
    <row r="26" spans="1:11" x14ac:dyDescent="0.25">
      <c r="A26" s="1"/>
      <c r="B26" s="1"/>
      <c r="C26" s="1"/>
      <c r="D26" s="1"/>
      <c r="E26" s="1"/>
      <c r="F26" s="1"/>
      <c r="G26" s="1"/>
      <c r="H26" s="1"/>
      <c r="I26" s="1"/>
    </row>
    <row r="27" spans="1:11" x14ac:dyDescent="0.25">
      <c r="A27"/>
      <c r="B27"/>
      <c r="C27"/>
      <c r="D27"/>
      <c r="E27"/>
      <c r="F27"/>
      <c r="G27"/>
      <c r="H27"/>
      <c r="I27"/>
    </row>
    <row r="28" spans="1:11" x14ac:dyDescent="0.25">
      <c r="A28"/>
      <c r="B28"/>
      <c r="C28"/>
      <c r="D28"/>
      <c r="E28"/>
      <c r="F28"/>
      <c r="G28"/>
      <c r="H28"/>
      <c r="I28"/>
    </row>
    <row r="29" spans="1:11" x14ac:dyDescent="0.25">
      <c r="A29"/>
      <c r="B29"/>
      <c r="C29"/>
      <c r="D29"/>
      <c r="E29"/>
      <c r="F29"/>
      <c r="G29"/>
      <c r="H29"/>
      <c r="I29"/>
    </row>
    <row r="30" spans="1:11" x14ac:dyDescent="0.25">
      <c r="A30"/>
      <c r="B30"/>
      <c r="C30"/>
      <c r="D30"/>
      <c r="E30"/>
      <c r="F30"/>
      <c r="G30"/>
      <c r="H30"/>
      <c r="I30"/>
    </row>
    <row r="31" spans="1:11" x14ac:dyDescent="0.25">
      <c r="A31"/>
      <c r="B31"/>
      <c r="C31"/>
      <c r="D31"/>
      <c r="E31"/>
      <c r="F31"/>
      <c r="G31"/>
      <c r="H31"/>
      <c r="I31"/>
    </row>
    <row r="32" spans="1:11" x14ac:dyDescent="0.25">
      <c r="A32"/>
      <c r="B32"/>
      <c r="C32"/>
      <c r="D32"/>
      <c r="E32"/>
      <c r="F32"/>
      <c r="G32"/>
      <c r="H32"/>
      <c r="I32"/>
    </row>
    <row r="33" spans="1:9" x14ac:dyDescent="0.25">
      <c r="A33"/>
      <c r="B33"/>
      <c r="C33"/>
      <c r="D33"/>
      <c r="E33"/>
      <c r="F33"/>
      <c r="G33"/>
      <c r="H33"/>
      <c r="I33"/>
    </row>
    <row r="34" spans="1:9" x14ac:dyDescent="0.25">
      <c r="A34"/>
      <c r="B34"/>
      <c r="C34"/>
      <c r="D34"/>
      <c r="E34"/>
      <c r="F34"/>
      <c r="G34"/>
      <c r="H34"/>
      <c r="I34"/>
    </row>
    <row r="35" spans="1:9" x14ac:dyDescent="0.25">
      <c r="A35"/>
      <c r="B35"/>
      <c r="C35"/>
      <c r="D35"/>
      <c r="E35"/>
      <c r="F35"/>
      <c r="G35"/>
      <c r="H35"/>
      <c r="I35"/>
    </row>
    <row r="36" spans="1:9" x14ac:dyDescent="0.25">
      <c r="A36"/>
      <c r="B36"/>
      <c r="C36"/>
      <c r="D36"/>
      <c r="E36"/>
      <c r="F36"/>
      <c r="G36"/>
      <c r="H36"/>
      <c r="I36"/>
    </row>
    <row r="37" spans="1:9" x14ac:dyDescent="0.25">
      <c r="A37"/>
      <c r="B37"/>
      <c r="C37"/>
      <c r="D37"/>
      <c r="E37"/>
      <c r="F37"/>
      <c r="G37"/>
      <c r="H37"/>
      <c r="I37"/>
    </row>
    <row r="38" spans="1:9" x14ac:dyDescent="0.25">
      <c r="A38"/>
      <c r="B38"/>
      <c r="C38"/>
      <c r="D38"/>
      <c r="E38"/>
      <c r="F38"/>
      <c r="G38"/>
      <c r="H38"/>
      <c r="I38"/>
    </row>
  </sheetData>
  <mergeCells count="64">
    <mergeCell ref="E9:F9"/>
    <mergeCell ref="E10:F10"/>
    <mergeCell ref="G9:H9"/>
    <mergeCell ref="G10:H10"/>
    <mergeCell ref="E6:F6"/>
    <mergeCell ref="G8:H8"/>
    <mergeCell ref="G6:H6"/>
    <mergeCell ref="E7:F7"/>
    <mergeCell ref="E8:F8"/>
    <mergeCell ref="G7:H7"/>
    <mergeCell ref="A16:B16"/>
    <mergeCell ref="C16:D16"/>
    <mergeCell ref="A17:B17"/>
    <mergeCell ref="A13:B13"/>
    <mergeCell ref="C13:D13"/>
    <mergeCell ref="A14:B14"/>
    <mergeCell ref="C14:D14"/>
    <mergeCell ref="A15:B15"/>
    <mergeCell ref="C15:D15"/>
    <mergeCell ref="C6:D6"/>
    <mergeCell ref="C5:D5"/>
    <mergeCell ref="C4:D4"/>
    <mergeCell ref="A1:H1"/>
    <mergeCell ref="A3:D3"/>
    <mergeCell ref="A4:B4"/>
    <mergeCell ref="A5:B5"/>
    <mergeCell ref="A6:B6"/>
    <mergeCell ref="A20:C20"/>
    <mergeCell ref="A21:C21"/>
    <mergeCell ref="A22:C22"/>
    <mergeCell ref="A23:C23"/>
    <mergeCell ref="A7:B7"/>
    <mergeCell ref="C7:D7"/>
    <mergeCell ref="C12:D12"/>
    <mergeCell ref="C11:D11"/>
    <mergeCell ref="C10:D10"/>
    <mergeCell ref="C9:D9"/>
    <mergeCell ref="C8:D8"/>
    <mergeCell ref="A8:B8"/>
    <mergeCell ref="A9:B9"/>
    <mergeCell ref="A10:B10"/>
    <mergeCell ref="A11:B11"/>
    <mergeCell ref="A12:B12"/>
    <mergeCell ref="A19:C19"/>
    <mergeCell ref="D19:E19"/>
    <mergeCell ref="F19:G19"/>
    <mergeCell ref="H19:I19"/>
    <mergeCell ref="J19:K19"/>
    <mergeCell ref="D20:E20"/>
    <mergeCell ref="F20:G20"/>
    <mergeCell ref="H20:I20"/>
    <mergeCell ref="J20:K20"/>
    <mergeCell ref="D21:E21"/>
    <mergeCell ref="F21:G21"/>
    <mergeCell ref="H21:I21"/>
    <mergeCell ref="J21:K21"/>
    <mergeCell ref="D22:E22"/>
    <mergeCell ref="F22:G22"/>
    <mergeCell ref="H22:I22"/>
    <mergeCell ref="J22:K22"/>
    <mergeCell ref="D23:E23"/>
    <mergeCell ref="F23:G23"/>
    <mergeCell ref="H23:I23"/>
    <mergeCell ref="J23:K2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F9B6-893B-44BE-9C74-0CDC8736C00D}">
  <dimension ref="A1:K39"/>
  <sheetViews>
    <sheetView showGridLines="0" tabSelected="1" workbookViewId="0">
      <selection sqref="A1:K6"/>
    </sheetView>
  </sheetViews>
  <sheetFormatPr baseColWidth="10" defaultRowHeight="15" x14ac:dyDescent="0.25"/>
  <cols>
    <col min="1" max="16384" width="11.42578125" style="3"/>
  </cols>
  <sheetData>
    <row r="1" spans="1:11" ht="19.5" x14ac:dyDescent="0.35">
      <c r="A1" s="50" t="s">
        <v>22</v>
      </c>
      <c r="B1" s="50"/>
      <c r="C1" s="50"/>
      <c r="D1" s="50"/>
      <c r="E1" s="50"/>
      <c r="F1" s="50"/>
      <c r="G1" s="50"/>
      <c r="H1" s="50"/>
      <c r="I1" s="50"/>
      <c r="J1" s="50"/>
      <c r="K1" s="50"/>
    </row>
    <row r="3" spans="1:11" ht="15.75" x14ac:dyDescent="0.3">
      <c r="A3" s="51" t="s">
        <v>23</v>
      </c>
      <c r="B3" s="51"/>
      <c r="C3" s="51"/>
      <c r="D3" s="51"/>
      <c r="E3" s="51"/>
      <c r="F3" s="51"/>
      <c r="G3" s="51"/>
      <c r="H3" s="51"/>
      <c r="I3" s="51"/>
      <c r="J3" s="51"/>
      <c r="K3" s="51"/>
    </row>
    <row r="4" spans="1:11" ht="15.75" x14ac:dyDescent="0.3">
      <c r="A4" s="51" t="s">
        <v>24</v>
      </c>
      <c r="B4" s="51"/>
      <c r="C4" s="51"/>
      <c r="D4" s="51"/>
      <c r="E4" s="51"/>
      <c r="F4" s="51"/>
      <c r="G4" s="51"/>
      <c r="H4" s="51"/>
      <c r="I4" s="51"/>
      <c r="J4" s="51"/>
      <c r="K4" s="51"/>
    </row>
    <row r="5" spans="1:11" ht="15.75" x14ac:dyDescent="0.3">
      <c r="A5" s="51" t="s">
        <v>25</v>
      </c>
      <c r="B5" s="51"/>
      <c r="C5" s="51"/>
      <c r="D5" s="51"/>
      <c r="E5" s="51"/>
      <c r="F5" s="51"/>
      <c r="G5" s="51"/>
      <c r="H5" s="51"/>
      <c r="I5" s="51"/>
      <c r="J5" s="51"/>
      <c r="K5" s="51"/>
    </row>
    <row r="6" spans="1:11" ht="15.75" x14ac:dyDescent="0.3">
      <c r="A6" s="51" t="s">
        <v>26</v>
      </c>
      <c r="B6" s="51"/>
      <c r="C6" s="51"/>
      <c r="D6" s="51"/>
      <c r="E6" s="51"/>
      <c r="F6" s="51"/>
      <c r="G6" s="51"/>
      <c r="H6" s="51"/>
      <c r="I6" s="51"/>
      <c r="J6" s="51"/>
      <c r="K6" s="51"/>
    </row>
    <row r="7" spans="1:11" ht="15.75" x14ac:dyDescent="0.3">
      <c r="A7" s="73" t="s">
        <v>27</v>
      </c>
      <c r="B7" s="73"/>
      <c r="C7" s="73"/>
      <c r="D7" s="73"/>
      <c r="E7" s="73"/>
      <c r="G7" s="81" t="s">
        <v>38</v>
      </c>
      <c r="H7" s="81"/>
      <c r="I7" s="81"/>
      <c r="J7" s="81"/>
      <c r="K7" s="81"/>
    </row>
    <row r="8" spans="1:11" ht="15.75" x14ac:dyDescent="0.3">
      <c r="A8" s="74" t="s">
        <v>28</v>
      </c>
      <c r="B8" s="74"/>
      <c r="C8" s="74"/>
      <c r="D8" s="74"/>
      <c r="E8" s="74"/>
      <c r="G8" s="83" t="s">
        <v>39</v>
      </c>
      <c r="H8" s="83"/>
      <c r="I8" s="83"/>
      <c r="J8" s="83"/>
      <c r="K8" s="83"/>
    </row>
    <row r="9" spans="1:11" x14ac:dyDescent="0.25">
      <c r="A9" s="75" t="s">
        <v>16</v>
      </c>
      <c r="B9" s="75"/>
      <c r="C9" s="75"/>
      <c r="D9" s="76">
        <f>Datos!C11</f>
        <v>50000</v>
      </c>
      <c r="E9" s="76"/>
      <c r="G9" s="75" t="s">
        <v>40</v>
      </c>
      <c r="H9" s="75"/>
      <c r="I9" s="75"/>
      <c r="J9" s="77">
        <f>Datos!C5</f>
        <v>95000</v>
      </c>
      <c r="K9" s="75"/>
    </row>
    <row r="11" spans="1:11" ht="15.75" x14ac:dyDescent="0.3">
      <c r="A11" s="72" t="s">
        <v>29</v>
      </c>
      <c r="B11" s="72"/>
      <c r="C11" s="72"/>
      <c r="D11" s="55">
        <f>D9</f>
        <v>50000</v>
      </c>
      <c r="E11" s="56"/>
      <c r="G11" s="72" t="s">
        <v>41</v>
      </c>
      <c r="H11" s="72"/>
      <c r="I11" s="72"/>
      <c r="J11" s="55">
        <f>J9</f>
        <v>95000</v>
      </c>
      <c r="K11" s="56"/>
    </row>
    <row r="13" spans="1:11" ht="15.75" x14ac:dyDescent="0.3">
      <c r="A13" s="74" t="s">
        <v>30</v>
      </c>
      <c r="B13" s="74"/>
      <c r="C13" s="74"/>
      <c r="D13" s="74"/>
      <c r="E13" s="74"/>
      <c r="G13" s="81" t="s">
        <v>42</v>
      </c>
      <c r="H13" s="85"/>
      <c r="I13" s="85"/>
      <c r="J13" s="86">
        <f>J11</f>
        <v>95000</v>
      </c>
      <c r="K13" s="85"/>
    </row>
    <row r="14" spans="1:11" ht="15.75" x14ac:dyDescent="0.3">
      <c r="A14" s="57" t="s">
        <v>31</v>
      </c>
      <c r="B14" s="57"/>
      <c r="C14" s="57"/>
      <c r="D14" s="57"/>
      <c r="E14" s="57"/>
    </row>
    <row r="15" spans="1:11" ht="15.75" x14ac:dyDescent="0.3">
      <c r="A15" s="78" t="s">
        <v>32</v>
      </c>
      <c r="B15" s="78"/>
      <c r="C15" s="78"/>
      <c r="D15" s="79">
        <f>Datos!C6</f>
        <v>362500</v>
      </c>
      <c r="E15" s="78"/>
      <c r="G15" s="81" t="s">
        <v>43</v>
      </c>
      <c r="H15" s="81"/>
      <c r="I15" s="81"/>
      <c r="J15" s="81"/>
      <c r="K15" s="81"/>
    </row>
    <row r="16" spans="1:11" x14ac:dyDescent="0.25">
      <c r="A16" s="75" t="s">
        <v>12</v>
      </c>
      <c r="B16" s="75"/>
      <c r="C16" s="75"/>
      <c r="D16" s="77">
        <f>Datos!C7</f>
        <v>217500</v>
      </c>
      <c r="E16" s="75"/>
      <c r="G16" s="75" t="s">
        <v>9</v>
      </c>
      <c r="H16" s="75"/>
      <c r="I16" s="75"/>
      <c r="J16" s="77">
        <f>Datos!C4</f>
        <v>855000</v>
      </c>
      <c r="K16" s="75"/>
    </row>
    <row r="17" spans="1:11" x14ac:dyDescent="0.25">
      <c r="A17" s="78" t="s">
        <v>33</v>
      </c>
      <c r="B17" s="78"/>
      <c r="C17" s="78"/>
      <c r="D17" s="79">
        <f>Datos!C8</f>
        <v>287000</v>
      </c>
      <c r="E17" s="78"/>
      <c r="G17" s="66"/>
      <c r="H17" s="66"/>
      <c r="I17" s="66"/>
    </row>
    <row r="18" spans="1:11" ht="15.75" x14ac:dyDescent="0.3">
      <c r="A18" s="57" t="s">
        <v>34</v>
      </c>
      <c r="B18" s="57"/>
      <c r="C18" s="57"/>
      <c r="D18" s="57"/>
      <c r="E18" s="57"/>
      <c r="G18" s="72" t="s">
        <v>44</v>
      </c>
      <c r="H18" s="72"/>
      <c r="I18" s="72"/>
      <c r="J18" s="55">
        <f>J16</f>
        <v>855000</v>
      </c>
      <c r="K18" s="56"/>
    </row>
    <row r="19" spans="1:11" x14ac:dyDescent="0.25">
      <c r="A19" s="78" t="s">
        <v>14</v>
      </c>
      <c r="B19" s="78"/>
      <c r="C19" s="78"/>
      <c r="D19" s="79">
        <f>Datos!C9</f>
        <v>25000</v>
      </c>
      <c r="E19" s="78"/>
    </row>
    <row r="20" spans="1:11" ht="15.75" x14ac:dyDescent="0.3">
      <c r="A20" s="75" t="s">
        <v>35</v>
      </c>
      <c r="B20" s="75"/>
      <c r="C20" s="75"/>
      <c r="D20" s="77">
        <f>Datos!C10</f>
        <v>8000</v>
      </c>
      <c r="E20" s="75"/>
      <c r="G20" s="81" t="s">
        <v>45</v>
      </c>
      <c r="H20" s="81"/>
      <c r="I20" s="81"/>
      <c r="J20" s="84">
        <f>SUM(J13,J18)</f>
        <v>950000</v>
      </c>
      <c r="K20" s="81"/>
    </row>
    <row r="22" spans="1:11" x14ac:dyDescent="0.25">
      <c r="A22" s="80" t="s">
        <v>36</v>
      </c>
      <c r="B22" s="80"/>
      <c r="C22" s="80"/>
      <c r="D22" s="55">
        <f>SUM(D15:E17,D19,D20)</f>
        <v>900000</v>
      </c>
      <c r="E22" s="56"/>
    </row>
    <row r="24" spans="1:11" ht="15.75" x14ac:dyDescent="0.3">
      <c r="A24" s="81" t="s">
        <v>37</v>
      </c>
      <c r="B24" s="81"/>
      <c r="C24" s="81"/>
      <c r="D24" s="82">
        <f>SUM(D11,D22)</f>
        <v>950000</v>
      </c>
      <c r="E24" s="82"/>
    </row>
    <row r="27" spans="1:11" x14ac:dyDescent="0.25">
      <c r="A27" s="1"/>
      <c r="B27" s="1"/>
      <c r="C27" s="1"/>
      <c r="D27" s="1"/>
      <c r="E27" s="1"/>
      <c r="F27" s="1"/>
      <c r="G27" s="1"/>
      <c r="H27" s="1"/>
      <c r="I27" s="1"/>
    </row>
    <row r="28" spans="1:11" x14ac:dyDescent="0.25">
      <c r="A28"/>
      <c r="B28"/>
      <c r="C28"/>
      <c r="D28"/>
      <c r="E28"/>
      <c r="F28"/>
      <c r="G28"/>
      <c r="H28"/>
      <c r="I28"/>
    </row>
    <row r="29" spans="1:11" x14ac:dyDescent="0.25">
      <c r="A29"/>
      <c r="B29"/>
      <c r="C29"/>
      <c r="D29"/>
      <c r="E29"/>
      <c r="F29"/>
      <c r="G29"/>
      <c r="H29"/>
      <c r="I29"/>
    </row>
    <row r="30" spans="1:11" x14ac:dyDescent="0.25">
      <c r="A30"/>
      <c r="B30"/>
      <c r="C30"/>
      <c r="D30"/>
      <c r="E30"/>
      <c r="F30"/>
      <c r="G30"/>
      <c r="H30"/>
      <c r="I30"/>
    </row>
    <row r="31" spans="1:11" x14ac:dyDescent="0.25">
      <c r="A31"/>
      <c r="B31"/>
      <c r="C31"/>
      <c r="D31"/>
      <c r="E31"/>
      <c r="F31"/>
      <c r="G31"/>
      <c r="H31"/>
      <c r="I31"/>
    </row>
    <row r="32" spans="1:11" x14ac:dyDescent="0.25">
      <c r="A32"/>
      <c r="B32"/>
      <c r="C32"/>
      <c r="D32"/>
      <c r="E32"/>
      <c r="F32"/>
      <c r="G32"/>
      <c r="H32"/>
      <c r="I32"/>
    </row>
    <row r="33" spans="1:9" x14ac:dyDescent="0.25">
      <c r="A33"/>
      <c r="B33"/>
      <c r="C33"/>
      <c r="D33"/>
      <c r="E33"/>
      <c r="F33"/>
      <c r="G33"/>
      <c r="H33"/>
      <c r="I33"/>
    </row>
    <row r="34" spans="1:9" x14ac:dyDescent="0.25">
      <c r="A34"/>
      <c r="B34"/>
      <c r="C34"/>
      <c r="D34"/>
      <c r="E34"/>
      <c r="F34"/>
      <c r="G34"/>
      <c r="H34"/>
      <c r="I34"/>
    </row>
    <row r="35" spans="1:9" x14ac:dyDescent="0.25">
      <c r="A35"/>
      <c r="B35"/>
      <c r="C35"/>
      <c r="D35"/>
      <c r="E35"/>
      <c r="F35"/>
      <c r="G35"/>
      <c r="H35"/>
      <c r="I35"/>
    </row>
    <row r="36" spans="1:9" x14ac:dyDescent="0.25">
      <c r="A36"/>
      <c r="B36"/>
      <c r="C36"/>
      <c r="D36"/>
      <c r="E36"/>
      <c r="F36"/>
      <c r="G36"/>
      <c r="H36"/>
      <c r="I36"/>
    </row>
    <row r="37" spans="1:9" x14ac:dyDescent="0.25">
      <c r="A37"/>
      <c r="B37"/>
      <c r="C37"/>
      <c r="D37"/>
      <c r="E37"/>
      <c r="F37"/>
      <c r="G37"/>
      <c r="H37"/>
      <c r="I37"/>
    </row>
    <row r="38" spans="1:9" x14ac:dyDescent="0.25">
      <c r="A38"/>
      <c r="B38"/>
      <c r="C38"/>
      <c r="D38"/>
      <c r="E38"/>
      <c r="F38"/>
      <c r="G38"/>
      <c r="H38"/>
      <c r="I38"/>
    </row>
    <row r="39" spans="1:9" x14ac:dyDescent="0.25">
      <c r="A39"/>
      <c r="B39"/>
      <c r="C39"/>
      <c r="D39"/>
      <c r="E39"/>
      <c r="F39"/>
      <c r="G39"/>
      <c r="H39"/>
      <c r="I39"/>
    </row>
  </sheetData>
  <mergeCells count="44">
    <mergeCell ref="G18:I18"/>
    <mergeCell ref="J18:K18"/>
    <mergeCell ref="G20:I20"/>
    <mergeCell ref="J20:K20"/>
    <mergeCell ref="G13:I13"/>
    <mergeCell ref="J13:K13"/>
    <mergeCell ref="G15:K15"/>
    <mergeCell ref="G16:I16"/>
    <mergeCell ref="J16:K16"/>
    <mergeCell ref="G17:I17"/>
    <mergeCell ref="A22:C22"/>
    <mergeCell ref="D22:E22"/>
    <mergeCell ref="A24:C24"/>
    <mergeCell ref="D24:E24"/>
    <mergeCell ref="G7:K7"/>
    <mergeCell ref="G8:K8"/>
    <mergeCell ref="G9:I9"/>
    <mergeCell ref="J9:K9"/>
    <mergeCell ref="G11:I11"/>
    <mergeCell ref="J11:K11"/>
    <mergeCell ref="A17:C17"/>
    <mergeCell ref="D17:E17"/>
    <mergeCell ref="A18:E18"/>
    <mergeCell ref="A19:C19"/>
    <mergeCell ref="A20:C20"/>
    <mergeCell ref="D19:E19"/>
    <mergeCell ref="D20:E20"/>
    <mergeCell ref="A13:E13"/>
    <mergeCell ref="A14:E14"/>
    <mergeCell ref="A15:C15"/>
    <mergeCell ref="D15:E15"/>
    <mergeCell ref="A16:C16"/>
    <mergeCell ref="D16:E16"/>
    <mergeCell ref="A11:C11"/>
    <mergeCell ref="D11:E11"/>
    <mergeCell ref="A1:K1"/>
    <mergeCell ref="A3:K3"/>
    <mergeCell ref="A4:K4"/>
    <mergeCell ref="A5:K5"/>
    <mergeCell ref="A6:K6"/>
    <mergeCell ref="A7:E7"/>
    <mergeCell ref="A8:E8"/>
    <mergeCell ref="A9:C9"/>
    <mergeCell ref="D9:E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8AEB-7BA3-486C-83FF-047D6FB9B1C7}">
  <dimension ref="A1:M28"/>
  <sheetViews>
    <sheetView showGridLines="0" topLeftCell="A19" workbookViewId="0">
      <selection activeCell="E28" sqref="E28"/>
    </sheetView>
  </sheetViews>
  <sheetFormatPr baseColWidth="10" defaultRowHeight="15" x14ac:dyDescent="0.25"/>
  <cols>
    <col min="1" max="16384" width="11.42578125" style="3"/>
  </cols>
  <sheetData>
    <row r="1" spans="1:13" ht="19.5" x14ac:dyDescent="0.35">
      <c r="A1" s="50" t="s">
        <v>82</v>
      </c>
      <c r="B1" s="50"/>
      <c r="C1" s="50"/>
      <c r="D1" s="50"/>
      <c r="E1" s="50"/>
      <c r="F1" s="50"/>
      <c r="G1" s="50"/>
      <c r="H1" s="50"/>
      <c r="I1" s="50"/>
      <c r="J1" s="50"/>
    </row>
    <row r="3" spans="1:13" ht="15.75" x14ac:dyDescent="0.3">
      <c r="A3" s="57" t="s">
        <v>8</v>
      </c>
      <c r="B3" s="57"/>
      <c r="C3" s="57"/>
      <c r="D3" s="57"/>
    </row>
    <row r="4" spans="1:13" x14ac:dyDescent="0.25">
      <c r="A4" s="87" t="s">
        <v>83</v>
      </c>
      <c r="B4" s="87"/>
      <c r="C4" s="89">
        <f>Datos!C12</f>
        <v>3400</v>
      </c>
      <c r="D4" s="89"/>
    </row>
    <row r="5" spans="1:13" x14ac:dyDescent="0.25">
      <c r="A5" s="75" t="s">
        <v>84</v>
      </c>
      <c r="B5" s="75"/>
      <c r="C5" s="76">
        <f>Datos!C14</f>
        <v>295000</v>
      </c>
      <c r="D5" s="76"/>
    </row>
    <row r="6" spans="1:13" x14ac:dyDescent="0.25">
      <c r="A6" s="88" t="s">
        <v>85</v>
      </c>
      <c r="B6" s="88"/>
      <c r="C6" s="89">
        <f>109.72</f>
        <v>109.72</v>
      </c>
      <c r="D6" s="89"/>
    </row>
    <row r="8" spans="1:13" ht="15.75" x14ac:dyDescent="0.3">
      <c r="A8" s="74" t="s">
        <v>86</v>
      </c>
      <c r="B8" s="74"/>
      <c r="C8" s="74"/>
      <c r="D8" s="74">
        <v>2018</v>
      </c>
      <c r="E8" s="74"/>
      <c r="F8" s="74">
        <v>2019</v>
      </c>
      <c r="G8" s="74"/>
      <c r="H8" s="74">
        <v>2020</v>
      </c>
      <c r="I8" s="74"/>
      <c r="J8" s="74">
        <v>2021</v>
      </c>
      <c r="K8" s="74"/>
      <c r="L8" s="74">
        <v>2022</v>
      </c>
      <c r="M8" s="74"/>
    </row>
    <row r="9" spans="1:13" x14ac:dyDescent="0.25">
      <c r="A9" s="75" t="s">
        <v>87</v>
      </c>
      <c r="B9" s="75"/>
      <c r="C9" s="75"/>
      <c r="D9" s="94">
        <f>Datos!C13*12</f>
        <v>360</v>
      </c>
      <c r="E9" s="94"/>
      <c r="F9" s="93">
        <f>D9+(D9*0.04)</f>
        <v>374.4</v>
      </c>
      <c r="G9" s="93"/>
      <c r="H9" s="93">
        <f>F9+(F9*0.04)</f>
        <v>389.37599999999998</v>
      </c>
      <c r="I9" s="93"/>
      <c r="J9" s="93">
        <f>H9+(H9*0.04)</f>
        <v>404.95103999999998</v>
      </c>
      <c r="K9" s="93"/>
      <c r="L9" s="93">
        <f>J9+(J9*0.04)</f>
        <v>421.14908159999999</v>
      </c>
      <c r="M9" s="93"/>
    </row>
    <row r="10" spans="1:13" x14ac:dyDescent="0.25">
      <c r="A10" s="83" t="s">
        <v>88</v>
      </c>
      <c r="B10" s="83"/>
      <c r="C10" s="83"/>
      <c r="D10" s="92">
        <f>Datos!C12*Datos!C13*12</f>
        <v>1224000</v>
      </c>
      <c r="E10" s="92"/>
      <c r="F10" s="92">
        <f>Datos!D20</f>
        <v>1272960</v>
      </c>
      <c r="G10" s="92"/>
      <c r="H10" s="92">
        <f>Datos!F20</f>
        <v>1321920</v>
      </c>
      <c r="I10" s="92"/>
      <c r="J10" s="92">
        <f>Datos!H20</f>
        <v>1370880</v>
      </c>
      <c r="K10" s="92"/>
      <c r="L10" s="92">
        <f>Datos!J20</f>
        <v>1419840</v>
      </c>
      <c r="M10" s="92"/>
    </row>
    <row r="11" spans="1:13" x14ac:dyDescent="0.25">
      <c r="A11" s="75" t="s">
        <v>89</v>
      </c>
      <c r="B11" s="75"/>
      <c r="C11" s="75"/>
      <c r="D11" s="77">
        <f>D9*C6</f>
        <v>39499.199999999997</v>
      </c>
      <c r="E11" s="77"/>
      <c r="F11" s="77">
        <f>F9*C6</f>
        <v>41079.167999999998</v>
      </c>
      <c r="G11" s="77"/>
      <c r="H11" s="77">
        <f>H9*C6</f>
        <v>42722.334719999999</v>
      </c>
      <c r="I11" s="77"/>
      <c r="J11" s="77">
        <f>J9*C6</f>
        <v>44431.228108799995</v>
      </c>
      <c r="K11" s="77"/>
      <c r="L11" s="77">
        <f>L9*C6</f>
        <v>46208.477233152</v>
      </c>
      <c r="M11" s="77"/>
    </row>
    <row r="12" spans="1:13" x14ac:dyDescent="0.25">
      <c r="A12" s="83" t="s">
        <v>90</v>
      </c>
      <c r="B12" s="83"/>
      <c r="C12" s="83"/>
      <c r="D12" s="92">
        <f>D10-D11</f>
        <v>1184500.8</v>
      </c>
      <c r="E12" s="92"/>
      <c r="F12" s="92">
        <f>F10-F11</f>
        <v>1231880.8319999999</v>
      </c>
      <c r="G12" s="92"/>
      <c r="H12" s="92">
        <f>H10-H11</f>
        <v>1279197.6652800001</v>
      </c>
      <c r="I12" s="92"/>
      <c r="J12" s="92">
        <f>J10-J11</f>
        <v>1326448.7718912</v>
      </c>
      <c r="K12" s="92"/>
      <c r="L12" s="92">
        <f>L10-L11</f>
        <v>1373631.5227668481</v>
      </c>
      <c r="M12" s="92"/>
    </row>
    <row r="13" spans="1:13" x14ac:dyDescent="0.25">
      <c r="A13" s="75" t="s">
        <v>91</v>
      </c>
      <c r="B13" s="75"/>
      <c r="C13" s="75"/>
      <c r="D13" s="77">
        <f>C5</f>
        <v>295000</v>
      </c>
      <c r="E13" s="77"/>
      <c r="F13" s="77">
        <f>D13*1.04</f>
        <v>306800</v>
      </c>
      <c r="G13" s="77"/>
      <c r="H13" s="77">
        <f>D13*1.08</f>
        <v>318600</v>
      </c>
      <c r="I13" s="77"/>
      <c r="J13" s="77">
        <f>D13*1.12</f>
        <v>330400.00000000006</v>
      </c>
      <c r="K13" s="77"/>
      <c r="L13" s="77">
        <f>D13*1.16</f>
        <v>342200</v>
      </c>
      <c r="M13" s="77"/>
    </row>
    <row r="14" spans="1:13" ht="15.75" x14ac:dyDescent="0.3">
      <c r="A14" s="91" t="s">
        <v>92</v>
      </c>
      <c r="B14" s="91"/>
      <c r="C14" s="91"/>
      <c r="D14" s="90">
        <f>D12-C5</f>
        <v>889500.8</v>
      </c>
      <c r="E14" s="90"/>
      <c r="F14" s="90">
        <f>F12-(C5*1.04)</f>
        <v>925080.83199999994</v>
      </c>
      <c r="G14" s="90"/>
      <c r="H14" s="90">
        <f>H12-(C5*1.08)</f>
        <v>960597.66528000007</v>
      </c>
      <c r="I14" s="90"/>
      <c r="J14" s="90">
        <f>J12-(C5*1.12)</f>
        <v>996048.77189119998</v>
      </c>
      <c r="K14" s="90"/>
      <c r="L14" s="90">
        <f>L12-(C5*1.16)</f>
        <v>1031431.5227668481</v>
      </c>
      <c r="M14" s="90"/>
    </row>
    <row r="16" spans="1:13" x14ac:dyDescent="0.25">
      <c r="A16" s="1"/>
      <c r="B16" s="1"/>
      <c r="C16" s="1"/>
      <c r="D16" s="1"/>
      <c r="E16" s="1"/>
      <c r="F16" s="1"/>
      <c r="G16" s="1"/>
      <c r="H16" s="1"/>
      <c r="I16" s="1"/>
    </row>
    <row r="17" spans="1:9" x14ac:dyDescent="0.25">
      <c r="A17"/>
      <c r="B17"/>
      <c r="C17"/>
      <c r="D17"/>
      <c r="E17"/>
      <c r="F17"/>
      <c r="G17"/>
      <c r="H17"/>
      <c r="I17"/>
    </row>
    <row r="18" spans="1:9" x14ac:dyDescent="0.25">
      <c r="A18"/>
      <c r="B18"/>
      <c r="C18"/>
      <c r="D18"/>
      <c r="E18"/>
      <c r="F18"/>
      <c r="G18"/>
      <c r="H18"/>
      <c r="I18"/>
    </row>
    <row r="19" spans="1:9" x14ac:dyDescent="0.25">
      <c r="A19"/>
      <c r="B19"/>
      <c r="C19"/>
      <c r="D19"/>
      <c r="E19"/>
      <c r="F19"/>
      <c r="G19"/>
      <c r="H19"/>
      <c r="I19"/>
    </row>
    <row r="20" spans="1:9" x14ac:dyDescent="0.25">
      <c r="A20"/>
      <c r="B20"/>
      <c r="C20"/>
      <c r="D20"/>
      <c r="E20"/>
      <c r="F20"/>
      <c r="G20"/>
      <c r="H20"/>
      <c r="I20"/>
    </row>
    <row r="21" spans="1:9" x14ac:dyDescent="0.25">
      <c r="A21"/>
      <c r="B21"/>
      <c r="C21"/>
      <c r="D21"/>
      <c r="E21"/>
      <c r="F21"/>
      <c r="G21"/>
      <c r="H21"/>
      <c r="I21"/>
    </row>
    <row r="22" spans="1:9" x14ac:dyDescent="0.25">
      <c r="A22"/>
      <c r="B22"/>
      <c r="C22"/>
      <c r="D22"/>
      <c r="E22"/>
      <c r="F22"/>
      <c r="G22"/>
      <c r="H22"/>
      <c r="I22"/>
    </row>
    <row r="23" spans="1:9" x14ac:dyDescent="0.25">
      <c r="A23"/>
      <c r="B23"/>
      <c r="C23"/>
      <c r="D23"/>
      <c r="E23"/>
      <c r="F23"/>
      <c r="G23"/>
      <c r="H23"/>
      <c r="I23"/>
    </row>
    <row r="24" spans="1:9" x14ac:dyDescent="0.25">
      <c r="A24"/>
      <c r="B24"/>
      <c r="C24"/>
      <c r="D24"/>
      <c r="E24"/>
      <c r="F24"/>
      <c r="G24"/>
      <c r="H24"/>
      <c r="I24"/>
    </row>
    <row r="25" spans="1:9" x14ac:dyDescent="0.25">
      <c r="A25"/>
      <c r="B25"/>
      <c r="C25"/>
      <c r="D25"/>
      <c r="E25"/>
      <c r="F25"/>
      <c r="G25"/>
      <c r="H25"/>
      <c r="I25"/>
    </row>
    <row r="26" spans="1:9" x14ac:dyDescent="0.25">
      <c r="A26"/>
      <c r="B26"/>
      <c r="C26"/>
      <c r="D26"/>
      <c r="E26"/>
      <c r="F26"/>
      <c r="G26"/>
      <c r="H26"/>
      <c r="I26"/>
    </row>
    <row r="27" spans="1:9" x14ac:dyDescent="0.25">
      <c r="A27"/>
      <c r="B27"/>
      <c r="C27"/>
      <c r="D27"/>
      <c r="E27"/>
      <c r="F27"/>
      <c r="G27"/>
      <c r="H27"/>
      <c r="I27"/>
    </row>
    <row r="28" spans="1:9" x14ac:dyDescent="0.25">
      <c r="A28"/>
      <c r="B28"/>
      <c r="C28"/>
      <c r="D28"/>
      <c r="E28"/>
      <c r="F28"/>
      <c r="G28"/>
      <c r="H28"/>
      <c r="I28"/>
    </row>
  </sheetData>
  <mergeCells count="50">
    <mergeCell ref="L9:M9"/>
    <mergeCell ref="L10:M10"/>
    <mergeCell ref="D9:E9"/>
    <mergeCell ref="F9:G9"/>
    <mergeCell ref="F10:G10"/>
    <mergeCell ref="H10:I10"/>
    <mergeCell ref="H9:I9"/>
    <mergeCell ref="J9:K9"/>
    <mergeCell ref="J10:K10"/>
    <mergeCell ref="D10:E10"/>
    <mergeCell ref="D11:E11"/>
    <mergeCell ref="F11:G11"/>
    <mergeCell ref="H11:I11"/>
    <mergeCell ref="J11:K11"/>
    <mergeCell ref="L11:M11"/>
    <mergeCell ref="L13:M13"/>
    <mergeCell ref="D13:E13"/>
    <mergeCell ref="F13:G13"/>
    <mergeCell ref="H13:I13"/>
    <mergeCell ref="J13:K13"/>
    <mergeCell ref="L14:M14"/>
    <mergeCell ref="A9:C9"/>
    <mergeCell ref="A10:C10"/>
    <mergeCell ref="A11:C11"/>
    <mergeCell ref="A12:C12"/>
    <mergeCell ref="A13:C13"/>
    <mergeCell ref="A14:C14"/>
    <mergeCell ref="D14:E14"/>
    <mergeCell ref="F14:G14"/>
    <mergeCell ref="H14:I14"/>
    <mergeCell ref="J14:K14"/>
    <mergeCell ref="D12:E12"/>
    <mergeCell ref="F12:G12"/>
    <mergeCell ref="H12:I12"/>
    <mergeCell ref="J12:K12"/>
    <mergeCell ref="L12:M12"/>
    <mergeCell ref="L8:M8"/>
    <mergeCell ref="A1:J1"/>
    <mergeCell ref="A3:D3"/>
    <mergeCell ref="A4:B4"/>
    <mergeCell ref="A5:B5"/>
    <mergeCell ref="A6:B6"/>
    <mergeCell ref="C4:D4"/>
    <mergeCell ref="C5:D5"/>
    <mergeCell ref="C6:D6"/>
    <mergeCell ref="A8:C8"/>
    <mergeCell ref="D8:E8"/>
    <mergeCell ref="F8:G8"/>
    <mergeCell ref="H8:I8"/>
    <mergeCell ref="J8:K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5EA7-5B54-416A-BCF7-CDA248479AE7}">
  <dimension ref="A1:K30"/>
  <sheetViews>
    <sheetView showGridLines="0" workbookViewId="0">
      <selection activeCell="E30" sqref="E30"/>
    </sheetView>
  </sheetViews>
  <sheetFormatPr baseColWidth="10" defaultRowHeight="15" x14ac:dyDescent="0.25"/>
  <cols>
    <col min="1" max="16384" width="11.42578125" style="3"/>
  </cols>
  <sheetData>
    <row r="1" spans="1:11" ht="19.5" x14ac:dyDescent="0.35">
      <c r="A1" s="50" t="s">
        <v>46</v>
      </c>
      <c r="B1" s="50"/>
      <c r="C1" s="50"/>
      <c r="D1" s="50"/>
      <c r="E1" s="50"/>
      <c r="F1" s="50"/>
      <c r="G1" s="50"/>
      <c r="H1" s="50"/>
      <c r="I1" s="50"/>
      <c r="J1" s="50"/>
      <c r="K1" s="50"/>
    </row>
    <row r="3" spans="1:11" ht="15.75" x14ac:dyDescent="0.3">
      <c r="A3" s="4" t="s">
        <v>47</v>
      </c>
      <c r="B3" s="81" t="s">
        <v>48</v>
      </c>
      <c r="C3" s="81"/>
      <c r="D3" s="81" t="s">
        <v>49</v>
      </c>
      <c r="E3" s="81"/>
      <c r="F3" s="81" t="s">
        <v>50</v>
      </c>
      <c r="G3" s="81"/>
      <c r="H3" s="81" t="s">
        <v>51</v>
      </c>
      <c r="I3" s="81"/>
      <c r="J3" s="81" t="s">
        <v>52</v>
      </c>
      <c r="K3" s="81"/>
    </row>
    <row r="4" spans="1:11" x14ac:dyDescent="0.25">
      <c r="A4" s="6">
        <v>1</v>
      </c>
      <c r="B4" s="76">
        <f>Datos!C5</f>
        <v>95000</v>
      </c>
      <c r="C4" s="76"/>
      <c r="D4" s="76">
        <f>H4-F4</f>
        <v>7387.0396727899151</v>
      </c>
      <c r="E4" s="76"/>
      <c r="F4" s="76">
        <f>B4*$I$16</f>
        <v>1187.5</v>
      </c>
      <c r="G4" s="76"/>
      <c r="H4" s="76">
        <f>$B$4*(($I$16)/(1-(1+$I$16)^(-12)))</f>
        <v>8574.5396727899151</v>
      </c>
      <c r="I4" s="76"/>
      <c r="J4" s="76">
        <f>B4-D4</f>
        <v>87612.960327210079</v>
      </c>
      <c r="K4" s="76"/>
    </row>
    <row r="5" spans="1:11" x14ac:dyDescent="0.25">
      <c r="A5" s="5">
        <v>2</v>
      </c>
      <c r="B5" s="95">
        <f>J4</f>
        <v>87612.960327210079</v>
      </c>
      <c r="C5" s="95"/>
      <c r="D5" s="95">
        <f t="shared" ref="D5:D15" si="0">H5-F5</f>
        <v>7479.377668699789</v>
      </c>
      <c r="E5" s="95"/>
      <c r="F5" s="95">
        <f>B5*$I$16</f>
        <v>1095.1620040901259</v>
      </c>
      <c r="G5" s="95"/>
      <c r="H5" s="95">
        <f t="shared" ref="H5:H15" si="1">$B$4*(($I$16)/(1-(1+$I$16)^(-12)))</f>
        <v>8574.5396727899151</v>
      </c>
      <c r="I5" s="95"/>
      <c r="J5" s="95">
        <f t="shared" ref="J5:J15" si="2">B5-D5</f>
        <v>80133.582658510291</v>
      </c>
      <c r="K5" s="95"/>
    </row>
    <row r="6" spans="1:11" x14ac:dyDescent="0.25">
      <c r="A6" s="6">
        <v>3</v>
      </c>
      <c r="B6" s="76">
        <f t="shared" ref="B6:B15" si="3">J5</f>
        <v>80133.582658510291</v>
      </c>
      <c r="C6" s="76"/>
      <c r="D6" s="76">
        <f t="shared" si="0"/>
        <v>7572.8698895585367</v>
      </c>
      <c r="E6" s="76"/>
      <c r="F6" s="76">
        <f t="shared" ref="F6:F15" si="4">B6*$I$16</f>
        <v>1001.6697832313786</v>
      </c>
      <c r="G6" s="76"/>
      <c r="H6" s="76">
        <f t="shared" si="1"/>
        <v>8574.5396727899151</v>
      </c>
      <c r="I6" s="76"/>
      <c r="J6" s="76">
        <f t="shared" si="2"/>
        <v>72560.712768951751</v>
      </c>
      <c r="K6" s="76"/>
    </row>
    <row r="7" spans="1:11" x14ac:dyDescent="0.25">
      <c r="A7" s="5">
        <v>4</v>
      </c>
      <c r="B7" s="95">
        <f t="shared" si="3"/>
        <v>72560.712768951751</v>
      </c>
      <c r="C7" s="95"/>
      <c r="D7" s="95">
        <f t="shared" si="0"/>
        <v>7667.5307631780179</v>
      </c>
      <c r="E7" s="95"/>
      <c r="F7" s="95">
        <f t="shared" si="4"/>
        <v>907.0089096118968</v>
      </c>
      <c r="G7" s="95"/>
      <c r="H7" s="95">
        <f t="shared" si="1"/>
        <v>8574.5396727899151</v>
      </c>
      <c r="I7" s="95"/>
      <c r="J7" s="95">
        <f t="shared" si="2"/>
        <v>64893.182005773735</v>
      </c>
      <c r="K7" s="95"/>
    </row>
    <row r="8" spans="1:11" x14ac:dyDescent="0.25">
      <c r="A8" s="6">
        <v>5</v>
      </c>
      <c r="B8" s="76">
        <f t="shared" si="3"/>
        <v>64893.182005773735</v>
      </c>
      <c r="C8" s="76"/>
      <c r="D8" s="76">
        <f t="shared" si="0"/>
        <v>7763.3748977177438</v>
      </c>
      <c r="E8" s="76"/>
      <c r="F8" s="76">
        <f t="shared" si="4"/>
        <v>811.16477507217166</v>
      </c>
      <c r="G8" s="76"/>
      <c r="H8" s="76">
        <f t="shared" si="1"/>
        <v>8574.5396727899151</v>
      </c>
      <c r="I8" s="76"/>
      <c r="J8" s="76">
        <f t="shared" si="2"/>
        <v>57129.807108055989</v>
      </c>
      <c r="K8" s="76"/>
    </row>
    <row r="9" spans="1:11" x14ac:dyDescent="0.25">
      <c r="A9" s="5">
        <v>6</v>
      </c>
      <c r="B9" s="95">
        <f t="shared" si="3"/>
        <v>57129.807108055989</v>
      </c>
      <c r="C9" s="95"/>
      <c r="D9" s="95">
        <f t="shared" si="0"/>
        <v>7860.4170839392154</v>
      </c>
      <c r="E9" s="95"/>
      <c r="F9" s="95">
        <f t="shared" si="4"/>
        <v>714.1225888506998</v>
      </c>
      <c r="G9" s="95"/>
      <c r="H9" s="95">
        <f t="shared" si="1"/>
        <v>8574.5396727899151</v>
      </c>
      <c r="I9" s="95"/>
      <c r="J9" s="95">
        <f t="shared" si="2"/>
        <v>49269.390024116772</v>
      </c>
      <c r="K9" s="95"/>
    </row>
    <row r="10" spans="1:11" x14ac:dyDescent="0.25">
      <c r="A10" s="6">
        <v>7</v>
      </c>
      <c r="B10" s="76">
        <f t="shared" si="3"/>
        <v>49269.390024116772</v>
      </c>
      <c r="C10" s="76"/>
      <c r="D10" s="76">
        <f t="shared" si="0"/>
        <v>7958.672297488456</v>
      </c>
      <c r="E10" s="76"/>
      <c r="F10" s="76">
        <f t="shared" si="4"/>
        <v>615.86737530145956</v>
      </c>
      <c r="G10" s="76"/>
      <c r="H10" s="76">
        <f t="shared" si="1"/>
        <v>8574.5396727899151</v>
      </c>
      <c r="I10" s="76"/>
      <c r="J10" s="76">
        <f t="shared" si="2"/>
        <v>41310.717726628318</v>
      </c>
      <c r="K10" s="76"/>
    </row>
    <row r="11" spans="1:11" x14ac:dyDescent="0.25">
      <c r="A11" s="5">
        <v>8</v>
      </c>
      <c r="B11" s="95">
        <f t="shared" si="3"/>
        <v>41310.717726628318</v>
      </c>
      <c r="C11" s="95"/>
      <c r="D11" s="95">
        <f t="shared" si="0"/>
        <v>8058.1557012070607</v>
      </c>
      <c r="E11" s="95"/>
      <c r="F11" s="95">
        <f t="shared" si="4"/>
        <v>516.38397158285397</v>
      </c>
      <c r="G11" s="95"/>
      <c r="H11" s="95">
        <f t="shared" si="1"/>
        <v>8574.5396727899151</v>
      </c>
      <c r="I11" s="95"/>
      <c r="J11" s="95">
        <f t="shared" si="2"/>
        <v>33252.562025421255</v>
      </c>
      <c r="K11" s="95"/>
    </row>
    <row r="12" spans="1:11" x14ac:dyDescent="0.25">
      <c r="A12" s="6">
        <v>9</v>
      </c>
      <c r="B12" s="76">
        <f t="shared" si="3"/>
        <v>33252.562025421255</v>
      </c>
      <c r="C12" s="76"/>
      <c r="D12" s="76">
        <f t="shared" si="0"/>
        <v>8158.8826474721491</v>
      </c>
      <c r="E12" s="76"/>
      <c r="F12" s="76">
        <f t="shared" si="4"/>
        <v>415.65702531776566</v>
      </c>
      <c r="G12" s="76"/>
      <c r="H12" s="76">
        <f t="shared" si="1"/>
        <v>8574.5396727899151</v>
      </c>
      <c r="I12" s="76"/>
      <c r="J12" s="76">
        <f t="shared" si="2"/>
        <v>25093.679377949105</v>
      </c>
      <c r="K12" s="76"/>
    </row>
    <row r="13" spans="1:11" x14ac:dyDescent="0.25">
      <c r="A13" s="5">
        <v>10</v>
      </c>
      <c r="B13" s="95">
        <f t="shared" si="3"/>
        <v>25093.679377949105</v>
      </c>
      <c r="C13" s="95"/>
      <c r="D13" s="95">
        <f t="shared" si="0"/>
        <v>8260.8686805655507</v>
      </c>
      <c r="E13" s="95"/>
      <c r="F13" s="95">
        <f t="shared" si="4"/>
        <v>313.67099222436377</v>
      </c>
      <c r="G13" s="95"/>
      <c r="H13" s="95">
        <f t="shared" si="1"/>
        <v>8574.5396727899151</v>
      </c>
      <c r="I13" s="95"/>
      <c r="J13" s="95">
        <f t="shared" si="2"/>
        <v>16832.810697383553</v>
      </c>
      <c r="K13" s="95"/>
    </row>
    <row r="14" spans="1:11" x14ac:dyDescent="0.25">
      <c r="A14" s="6">
        <v>11</v>
      </c>
      <c r="B14" s="76">
        <f t="shared" si="3"/>
        <v>16832.810697383553</v>
      </c>
      <c r="C14" s="76"/>
      <c r="D14" s="76">
        <f t="shared" si="0"/>
        <v>8364.1295390726209</v>
      </c>
      <c r="E14" s="76"/>
      <c r="F14" s="76">
        <f t="shared" si="4"/>
        <v>210.4101337172944</v>
      </c>
      <c r="G14" s="76"/>
      <c r="H14" s="76">
        <f t="shared" si="1"/>
        <v>8574.5396727899151</v>
      </c>
      <c r="I14" s="76"/>
      <c r="J14" s="76">
        <f t="shared" si="2"/>
        <v>8468.681158310932</v>
      </c>
      <c r="K14" s="76"/>
    </row>
    <row r="15" spans="1:11" x14ac:dyDescent="0.25">
      <c r="A15" s="5">
        <v>12</v>
      </c>
      <c r="B15" s="95">
        <f t="shared" si="3"/>
        <v>8468.681158310932</v>
      </c>
      <c r="C15" s="95"/>
      <c r="D15" s="95">
        <f t="shared" si="0"/>
        <v>8468.6811583110284</v>
      </c>
      <c r="E15" s="95"/>
      <c r="F15" s="95">
        <f t="shared" si="4"/>
        <v>105.85851447888665</v>
      </c>
      <c r="G15" s="95"/>
      <c r="H15" s="95">
        <f t="shared" si="1"/>
        <v>8574.5396727899151</v>
      </c>
      <c r="I15" s="95"/>
      <c r="J15" s="95">
        <f t="shared" si="2"/>
        <v>-9.6406438387930393E-11</v>
      </c>
      <c r="K15" s="95"/>
    </row>
    <row r="16" spans="1:11" x14ac:dyDescent="0.25">
      <c r="A16" s="96" t="s">
        <v>53</v>
      </c>
      <c r="B16" s="96"/>
      <c r="C16" s="96"/>
      <c r="D16" s="7">
        <v>0.15</v>
      </c>
      <c r="F16" s="96" t="s">
        <v>54</v>
      </c>
      <c r="G16" s="96"/>
      <c r="H16" s="96"/>
      <c r="I16" s="8">
        <f>D16*(30/360)</f>
        <v>1.2499999999999999E-2</v>
      </c>
    </row>
    <row r="18" spans="1:9" x14ac:dyDescent="0.25">
      <c r="A18" s="1"/>
      <c r="B18" s="1"/>
      <c r="C18" s="1"/>
      <c r="D18" s="1"/>
      <c r="E18" s="1"/>
      <c r="F18" s="1"/>
      <c r="G18" s="1"/>
      <c r="H18" s="1"/>
      <c r="I18" s="1"/>
    </row>
    <row r="19" spans="1:9" x14ac:dyDescent="0.25">
      <c r="A19"/>
      <c r="B19"/>
      <c r="C19"/>
      <c r="D19"/>
      <c r="E19"/>
      <c r="F19"/>
      <c r="G19"/>
      <c r="H19"/>
      <c r="I19"/>
    </row>
    <row r="20" spans="1:9" x14ac:dyDescent="0.25">
      <c r="A20"/>
      <c r="B20"/>
      <c r="C20"/>
      <c r="D20"/>
      <c r="E20"/>
      <c r="F20"/>
      <c r="G20"/>
      <c r="H20"/>
      <c r="I20"/>
    </row>
    <row r="21" spans="1:9" x14ac:dyDescent="0.25">
      <c r="A21"/>
      <c r="B21"/>
      <c r="C21"/>
      <c r="D21"/>
      <c r="E21"/>
      <c r="F21"/>
      <c r="G21"/>
      <c r="H21"/>
      <c r="I21"/>
    </row>
    <row r="22" spans="1:9" x14ac:dyDescent="0.25">
      <c r="A22"/>
      <c r="B22"/>
      <c r="C22"/>
      <c r="D22"/>
      <c r="E22"/>
      <c r="F22"/>
      <c r="G22"/>
      <c r="H22"/>
      <c r="I22"/>
    </row>
    <row r="23" spans="1:9" x14ac:dyDescent="0.25">
      <c r="A23"/>
      <c r="B23"/>
      <c r="C23"/>
      <c r="D23"/>
      <c r="E23"/>
      <c r="F23"/>
      <c r="G23"/>
      <c r="H23"/>
      <c r="I23"/>
    </row>
    <row r="24" spans="1:9" x14ac:dyDescent="0.25">
      <c r="A24"/>
      <c r="B24"/>
      <c r="C24"/>
      <c r="D24"/>
      <c r="E24"/>
      <c r="F24"/>
      <c r="G24"/>
      <c r="H24"/>
      <c r="I24"/>
    </row>
    <row r="25" spans="1:9" x14ac:dyDescent="0.25">
      <c r="A25"/>
      <c r="B25"/>
      <c r="C25"/>
      <c r="D25"/>
      <c r="E25"/>
      <c r="F25"/>
      <c r="G25"/>
      <c r="H25"/>
      <c r="I25"/>
    </row>
    <row r="26" spans="1:9" x14ac:dyDescent="0.25">
      <c r="A26"/>
      <c r="B26"/>
      <c r="C26"/>
      <c r="D26"/>
      <c r="E26"/>
      <c r="F26"/>
      <c r="G26"/>
      <c r="H26"/>
      <c r="I26"/>
    </row>
    <row r="27" spans="1:9" x14ac:dyDescent="0.25">
      <c r="A27"/>
      <c r="B27"/>
      <c r="C27"/>
      <c r="D27"/>
      <c r="E27"/>
      <c r="F27"/>
      <c r="G27"/>
      <c r="H27"/>
      <c r="I27"/>
    </row>
    <row r="28" spans="1:9" x14ac:dyDescent="0.25">
      <c r="A28"/>
      <c r="B28"/>
      <c r="C28"/>
      <c r="D28"/>
      <c r="E28"/>
      <c r="F28"/>
      <c r="G28"/>
      <c r="H28"/>
      <c r="I28"/>
    </row>
    <row r="29" spans="1:9" x14ac:dyDescent="0.25">
      <c r="A29"/>
      <c r="B29"/>
      <c r="C29"/>
      <c r="D29"/>
      <c r="E29"/>
      <c r="F29"/>
      <c r="G29"/>
      <c r="H29"/>
      <c r="I29"/>
    </row>
    <row r="30" spans="1:9" x14ac:dyDescent="0.25">
      <c r="A30"/>
      <c r="B30"/>
      <c r="C30"/>
      <c r="D30"/>
      <c r="E30"/>
      <c r="F30"/>
      <c r="G30"/>
      <c r="H30"/>
      <c r="I30"/>
    </row>
  </sheetData>
  <mergeCells count="68">
    <mergeCell ref="A16:C16"/>
    <mergeCell ref="F16:H16"/>
    <mergeCell ref="J10:K10"/>
    <mergeCell ref="J11:K11"/>
    <mergeCell ref="J12:K12"/>
    <mergeCell ref="J13:K13"/>
    <mergeCell ref="J14:K14"/>
    <mergeCell ref="J15:K15"/>
    <mergeCell ref="F10:G10"/>
    <mergeCell ref="F11:G11"/>
    <mergeCell ref="F12:G12"/>
    <mergeCell ref="F13:G13"/>
    <mergeCell ref="F14:G14"/>
    <mergeCell ref="F15:G15"/>
    <mergeCell ref="B10:C10"/>
    <mergeCell ref="B11:C11"/>
    <mergeCell ref="J4:K4"/>
    <mergeCell ref="J5:K5"/>
    <mergeCell ref="J6:K6"/>
    <mergeCell ref="J7:K7"/>
    <mergeCell ref="J8:K8"/>
    <mergeCell ref="J9:K9"/>
    <mergeCell ref="H9:I9"/>
    <mergeCell ref="H8:I8"/>
    <mergeCell ref="H7:I7"/>
    <mergeCell ref="H6:I6"/>
    <mergeCell ref="H5:I5"/>
    <mergeCell ref="H4:I4"/>
    <mergeCell ref="H15:I15"/>
    <mergeCell ref="H14:I14"/>
    <mergeCell ref="H13:I13"/>
    <mergeCell ref="H12:I12"/>
    <mergeCell ref="H11:I11"/>
    <mergeCell ref="H10:I10"/>
    <mergeCell ref="F4:G4"/>
    <mergeCell ref="F5:G5"/>
    <mergeCell ref="F6:G6"/>
    <mergeCell ref="F7:G7"/>
    <mergeCell ref="F8:G8"/>
    <mergeCell ref="F9:G9"/>
    <mergeCell ref="D9:E9"/>
    <mergeCell ref="D8:E8"/>
    <mergeCell ref="D7:E7"/>
    <mergeCell ref="D6:E6"/>
    <mergeCell ref="D5:E5"/>
    <mergeCell ref="D4:E4"/>
    <mergeCell ref="D15:E15"/>
    <mergeCell ref="D14:E14"/>
    <mergeCell ref="D13:E13"/>
    <mergeCell ref="D12:E12"/>
    <mergeCell ref="D11:E11"/>
    <mergeCell ref="D10:E10"/>
    <mergeCell ref="B12:C12"/>
    <mergeCell ref="B13:C13"/>
    <mergeCell ref="B14:C14"/>
    <mergeCell ref="B15:C15"/>
    <mergeCell ref="B4:C4"/>
    <mergeCell ref="B5:C5"/>
    <mergeCell ref="B6:C6"/>
    <mergeCell ref="B7:C7"/>
    <mergeCell ref="B8:C8"/>
    <mergeCell ref="B9:C9"/>
    <mergeCell ref="A1:K1"/>
    <mergeCell ref="B3:C3"/>
    <mergeCell ref="D3:E3"/>
    <mergeCell ref="F3:G3"/>
    <mergeCell ref="H3:I3"/>
    <mergeCell ref="J3: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CD6F-4998-4ED2-BA2A-697AE845EF5D}">
  <dimension ref="A1:N34"/>
  <sheetViews>
    <sheetView showGridLines="0" topLeftCell="A4" workbookViewId="0">
      <selection activeCell="G34" sqref="G34"/>
    </sheetView>
  </sheetViews>
  <sheetFormatPr baseColWidth="10" defaultRowHeight="15" x14ac:dyDescent="0.25"/>
  <cols>
    <col min="1" max="1" width="3.5703125" style="3" customWidth="1"/>
    <col min="2" max="16384" width="11.42578125" style="3"/>
  </cols>
  <sheetData>
    <row r="1" spans="1:14" ht="19.5" x14ac:dyDescent="0.35">
      <c r="A1" s="50" t="s">
        <v>59</v>
      </c>
      <c r="B1" s="50"/>
      <c r="C1" s="50"/>
      <c r="D1" s="50"/>
      <c r="E1" s="50"/>
      <c r="F1" s="50"/>
      <c r="G1" s="50"/>
      <c r="H1" s="50"/>
      <c r="I1" s="50"/>
      <c r="J1" s="50"/>
      <c r="K1" s="50"/>
      <c r="L1" s="50"/>
      <c r="M1" s="50"/>
      <c r="N1" s="50"/>
    </row>
    <row r="3" spans="1:14" ht="15.75" x14ac:dyDescent="0.3">
      <c r="A3" s="51" t="s">
        <v>60</v>
      </c>
      <c r="B3" s="51"/>
      <c r="C3" s="51"/>
      <c r="D3" s="51"/>
      <c r="E3" s="51"/>
      <c r="F3" s="51"/>
      <c r="G3" s="51"/>
      <c r="H3" s="51"/>
      <c r="I3" s="51"/>
      <c r="J3" s="51"/>
      <c r="K3" s="51"/>
      <c r="L3" s="51"/>
      <c r="M3" s="51"/>
      <c r="N3" s="51"/>
    </row>
    <row r="4" spans="1:14" ht="15.75" x14ac:dyDescent="0.3">
      <c r="A4" s="51" t="s">
        <v>61</v>
      </c>
      <c r="B4" s="51"/>
      <c r="C4" s="51"/>
      <c r="D4" s="51"/>
      <c r="E4" s="51"/>
      <c r="F4" s="51"/>
      <c r="G4" s="51"/>
      <c r="H4" s="51"/>
      <c r="I4" s="51"/>
      <c r="J4" s="51"/>
      <c r="K4" s="51"/>
      <c r="L4" s="51"/>
      <c r="M4" s="51"/>
      <c r="N4" s="51"/>
    </row>
    <row r="5" spans="1:14" ht="15.75" x14ac:dyDescent="0.3">
      <c r="A5" s="51" t="s">
        <v>26</v>
      </c>
      <c r="B5" s="51"/>
      <c r="C5" s="51"/>
      <c r="D5" s="51"/>
      <c r="E5" s="51"/>
      <c r="F5" s="51"/>
      <c r="G5" s="51"/>
      <c r="H5" s="51"/>
      <c r="I5" s="51"/>
      <c r="J5" s="51"/>
      <c r="K5" s="51"/>
      <c r="L5" s="51"/>
      <c r="M5" s="51"/>
      <c r="N5" s="51"/>
    </row>
    <row r="6" spans="1:14" ht="15.75" x14ac:dyDescent="0.3">
      <c r="A6" s="11"/>
      <c r="B6" s="56"/>
      <c r="C6" s="56"/>
      <c r="D6" s="12"/>
      <c r="E6" s="72">
        <v>2018</v>
      </c>
      <c r="F6" s="72"/>
      <c r="G6" s="72">
        <v>2019</v>
      </c>
      <c r="H6" s="72"/>
      <c r="I6" s="72">
        <v>2020</v>
      </c>
      <c r="J6" s="72"/>
      <c r="K6" s="72">
        <v>2021</v>
      </c>
      <c r="L6" s="72"/>
      <c r="M6" s="72">
        <v>2022</v>
      </c>
      <c r="N6" s="72"/>
    </row>
    <row r="7" spans="1:14" x14ac:dyDescent="0.25">
      <c r="A7" s="10"/>
      <c r="B7" s="59" t="s">
        <v>63</v>
      </c>
      <c r="C7" s="59"/>
      <c r="D7" s="59"/>
      <c r="E7" s="53">
        <f>Datos!C12*Datos!C13*12</f>
        <v>1224000</v>
      </c>
      <c r="F7" s="53"/>
      <c r="G7" s="53">
        <f>Datos!D20</f>
        <v>1272960</v>
      </c>
      <c r="H7" s="53"/>
      <c r="I7" s="53">
        <f>Datos!F20</f>
        <v>1321920</v>
      </c>
      <c r="J7" s="53"/>
      <c r="K7" s="53">
        <f>Datos!H20</f>
        <v>1370880</v>
      </c>
      <c r="L7" s="53"/>
      <c r="M7" s="53">
        <f>Datos!J20</f>
        <v>1419840</v>
      </c>
      <c r="N7" s="53"/>
    </row>
    <row r="8" spans="1:14" x14ac:dyDescent="0.25">
      <c r="A8" s="11" t="s">
        <v>62</v>
      </c>
      <c r="B8" s="62" t="s">
        <v>64</v>
      </c>
      <c r="C8" s="62"/>
      <c r="D8" s="62"/>
      <c r="E8" s="55">
        <v>0</v>
      </c>
      <c r="F8" s="55"/>
      <c r="G8" s="55">
        <v>0</v>
      </c>
      <c r="H8" s="55"/>
      <c r="I8" s="55">
        <v>0</v>
      </c>
      <c r="J8" s="55"/>
      <c r="K8" s="55">
        <v>0</v>
      </c>
      <c r="L8" s="55"/>
      <c r="M8" s="55">
        <v>0</v>
      </c>
      <c r="N8" s="55"/>
    </row>
    <row r="9" spans="1:14" x14ac:dyDescent="0.25">
      <c r="A9" s="9" t="s">
        <v>65</v>
      </c>
      <c r="B9" s="59" t="s">
        <v>66</v>
      </c>
      <c r="C9" s="59"/>
      <c r="D9" s="59"/>
      <c r="E9" s="53">
        <f>E7</f>
        <v>1224000</v>
      </c>
      <c r="F9" s="53"/>
      <c r="G9" s="53">
        <f>G7</f>
        <v>1272960</v>
      </c>
      <c r="H9" s="53"/>
      <c r="I9" s="53">
        <f>I7</f>
        <v>1321920</v>
      </c>
      <c r="J9" s="53"/>
      <c r="K9" s="53">
        <f>K7</f>
        <v>1370880</v>
      </c>
      <c r="L9" s="53"/>
      <c r="M9" s="53">
        <f>M7</f>
        <v>1419840</v>
      </c>
      <c r="N9" s="53"/>
    </row>
    <row r="10" spans="1:14" x14ac:dyDescent="0.25">
      <c r="A10" s="11" t="s">
        <v>62</v>
      </c>
      <c r="B10" s="62" t="s">
        <v>19</v>
      </c>
      <c r="C10" s="62"/>
      <c r="D10" s="62"/>
      <c r="E10" s="55">
        <f>Datos!C14</f>
        <v>295000</v>
      </c>
      <c r="F10" s="55"/>
      <c r="G10" s="55">
        <f>E10</f>
        <v>295000</v>
      </c>
      <c r="H10" s="55"/>
      <c r="I10" s="55">
        <f>E10</f>
        <v>295000</v>
      </c>
      <c r="J10" s="55"/>
      <c r="K10" s="55">
        <f>E10</f>
        <v>295000</v>
      </c>
      <c r="L10" s="55"/>
      <c r="M10" s="55">
        <f>'Presupuesto De Ventas'!C5</f>
        <v>295000</v>
      </c>
      <c r="N10" s="55"/>
    </row>
    <row r="11" spans="1:14" x14ac:dyDescent="0.25">
      <c r="A11" s="9" t="s">
        <v>62</v>
      </c>
      <c r="B11" s="59" t="s">
        <v>67</v>
      </c>
      <c r="C11" s="59"/>
      <c r="D11" s="59"/>
      <c r="E11" s="53">
        <f>SUM(Datos!G6:H8)</f>
        <v>133750</v>
      </c>
      <c r="F11" s="53"/>
      <c r="G11" s="53">
        <f>E11</f>
        <v>133750</v>
      </c>
      <c r="H11" s="53"/>
      <c r="I11" s="53">
        <f>E11</f>
        <v>133750</v>
      </c>
      <c r="J11" s="53"/>
      <c r="K11" s="53">
        <f>E11</f>
        <v>133750</v>
      </c>
      <c r="L11" s="53"/>
      <c r="M11" s="53">
        <f>'Estado de Resultados'!E11</f>
        <v>133750</v>
      </c>
      <c r="N11" s="53"/>
    </row>
    <row r="12" spans="1:14" x14ac:dyDescent="0.25">
      <c r="A12" s="11" t="s">
        <v>62</v>
      </c>
      <c r="B12" s="62" t="s">
        <v>49</v>
      </c>
      <c r="C12" s="62"/>
      <c r="D12" s="62"/>
      <c r="E12" s="98">
        <v>0</v>
      </c>
      <c r="F12" s="98"/>
      <c r="G12" s="98">
        <f>E12</f>
        <v>0</v>
      </c>
      <c r="H12" s="98"/>
      <c r="I12" s="98">
        <f>G12</f>
        <v>0</v>
      </c>
      <c r="J12" s="98"/>
      <c r="K12" s="98">
        <f>E12</f>
        <v>0</v>
      </c>
      <c r="L12" s="98"/>
      <c r="M12" s="98">
        <f>E12</f>
        <v>0</v>
      </c>
      <c r="N12" s="98"/>
    </row>
    <row r="13" spans="1:14" x14ac:dyDescent="0.25">
      <c r="A13" s="9" t="s">
        <v>65</v>
      </c>
      <c r="B13" s="59" t="s">
        <v>68</v>
      </c>
      <c r="C13" s="59"/>
      <c r="D13" s="59"/>
      <c r="E13" s="53">
        <f>E9-(E10+E11+E12)</f>
        <v>795250</v>
      </c>
      <c r="F13" s="53"/>
      <c r="G13" s="53">
        <f>G9-(G10+G11+G12)</f>
        <v>844210</v>
      </c>
      <c r="H13" s="53"/>
      <c r="I13" s="53">
        <f>I9-(I10+I11+I12)</f>
        <v>893170</v>
      </c>
      <c r="J13" s="53"/>
      <c r="K13" s="53">
        <f>K9-(K10+K11+K12)</f>
        <v>942130</v>
      </c>
      <c r="L13" s="53"/>
      <c r="M13" s="53">
        <f>M9-(M10+M11+M12)</f>
        <v>991090</v>
      </c>
      <c r="N13" s="53"/>
    </row>
    <row r="14" spans="1:14" x14ac:dyDescent="0.25">
      <c r="A14" s="11" t="s">
        <v>62</v>
      </c>
      <c r="B14" s="62" t="s">
        <v>69</v>
      </c>
      <c r="C14" s="62"/>
      <c r="D14" s="62"/>
      <c r="E14" s="55">
        <f>Datos!C15</f>
        <v>410000</v>
      </c>
      <c r="F14" s="55"/>
      <c r="G14" s="55">
        <f>Datos!D22</f>
        <v>426400</v>
      </c>
      <c r="H14" s="55"/>
      <c r="I14" s="55">
        <f>Datos!F22</f>
        <v>442800</v>
      </c>
      <c r="J14" s="55"/>
      <c r="K14" s="55">
        <f>Datos!H22</f>
        <v>459200</v>
      </c>
      <c r="L14" s="55"/>
      <c r="M14" s="55">
        <f>Datos!J22</f>
        <v>475600</v>
      </c>
      <c r="N14" s="55"/>
    </row>
    <row r="15" spans="1:14" x14ac:dyDescent="0.25">
      <c r="A15" s="9" t="s">
        <v>62</v>
      </c>
      <c r="B15" s="59" t="s">
        <v>70</v>
      </c>
      <c r="C15" s="59"/>
      <c r="D15" s="59"/>
      <c r="E15" s="53">
        <f>Datos!C16</f>
        <v>39500</v>
      </c>
      <c r="F15" s="53"/>
      <c r="G15" s="53">
        <f>Datos!D23</f>
        <v>41080</v>
      </c>
      <c r="H15" s="53"/>
      <c r="I15" s="53">
        <f>Datos!F23</f>
        <v>42660</v>
      </c>
      <c r="J15" s="53"/>
      <c r="K15" s="53">
        <f>Datos!H23</f>
        <v>44240</v>
      </c>
      <c r="L15" s="53"/>
      <c r="M15" s="53">
        <f>Datos!J23</f>
        <v>45820</v>
      </c>
      <c r="N15" s="53"/>
    </row>
    <row r="16" spans="1:14" x14ac:dyDescent="0.25">
      <c r="A16" s="11" t="s">
        <v>65</v>
      </c>
      <c r="B16" s="62" t="s">
        <v>71</v>
      </c>
      <c r="C16" s="62"/>
      <c r="D16" s="62"/>
      <c r="E16" s="55">
        <f>E13-(E14+E15)</f>
        <v>345750</v>
      </c>
      <c r="F16" s="55"/>
      <c r="G16" s="55">
        <f>G13-(G14+G15)</f>
        <v>376730</v>
      </c>
      <c r="H16" s="55"/>
      <c r="I16" s="55">
        <f>I13-(I14+I15)</f>
        <v>407710</v>
      </c>
      <c r="J16" s="55"/>
      <c r="K16" s="55">
        <f>K13-(K14+K15)</f>
        <v>438690</v>
      </c>
      <c r="L16" s="55"/>
      <c r="M16" s="55">
        <f>M13-(M14+M15)</f>
        <v>469670</v>
      </c>
      <c r="N16" s="55"/>
    </row>
    <row r="17" spans="1:14" x14ac:dyDescent="0.25">
      <c r="A17" s="9" t="s">
        <v>62</v>
      </c>
      <c r="B17" s="59" t="s">
        <v>72</v>
      </c>
      <c r="C17" s="59"/>
      <c r="D17" s="59"/>
      <c r="E17" s="53">
        <f>SUM('Tabla de Amortizacion'!F4:G15)</f>
        <v>7894.4760734788961</v>
      </c>
      <c r="F17" s="53"/>
      <c r="G17" s="97">
        <f>IF(FNE!I4&lt;0,(-1)*FNE!I4*15%,0)</f>
        <v>0</v>
      </c>
      <c r="H17" s="97"/>
      <c r="I17" s="97">
        <f>IF(FNE!I5&lt;0,(-1)*FNE!I5*15%,0)</f>
        <v>0</v>
      </c>
      <c r="J17" s="97"/>
      <c r="K17" s="53">
        <f>IF(FNE!I6&lt;0,(-1)*FNE!#REF!*15%,0)</f>
        <v>0</v>
      </c>
      <c r="L17" s="53"/>
      <c r="M17" s="53">
        <f>IF(FNE!I7&lt;0,FNE!I7*(-1)*15%,0)</f>
        <v>0</v>
      </c>
      <c r="N17" s="53"/>
    </row>
    <row r="18" spans="1:14" x14ac:dyDescent="0.25">
      <c r="A18" s="11" t="s">
        <v>65</v>
      </c>
      <c r="B18" s="65" t="s">
        <v>73</v>
      </c>
      <c r="C18" s="65"/>
      <c r="D18" s="65"/>
      <c r="E18" s="55">
        <f>E16-E17</f>
        <v>337855.52392652113</v>
      </c>
      <c r="F18" s="55"/>
      <c r="G18" s="55">
        <f>G16-G17</f>
        <v>376730</v>
      </c>
      <c r="H18" s="55"/>
      <c r="I18" s="55">
        <f>I16-I17</f>
        <v>407710</v>
      </c>
      <c r="J18" s="55"/>
      <c r="K18" s="55">
        <f>K16-K17</f>
        <v>438690</v>
      </c>
      <c r="L18" s="55"/>
      <c r="M18" s="55">
        <f>M16-M17</f>
        <v>469670</v>
      </c>
      <c r="N18" s="55"/>
    </row>
    <row r="19" spans="1:14" x14ac:dyDescent="0.25">
      <c r="A19" s="9" t="s">
        <v>62</v>
      </c>
      <c r="B19" s="59" t="s">
        <v>74</v>
      </c>
      <c r="C19" s="59"/>
      <c r="D19" s="59"/>
      <c r="E19" s="53">
        <v>0</v>
      </c>
      <c r="F19" s="53"/>
      <c r="G19" s="53">
        <v>0</v>
      </c>
      <c r="H19" s="53"/>
      <c r="I19" s="53">
        <v>0</v>
      </c>
      <c r="J19" s="53"/>
      <c r="K19" s="53">
        <v>0</v>
      </c>
      <c r="L19" s="53"/>
      <c r="M19" s="53">
        <v>0</v>
      </c>
      <c r="N19" s="53"/>
    </row>
    <row r="20" spans="1:14" ht="15.75" x14ac:dyDescent="0.3">
      <c r="A20" s="13" t="s">
        <v>65</v>
      </c>
      <c r="B20" s="64" t="s">
        <v>75</v>
      </c>
      <c r="C20" s="64"/>
      <c r="D20" s="64"/>
      <c r="E20" s="99">
        <f>E18</f>
        <v>337855.52392652113</v>
      </c>
      <c r="F20" s="99"/>
      <c r="G20" s="99">
        <f>G18</f>
        <v>376730</v>
      </c>
      <c r="H20" s="99"/>
      <c r="I20" s="99">
        <f>I18</f>
        <v>407710</v>
      </c>
      <c r="J20" s="99"/>
      <c r="K20" s="99">
        <f>K18</f>
        <v>438690</v>
      </c>
      <c r="L20" s="99"/>
      <c r="M20" s="99">
        <f>M18</f>
        <v>469670</v>
      </c>
      <c r="N20" s="99"/>
    </row>
    <row r="22" spans="1:14" x14ac:dyDescent="0.25">
      <c r="B22" s="1"/>
      <c r="C22" s="1"/>
      <c r="D22" s="1"/>
      <c r="E22" s="1"/>
      <c r="F22" s="1"/>
      <c r="G22" s="1"/>
      <c r="H22" s="1"/>
      <c r="I22" s="1"/>
      <c r="J22" s="1"/>
    </row>
    <row r="23" spans="1:14" x14ac:dyDescent="0.25">
      <c r="B23"/>
      <c r="C23"/>
      <c r="D23"/>
      <c r="E23"/>
      <c r="F23"/>
      <c r="G23"/>
      <c r="H23"/>
      <c r="I23"/>
      <c r="J23"/>
    </row>
    <row r="24" spans="1:14" x14ac:dyDescent="0.25">
      <c r="B24"/>
      <c r="C24"/>
      <c r="D24"/>
      <c r="E24"/>
      <c r="F24"/>
      <c r="G24"/>
      <c r="H24"/>
      <c r="I24"/>
      <c r="J24"/>
    </row>
    <row r="25" spans="1:14" x14ac:dyDescent="0.25">
      <c r="B25"/>
      <c r="C25"/>
      <c r="D25"/>
      <c r="E25"/>
      <c r="F25"/>
      <c r="G25"/>
      <c r="H25"/>
      <c r="I25"/>
      <c r="J25"/>
    </row>
    <row r="26" spans="1:14" x14ac:dyDescent="0.25">
      <c r="B26"/>
      <c r="C26"/>
      <c r="D26"/>
      <c r="E26"/>
      <c r="F26"/>
      <c r="G26"/>
      <c r="H26"/>
      <c r="I26"/>
      <c r="J26"/>
    </row>
    <row r="27" spans="1:14" x14ac:dyDescent="0.25">
      <c r="B27"/>
      <c r="C27"/>
      <c r="D27"/>
      <c r="E27"/>
      <c r="F27"/>
      <c r="G27"/>
      <c r="H27"/>
      <c r="I27"/>
      <c r="J27"/>
    </row>
    <row r="28" spans="1:14" x14ac:dyDescent="0.25">
      <c r="B28"/>
      <c r="C28"/>
      <c r="D28"/>
      <c r="E28"/>
      <c r="F28"/>
      <c r="G28"/>
      <c r="H28"/>
      <c r="I28"/>
      <c r="J28"/>
    </row>
    <row r="29" spans="1:14" x14ac:dyDescent="0.25">
      <c r="B29"/>
      <c r="C29"/>
      <c r="D29"/>
      <c r="E29"/>
      <c r="F29"/>
      <c r="G29"/>
      <c r="H29"/>
      <c r="I29"/>
      <c r="J29"/>
    </row>
    <row r="30" spans="1:14" x14ac:dyDescent="0.25">
      <c r="B30"/>
      <c r="C30"/>
      <c r="D30"/>
      <c r="E30"/>
      <c r="F30"/>
      <c r="G30"/>
      <c r="H30"/>
      <c r="I30"/>
      <c r="J30"/>
    </row>
    <row r="31" spans="1:14" x14ac:dyDescent="0.25">
      <c r="B31"/>
      <c r="C31"/>
      <c r="D31"/>
      <c r="E31"/>
      <c r="F31"/>
      <c r="G31"/>
      <c r="H31"/>
      <c r="I31"/>
      <c r="J31"/>
    </row>
    <row r="32" spans="1:14" x14ac:dyDescent="0.25">
      <c r="B32"/>
      <c r="C32"/>
      <c r="D32"/>
      <c r="E32"/>
      <c r="F32"/>
      <c r="G32"/>
      <c r="H32"/>
      <c r="I32"/>
      <c r="J32"/>
    </row>
    <row r="33" spans="2:10" x14ac:dyDescent="0.25">
      <c r="B33"/>
      <c r="C33"/>
      <c r="D33"/>
      <c r="E33"/>
      <c r="F33"/>
      <c r="G33"/>
      <c r="H33"/>
      <c r="I33"/>
      <c r="J33"/>
    </row>
    <row r="34" spans="2:10" x14ac:dyDescent="0.25">
      <c r="B34"/>
      <c r="C34"/>
      <c r="D34"/>
      <c r="E34"/>
      <c r="F34"/>
      <c r="G34"/>
      <c r="H34"/>
      <c r="I34"/>
      <c r="J34"/>
    </row>
  </sheetData>
  <mergeCells count="94">
    <mergeCell ref="B12:D12"/>
    <mergeCell ref="E12:F12"/>
    <mergeCell ref="G12:H12"/>
    <mergeCell ref="I12:J12"/>
    <mergeCell ref="K12:L12"/>
    <mergeCell ref="B6:C6"/>
    <mergeCell ref="G6:H6"/>
    <mergeCell ref="I6:J6"/>
    <mergeCell ref="K6:L6"/>
    <mergeCell ref="A1:N1"/>
    <mergeCell ref="M6:N6"/>
    <mergeCell ref="A5:N5"/>
    <mergeCell ref="A4:N4"/>
    <mergeCell ref="A3:N3"/>
    <mergeCell ref="E6:F6"/>
    <mergeCell ref="B11:D11"/>
    <mergeCell ref="G8:H8"/>
    <mergeCell ref="G7:H7"/>
    <mergeCell ref="I7:J7"/>
    <mergeCell ref="K7:L7"/>
    <mergeCell ref="B7:D7"/>
    <mergeCell ref="B8:D8"/>
    <mergeCell ref="B9:D9"/>
    <mergeCell ref="B10:D10"/>
    <mergeCell ref="M7:N7"/>
    <mergeCell ref="M8:N8"/>
    <mergeCell ref="M9:N9"/>
    <mergeCell ref="M10:N10"/>
    <mergeCell ref="I8:J8"/>
    <mergeCell ref="K8:L8"/>
    <mergeCell ref="K9:L9"/>
    <mergeCell ref="K10:L10"/>
    <mergeCell ref="B19:D19"/>
    <mergeCell ref="B20:D20"/>
    <mergeCell ref="E7:F7"/>
    <mergeCell ref="E8:F8"/>
    <mergeCell ref="E9:F9"/>
    <mergeCell ref="E10:F10"/>
    <mergeCell ref="E11:F11"/>
    <mergeCell ref="E13:F13"/>
    <mergeCell ref="E14:F14"/>
    <mergeCell ref="E15:F15"/>
    <mergeCell ref="B13:D13"/>
    <mergeCell ref="B14:D14"/>
    <mergeCell ref="B15:D15"/>
    <mergeCell ref="B16:D16"/>
    <mergeCell ref="B17:D17"/>
    <mergeCell ref="B18:D18"/>
    <mergeCell ref="G20:H20"/>
    <mergeCell ref="G19:H19"/>
    <mergeCell ref="G18:H18"/>
    <mergeCell ref="G17:H17"/>
    <mergeCell ref="G16:H16"/>
    <mergeCell ref="E16:F16"/>
    <mergeCell ref="E17:F17"/>
    <mergeCell ref="E18:F18"/>
    <mergeCell ref="E19:F19"/>
    <mergeCell ref="E20:F20"/>
    <mergeCell ref="I20:J20"/>
    <mergeCell ref="K20:L20"/>
    <mergeCell ref="M20:N20"/>
    <mergeCell ref="M18:N18"/>
    <mergeCell ref="M19:N19"/>
    <mergeCell ref="K19:L19"/>
    <mergeCell ref="I19:J19"/>
    <mergeCell ref="M13:N13"/>
    <mergeCell ref="G15:H15"/>
    <mergeCell ref="G14:H14"/>
    <mergeCell ref="G13:H13"/>
    <mergeCell ref="G11:H11"/>
    <mergeCell ref="M12:N12"/>
    <mergeCell ref="M11:N11"/>
    <mergeCell ref="M14:N14"/>
    <mergeCell ref="M15:N15"/>
    <mergeCell ref="K15:L15"/>
    <mergeCell ref="K14:L14"/>
    <mergeCell ref="K13:L13"/>
    <mergeCell ref="K11:L11"/>
    <mergeCell ref="M16:N16"/>
    <mergeCell ref="M17:N17"/>
    <mergeCell ref="K18:L18"/>
    <mergeCell ref="K17:L17"/>
    <mergeCell ref="K16:L16"/>
    <mergeCell ref="I16:J16"/>
    <mergeCell ref="I17:J17"/>
    <mergeCell ref="I18:J18"/>
    <mergeCell ref="G9:H9"/>
    <mergeCell ref="I9:J9"/>
    <mergeCell ref="I10:J10"/>
    <mergeCell ref="I11:J11"/>
    <mergeCell ref="I13:J13"/>
    <mergeCell ref="G10:H10"/>
    <mergeCell ref="I14:J14"/>
    <mergeCell ref="I15:J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C84A-D99B-4D7C-9261-DCFBA5E2C00A}">
  <dimension ref="A1:L20"/>
  <sheetViews>
    <sheetView showGridLines="0" workbookViewId="0">
      <selection activeCell="I4" sqref="I4:J4"/>
    </sheetView>
  </sheetViews>
  <sheetFormatPr baseColWidth="10" defaultRowHeight="15" x14ac:dyDescent="0.25"/>
  <cols>
    <col min="1" max="16384" width="11.42578125" style="14"/>
  </cols>
  <sheetData>
    <row r="1" spans="1:12" ht="19.5" x14ac:dyDescent="0.35">
      <c r="A1" s="100" t="s">
        <v>77</v>
      </c>
      <c r="B1" s="100"/>
      <c r="C1" s="100"/>
      <c r="D1" s="100"/>
      <c r="E1" s="100"/>
      <c r="F1" s="100"/>
      <c r="G1" s="100"/>
      <c r="H1" s="100"/>
      <c r="I1" s="100"/>
      <c r="J1" s="100"/>
      <c r="K1" s="100"/>
      <c r="L1" s="100"/>
    </row>
    <row r="3" spans="1:12" ht="15.75" x14ac:dyDescent="0.3">
      <c r="A3" s="84" t="s">
        <v>86</v>
      </c>
      <c r="B3" s="84"/>
      <c r="C3" s="84" t="s">
        <v>125</v>
      </c>
      <c r="D3" s="84"/>
      <c r="E3" s="84" t="s">
        <v>126</v>
      </c>
      <c r="F3" s="84"/>
      <c r="G3" s="84" t="s">
        <v>78</v>
      </c>
      <c r="H3" s="84"/>
      <c r="I3" s="84" t="s">
        <v>107</v>
      </c>
      <c r="J3" s="84"/>
    </row>
    <row r="4" spans="1:12" x14ac:dyDescent="0.25">
      <c r="A4" s="75">
        <v>2018</v>
      </c>
      <c r="B4" s="75"/>
      <c r="C4" s="77">
        <f>'Estado de Resultados'!E20</f>
        <v>337855.52392652113</v>
      </c>
      <c r="D4" s="75"/>
      <c r="E4" s="77">
        <f>'Estado de Resultados'!E11:F11</f>
        <v>133750</v>
      </c>
      <c r="F4" s="75"/>
      <c r="G4" s="77">
        <f>Datos!C5</f>
        <v>95000</v>
      </c>
      <c r="H4" s="75"/>
      <c r="I4" s="77">
        <f>(C4+E4-G4)+Datos!C11</f>
        <v>426605.52392652113</v>
      </c>
      <c r="J4" s="75"/>
    </row>
    <row r="5" spans="1:12" x14ac:dyDescent="0.25">
      <c r="A5" s="101">
        <v>2019</v>
      </c>
      <c r="B5" s="101"/>
      <c r="C5" s="86">
        <f>'Estado de Resultados'!G20</f>
        <v>376730</v>
      </c>
      <c r="D5" s="86"/>
      <c r="E5" s="86">
        <f>'Estado de Resultados'!G11</f>
        <v>133750</v>
      </c>
      <c r="F5" s="86"/>
      <c r="G5" s="86">
        <f>IF(I4&lt;0,(-1)*I4,0)</f>
        <v>0</v>
      </c>
      <c r="H5" s="86"/>
      <c r="I5" s="86">
        <f>(C5+E5-G5)+I4</f>
        <v>937085.52392652119</v>
      </c>
      <c r="J5" s="86"/>
    </row>
    <row r="6" spans="1:12" x14ac:dyDescent="0.25">
      <c r="A6" s="102">
        <v>2020</v>
      </c>
      <c r="B6" s="102"/>
      <c r="C6" s="77">
        <f>'Estado de Resultados'!I20</f>
        <v>407710</v>
      </c>
      <c r="D6" s="77"/>
      <c r="E6" s="77">
        <f>'Estado de Resultados'!I11</f>
        <v>133750</v>
      </c>
      <c r="F6" s="77"/>
      <c r="G6" s="77">
        <f>IF(I5&lt;0,(-1)*I5,0)</f>
        <v>0</v>
      </c>
      <c r="H6" s="77"/>
      <c r="I6" s="77">
        <f>(C6+E6-G6)+I5</f>
        <v>1478545.5239265212</v>
      </c>
      <c r="J6" s="77"/>
    </row>
    <row r="7" spans="1:12" x14ac:dyDescent="0.25">
      <c r="A7" s="103">
        <v>2021</v>
      </c>
      <c r="B7" s="103"/>
      <c r="C7" s="86">
        <f>'Estado de Resultados'!K20</f>
        <v>438690</v>
      </c>
      <c r="D7" s="86"/>
      <c r="E7" s="86">
        <f>'Estado de Resultados'!K11</f>
        <v>133750</v>
      </c>
      <c r="F7" s="86"/>
      <c r="G7" s="86">
        <f>IF(I6&lt;0,(-1)*I6,0)</f>
        <v>0</v>
      </c>
      <c r="H7" s="86"/>
      <c r="I7" s="86">
        <f>(C7+E7+-G7)+I6</f>
        <v>2050985.5239265212</v>
      </c>
      <c r="J7" s="86"/>
    </row>
    <row r="8" spans="1:12" x14ac:dyDescent="0.25">
      <c r="A8" s="102">
        <v>2022</v>
      </c>
      <c r="B8" s="102"/>
      <c r="C8" s="77">
        <f>'Estado de Resultados'!M20</f>
        <v>469670</v>
      </c>
      <c r="D8" s="77"/>
      <c r="E8" s="77">
        <f>'Estado de Resultados'!M11</f>
        <v>133750</v>
      </c>
      <c r="F8" s="77"/>
      <c r="G8" s="77">
        <f>IF(I7&lt;0,(-1)*I7,0)</f>
        <v>0</v>
      </c>
      <c r="H8" s="77"/>
      <c r="I8" s="77">
        <f>(C8+E8-G8)+((C7+E7-G7)+I6)</f>
        <v>2654405.5239265212</v>
      </c>
      <c r="J8" s="77"/>
    </row>
    <row r="10" spans="1:12" x14ac:dyDescent="0.25">
      <c r="A10" s="3"/>
      <c r="B10" s="3"/>
      <c r="C10" s="3"/>
      <c r="D10" s="3"/>
      <c r="E10" s="3"/>
      <c r="F10" s="3"/>
      <c r="G10" s="3"/>
      <c r="H10" s="3"/>
      <c r="I10" s="3"/>
    </row>
    <row r="11" spans="1:12" x14ac:dyDescent="0.25">
      <c r="A11" s="3"/>
      <c r="B11" s="3"/>
      <c r="C11" s="3"/>
      <c r="D11" s="3"/>
      <c r="E11" s="3"/>
      <c r="F11" s="3"/>
      <c r="G11" s="3"/>
      <c r="H11" s="3"/>
      <c r="I11" s="3"/>
    </row>
    <row r="12" spans="1:12" x14ac:dyDescent="0.25">
      <c r="A12" s="3"/>
      <c r="B12" s="3"/>
      <c r="C12" s="3"/>
      <c r="D12" s="3"/>
      <c r="E12" s="3"/>
      <c r="F12" s="3"/>
      <c r="G12" s="3"/>
      <c r="H12" s="3"/>
      <c r="I12" s="3"/>
    </row>
    <row r="13" spans="1:12" x14ac:dyDescent="0.25">
      <c r="A13" s="3"/>
      <c r="B13" s="3"/>
      <c r="C13" s="3"/>
      <c r="D13" s="3"/>
      <c r="E13" s="3"/>
      <c r="F13" s="3"/>
      <c r="G13" s="3"/>
      <c r="H13" s="3"/>
      <c r="I13" s="3"/>
    </row>
    <row r="14" spans="1:12" x14ac:dyDescent="0.25">
      <c r="A14" s="3"/>
      <c r="B14" s="3"/>
      <c r="C14" s="3"/>
      <c r="D14" s="3"/>
      <c r="E14" s="3"/>
      <c r="F14" s="3"/>
      <c r="G14" s="3"/>
      <c r="H14" s="3"/>
      <c r="I14" s="3"/>
    </row>
    <row r="15" spans="1:12" x14ac:dyDescent="0.25">
      <c r="A15" s="3"/>
      <c r="B15" s="3"/>
      <c r="C15" s="3"/>
      <c r="D15" s="3"/>
      <c r="E15" s="3"/>
      <c r="F15" s="3"/>
      <c r="G15" s="3"/>
      <c r="H15" s="3"/>
      <c r="I15" s="3"/>
    </row>
    <row r="16" spans="1:12"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sheetData>
  <mergeCells count="31">
    <mergeCell ref="A7:B7"/>
    <mergeCell ref="C7:D7"/>
    <mergeCell ref="A8:B8"/>
    <mergeCell ref="C8:D8"/>
    <mergeCell ref="E8:F8"/>
    <mergeCell ref="G8:H8"/>
    <mergeCell ref="I8:J8"/>
    <mergeCell ref="E7:F7"/>
    <mergeCell ref="G7:H7"/>
    <mergeCell ref="I7:J7"/>
    <mergeCell ref="G5:H5"/>
    <mergeCell ref="I5:J5"/>
    <mergeCell ref="I6:J6"/>
    <mergeCell ref="E5:F5"/>
    <mergeCell ref="E6:F6"/>
    <mergeCell ref="A1:L1"/>
    <mergeCell ref="A4:B4"/>
    <mergeCell ref="A5:B5"/>
    <mergeCell ref="A6:B6"/>
    <mergeCell ref="A3:B3"/>
    <mergeCell ref="C3:D3"/>
    <mergeCell ref="E3:F3"/>
    <mergeCell ref="G3:H3"/>
    <mergeCell ref="I3:J3"/>
    <mergeCell ref="I4:J4"/>
    <mergeCell ref="E4:F4"/>
    <mergeCell ref="G4:H4"/>
    <mergeCell ref="C6:D6"/>
    <mergeCell ref="C5:D5"/>
    <mergeCell ref="C4:D4"/>
    <mergeCell ref="G6:H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5A4E-0AC7-4787-8DD5-62E9EA9EB2CC}">
  <dimension ref="A1:K43"/>
  <sheetViews>
    <sheetView showGridLines="0" topLeftCell="A22" workbookViewId="0">
      <selection activeCell="A21" sqref="A21:E21"/>
    </sheetView>
  </sheetViews>
  <sheetFormatPr baseColWidth="10" defaultRowHeight="15" x14ac:dyDescent="0.25"/>
  <cols>
    <col min="1" max="16384" width="11.42578125" style="3"/>
  </cols>
  <sheetData>
    <row r="1" spans="1:11" ht="19.5" x14ac:dyDescent="0.35">
      <c r="A1" s="50" t="s">
        <v>79</v>
      </c>
      <c r="B1" s="50"/>
      <c r="C1" s="50"/>
      <c r="D1" s="50"/>
      <c r="E1" s="50"/>
      <c r="F1" s="50"/>
      <c r="G1" s="50"/>
      <c r="H1" s="50"/>
      <c r="I1" s="50"/>
      <c r="J1" s="50"/>
      <c r="K1" s="50"/>
    </row>
    <row r="3" spans="1:11" ht="15.75" x14ac:dyDescent="0.3">
      <c r="A3" s="51" t="s">
        <v>23</v>
      </c>
      <c r="B3" s="51"/>
      <c r="C3" s="51"/>
      <c r="D3" s="51"/>
      <c r="E3" s="51"/>
      <c r="F3" s="51"/>
      <c r="G3" s="51"/>
      <c r="H3" s="51"/>
      <c r="I3" s="51"/>
      <c r="J3" s="51"/>
      <c r="K3" s="51"/>
    </row>
    <row r="4" spans="1:11" ht="15.75" x14ac:dyDescent="0.3">
      <c r="A4" s="51" t="s">
        <v>24</v>
      </c>
      <c r="B4" s="51"/>
      <c r="C4" s="51"/>
      <c r="D4" s="51"/>
      <c r="E4" s="51"/>
      <c r="F4" s="51"/>
      <c r="G4" s="51"/>
      <c r="H4" s="51"/>
      <c r="I4" s="51"/>
      <c r="J4" s="51"/>
      <c r="K4" s="51"/>
    </row>
    <row r="5" spans="1:11" ht="15.75" x14ac:dyDescent="0.3">
      <c r="A5" s="51" t="s">
        <v>80</v>
      </c>
      <c r="B5" s="51"/>
      <c r="C5" s="51"/>
      <c r="D5" s="51"/>
      <c r="E5" s="51"/>
      <c r="F5" s="51"/>
      <c r="G5" s="51"/>
      <c r="H5" s="51"/>
      <c r="I5" s="51"/>
      <c r="J5" s="51"/>
      <c r="K5" s="51"/>
    </row>
    <row r="6" spans="1:11" ht="15.75" x14ac:dyDescent="0.3">
      <c r="A6" s="51" t="s">
        <v>26</v>
      </c>
      <c r="B6" s="51"/>
      <c r="C6" s="51"/>
      <c r="D6" s="51"/>
      <c r="E6" s="51"/>
      <c r="F6" s="51"/>
      <c r="G6" s="51"/>
      <c r="H6" s="51"/>
      <c r="I6" s="51"/>
      <c r="J6" s="51"/>
      <c r="K6" s="51"/>
    </row>
    <row r="8" spans="1:11" ht="15.75" x14ac:dyDescent="0.3">
      <c r="A8" s="73" t="s">
        <v>27</v>
      </c>
      <c r="B8" s="73"/>
      <c r="C8" s="73"/>
      <c r="D8" s="73"/>
      <c r="E8" s="73"/>
      <c r="G8" s="81" t="s">
        <v>38</v>
      </c>
      <c r="H8" s="81"/>
      <c r="I8" s="81"/>
      <c r="J8" s="81"/>
      <c r="K8" s="81"/>
    </row>
    <row r="9" spans="1:11" ht="15.75" x14ac:dyDescent="0.3">
      <c r="A9" s="74" t="s">
        <v>28</v>
      </c>
      <c r="B9" s="74"/>
      <c r="C9" s="74"/>
      <c r="D9" s="74"/>
      <c r="E9" s="74"/>
      <c r="G9" s="83" t="s">
        <v>39</v>
      </c>
      <c r="H9" s="83"/>
      <c r="I9" s="83"/>
      <c r="J9" s="83"/>
      <c r="K9" s="83"/>
    </row>
    <row r="10" spans="1:11" x14ac:dyDescent="0.25">
      <c r="A10" s="75" t="s">
        <v>16</v>
      </c>
      <c r="B10" s="75"/>
      <c r="C10" s="75"/>
      <c r="D10" s="76">
        <f>IF(FNE!I8&gt;0,FNE!I8,0)</f>
        <v>2654405.5239265212</v>
      </c>
      <c r="E10" s="76"/>
      <c r="G10" s="75" t="s">
        <v>78</v>
      </c>
      <c r="H10" s="75"/>
      <c r="I10" s="75"/>
      <c r="J10" s="76">
        <f>IF(FNE!I8&lt;0,(-1)*FNE!I8,0)</f>
        <v>0</v>
      </c>
      <c r="K10" s="76"/>
    </row>
    <row r="11" spans="1:11" ht="15.75" x14ac:dyDescent="0.3">
      <c r="A11" s="72" t="s">
        <v>29</v>
      </c>
      <c r="B11" s="72"/>
      <c r="C11" s="72"/>
      <c r="D11" s="55">
        <f>D10</f>
        <v>2654405.5239265212</v>
      </c>
      <c r="E11" s="56"/>
      <c r="G11" s="72" t="s">
        <v>41</v>
      </c>
      <c r="H11" s="72"/>
      <c r="I11" s="72"/>
      <c r="J11" s="55">
        <f>J10</f>
        <v>0</v>
      </c>
      <c r="K11" s="56"/>
    </row>
    <row r="13" spans="1:11" ht="15.75" x14ac:dyDescent="0.3">
      <c r="A13" s="74" t="s">
        <v>30</v>
      </c>
      <c r="B13" s="74"/>
      <c r="C13" s="74"/>
      <c r="D13" s="74"/>
      <c r="E13" s="74"/>
      <c r="G13" s="81" t="s">
        <v>42</v>
      </c>
      <c r="H13" s="85"/>
      <c r="I13" s="85"/>
      <c r="J13" s="86">
        <f>J11</f>
        <v>0</v>
      </c>
      <c r="K13" s="85"/>
    </row>
    <row r="14" spans="1:11" ht="15.75" x14ac:dyDescent="0.3">
      <c r="A14" s="57" t="s">
        <v>31</v>
      </c>
      <c r="B14" s="57"/>
      <c r="C14" s="57"/>
      <c r="D14" s="57"/>
      <c r="E14" s="57"/>
    </row>
    <row r="15" spans="1:11" ht="15.75" x14ac:dyDescent="0.3">
      <c r="A15" s="78" t="s">
        <v>32</v>
      </c>
      <c r="B15" s="78"/>
      <c r="C15" s="78"/>
      <c r="D15" s="79">
        <f>Datos!C6</f>
        <v>362500</v>
      </c>
      <c r="E15" s="78"/>
      <c r="G15" s="81" t="s">
        <v>43</v>
      </c>
      <c r="H15" s="81"/>
      <c r="I15" s="81"/>
      <c r="J15" s="81"/>
      <c r="K15" s="81"/>
    </row>
    <row r="16" spans="1:11" x14ac:dyDescent="0.25">
      <c r="A16" s="75" t="s">
        <v>67</v>
      </c>
      <c r="B16" s="75"/>
      <c r="C16" s="75"/>
      <c r="D16" s="77">
        <f>Datos!G6*5</f>
        <v>163125</v>
      </c>
      <c r="E16" s="75"/>
      <c r="G16" s="75" t="s">
        <v>9</v>
      </c>
      <c r="H16" s="75"/>
      <c r="I16" s="75"/>
      <c r="J16" s="77">
        <f>Datos!C4</f>
        <v>855000</v>
      </c>
      <c r="K16" s="75"/>
    </row>
    <row r="17" spans="1:11" x14ac:dyDescent="0.25">
      <c r="A17" s="78" t="s">
        <v>12</v>
      </c>
      <c r="B17" s="78"/>
      <c r="C17" s="78"/>
      <c r="D17" s="79">
        <f>Datos!C7</f>
        <v>217500</v>
      </c>
      <c r="E17" s="78"/>
      <c r="G17" s="78" t="s">
        <v>81</v>
      </c>
      <c r="H17" s="78"/>
      <c r="I17" s="78"/>
      <c r="J17" s="79">
        <f>'Estado de Resultados'!E20+'Estado de Resultados'!G20+'Estado de Resultados'!I20+'Estado de Resultados'!K20+'Estado de Resultados'!M20</f>
        <v>2030655.5239265212</v>
      </c>
      <c r="K17" s="78"/>
    </row>
    <row r="18" spans="1:11" ht="15.75" x14ac:dyDescent="0.3">
      <c r="A18" s="75" t="s">
        <v>67</v>
      </c>
      <c r="B18" s="75"/>
      <c r="C18" s="75"/>
      <c r="D18" s="77">
        <f>Datos!G7*5</f>
        <v>290000</v>
      </c>
      <c r="E18" s="75"/>
      <c r="G18" s="72" t="s">
        <v>44</v>
      </c>
      <c r="H18" s="72"/>
      <c r="I18" s="72"/>
      <c r="J18" s="55">
        <f>J16+J17</f>
        <v>2885655.5239265212</v>
      </c>
      <c r="K18" s="56"/>
    </row>
    <row r="19" spans="1:11" x14ac:dyDescent="0.25">
      <c r="A19" s="78" t="s">
        <v>33</v>
      </c>
      <c r="B19" s="78"/>
      <c r="C19" s="78"/>
      <c r="D19" s="79">
        <f>Datos!C8</f>
        <v>287000</v>
      </c>
      <c r="E19" s="78"/>
    </row>
    <row r="20" spans="1:11" ht="15.75" x14ac:dyDescent="0.3">
      <c r="A20" s="75" t="s">
        <v>67</v>
      </c>
      <c r="B20" s="75"/>
      <c r="C20" s="75"/>
      <c r="D20" s="77">
        <f>Datos!G8*5</f>
        <v>215625</v>
      </c>
      <c r="E20" s="75"/>
      <c r="G20" s="81" t="s">
        <v>45</v>
      </c>
      <c r="H20" s="81"/>
      <c r="I20" s="81"/>
      <c r="J20" s="84">
        <f>J11+J18</f>
        <v>2885655.5239265212</v>
      </c>
      <c r="K20" s="81"/>
    </row>
    <row r="21" spans="1:11" ht="15.75" x14ac:dyDescent="0.3">
      <c r="A21" s="57" t="s">
        <v>34</v>
      </c>
      <c r="B21" s="57"/>
      <c r="C21" s="57"/>
      <c r="D21" s="57"/>
      <c r="E21" s="57"/>
    </row>
    <row r="22" spans="1:11" x14ac:dyDescent="0.25">
      <c r="A22" s="78" t="s">
        <v>14</v>
      </c>
      <c r="B22" s="78"/>
      <c r="C22" s="78"/>
      <c r="D22" s="79">
        <f>Datos!C9</f>
        <v>25000</v>
      </c>
      <c r="E22" s="78"/>
    </row>
    <row r="23" spans="1:11" x14ac:dyDescent="0.25">
      <c r="A23" s="75" t="s">
        <v>49</v>
      </c>
      <c r="B23" s="75"/>
      <c r="C23" s="75"/>
      <c r="D23" s="77">
        <v>0</v>
      </c>
      <c r="E23" s="75"/>
    </row>
    <row r="24" spans="1:11" x14ac:dyDescent="0.25">
      <c r="A24" s="78" t="s">
        <v>35</v>
      </c>
      <c r="B24" s="78"/>
      <c r="C24" s="78"/>
      <c r="D24" s="79">
        <f>Datos!C10</f>
        <v>8000</v>
      </c>
      <c r="E24" s="78"/>
    </row>
    <row r="25" spans="1:11" x14ac:dyDescent="0.25">
      <c r="A25" s="75" t="s">
        <v>49</v>
      </c>
      <c r="B25" s="75"/>
      <c r="C25" s="75"/>
      <c r="D25" s="77">
        <v>0</v>
      </c>
      <c r="E25" s="75"/>
    </row>
    <row r="27" spans="1:11" x14ac:dyDescent="0.25">
      <c r="A27" s="80" t="s">
        <v>36</v>
      </c>
      <c r="B27" s="80"/>
      <c r="C27" s="80"/>
      <c r="D27" s="55">
        <f>D15+D17+D19+D22+D24-(D16+D18+D20+D23+D25)</f>
        <v>231250</v>
      </c>
      <c r="E27" s="56"/>
    </row>
    <row r="29" spans="1:11" ht="15.75" x14ac:dyDescent="0.3">
      <c r="A29" s="81" t="s">
        <v>37</v>
      </c>
      <c r="B29" s="81"/>
      <c r="C29" s="81"/>
      <c r="D29" s="82">
        <f>D11+D27</f>
        <v>2885655.5239265212</v>
      </c>
      <c r="E29" s="82"/>
    </row>
    <row r="31" spans="1:11" x14ac:dyDescent="0.25">
      <c r="A31" s="1"/>
      <c r="B31" s="1"/>
      <c r="C31" s="1"/>
      <c r="D31" s="1"/>
      <c r="E31" s="1"/>
      <c r="F31" s="1"/>
      <c r="G31" s="1"/>
      <c r="H31" s="1"/>
      <c r="I31" s="1"/>
    </row>
    <row r="32" spans="1:11" x14ac:dyDescent="0.25">
      <c r="A32"/>
      <c r="B32"/>
      <c r="C32"/>
      <c r="D32"/>
      <c r="E32"/>
      <c r="F32"/>
      <c r="G32"/>
      <c r="H32"/>
      <c r="I32"/>
    </row>
    <row r="33" spans="1:9" x14ac:dyDescent="0.25">
      <c r="A33"/>
      <c r="B33"/>
      <c r="C33"/>
      <c r="D33"/>
      <c r="E33"/>
      <c r="F33"/>
      <c r="G33"/>
      <c r="H33"/>
      <c r="I33"/>
    </row>
    <row r="34" spans="1:9" x14ac:dyDescent="0.25">
      <c r="A34"/>
      <c r="B34"/>
      <c r="C34"/>
      <c r="D34"/>
      <c r="E34"/>
      <c r="F34"/>
      <c r="G34"/>
      <c r="H34"/>
      <c r="I34"/>
    </row>
    <row r="35" spans="1:9" x14ac:dyDescent="0.25">
      <c r="A35"/>
      <c r="B35"/>
      <c r="C35"/>
      <c r="D35"/>
      <c r="E35"/>
      <c r="F35"/>
      <c r="G35"/>
      <c r="H35"/>
      <c r="I35"/>
    </row>
    <row r="36" spans="1:9" x14ac:dyDescent="0.25">
      <c r="A36"/>
      <c r="B36"/>
      <c r="C36"/>
      <c r="D36"/>
      <c r="E36"/>
      <c r="F36"/>
      <c r="G36"/>
      <c r="H36"/>
      <c r="I36"/>
    </row>
    <row r="37" spans="1:9" x14ac:dyDescent="0.25">
      <c r="A37"/>
      <c r="B37"/>
      <c r="C37"/>
      <c r="D37"/>
      <c r="E37"/>
      <c r="F37"/>
      <c r="G37"/>
      <c r="H37"/>
      <c r="I37"/>
    </row>
    <row r="38" spans="1:9" x14ac:dyDescent="0.25">
      <c r="A38"/>
      <c r="B38"/>
      <c r="C38"/>
      <c r="D38"/>
      <c r="E38"/>
      <c r="F38"/>
      <c r="G38"/>
      <c r="H38"/>
      <c r="I38"/>
    </row>
    <row r="39" spans="1:9" x14ac:dyDescent="0.25">
      <c r="A39"/>
      <c r="B39"/>
      <c r="C39"/>
      <c r="D39"/>
      <c r="E39"/>
      <c r="F39"/>
      <c r="G39"/>
      <c r="H39"/>
      <c r="I39"/>
    </row>
    <row r="40" spans="1:9" x14ac:dyDescent="0.25">
      <c r="A40"/>
      <c r="B40"/>
      <c r="C40"/>
      <c r="D40"/>
      <c r="E40"/>
      <c r="F40"/>
      <c r="G40"/>
      <c r="H40"/>
      <c r="I40"/>
    </row>
    <row r="41" spans="1:9" x14ac:dyDescent="0.25">
      <c r="A41"/>
      <c r="B41"/>
      <c r="C41"/>
      <c r="D41"/>
      <c r="E41"/>
      <c r="F41"/>
      <c r="G41"/>
      <c r="H41"/>
      <c r="I41"/>
    </row>
    <row r="42" spans="1:9" x14ac:dyDescent="0.25">
      <c r="A42"/>
      <c r="B42"/>
      <c r="C42"/>
      <c r="D42"/>
      <c r="E42"/>
      <c r="F42"/>
      <c r="G42"/>
      <c r="H42"/>
      <c r="I42"/>
    </row>
    <row r="43" spans="1:9" x14ac:dyDescent="0.25">
      <c r="A43"/>
      <c r="B43"/>
      <c r="C43"/>
      <c r="D43"/>
      <c r="E43"/>
      <c r="F43"/>
      <c r="G43"/>
      <c r="H43"/>
      <c r="I43"/>
    </row>
  </sheetData>
  <mergeCells count="55">
    <mergeCell ref="A27:C27"/>
    <mergeCell ref="D27:E27"/>
    <mergeCell ref="A29:C29"/>
    <mergeCell ref="D29:E29"/>
    <mergeCell ref="J17:K17"/>
    <mergeCell ref="A24:C24"/>
    <mergeCell ref="D24:E24"/>
    <mergeCell ref="G20:I20"/>
    <mergeCell ref="J20:K20"/>
    <mergeCell ref="G17:I17"/>
    <mergeCell ref="G18:I18"/>
    <mergeCell ref="J18:K18"/>
    <mergeCell ref="A25:C25"/>
    <mergeCell ref="D25:E25"/>
    <mergeCell ref="D23:E23"/>
    <mergeCell ref="D20:E20"/>
    <mergeCell ref="A18:C18"/>
    <mergeCell ref="A20:C20"/>
    <mergeCell ref="A23:C23"/>
    <mergeCell ref="A22:C22"/>
    <mergeCell ref="D22:E22"/>
    <mergeCell ref="A19:C19"/>
    <mergeCell ref="D19:E19"/>
    <mergeCell ref="A21:E21"/>
    <mergeCell ref="D18:E18"/>
    <mergeCell ref="A14:E14"/>
    <mergeCell ref="A15:C15"/>
    <mergeCell ref="D15:E15"/>
    <mergeCell ref="G15:K15"/>
    <mergeCell ref="A17:C17"/>
    <mergeCell ref="D17:E17"/>
    <mergeCell ref="G16:I16"/>
    <mergeCell ref="J16:K16"/>
    <mergeCell ref="A16:C16"/>
    <mergeCell ref="D16:E16"/>
    <mergeCell ref="A11:C11"/>
    <mergeCell ref="D11:E11"/>
    <mergeCell ref="G11:I11"/>
    <mergeCell ref="J11:K11"/>
    <mergeCell ref="A13:E13"/>
    <mergeCell ref="G13:I13"/>
    <mergeCell ref="J13:K13"/>
    <mergeCell ref="A9:E9"/>
    <mergeCell ref="G9:K9"/>
    <mergeCell ref="A10:C10"/>
    <mergeCell ref="D10:E10"/>
    <mergeCell ref="G10:I10"/>
    <mergeCell ref="J10:K10"/>
    <mergeCell ref="A8:E8"/>
    <mergeCell ref="G8:K8"/>
    <mergeCell ref="A1:K1"/>
    <mergeCell ref="A3:K3"/>
    <mergeCell ref="A4:K4"/>
    <mergeCell ref="A5:K5"/>
    <mergeCell ref="A6:K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Portada</vt:lpstr>
      <vt:lpstr>Fundamentacion</vt:lpstr>
      <vt:lpstr>Datos</vt:lpstr>
      <vt:lpstr>Balance General Inicial</vt:lpstr>
      <vt:lpstr>Presupuesto De Ventas</vt:lpstr>
      <vt:lpstr>Tabla de Amortizacion</vt:lpstr>
      <vt:lpstr>Estado de Resultados</vt:lpstr>
      <vt:lpstr>FNE</vt:lpstr>
      <vt:lpstr>Balance General Final</vt:lpstr>
      <vt:lpstr>Evaluacion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MARIO ALBERTO MIRANDA  SANDOVAL</cp:lastModifiedBy>
  <dcterms:created xsi:type="dcterms:W3CDTF">2019-05-13T20:57:10Z</dcterms:created>
  <dcterms:modified xsi:type="dcterms:W3CDTF">2019-05-26T04:21:52Z</dcterms:modified>
</cp:coreProperties>
</file>