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9040" windowHeight="16440" tabRatio="667" activeTab="1"/>
  </bookViews>
  <sheets>
    <sheet name="A. Investitionsalternativen" sheetId="9" r:id="rId1"/>
    <sheet name="B. Kostenvergleich" sheetId="1" r:id="rId2"/>
    <sheet name="C. Gewinnvergleich" sheetId="2" r:id="rId3"/>
    <sheet name="D. Rentabilitätsvergleich" sheetId="3" r:id="rId4"/>
    <sheet name="E. Amortisation" sheetId="4" r:id="rId5"/>
    <sheet name="F. Kapitalwert" sheetId="5" r:id="rId6"/>
    <sheet name="G. Interner Zinssatz" sheetId="6" r:id="rId7"/>
    <sheet name="H. Annuitäten" sheetId="7" r:id="rId8"/>
    <sheet name="Namen" sheetId="8" r:id="rId9"/>
  </sheets>
  <definedNames>
    <definedName name="B.berAbschreibungenKalkulatorisch1">'B. Kostenvergleich'!$B$12</definedName>
    <definedName name="B.berAbschreibungenKalkulatorisch2">'B. Kostenvergleich'!$C$12</definedName>
    <definedName name="B.berAnschaffungswert1">'B. Kostenvergleich'!$B$6</definedName>
    <definedName name="B.berAnschaffungswert2">'B. Kostenvergleich'!$C$6</definedName>
    <definedName name="B.berAuslastungLE1">'B. Kostenvergleich'!$B$10</definedName>
    <definedName name="B.berAuslastungLE2">'B. Kostenvergleich'!$C$10</definedName>
    <definedName name="B.berJahresgesamtkosten1">'B. Kostenvergleich'!$B$22</definedName>
    <definedName name="B.berJahresgesamtkosten2">'B. Kostenvergleich'!$C$22</definedName>
    <definedName name="B.berNutzungsdauer1">'B. Kostenvergleich'!$B$8</definedName>
    <definedName name="B.berNutzungsdauer2">'B. Kostenvergleich'!$C$8</definedName>
    <definedName name="B.berRestwert1">'B. Kostenvergleich'!$B$9</definedName>
    <definedName name="B.berRestwert2">'B. Kostenvergleich'!$C$9</definedName>
    <definedName name="B.berStückkosten1">'B. Kostenvergleich'!$B$26</definedName>
    <definedName name="B.berStückkosten2">'B. Kostenvergleich'!$C$26</definedName>
    <definedName name="B.berZinsenKalkulatorisch1">'B. Kostenvergleich'!$B$13</definedName>
    <definedName name="B.berZinsenKalkulatorisch2">'B. Kostenvergleich'!$C$13</definedName>
    <definedName name="B.berZinssatzFremdkapital">'B. Kostenvergleich'!$B$3</definedName>
    <definedName name="C.berGewinn1">'C. Gewinnvergleich'!$C$24</definedName>
    <definedName name="C.berGewinn2">'C. Gewinnvergleich'!$D$24</definedName>
    <definedName name="C.berGewinnzuwachs1">'C. Gewinnvergleich'!$C$25</definedName>
    <definedName name="C.berGewinnzuwachs2">'C. Gewinnvergleich'!$D$25</definedName>
    <definedName name="C.berKapitalkosten1">'C. Gewinnvergleich'!$C$13</definedName>
    <definedName name="C.berKapitalkosten2">'C. Gewinnvergleich'!$D$13</definedName>
    <definedName name="D.berRentabilität1">'D. Rentabilitätsvergleich'!$B$6</definedName>
    <definedName name="D.berRentabilität2">'D. Rentabilitätsvergleich'!$C$6</definedName>
    <definedName name="E.berAmortisationszeit1">'E. Amortisation'!$B$11</definedName>
    <definedName name="E.berAmortisationszeit2">'E. Amortisation'!$C$11</definedName>
    <definedName name="F.berEinzahlungen1">'F. Kapitalwert'!$C$6:$C$15</definedName>
    <definedName name="F.berEinzahlungen2">'F. Kapitalwert'!$C$23:$C$32</definedName>
    <definedName name="F.berKapitalwert1">'F. Kapitalwert'!$E$17</definedName>
    <definedName name="F.berKapitalwert2">'F. Kapitalwert'!$E$34</definedName>
    <definedName name="G.berInternerZinssatz1">'G. Interner Zinssatz'!$C$17</definedName>
    <definedName name="G.berInternerZinssatz2">'G. Interner Zinssatz'!$C$34</definedName>
    <definedName name="G.berZinssatzReinvestition1">'G. Interner Zinssatz'!$C$5</definedName>
    <definedName name="H.berAnnuität1">'H. Annuitäten'!$G$4</definedName>
    <definedName name="H.berAnnuität2">'H. Annuitäten'!$G$17</definedName>
    <definedName name="H.berWiedergewinnungsfaktor">'H. Annuitäten'!$B$7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25" i="1"/>
  <c r="G21" i="1"/>
  <c r="G20" i="1"/>
  <c r="G19" i="1"/>
  <c r="G18" i="1"/>
  <c r="G17" i="1"/>
  <c r="G14" i="1"/>
  <c r="G13" i="1"/>
  <c r="G10" i="1"/>
  <c r="G9" i="1"/>
  <c r="G8" i="1"/>
  <c r="G4" i="1"/>
  <c r="E21" i="1"/>
  <c r="E25" i="1" s="1"/>
  <c r="E13" i="1"/>
  <c r="E12" i="1"/>
  <c r="E15" i="1" s="1"/>
  <c r="D21" i="1"/>
  <c r="D25" i="1" s="1"/>
  <c r="D13" i="1"/>
  <c r="D12" i="1"/>
  <c r="D15" i="1" s="1"/>
  <c r="B7" i="7"/>
  <c r="D6" i="5"/>
  <c r="E6" i="5" s="1"/>
  <c r="D23" i="5"/>
  <c r="E23" i="5" s="1"/>
  <c r="D9" i="2"/>
  <c r="C9" i="2"/>
  <c r="C13" i="1"/>
  <c r="D12" i="2" s="1"/>
  <c r="B13" i="1"/>
  <c r="C12" i="2" s="1"/>
  <c r="B12" i="2"/>
  <c r="D8" i="2"/>
  <c r="C8" i="2"/>
  <c r="D7" i="2"/>
  <c r="C7" i="2"/>
  <c r="D5" i="2"/>
  <c r="C5" i="2"/>
  <c r="F4" i="7"/>
  <c r="F5" i="7"/>
  <c r="F6" i="7"/>
  <c r="F7" i="7"/>
  <c r="F8" i="7"/>
  <c r="F9" i="7"/>
  <c r="F10" i="7"/>
  <c r="F11" i="7"/>
  <c r="F12" i="7"/>
  <c r="F13" i="7"/>
  <c r="B8" i="6"/>
  <c r="B9" i="6"/>
  <c r="B10" i="6"/>
  <c r="B11" i="6"/>
  <c r="B12" i="6"/>
  <c r="B13" i="6"/>
  <c r="B14" i="6"/>
  <c r="B15" i="6"/>
  <c r="B16" i="6"/>
  <c r="B17" i="6"/>
  <c r="B5" i="7"/>
  <c r="B6" i="7"/>
  <c r="F17" i="7"/>
  <c r="F18" i="7"/>
  <c r="F19" i="7"/>
  <c r="F20" i="7"/>
  <c r="F21" i="7"/>
  <c r="F22" i="7"/>
  <c r="F23" i="7"/>
  <c r="F24" i="7"/>
  <c r="F25" i="7"/>
  <c r="F26" i="7"/>
  <c r="B25" i="6"/>
  <c r="B26" i="6"/>
  <c r="B27" i="6"/>
  <c r="B28" i="6"/>
  <c r="B29" i="6"/>
  <c r="B30" i="6"/>
  <c r="B31" i="6"/>
  <c r="B32" i="6"/>
  <c r="B33" i="6"/>
  <c r="B34" i="6"/>
  <c r="E17" i="7"/>
  <c r="E4" i="7"/>
  <c r="H4" i="7" s="1"/>
  <c r="B19" i="7"/>
  <c r="B17" i="7"/>
  <c r="B18" i="7"/>
  <c r="B4" i="7"/>
  <c r="B23" i="6"/>
  <c r="C22" i="6"/>
  <c r="C21" i="6"/>
  <c r="C4" i="6"/>
  <c r="B6" i="6"/>
  <c r="C11" i="6" s="1"/>
  <c r="C22" i="5"/>
  <c r="C5" i="5"/>
  <c r="B22" i="5"/>
  <c r="B5" i="5"/>
  <c r="C16" i="5"/>
  <c r="C3" i="9"/>
  <c r="B3" i="9"/>
  <c r="C7" i="4"/>
  <c r="B7" i="4"/>
  <c r="C6" i="4"/>
  <c r="B6" i="4"/>
  <c r="C5" i="4"/>
  <c r="B5" i="4"/>
  <c r="D20" i="2"/>
  <c r="C21" i="1"/>
  <c r="C25" i="1" s="1"/>
  <c r="C12" i="1"/>
  <c r="C15" i="1" s="1"/>
  <c r="G15" i="1" s="1"/>
  <c r="C20" i="2"/>
  <c r="B20" i="2"/>
  <c r="B11" i="2"/>
  <c r="B21" i="1"/>
  <c r="B25" i="1" s="1"/>
  <c r="B12" i="1"/>
  <c r="G12" i="1" l="1"/>
  <c r="E22" i="1"/>
  <c r="E24" i="1"/>
  <c r="E26" i="1" s="1"/>
  <c r="D24" i="1"/>
  <c r="D26" i="1" s="1"/>
  <c r="D22" i="1"/>
  <c r="B20" i="7"/>
  <c r="B15" i="1"/>
  <c r="C8" i="4"/>
  <c r="C28" i="6"/>
  <c r="B8" i="4"/>
  <c r="C17" i="6"/>
  <c r="B12" i="9" s="1"/>
  <c r="C10" i="6"/>
  <c r="D7" i="5"/>
  <c r="D24" i="5"/>
  <c r="C11" i="2"/>
  <c r="C13" i="2" s="1"/>
  <c r="D11" i="2"/>
  <c r="D13" i="2" s="1"/>
  <c r="C16" i="6"/>
  <c r="C14" i="6"/>
  <c r="C12" i="6"/>
  <c r="C27" i="6"/>
  <c r="C33" i="6"/>
  <c r="C31" i="6"/>
  <c r="C29" i="6"/>
  <c r="C15" i="6"/>
  <c r="C13" i="6"/>
  <c r="C34" i="6"/>
  <c r="C12" i="9" s="1"/>
  <c r="C32" i="6"/>
  <c r="C30" i="6"/>
  <c r="B13" i="2"/>
  <c r="B21" i="2" s="1"/>
  <c r="B24" i="2" s="1"/>
  <c r="H17" i="7"/>
  <c r="C22" i="1"/>
  <c r="C24" i="1"/>
  <c r="B22" i="1"/>
  <c r="B5" i="9" s="1"/>
  <c r="B24" i="1"/>
  <c r="B26" i="1" s="1"/>
  <c r="B6" i="9" s="1"/>
  <c r="C5" i="9" l="1"/>
  <c r="G22" i="1"/>
  <c r="C26" i="1"/>
  <c r="G24" i="1"/>
  <c r="D21" i="2"/>
  <c r="D24" i="2" s="1"/>
  <c r="D25" i="2" s="1"/>
  <c r="C4" i="3"/>
  <c r="C21" i="2"/>
  <c r="C24" i="2" s="1"/>
  <c r="C25" i="2" s="1"/>
  <c r="B4" i="3"/>
  <c r="D8" i="5"/>
  <c r="E7" i="5"/>
  <c r="D25" i="5"/>
  <c r="E24" i="5"/>
  <c r="C9" i="4"/>
  <c r="C10" i="4" s="1"/>
  <c r="C6" i="9" l="1"/>
  <c r="G26" i="1"/>
  <c r="B9" i="4"/>
  <c r="B10" i="4" s="1"/>
  <c r="C11" i="4"/>
  <c r="C9" i="9" s="1"/>
  <c r="B11" i="4"/>
  <c r="B9" i="9" s="1"/>
  <c r="B7" i="9"/>
  <c r="B5" i="3"/>
  <c r="D26" i="5"/>
  <c r="E25" i="5"/>
  <c r="D9" i="5"/>
  <c r="E8" i="5"/>
  <c r="C5" i="3"/>
  <c r="C7" i="9"/>
  <c r="C6" i="3" l="1"/>
  <c r="C8" i="9" s="1"/>
  <c r="B6" i="3"/>
  <c r="B8" i="9" s="1"/>
  <c r="D10" i="5"/>
  <c r="E9" i="5"/>
  <c r="D27" i="5"/>
  <c r="E26" i="5"/>
  <c r="D28" i="5" l="1"/>
  <c r="E27" i="5"/>
  <c r="D11" i="5"/>
  <c r="E10" i="5"/>
  <c r="D12" i="5" l="1"/>
  <c r="E11" i="5"/>
  <c r="D29" i="5"/>
  <c r="E28" i="5"/>
  <c r="D30" i="5" l="1"/>
  <c r="E29" i="5"/>
  <c r="D13" i="5"/>
  <c r="E12" i="5"/>
  <c r="D31" i="5" l="1"/>
  <c r="E30" i="5"/>
  <c r="D14" i="5"/>
  <c r="E13" i="5"/>
  <c r="D15" i="5" l="1"/>
  <c r="E15" i="5" s="1"/>
  <c r="E14" i="5"/>
  <c r="D32" i="5"/>
  <c r="E32" i="5" s="1"/>
  <c r="E31" i="5"/>
  <c r="E33" i="5" l="1"/>
  <c r="E34" i="5" s="1"/>
  <c r="G19" i="7" s="1"/>
  <c r="E16" i="5"/>
  <c r="E17" i="5" s="1"/>
  <c r="B8" i="7" s="1"/>
  <c r="B21" i="7" l="1"/>
  <c r="G18" i="7"/>
  <c r="G26" i="7"/>
  <c r="G21" i="7"/>
  <c r="G20" i="7"/>
  <c r="G23" i="7"/>
  <c r="G24" i="7"/>
  <c r="G22" i="7"/>
  <c r="G17" i="7"/>
  <c r="G25" i="7"/>
  <c r="C11" i="9"/>
  <c r="B11" i="9"/>
  <c r="G10" i="7"/>
  <c r="G9" i="7"/>
  <c r="G4" i="7"/>
  <c r="I4" i="7" s="1"/>
  <c r="E5" i="7" s="1"/>
  <c r="G12" i="7"/>
  <c r="G11" i="7"/>
  <c r="G6" i="7"/>
  <c r="G5" i="7"/>
  <c r="G13" i="7"/>
  <c r="G8" i="7"/>
  <c r="G7" i="7"/>
  <c r="C13" i="9" l="1"/>
  <c r="I17" i="7"/>
  <c r="E18" i="7" s="1"/>
  <c r="H18" i="7"/>
  <c r="I18" i="7" s="1"/>
  <c r="B13" i="9"/>
  <c r="J4" i="7"/>
  <c r="J17" i="7" l="1"/>
  <c r="H5" i="7"/>
  <c r="E19" i="7" l="1"/>
  <c r="H19" i="7" s="1"/>
  <c r="I19" i="7" s="1"/>
  <c r="I5" i="7"/>
  <c r="E6" i="7" s="1"/>
  <c r="J18" i="7"/>
  <c r="H6" i="7"/>
  <c r="E20" i="7" l="1"/>
  <c r="I6" i="7"/>
  <c r="E7" i="7" s="1"/>
  <c r="H7" i="7" s="1"/>
  <c r="J19" i="7"/>
  <c r="J5" i="7"/>
  <c r="H20" i="7" l="1"/>
  <c r="I20" i="7" s="1"/>
  <c r="I7" i="7"/>
  <c r="E8" i="7" s="1"/>
  <c r="J6" i="7"/>
  <c r="J20" i="7" l="1"/>
  <c r="E21" i="7"/>
  <c r="H8" i="7"/>
  <c r="I8" i="7" s="1"/>
  <c r="E9" i="7" s="1"/>
  <c r="J7" i="7"/>
  <c r="H21" i="7" l="1"/>
  <c r="I21" i="7" s="1"/>
  <c r="H9" i="7"/>
  <c r="I9" i="7" s="1"/>
  <c r="E10" i="7" s="1"/>
  <c r="J8" i="7"/>
  <c r="J21" i="7" l="1"/>
  <c r="H10" i="7"/>
  <c r="I10" i="7" s="1"/>
  <c r="E11" i="7" s="1"/>
  <c r="J9" i="7"/>
  <c r="E22" i="7" l="1"/>
  <c r="H11" i="7"/>
  <c r="I11" i="7" s="1"/>
  <c r="E12" i="7" s="1"/>
  <c r="J10" i="7"/>
  <c r="H22" i="7" l="1"/>
  <c r="I22" i="7" s="1"/>
  <c r="J11" i="7"/>
  <c r="H12" i="7"/>
  <c r="I12" i="7" l="1"/>
  <c r="E13" i="7" s="1"/>
  <c r="E23" i="7" l="1"/>
  <c r="H23" i="7" s="1"/>
  <c r="I23" i="7" s="1"/>
  <c r="J22" i="7"/>
  <c r="H13" i="7"/>
  <c r="I13" i="7" s="1"/>
  <c r="J12" i="7"/>
  <c r="E24" i="7" l="1"/>
  <c r="J13" i="7"/>
  <c r="H24" i="7" l="1"/>
  <c r="I24" i="7" s="1"/>
  <c r="J23" i="7"/>
  <c r="E25" i="7" l="1"/>
  <c r="H25" i="7" s="1"/>
  <c r="I25" i="7" s="1"/>
  <c r="J24" i="7"/>
  <c r="J25" i="7" l="1"/>
  <c r="E26" i="7" l="1"/>
  <c r="H26" i="7" s="1"/>
  <c r="I26" i="7" l="1"/>
  <c r="J26" i="7" s="1"/>
</calcChain>
</file>

<file path=xl/sharedStrings.xml><?xml version="1.0" encoding="utf-8"?>
<sst xmlns="http://schemas.openxmlformats.org/spreadsheetml/2006/main" count="216" uniqueCount="170">
  <si>
    <t>Übersicht Investitionsalternativen</t>
  </si>
  <si>
    <t>Investition I</t>
  </si>
  <si>
    <t>Investition II</t>
  </si>
  <si>
    <t>Investitionssumme</t>
  </si>
  <si>
    <t>Statische Betrachtung</t>
  </si>
  <si>
    <t>Gesamtkosten (Jahr)</t>
  </si>
  <si>
    <t>Stückkosten</t>
  </si>
  <si>
    <t>Gewinnvergleich</t>
  </si>
  <si>
    <t>Rentabilitätsvergleich</t>
  </si>
  <si>
    <t>Amortisationszeit (Jahre)</t>
  </si>
  <si>
    <t>Dynamische Betrachtung</t>
  </si>
  <si>
    <t>Kapitalwert</t>
  </si>
  <si>
    <t>Interner Zinssatz</t>
  </si>
  <si>
    <t>Annuität</t>
  </si>
  <si>
    <t>Statische Investitionsrechnung: Kostenvergleich</t>
  </si>
  <si>
    <t>Zinssatz Fremdkapital</t>
  </si>
  <si>
    <t>Investition III</t>
  </si>
  <si>
    <t>Investition IV</t>
  </si>
  <si>
    <t>I. Anschaffungskosten</t>
  </si>
  <si>
    <t>Investitionsvolumen</t>
  </si>
  <si>
    <t>II. Nutzung und Auslastung</t>
  </si>
  <si>
    <t>Nutzungsdauer (in Jahren)</t>
  </si>
  <si>
    <t>Restwert (geschätzt)</t>
  </si>
  <si>
    <t>Auslastung (in Leistungseinheiten - LE)</t>
  </si>
  <si>
    <t>III. Leistungsunabhängige Kosten (Jahr)</t>
  </si>
  <si>
    <t>Kalkulatorische Abschreibungen</t>
  </si>
  <si>
    <t>Kalkulatorische Zinsen</t>
  </si>
  <si>
    <t>sonstige leistungsunabhängige Kosten</t>
  </si>
  <si>
    <t>Summe leistungsunabhängige Kosten</t>
  </si>
  <si>
    <t>IV. Leistungsabhängige Kosten (Jahr)</t>
  </si>
  <si>
    <t>Personalkosten</t>
  </si>
  <si>
    <t>Fertigungsmaterial</t>
  </si>
  <si>
    <t>Energiekosten</t>
  </si>
  <si>
    <t>sonstige leistungsabhängige Kosten</t>
  </si>
  <si>
    <t>Summe leistungsabhängige Kosten</t>
  </si>
  <si>
    <t>V. Jahresgesamtkosten</t>
  </si>
  <si>
    <t>Leistungsunabhängige Kosten je LE</t>
  </si>
  <si>
    <t>Leistungsabhängige Kosten je LE</t>
  </si>
  <si>
    <t>VI. Gesamtkosten je LE</t>
  </si>
  <si>
    <t>Statische Investitionsrechnung: Gewinnvergleich</t>
  </si>
  <si>
    <t>Kosten (vor Investition)</t>
  </si>
  <si>
    <t>Kosten (nach Investition I)</t>
  </si>
  <si>
    <t>Kosten (nach Investition II)</t>
  </si>
  <si>
    <t>Anschaffungswert</t>
  </si>
  <si>
    <t>Restwert</t>
  </si>
  <si>
    <t>III. Kapitalkosten (Jahr)</t>
  </si>
  <si>
    <t>Summe Kapitalkosten</t>
  </si>
  <si>
    <t>IV. Betriebskosten (Jahr)</t>
  </si>
  <si>
    <t>Instandhaltungskosten</t>
  </si>
  <si>
    <t>sonstige Betriebskosten</t>
  </si>
  <si>
    <t>Gesamtbetriebskosten</t>
  </si>
  <si>
    <t>Gesamtkosten</t>
  </si>
  <si>
    <t>V. Erlöse + Gewinn</t>
  </si>
  <si>
    <t>Erwartete Erlöse</t>
  </si>
  <si>
    <t>Gewinn</t>
  </si>
  <si>
    <t>VI. Gewinnzuwachs</t>
  </si>
  <si>
    <t>Statische Investitionsrechnung: Rentabilitätsvergleich</t>
  </si>
  <si>
    <t>eingesetztes Kapital</t>
  </si>
  <si>
    <t>Gewinnzuwachs (Jahr)</t>
  </si>
  <si>
    <t>Rentabilität (Nettorendite)</t>
  </si>
  <si>
    <t>Statische Investitionsrechnung: Amortisationsrechnung</t>
  </si>
  <si>
    <t>I. Durchschnittsrechnung</t>
  </si>
  <si>
    <t>Nutzungsdauer (Jahre)</t>
  </si>
  <si>
    <t>Abschreibungen (Jahr)</t>
  </si>
  <si>
    <r>
      <t xml:space="preserve">Gewinn </t>
    </r>
    <r>
      <rPr>
        <sz val="10"/>
        <rFont val="Symbol"/>
        <family val="1"/>
        <charset val="2"/>
      </rPr>
      <t>Æ</t>
    </r>
  </si>
  <si>
    <t>Mittelrückfluss</t>
  </si>
  <si>
    <t>Amortisationszeit</t>
  </si>
  <si>
    <t>Dynamische Investitionsrechnung: Kapitalwert</t>
  </si>
  <si>
    <t>Berechnung des Kapitalwerts (Investition I)</t>
  </si>
  <si>
    <t>Jahre</t>
  </si>
  <si>
    <t>Auszahlung</t>
  </si>
  <si>
    <t>Einzahlung</t>
  </si>
  <si>
    <t>Barwertfaktor</t>
  </si>
  <si>
    <t>Barwert</t>
  </si>
  <si>
    <t>Berechnung des Kapitalwerts (Investition II)</t>
  </si>
  <si>
    <t>Dynamische Investitionsrechnung: Modifizierter interner Zinssatz</t>
  </si>
  <si>
    <r>
      <t>Interner Zinsatz</t>
    </r>
    <r>
      <rPr>
        <sz val="10"/>
        <color theme="1"/>
        <rFont val="Verdana"/>
        <family val="2"/>
      </rPr>
      <t xml:space="preserve"> 
(Annahme unterschiedlicher Zinssätze für positive und negative Cash Flows)</t>
    </r>
  </si>
  <si>
    <t>Zinsatz für Finanzierung:</t>
  </si>
  <si>
    <t>Zinssatz Reinvestition:</t>
  </si>
  <si>
    <t>Investitionssumme:</t>
  </si>
  <si>
    <t>Rückzahlung im Jahr</t>
  </si>
  <si>
    <t>Rückzahlung</t>
  </si>
  <si>
    <t>Dynamische Investitionsrechnung: Annuitäten</t>
  </si>
  <si>
    <t>I. Basisdaten (Investition I)</t>
  </si>
  <si>
    <t>Jahr</t>
  </si>
  <si>
    <t>Gebundenes
Kapital</t>
  </si>
  <si>
    <t>Zins</t>
  </si>
  <si>
    <t>Tilgung</t>
  </si>
  <si>
    <t>Ergebnis</t>
  </si>
  <si>
    <t>Investitionsvolumen:</t>
  </si>
  <si>
    <t>Zinssatz:</t>
  </si>
  <si>
    <t>Nutzungsdauer:</t>
  </si>
  <si>
    <t>Wiedergewinnungsfaktor:</t>
  </si>
  <si>
    <t>Kapitalwert:</t>
  </si>
  <si>
    <t>I. Basisdaten (Investition II)</t>
  </si>
  <si>
    <t>Verwendete Namen</t>
  </si>
  <si>
    <t>B.berAbschreibungenKalkulatorisch1</t>
  </si>
  <si>
    <t>='B. Kostenvergleich'!$B$12</t>
  </si>
  <si>
    <t>B.berAbschreibungenKalkulatorisch2</t>
  </si>
  <si>
    <t>='B. Kostenvergleich'!$C$12</t>
  </si>
  <si>
    <t>B.berAnschaffungswert1</t>
  </si>
  <si>
    <t>='B. Kostenvergleich'!$B$6</t>
  </si>
  <si>
    <t>B.berAnschaffungswert2</t>
  </si>
  <si>
    <t>='B. Kostenvergleich'!$C$6</t>
  </si>
  <si>
    <t>B.berAuslastungLE1</t>
  </si>
  <si>
    <t>='B. Kostenvergleich'!$B$10</t>
  </si>
  <si>
    <t>B.berAuslastungLE2</t>
  </si>
  <si>
    <t>='B. Kostenvergleich'!$C$10</t>
  </si>
  <si>
    <t>B.berJahresgesamtkosten1</t>
  </si>
  <si>
    <t>='B. Kostenvergleich'!$B$22</t>
  </si>
  <si>
    <t>B.berJahresgesamtkosten2</t>
  </si>
  <si>
    <t>='B. Kostenvergleich'!$C$22</t>
  </si>
  <si>
    <t>B.berNutzungsdauer1</t>
  </si>
  <si>
    <t>='B. Kostenvergleich'!$B$8</t>
  </si>
  <si>
    <t>B.berNutzungsdauer2</t>
  </si>
  <si>
    <t>='B. Kostenvergleich'!$C$8</t>
  </si>
  <si>
    <t>B.berRestwert1</t>
  </si>
  <si>
    <t>='B. Kostenvergleich'!$B$9</t>
  </si>
  <si>
    <t>B.berRestwert2</t>
  </si>
  <si>
    <t>='B. Kostenvergleich'!$C$9</t>
  </si>
  <si>
    <t>B.berStückkosten1</t>
  </si>
  <si>
    <t>='B. Kostenvergleich'!$B$26</t>
  </si>
  <si>
    <t>B.berStückkosten2</t>
  </si>
  <si>
    <t>='B. Kostenvergleich'!$C$26</t>
  </si>
  <si>
    <t>B.berZinsenKalkulatorisch1</t>
  </si>
  <si>
    <t>='B. Kostenvergleich'!$B$13</t>
  </si>
  <si>
    <t>B.berZinsenKalkulatorisch2</t>
  </si>
  <si>
    <t>='B. Kostenvergleich'!$C$13</t>
  </si>
  <si>
    <t>B.berZinssatzFremdkapital</t>
  </si>
  <si>
    <t>='B. Kostenvergleich'!$B$3</t>
  </si>
  <si>
    <t>C.berGewinn1</t>
  </si>
  <si>
    <t>='C. Gewinnvergleich'!$C$24</t>
  </si>
  <si>
    <t>C.berGewinn2</t>
  </si>
  <si>
    <t>='C. Gewinnvergleich'!$D$24</t>
  </si>
  <si>
    <t>C.berGewinnzuwachs1</t>
  </si>
  <si>
    <t>='C. Gewinnvergleich'!$C$25</t>
  </si>
  <si>
    <t>C.berGewinnzuwachs2</t>
  </si>
  <si>
    <t>='C. Gewinnvergleich'!$D$25</t>
  </si>
  <si>
    <t>C.berKapitalkosten1</t>
  </si>
  <si>
    <t>='C. Gewinnvergleich'!$C$13</t>
  </si>
  <si>
    <t>C.berKapitalkosten2</t>
  </si>
  <si>
    <t>='C. Gewinnvergleich'!$D$13</t>
  </si>
  <si>
    <t>D.berRentabilität1</t>
  </si>
  <si>
    <t>='D. Rentabilitätsvergleich'!$B$6</t>
  </si>
  <si>
    <t>D.berRentabilität2</t>
  </si>
  <si>
    <t>='D. Rentabilitätsvergleich'!$C$6</t>
  </si>
  <si>
    <t>E.berAmortisationszeit1</t>
  </si>
  <si>
    <t>='E. Amortisation'!$B$11</t>
  </si>
  <si>
    <t>E.berAmortisationszeit2</t>
  </si>
  <si>
    <t>='E. Amortisation'!$C$11</t>
  </si>
  <si>
    <t>F.berEinzahlungen1</t>
  </si>
  <si>
    <t>='F. Kapitalwert'!$C$6:$C$15</t>
  </si>
  <si>
    <t>F.berEinzahlungen2</t>
  </si>
  <si>
    <t>='F. Kapitalwert'!$C$23:$C$32</t>
  </si>
  <si>
    <t>F.berKapitalwert1</t>
  </si>
  <si>
    <t>='F. Kapitalwert'!$E$17</t>
  </si>
  <si>
    <t>F.berKapitalwert2</t>
  </si>
  <si>
    <t>='F. Kapitalwert'!$E$34</t>
  </si>
  <si>
    <t>G.berInternerZinssatz1</t>
  </si>
  <si>
    <t>='G. Interner Zinssatz'!$C$17</t>
  </si>
  <si>
    <t>G.berInternerZinssatz2</t>
  </si>
  <si>
    <t>='G. Interner Zinssatz'!$C$34</t>
  </si>
  <si>
    <t>G.berZinssatzReinvestition1</t>
  </si>
  <si>
    <t>='G. Interner Zinssatz'!$C$5</t>
  </si>
  <si>
    <t>H.berAnnuität1</t>
  </si>
  <si>
    <t>='H. Annuitäten'!$G$4</t>
  </si>
  <si>
    <t>H.berAnnuität2</t>
  </si>
  <si>
    <t>='H. Annuitäten'!$G$17</t>
  </si>
  <si>
    <t>H.berWiedergewinnungsfaktor</t>
  </si>
  <si>
    <t>='H. Annuitäten'!$B$7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</si>
</sst>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\ &quot;€&quot;"/>
    <numFmt numFmtId="165" formatCode="0.0%"/>
    <numFmt numFmtId="166" formatCode="0.0"/>
    <numFmt numFmtId="167" formatCode="#,##0.0000_ ;[Red]\-#,##0.0000\ "/>
    <numFmt numFmtId="168" formatCode="#,##0.00\ _€"/>
    <numFmt numFmtId="169" formatCode="0.00000"/>
    <numFmt numFmtId="170" formatCode="#,##0\ &quot;€&quot;"/>
  </numFmts>
  <fonts count="10" x14ac:knownFonts="1"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Symbol"/>
      <family val="1"/>
      <charset val="2"/>
    </font>
    <font>
      <b/>
      <sz val="14"/>
      <color theme="1"/>
      <name val="Verdana"/>
      <family val="2"/>
    </font>
    <font>
      <b/>
      <sz val="14"/>
      <color theme="3"/>
      <name val="Verdana"/>
      <family val="2"/>
    </font>
    <font>
      <b/>
      <sz val="10"/>
      <color theme="1"/>
      <name val="Verdana"/>
      <family val="2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 style="medium">
        <color theme="3"/>
      </top>
      <bottom/>
      <diagonal/>
    </border>
    <border>
      <left style="dotted">
        <color theme="3"/>
      </left>
      <right style="dotted">
        <color theme="3"/>
      </right>
      <top style="dotted">
        <color theme="3"/>
      </top>
      <bottom style="dotted">
        <color theme="3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164" fontId="4" fillId="0" borderId="0" xfId="0" applyNumberFormat="1" applyFont="1"/>
    <xf numFmtId="0" fontId="3" fillId="0" borderId="0" xfId="0" applyFont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5" fontId="0" fillId="2" borderId="0" xfId="0" applyNumberForma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4" fillId="2" borderId="0" xfId="0" applyNumberFormat="1" applyFont="1" applyFill="1"/>
    <xf numFmtId="169" fontId="0" fillId="2" borderId="0" xfId="0" applyNumberFormat="1" applyFill="1"/>
    <xf numFmtId="0" fontId="3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/>
    <xf numFmtId="164" fontId="4" fillId="3" borderId="0" xfId="0" applyNumberFormat="1" applyFont="1" applyFill="1"/>
    <xf numFmtId="169" fontId="0" fillId="3" borderId="0" xfId="0" applyNumberForma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0" fontId="0" fillId="3" borderId="0" xfId="0" applyNumberForma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0" fontId="0" fillId="2" borderId="0" xfId="0" applyNumberFormat="1" applyFill="1"/>
    <xf numFmtId="0" fontId="4" fillId="2" borderId="0" xfId="0" applyFont="1" applyFill="1"/>
    <xf numFmtId="164" fontId="4" fillId="2" borderId="0" xfId="0" applyNumberFormat="1" applyFont="1" applyFill="1" applyProtection="1">
      <protection locked="0"/>
    </xf>
    <xf numFmtId="167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8" fontId="3" fillId="2" borderId="0" xfId="0" applyNumberFormat="1" applyFont="1" applyFill="1"/>
    <xf numFmtId="164" fontId="3" fillId="2" borderId="0" xfId="0" applyNumberFormat="1" applyFont="1" applyFill="1"/>
    <xf numFmtId="3" fontId="0" fillId="3" borderId="0" xfId="0" applyNumberFormat="1" applyFill="1"/>
    <xf numFmtId="3" fontId="0" fillId="2" borderId="0" xfId="0" applyNumberFormat="1" applyFill="1"/>
    <xf numFmtId="166" fontId="0" fillId="3" borderId="0" xfId="0" applyNumberFormat="1" applyFill="1"/>
    <xf numFmtId="166" fontId="0" fillId="2" borderId="0" xfId="0" applyNumberForma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1" xfId="0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0" borderId="0" xfId="0" applyAlignment="1">
      <alignment horizontal="left"/>
    </xf>
    <xf numFmtId="170" fontId="0" fillId="3" borderId="0" xfId="0" applyNumberFormat="1" applyFill="1"/>
    <xf numFmtId="170" fontId="0" fillId="2" borderId="0" xfId="0" applyNumberFormat="1" applyFill="1"/>
    <xf numFmtId="170" fontId="4" fillId="3" borderId="0" xfId="0" applyNumberFormat="1" applyFont="1" applyFill="1"/>
    <xf numFmtId="170" fontId="4" fillId="2" borderId="0" xfId="0" applyNumberFormat="1" applyFont="1" applyFill="1"/>
    <xf numFmtId="165" fontId="0" fillId="5" borderId="2" xfId="0" applyNumberFormat="1" applyFill="1" applyBorder="1" applyAlignment="1" applyProtection="1">
      <alignment horizontal="center"/>
      <protection locked="0"/>
    </xf>
    <xf numFmtId="0" fontId="0" fillId="5" borderId="2" xfId="0" applyFill="1" applyBorder="1" applyProtection="1">
      <protection locked="0"/>
    </xf>
    <xf numFmtId="170" fontId="0" fillId="5" borderId="2" xfId="0" applyNumberFormat="1" applyFill="1" applyBorder="1" applyProtection="1">
      <protection locked="0"/>
    </xf>
    <xf numFmtId="3" fontId="0" fillId="5" borderId="2" xfId="0" applyNumberFormat="1" applyFill="1" applyBorder="1" applyProtection="1">
      <protection locked="0"/>
    </xf>
    <xf numFmtId="170" fontId="0" fillId="0" borderId="0" xfId="0" applyNumberFormat="1"/>
    <xf numFmtId="170" fontId="4" fillId="0" borderId="0" xfId="0" applyNumberFormat="1" applyFont="1"/>
    <xf numFmtId="170" fontId="3" fillId="5" borderId="2" xfId="0" applyNumberFormat="1" applyFont="1" applyFill="1" applyBorder="1" applyProtection="1">
      <protection locked="0"/>
    </xf>
    <xf numFmtId="170" fontId="0" fillId="5" borderId="4" xfId="0" applyNumberFormat="1" applyFill="1" applyBorder="1" applyProtection="1">
      <protection locked="0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/>
    <xf numFmtId="164" fontId="0" fillId="0" borderId="5" xfId="0" applyNumberFormat="1" applyBorder="1"/>
    <xf numFmtId="170" fontId="3" fillId="3" borderId="5" xfId="0" applyNumberFormat="1" applyFont="1" applyFill="1" applyBorder="1"/>
    <xf numFmtId="170" fontId="3" fillId="2" borderId="5" xfId="0" applyNumberFormat="1" applyFont="1" applyFill="1" applyBorder="1"/>
    <xf numFmtId="0" fontId="0" fillId="0" borderId="5" xfId="0" applyBorder="1"/>
    <xf numFmtId="164" fontId="0" fillId="3" borderId="5" xfId="0" applyNumberFormat="1" applyFill="1" applyBorder="1"/>
    <xf numFmtId="164" fontId="0" fillId="2" borderId="5" xfId="0" applyNumberFormat="1" applyFill="1" applyBorder="1"/>
    <xf numFmtId="0" fontId="3" fillId="0" borderId="6" xfId="0" applyFont="1" applyBorder="1"/>
    <xf numFmtId="164" fontId="3" fillId="3" borderId="6" xfId="0" applyNumberFormat="1" applyFont="1" applyFill="1" applyBorder="1"/>
    <xf numFmtId="164" fontId="3" fillId="2" borderId="6" xfId="0" applyNumberFormat="1" applyFont="1" applyFill="1" applyBorder="1"/>
    <xf numFmtId="0" fontId="7" fillId="0" borderId="0" xfId="0" applyFont="1"/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7" xfId="0" applyFont="1" applyBorder="1"/>
    <xf numFmtId="170" fontId="3" fillId="0" borderId="7" xfId="0" applyNumberFormat="1" applyFont="1" applyBorder="1"/>
    <xf numFmtId="170" fontId="3" fillId="3" borderId="7" xfId="0" applyNumberFormat="1" applyFont="1" applyFill="1" applyBorder="1"/>
    <xf numFmtId="170" fontId="3" fillId="2" borderId="7" xfId="0" applyNumberFormat="1" applyFont="1" applyFill="1" applyBorder="1"/>
    <xf numFmtId="0" fontId="0" fillId="0" borderId="6" xfId="0" applyBorder="1"/>
    <xf numFmtId="0" fontId="3" fillId="3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0" fontId="3" fillId="3" borderId="6" xfId="0" applyNumberFormat="1" applyFont="1" applyFill="1" applyBorder="1"/>
    <xf numFmtId="10" fontId="3" fillId="2" borderId="6" xfId="0" applyNumberFormat="1" applyFont="1" applyFill="1" applyBorder="1"/>
    <xf numFmtId="0" fontId="3" fillId="0" borderId="0" xfId="0" applyFont="1"/>
    <xf numFmtId="0" fontId="0" fillId="0" borderId="8" xfId="0" applyBorder="1"/>
    <xf numFmtId="0" fontId="3" fillId="3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10" xfId="0" applyBorder="1"/>
    <xf numFmtId="164" fontId="0" fillId="3" borderId="10" xfId="0" applyNumberFormat="1" applyFill="1" applyBorder="1"/>
    <xf numFmtId="164" fontId="0" fillId="2" borderId="10" xfId="0" applyNumberFormat="1" applyFill="1" applyBorder="1"/>
    <xf numFmtId="0" fontId="0" fillId="3" borderId="5" xfId="0" applyFill="1" applyBorder="1"/>
    <xf numFmtId="0" fontId="0" fillId="2" borderId="5" xfId="0" applyFill="1" applyBorder="1"/>
    <xf numFmtId="0" fontId="0" fillId="0" borderId="9" xfId="0" applyBorder="1"/>
    <xf numFmtId="164" fontId="0" fillId="3" borderId="9" xfId="0" applyNumberFormat="1" applyFill="1" applyBorder="1"/>
    <xf numFmtId="164" fontId="0" fillId="2" borderId="9" xfId="0" applyNumberFormat="1" applyFill="1" applyBorder="1"/>
    <xf numFmtId="166" fontId="3" fillId="3" borderId="6" xfId="0" applyNumberFormat="1" applyFont="1" applyFill="1" applyBorder="1"/>
    <xf numFmtId="166" fontId="3" fillId="2" borderId="6" xfId="0" applyNumberFormat="1" applyFont="1" applyFill="1" applyBorder="1"/>
    <xf numFmtId="0" fontId="4" fillId="3" borderId="0" xfId="0" applyFont="1" applyFill="1"/>
    <xf numFmtId="164" fontId="4" fillId="3" borderId="0" xfId="0" applyNumberFormat="1" applyFont="1" applyFill="1" applyProtection="1">
      <protection locked="0"/>
    </xf>
    <xf numFmtId="167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8" fontId="3" fillId="3" borderId="0" xfId="0" applyNumberFormat="1" applyFont="1" applyFill="1"/>
    <xf numFmtId="164" fontId="3" fillId="3" borderId="0" xfId="0" applyNumberFormat="1" applyFont="1" applyFill="1"/>
    <xf numFmtId="0" fontId="3" fillId="3" borderId="11" xfId="0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3" borderId="11" xfId="0" applyNumberFormat="1" applyFont="1" applyFill="1" applyBorder="1"/>
    <xf numFmtId="0" fontId="4" fillId="3" borderId="1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8" fontId="3" fillId="3" borderId="7" xfId="0" applyNumberFormat="1" applyFont="1" applyFill="1" applyBorder="1"/>
    <xf numFmtId="164" fontId="3" fillId="3" borderId="7" xfId="0" applyNumberFormat="1" applyFont="1" applyFill="1" applyBorder="1"/>
    <xf numFmtId="0" fontId="3" fillId="2" borderId="11" xfId="0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4" fillId="2" borderId="11" xfId="0" applyNumberFormat="1" applyFont="1" applyFill="1" applyBorder="1"/>
    <xf numFmtId="0" fontId="4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8" fontId="3" fillId="2" borderId="7" xfId="0" applyNumberFormat="1" applyFont="1" applyFill="1" applyBorder="1"/>
    <xf numFmtId="164" fontId="3" fillId="2" borderId="7" xfId="0" applyNumberFormat="1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left" vertical="center" wrapText="1"/>
    </xf>
    <xf numFmtId="10" fontId="0" fillId="3" borderId="11" xfId="0" applyNumberFormat="1" applyFill="1" applyBorder="1" applyAlignment="1">
      <alignment wrapText="1"/>
    </xf>
    <xf numFmtId="0" fontId="0" fillId="3" borderId="7" xfId="0" applyFill="1" applyBorder="1"/>
    <xf numFmtId="0" fontId="0" fillId="3" borderId="11" xfId="0" applyFill="1" applyBorder="1"/>
    <xf numFmtId="164" fontId="4" fillId="3" borderId="7" xfId="0" applyNumberFormat="1" applyFont="1" applyFill="1" applyBorder="1"/>
    <xf numFmtId="10" fontId="0" fillId="3" borderId="7" xfId="0" applyNumberFormat="1" applyFill="1" applyBorder="1"/>
    <xf numFmtId="0" fontId="3" fillId="2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10" fontId="0" fillId="2" borderId="11" xfId="0" applyNumberFormat="1" applyFill="1" applyBorder="1" applyAlignment="1">
      <alignment wrapText="1"/>
    </xf>
    <xf numFmtId="0" fontId="0" fillId="2" borderId="7" xfId="0" applyFill="1" applyBorder="1"/>
    <xf numFmtId="10" fontId="0" fillId="2" borderId="7" xfId="0" applyNumberFormat="1" applyFill="1" applyBorder="1"/>
    <xf numFmtId="0" fontId="0" fillId="2" borderId="11" xfId="0" applyFill="1" applyBorder="1"/>
    <xf numFmtId="164" fontId="4" fillId="2" borderId="7" xfId="0" applyNumberFormat="1" applyFont="1" applyFill="1" applyBorder="1"/>
    <xf numFmtId="10" fontId="0" fillId="5" borderId="12" xfId="0" applyNumberFormat="1" applyFill="1" applyBorder="1" applyProtection="1">
      <protection locked="0"/>
    </xf>
    <xf numFmtId="164" fontId="0" fillId="3" borderId="11" xfId="0" applyNumberFormat="1" applyFill="1" applyBorder="1"/>
    <xf numFmtId="164" fontId="0" fillId="3" borderId="7" xfId="0" applyNumberFormat="1" applyFill="1" applyBorder="1"/>
    <xf numFmtId="164" fontId="0" fillId="2" borderId="11" xfId="0" applyNumberFormat="1" applyFill="1" applyBorder="1"/>
    <xf numFmtId="164" fontId="0" fillId="2" borderId="7" xfId="0" applyNumberFormat="1" applyFill="1" applyBorder="1"/>
    <xf numFmtId="0" fontId="0" fillId="3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8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66CCFF"/>
      <color rgb="FF66FFFF"/>
      <color rgb="FF00FFFF"/>
      <color rgb="FF33CCFF"/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Radio" checked="Checked" firstButton="1" fmlaLink="$G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2</xdr:row>
          <xdr:rowOff>142875</xdr:rowOff>
        </xdr:from>
        <xdr:to>
          <xdr:col>8</xdr:col>
          <xdr:colOff>409575</xdr:colOff>
          <xdr:row>4</xdr:row>
          <xdr:rowOff>28575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Alternative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4</xdr:row>
          <xdr:rowOff>133350</xdr:rowOff>
        </xdr:from>
        <xdr:to>
          <xdr:col>8</xdr:col>
          <xdr:colOff>409575</xdr:colOff>
          <xdr:row>6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Alternative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6</xdr:row>
          <xdr:rowOff>133350</xdr:rowOff>
        </xdr:from>
        <xdr:to>
          <xdr:col>8</xdr:col>
          <xdr:colOff>409575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Alternative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</xdr:row>
          <xdr:rowOff>85725</xdr:rowOff>
        </xdr:from>
        <xdr:to>
          <xdr:col>9</xdr:col>
          <xdr:colOff>466725</xdr:colOff>
          <xdr:row>8</xdr:row>
          <xdr:rowOff>104775</xdr:rowOff>
        </xdr:to>
        <xdr:sp macro="" textlink="">
          <xdr:nvSpPr>
            <xdr:cNvPr id="1028" name="Group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Bitte eine Berechnung auswählen!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5" sqref="A5"/>
    </sheetView>
  </sheetViews>
  <sheetFormatPr baseColWidth="10" defaultColWidth="11" defaultRowHeight="12.75" x14ac:dyDescent="0.2"/>
  <cols>
    <col min="1" max="1" width="30.75" customWidth="1"/>
    <col min="2" max="2" width="17.375" customWidth="1"/>
    <col min="3" max="3" width="17.875" customWidth="1"/>
  </cols>
  <sheetData>
    <row r="1" spans="1:3" ht="18" x14ac:dyDescent="0.25">
      <c r="A1" s="146" t="s">
        <v>0</v>
      </c>
      <c r="B1" s="146"/>
      <c r="C1" s="146"/>
    </row>
    <row r="2" spans="1:3" x14ac:dyDescent="0.2">
      <c r="A2" s="44"/>
      <c r="B2" s="45" t="s">
        <v>1</v>
      </c>
      <c r="C2" s="45" t="s">
        <v>2</v>
      </c>
    </row>
    <row r="3" spans="1:3" x14ac:dyDescent="0.2">
      <c r="A3" t="s">
        <v>3</v>
      </c>
      <c r="B3" s="25">
        <f>B.berAnschaffungswert1</f>
        <v>1750000</v>
      </c>
      <c r="C3" s="16">
        <f>B.berAnschaffungswert2</f>
        <v>2250000</v>
      </c>
    </row>
    <row r="4" spans="1:3" x14ac:dyDescent="0.2">
      <c r="A4" s="44" t="s">
        <v>4</v>
      </c>
      <c r="B4" s="44"/>
      <c r="C4" s="44"/>
    </row>
    <row r="5" spans="1:3" x14ac:dyDescent="0.2">
      <c r="A5" t="s">
        <v>5</v>
      </c>
      <c r="B5" s="25">
        <f>B.berJahresgesamtkosten1</f>
        <v>234750</v>
      </c>
      <c r="C5" s="16">
        <f>B.berJahresgesamtkosten2</f>
        <v>291750</v>
      </c>
    </row>
    <row r="6" spans="1:3" x14ac:dyDescent="0.2">
      <c r="A6" t="s">
        <v>6</v>
      </c>
      <c r="B6" s="25">
        <f>B.berStückkosten1</f>
        <v>20.413043478260871</v>
      </c>
      <c r="C6" s="16">
        <f>B.berStückkosten2</f>
        <v>20.120689655172413</v>
      </c>
    </row>
    <row r="7" spans="1:3" x14ac:dyDescent="0.2">
      <c r="A7" t="s">
        <v>7</v>
      </c>
      <c r="B7" s="25">
        <f>C.berGewinnzuwachs1</f>
        <v>106300</v>
      </c>
      <c r="C7" s="16">
        <f>C.berGewinnzuwachs2</f>
        <v>131800</v>
      </c>
    </row>
    <row r="8" spans="1:3" x14ac:dyDescent="0.2">
      <c r="A8" t="s">
        <v>8</v>
      </c>
      <c r="B8" s="30">
        <f>D.berRentabilität1</f>
        <v>0.52688971499380421</v>
      </c>
      <c r="C8" s="33">
        <f>D.berRentabilität2</f>
        <v>0.5103581800580832</v>
      </c>
    </row>
    <row r="9" spans="1:3" x14ac:dyDescent="0.2">
      <c r="A9" t="s">
        <v>9</v>
      </c>
      <c r="B9" s="42">
        <f>E.berAmortisationszeit1</f>
        <v>2.6516673362796306</v>
      </c>
      <c r="C9" s="43">
        <f>E.berAmortisationszeit2</f>
        <v>3.0414414414414415</v>
      </c>
    </row>
    <row r="10" spans="1:3" x14ac:dyDescent="0.2">
      <c r="A10" s="44" t="s">
        <v>10</v>
      </c>
      <c r="B10" s="44"/>
      <c r="C10" s="44"/>
    </row>
    <row r="11" spans="1:3" x14ac:dyDescent="0.2">
      <c r="A11" t="s">
        <v>11</v>
      </c>
      <c r="B11" s="25">
        <f>F.berKapitalwert1</f>
        <v>1247923.0601323186</v>
      </c>
      <c r="C11" s="16">
        <f>F.berKapitalwert2</f>
        <v>1445629.7589407666</v>
      </c>
    </row>
    <row r="12" spans="1:3" x14ac:dyDescent="0.2">
      <c r="A12" t="s">
        <v>12</v>
      </c>
      <c r="B12" s="30">
        <f>G.berInternerZinssatz1</f>
        <v>0.10278263418010658</v>
      </c>
      <c r="C12" s="33">
        <f>G.berInternerZinssatz2</f>
        <v>9.81693832059507E-2</v>
      </c>
    </row>
    <row r="13" spans="1:3" ht="13.5" thickBot="1" x14ac:dyDescent="0.25">
      <c r="A13" s="46" t="s">
        <v>13</v>
      </c>
      <c r="B13" s="47">
        <f>H.berAnnuität1</f>
        <v>155393.27972587835</v>
      </c>
      <c r="C13" s="48">
        <f>H.berAnnuität2</f>
        <v>180012.01891991455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12" sqref="B12"/>
    </sheetView>
  </sheetViews>
  <sheetFormatPr baseColWidth="10" defaultColWidth="11" defaultRowHeight="12.75" x14ac:dyDescent="0.2"/>
  <cols>
    <col min="1" max="1" width="41.5" bestFit="1" customWidth="1"/>
    <col min="2" max="2" width="19" customWidth="1"/>
    <col min="3" max="5" width="14.25" customWidth="1"/>
    <col min="7" max="7" width="13.625" customWidth="1"/>
  </cols>
  <sheetData>
    <row r="1" spans="1:7" ht="18" x14ac:dyDescent="0.25">
      <c r="A1" s="74" t="s">
        <v>14</v>
      </c>
    </row>
    <row r="2" spans="1:7" x14ac:dyDescent="0.2">
      <c r="G2" s="145">
        <v>1</v>
      </c>
    </row>
    <row r="3" spans="1:7" x14ac:dyDescent="0.2">
      <c r="A3" s="49" t="s">
        <v>15</v>
      </c>
      <c r="B3" s="54">
        <v>4.2000000000000003E-2</v>
      </c>
    </row>
    <row r="4" spans="1:7" ht="13.5" thickBot="1" x14ac:dyDescent="0.25">
      <c r="B4" s="29" t="s">
        <v>1</v>
      </c>
      <c r="C4" s="32" t="s">
        <v>2</v>
      </c>
      <c r="D4" s="32" t="s">
        <v>16</v>
      </c>
      <c r="E4" s="32" t="s">
        <v>17</v>
      </c>
      <c r="G4" s="32" t="str">
        <f>CHOOSE($G$2,C4,D4,E4)</f>
        <v>Investition II</v>
      </c>
    </row>
    <row r="5" spans="1:7" x14ac:dyDescent="0.2">
      <c r="A5" s="62" t="s">
        <v>18</v>
      </c>
      <c r="B5" s="63"/>
      <c r="C5" s="63"/>
      <c r="D5" s="63"/>
      <c r="E5" s="63"/>
      <c r="G5" s="63"/>
    </row>
    <row r="6" spans="1:7" x14ac:dyDescent="0.2">
      <c r="A6" t="s">
        <v>19</v>
      </c>
      <c r="B6" s="61">
        <v>1750000</v>
      </c>
      <c r="C6" s="61">
        <v>2250000</v>
      </c>
      <c r="D6" s="61">
        <v>2500000</v>
      </c>
      <c r="E6" s="61">
        <v>2650000</v>
      </c>
      <c r="G6" s="61">
        <f>CHOOSE($G$2,C6,D6,E6)</f>
        <v>2250000</v>
      </c>
    </row>
    <row r="7" spans="1:7" x14ac:dyDescent="0.2">
      <c r="A7" s="64" t="s">
        <v>20</v>
      </c>
      <c r="B7" s="25"/>
      <c r="C7" s="16"/>
      <c r="D7" s="16"/>
      <c r="E7" s="16"/>
      <c r="G7" s="16"/>
    </row>
    <row r="8" spans="1:7" x14ac:dyDescent="0.2">
      <c r="A8" t="s">
        <v>21</v>
      </c>
      <c r="B8" s="55">
        <v>10</v>
      </c>
      <c r="C8" s="55">
        <v>10</v>
      </c>
      <c r="D8" s="55">
        <v>10</v>
      </c>
      <c r="E8" s="55">
        <v>10</v>
      </c>
      <c r="G8" s="55">
        <f t="shared" ref="G8:G26" si="0">CHOOSE($G$2,C8,D8,E8)</f>
        <v>10</v>
      </c>
    </row>
    <row r="9" spans="1:7" x14ac:dyDescent="0.2">
      <c r="A9" s="3" t="s">
        <v>22</v>
      </c>
      <c r="B9" s="56">
        <v>100000</v>
      </c>
      <c r="C9" s="56">
        <v>140000</v>
      </c>
      <c r="D9" s="56">
        <v>135000</v>
      </c>
      <c r="E9" s="56">
        <v>150000</v>
      </c>
      <c r="G9" s="56">
        <f t="shared" si="0"/>
        <v>140000</v>
      </c>
    </row>
    <row r="10" spans="1:7" x14ac:dyDescent="0.2">
      <c r="A10" t="s">
        <v>23</v>
      </c>
      <c r="B10" s="57">
        <v>11500</v>
      </c>
      <c r="C10" s="57">
        <v>14500</v>
      </c>
      <c r="D10" s="57">
        <v>15000</v>
      </c>
      <c r="E10" s="57">
        <v>18500</v>
      </c>
      <c r="G10" s="57">
        <f t="shared" si="0"/>
        <v>14500</v>
      </c>
    </row>
    <row r="11" spans="1:7" x14ac:dyDescent="0.2">
      <c r="A11" s="64" t="s">
        <v>24</v>
      </c>
      <c r="B11" s="65"/>
      <c r="C11" s="65"/>
      <c r="D11" s="65"/>
      <c r="E11" s="65"/>
      <c r="G11" s="65"/>
    </row>
    <row r="12" spans="1:7" x14ac:dyDescent="0.2">
      <c r="A12" t="s">
        <v>25</v>
      </c>
      <c r="B12" s="50">
        <f>SLN(B6,B9,B8)</f>
        <v>165000</v>
      </c>
      <c r="C12" s="51">
        <f>SLN(C6,C9,C8)</f>
        <v>211000</v>
      </c>
      <c r="D12" s="51">
        <f>SLN(D6,D9,D8)</f>
        <v>236500</v>
      </c>
      <c r="E12" s="51">
        <f>SLN(E6,E9,E8)</f>
        <v>250000</v>
      </c>
      <c r="G12" s="51">
        <f t="shared" si="0"/>
        <v>211000</v>
      </c>
    </row>
    <row r="13" spans="1:7" x14ac:dyDescent="0.2">
      <c r="A13" t="s">
        <v>26</v>
      </c>
      <c r="B13" s="50">
        <f>B6/2*B.berZinssatzFremdkapital</f>
        <v>36750</v>
      </c>
      <c r="C13" s="51">
        <f>C6/2*B.berZinssatzFremdkapital</f>
        <v>47250</v>
      </c>
      <c r="D13" s="51">
        <f>D6/2*B.berZinssatzFremdkapital</f>
        <v>52500</v>
      </c>
      <c r="E13" s="51">
        <f>E6/2*B.berZinssatzFremdkapital</f>
        <v>55650</v>
      </c>
      <c r="G13" s="51">
        <f t="shared" si="0"/>
        <v>47250</v>
      </c>
    </row>
    <row r="14" spans="1:7" x14ac:dyDescent="0.2">
      <c r="A14" s="4" t="s">
        <v>27</v>
      </c>
      <c r="B14" s="56">
        <v>3500</v>
      </c>
      <c r="C14" s="56">
        <v>1000</v>
      </c>
      <c r="D14" s="56">
        <v>1000</v>
      </c>
      <c r="E14" s="56">
        <v>1000</v>
      </c>
      <c r="G14" s="56">
        <f t="shared" si="0"/>
        <v>1000</v>
      </c>
    </row>
    <row r="15" spans="1:7" x14ac:dyDescent="0.2">
      <c r="A15" s="9" t="s">
        <v>28</v>
      </c>
      <c r="B15" s="52">
        <f>B12+B13+B14</f>
        <v>205250</v>
      </c>
      <c r="C15" s="53">
        <f>C12+C13+C14</f>
        <v>259250</v>
      </c>
      <c r="D15" s="53">
        <f>D12+D13+D14</f>
        <v>290000</v>
      </c>
      <c r="E15" s="53">
        <f>E12+E13+E14</f>
        <v>306650</v>
      </c>
      <c r="G15" s="53">
        <f t="shared" si="0"/>
        <v>259250</v>
      </c>
    </row>
    <row r="16" spans="1:7" x14ac:dyDescent="0.2">
      <c r="A16" s="64" t="s">
        <v>29</v>
      </c>
      <c r="B16" s="2"/>
      <c r="C16" s="2"/>
      <c r="D16" s="2"/>
      <c r="E16" s="2"/>
      <c r="G16" s="2"/>
    </row>
    <row r="17" spans="1:7" x14ac:dyDescent="0.2">
      <c r="A17" t="s">
        <v>30</v>
      </c>
      <c r="B17" s="56">
        <v>23000</v>
      </c>
      <c r="C17" s="56">
        <v>25000</v>
      </c>
      <c r="D17" s="56">
        <v>25000</v>
      </c>
      <c r="E17" s="56">
        <v>25000</v>
      </c>
      <c r="G17" s="56">
        <f t="shared" si="0"/>
        <v>25000</v>
      </c>
    </row>
    <row r="18" spans="1:7" x14ac:dyDescent="0.2">
      <c r="A18" t="s">
        <v>31</v>
      </c>
      <c r="B18" s="56">
        <v>3200</v>
      </c>
      <c r="C18" s="56">
        <v>4500</v>
      </c>
      <c r="D18" s="56">
        <v>4500</v>
      </c>
      <c r="E18" s="56">
        <v>4500</v>
      </c>
      <c r="G18" s="56">
        <f t="shared" si="0"/>
        <v>4500</v>
      </c>
    </row>
    <row r="19" spans="1:7" x14ac:dyDescent="0.2">
      <c r="A19" t="s">
        <v>32</v>
      </c>
      <c r="B19" s="56">
        <v>1200</v>
      </c>
      <c r="C19" s="56">
        <v>1000</v>
      </c>
      <c r="D19" s="56">
        <v>1000</v>
      </c>
      <c r="E19" s="56">
        <v>1000</v>
      </c>
      <c r="G19" s="56">
        <f t="shared" si="0"/>
        <v>1000</v>
      </c>
    </row>
    <row r="20" spans="1:7" x14ac:dyDescent="0.2">
      <c r="A20" t="s">
        <v>33</v>
      </c>
      <c r="B20" s="56">
        <v>2100</v>
      </c>
      <c r="C20" s="56">
        <v>2000</v>
      </c>
      <c r="D20" s="56">
        <v>2000</v>
      </c>
      <c r="E20" s="56">
        <v>2000</v>
      </c>
      <c r="G20" s="56">
        <f t="shared" si="0"/>
        <v>2000</v>
      </c>
    </row>
    <row r="21" spans="1:7" x14ac:dyDescent="0.2">
      <c r="A21" t="s">
        <v>34</v>
      </c>
      <c r="B21" s="50">
        <f>B17+B18+B19+B20</f>
        <v>29500</v>
      </c>
      <c r="C21" s="51">
        <f>C17+C18+C19+C20</f>
        <v>32500</v>
      </c>
      <c r="D21" s="51">
        <f>D17+D18+D19+D20</f>
        <v>32500</v>
      </c>
      <c r="E21" s="51">
        <f>E17+E18+E19+E20</f>
        <v>32500</v>
      </c>
      <c r="G21" s="51">
        <f t="shared" si="0"/>
        <v>32500</v>
      </c>
    </row>
    <row r="22" spans="1:7" x14ac:dyDescent="0.2">
      <c r="A22" s="64" t="s">
        <v>35</v>
      </c>
      <c r="B22" s="66">
        <f>B15+B21</f>
        <v>234750</v>
      </c>
      <c r="C22" s="67">
        <f>C15+C21</f>
        <v>291750</v>
      </c>
      <c r="D22" s="67">
        <f>D15+D21</f>
        <v>322500</v>
      </c>
      <c r="E22" s="67">
        <f>E15+E21</f>
        <v>339150</v>
      </c>
      <c r="G22" s="67">
        <f t="shared" si="0"/>
        <v>291750</v>
      </c>
    </row>
    <row r="24" spans="1:7" x14ac:dyDescent="0.2">
      <c r="A24" t="s">
        <v>36</v>
      </c>
      <c r="B24" s="25">
        <f>B15/B10</f>
        <v>17.847826086956523</v>
      </c>
      <c r="C24" s="16">
        <f>C15/C10</f>
        <v>17.879310344827587</v>
      </c>
      <c r="D24" s="16">
        <f>D15/D10</f>
        <v>19.333333333333332</v>
      </c>
      <c r="E24" s="16">
        <f>E15/E10</f>
        <v>16.575675675675676</v>
      </c>
      <c r="G24" s="16">
        <f t="shared" si="0"/>
        <v>17.879310344827587</v>
      </c>
    </row>
    <row r="25" spans="1:7" x14ac:dyDescent="0.2">
      <c r="A25" s="68" t="s">
        <v>37</v>
      </c>
      <c r="B25" s="69">
        <f>B21/B10</f>
        <v>2.5652173913043477</v>
      </c>
      <c r="C25" s="70">
        <f>C21/C10</f>
        <v>2.2413793103448274</v>
      </c>
      <c r="D25" s="70">
        <f>D21/D10</f>
        <v>2.1666666666666665</v>
      </c>
      <c r="E25" s="70">
        <f>E21/E10</f>
        <v>1.7567567567567568</v>
      </c>
      <c r="G25" s="70">
        <f t="shared" si="0"/>
        <v>2.2413793103448274</v>
      </c>
    </row>
    <row r="26" spans="1:7" ht="13.5" thickBot="1" x14ac:dyDescent="0.25">
      <c r="A26" s="71" t="s">
        <v>38</v>
      </c>
      <c r="B26" s="72">
        <f>B24+B25</f>
        <v>20.413043478260871</v>
      </c>
      <c r="C26" s="73">
        <f>C24+C25</f>
        <v>20.120689655172413</v>
      </c>
      <c r="D26" s="73">
        <f>D24+D25</f>
        <v>21.5</v>
      </c>
      <c r="E26" s="73">
        <f>E24+E25</f>
        <v>18.332432432432434</v>
      </c>
      <c r="G26" s="73">
        <f t="shared" si="0"/>
        <v>20.120689655172413</v>
      </c>
    </row>
  </sheetData>
  <pageMargins left="0.7" right="0.7" top="0.78740157499999996" bottom="0.78740157499999996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7</xdr:col>
                    <xdr:colOff>381000</xdr:colOff>
                    <xdr:row>2</xdr:row>
                    <xdr:rowOff>142875</xdr:rowOff>
                  </from>
                  <to>
                    <xdr:col>8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7</xdr:col>
                    <xdr:colOff>381000</xdr:colOff>
                    <xdr:row>4</xdr:row>
                    <xdr:rowOff>133350</xdr:rowOff>
                  </from>
                  <to>
                    <xdr:col>8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7</xdr:col>
                    <xdr:colOff>381000</xdr:colOff>
                    <xdr:row>6</xdr:row>
                    <xdr:rowOff>133350</xdr:rowOff>
                  </from>
                  <to>
                    <xdr:col>8</xdr:col>
                    <xdr:colOff>409575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Group Box 4">
              <controlPr defaultSize="0" autoFill="0" autoPict="0">
                <anchor moveWithCells="1">
                  <from>
                    <xdr:col>7</xdr:col>
                    <xdr:colOff>190500</xdr:colOff>
                    <xdr:row>2</xdr:row>
                    <xdr:rowOff>85725</xdr:rowOff>
                  </from>
                  <to>
                    <xdr:col>9</xdr:col>
                    <xdr:colOff>466725</xdr:colOff>
                    <xdr:row>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40" zoomScaleNormal="140" workbookViewId="0">
      <selection activeCell="B11" sqref="B11:B12"/>
    </sheetView>
  </sheetViews>
  <sheetFormatPr baseColWidth="10" defaultColWidth="11" defaultRowHeight="12.75" x14ac:dyDescent="0.2"/>
  <cols>
    <col min="1" max="1" width="32.875" customWidth="1"/>
    <col min="2" max="2" width="22.625" customWidth="1"/>
    <col min="3" max="3" width="28.875" customWidth="1"/>
    <col min="4" max="4" width="29.5" bestFit="1" customWidth="1"/>
  </cols>
  <sheetData>
    <row r="1" spans="1:4" ht="18" x14ac:dyDescent="0.25">
      <c r="A1" s="74" t="s">
        <v>39</v>
      </c>
    </row>
    <row r="2" spans="1:4" x14ac:dyDescent="0.2">
      <c r="D2" s="8"/>
    </row>
    <row r="3" spans="1:4" ht="13.5" thickBot="1" x14ac:dyDescent="0.25">
      <c r="B3" s="6" t="s">
        <v>40</v>
      </c>
      <c r="C3" s="29" t="s">
        <v>41</v>
      </c>
      <c r="D3" s="32" t="s">
        <v>42</v>
      </c>
    </row>
    <row r="4" spans="1:4" x14ac:dyDescent="0.2">
      <c r="A4" s="62" t="s">
        <v>18</v>
      </c>
      <c r="B4" s="63"/>
      <c r="C4" s="75"/>
      <c r="D4" s="76"/>
    </row>
    <row r="5" spans="1:4" x14ac:dyDescent="0.2">
      <c r="A5" t="s">
        <v>43</v>
      </c>
      <c r="B5" s="58">
        <v>1900000</v>
      </c>
      <c r="C5" s="50">
        <f>B.berAnschaffungswert1</f>
        <v>1750000</v>
      </c>
      <c r="D5" s="51">
        <f>B.berAnschaffungswert2</f>
        <v>2250000</v>
      </c>
    </row>
    <row r="6" spans="1:4" x14ac:dyDescent="0.2">
      <c r="A6" s="64" t="s">
        <v>20</v>
      </c>
      <c r="B6" s="2"/>
      <c r="C6" s="65"/>
      <c r="D6" s="65"/>
    </row>
    <row r="7" spans="1:4" x14ac:dyDescent="0.2">
      <c r="A7" t="s">
        <v>21</v>
      </c>
      <c r="B7" s="55">
        <v>10</v>
      </c>
      <c r="C7" s="20">
        <f>B.berNutzungsdauer1</f>
        <v>10</v>
      </c>
      <c r="D7" s="11">
        <f>B.berNutzungsdauer2</f>
        <v>10</v>
      </c>
    </row>
    <row r="8" spans="1:4" x14ac:dyDescent="0.2">
      <c r="A8" s="3" t="s">
        <v>44</v>
      </c>
      <c r="B8" s="56">
        <v>63500</v>
      </c>
      <c r="C8" s="50">
        <f>B.berRestwert1</f>
        <v>100000</v>
      </c>
      <c r="D8" s="51">
        <f>B.berRestwert2</f>
        <v>140000</v>
      </c>
    </row>
    <row r="9" spans="1:4" x14ac:dyDescent="0.2">
      <c r="A9" t="s">
        <v>23</v>
      </c>
      <c r="B9" s="57">
        <v>9800</v>
      </c>
      <c r="C9" s="40">
        <f>B.berAuslastungLE1</f>
        <v>11500</v>
      </c>
      <c r="D9" s="41">
        <f>B.berAuslastungLE2</f>
        <v>14500</v>
      </c>
    </row>
    <row r="10" spans="1:4" x14ac:dyDescent="0.2">
      <c r="A10" s="64" t="s">
        <v>45</v>
      </c>
      <c r="B10" s="65"/>
      <c r="C10" s="69"/>
      <c r="D10" s="70"/>
    </row>
    <row r="11" spans="1:4" x14ac:dyDescent="0.2">
      <c r="A11" t="s">
        <v>25</v>
      </c>
      <c r="B11" s="58">
        <f>SLN(B5,B8,B7)</f>
        <v>183650</v>
      </c>
      <c r="C11" s="50">
        <f>B.berAbschreibungenKalkulatorisch1</f>
        <v>165000</v>
      </c>
      <c r="D11" s="51">
        <f>B.berAbschreibungenKalkulatorisch2</f>
        <v>211000</v>
      </c>
    </row>
    <row r="12" spans="1:4" x14ac:dyDescent="0.2">
      <c r="A12" t="s">
        <v>26</v>
      </c>
      <c r="B12" s="58">
        <f>B5/2*B.berZinssatzFremdkapital</f>
        <v>39900</v>
      </c>
      <c r="C12" s="50">
        <f>B.berZinsenKalkulatorisch1</f>
        <v>36750</v>
      </c>
      <c r="D12" s="51">
        <f>B.berZinsenKalkulatorisch2</f>
        <v>47250</v>
      </c>
    </row>
    <row r="13" spans="1:4" x14ac:dyDescent="0.2">
      <c r="A13" s="9" t="s">
        <v>46</v>
      </c>
      <c r="B13" s="59">
        <f>B11+B12</f>
        <v>223550</v>
      </c>
      <c r="C13" s="52">
        <f>C11+C12</f>
        <v>201750</v>
      </c>
      <c r="D13" s="53">
        <f>D11+D12</f>
        <v>258250</v>
      </c>
    </row>
    <row r="14" spans="1:4" x14ac:dyDescent="0.2">
      <c r="A14" s="64" t="s">
        <v>47</v>
      </c>
      <c r="B14" s="2"/>
      <c r="C14" s="2"/>
      <c r="D14" s="2"/>
    </row>
    <row r="15" spans="1:4" x14ac:dyDescent="0.2">
      <c r="A15" t="s">
        <v>30</v>
      </c>
      <c r="B15" s="56">
        <v>175000</v>
      </c>
      <c r="C15" s="56">
        <v>220000</v>
      </c>
      <c r="D15" s="56">
        <v>195000</v>
      </c>
    </row>
    <row r="16" spans="1:4" x14ac:dyDescent="0.2">
      <c r="A16" t="s">
        <v>31</v>
      </c>
      <c r="B16" s="56">
        <v>84000</v>
      </c>
      <c r="C16" s="56">
        <v>92000</v>
      </c>
      <c r="D16" s="56">
        <v>90000</v>
      </c>
    </row>
    <row r="17" spans="1:4" x14ac:dyDescent="0.2">
      <c r="A17" t="s">
        <v>32</v>
      </c>
      <c r="B17" s="56">
        <v>27000</v>
      </c>
      <c r="C17" s="56">
        <v>21000</v>
      </c>
      <c r="D17" s="56">
        <v>20000</v>
      </c>
    </row>
    <row r="18" spans="1:4" x14ac:dyDescent="0.2">
      <c r="A18" t="s">
        <v>48</v>
      </c>
      <c r="B18" s="56">
        <v>23500</v>
      </c>
      <c r="C18" s="56">
        <v>19000</v>
      </c>
      <c r="D18" s="56">
        <v>20000</v>
      </c>
    </row>
    <row r="19" spans="1:4" x14ac:dyDescent="0.2">
      <c r="A19" t="s">
        <v>49</v>
      </c>
      <c r="B19" s="56">
        <v>36000</v>
      </c>
      <c r="C19" s="56">
        <v>32000</v>
      </c>
      <c r="D19" s="56">
        <v>34000</v>
      </c>
    </row>
    <row r="20" spans="1:4" x14ac:dyDescent="0.2">
      <c r="A20" t="s">
        <v>50</v>
      </c>
      <c r="B20" s="58">
        <f>SUM(B15:B19)</f>
        <v>345500</v>
      </c>
      <c r="C20" s="50">
        <f>SUM(C15:C19)</f>
        <v>384000</v>
      </c>
      <c r="D20" s="51">
        <f>SUM(D15:D19)</f>
        <v>359000</v>
      </c>
    </row>
    <row r="21" spans="1:4" x14ac:dyDescent="0.2">
      <c r="A21" t="s">
        <v>51</v>
      </c>
      <c r="B21" s="58">
        <f>B13+B20</f>
        <v>569050</v>
      </c>
      <c r="C21" s="50">
        <f>C13+C20</f>
        <v>585750</v>
      </c>
      <c r="D21" s="51">
        <f>D13+D20</f>
        <v>617250</v>
      </c>
    </row>
    <row r="22" spans="1:4" x14ac:dyDescent="0.2">
      <c r="A22" s="64" t="s">
        <v>52</v>
      </c>
      <c r="B22" s="5"/>
      <c r="C22" s="5"/>
      <c r="D22" s="5"/>
    </row>
    <row r="23" spans="1:4" x14ac:dyDescent="0.2">
      <c r="A23" s="3" t="s">
        <v>53</v>
      </c>
      <c r="B23" s="60">
        <v>920000</v>
      </c>
      <c r="C23" s="60">
        <v>1043000</v>
      </c>
      <c r="D23" s="60">
        <v>1100000</v>
      </c>
    </row>
    <row r="24" spans="1:4" x14ac:dyDescent="0.2">
      <c r="A24" t="s">
        <v>54</v>
      </c>
      <c r="B24" s="58">
        <f>B23-B21</f>
        <v>350950</v>
      </c>
      <c r="C24" s="50">
        <f>C23-C21</f>
        <v>457250</v>
      </c>
      <c r="D24" s="51">
        <f>D23-D21</f>
        <v>482750</v>
      </c>
    </row>
    <row r="25" spans="1:4" ht="13.5" thickBot="1" x14ac:dyDescent="0.25">
      <c r="A25" s="77" t="s">
        <v>55</v>
      </c>
      <c r="B25" s="78"/>
      <c r="C25" s="79">
        <f>C24-B24</f>
        <v>106300</v>
      </c>
      <c r="D25" s="80">
        <f>D24-B24</f>
        <v>131800</v>
      </c>
    </row>
  </sheetData>
  <pageMargins left="0.7" right="0.7" top="0.78740157499999996" bottom="0.78740157499999996" header="0.3" footer="0.3"/>
  <pageSetup paperSize="9" orientation="landscape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11" defaultRowHeight="12.75" x14ac:dyDescent="0.2"/>
  <cols>
    <col min="1" max="1" width="41.25" customWidth="1"/>
    <col min="2" max="2" width="17.25" customWidth="1"/>
    <col min="3" max="3" width="18.125" customWidth="1"/>
  </cols>
  <sheetData>
    <row r="1" spans="1:3" ht="18" x14ac:dyDescent="0.25">
      <c r="A1" s="74" t="s">
        <v>56</v>
      </c>
    </row>
    <row r="2" spans="1:3" ht="10.5" customHeight="1" x14ac:dyDescent="0.25">
      <c r="A2" s="1"/>
    </row>
    <row r="3" spans="1:3" ht="13.5" thickBot="1" x14ac:dyDescent="0.25">
      <c r="A3" s="81"/>
      <c r="B3" s="82" t="s">
        <v>1</v>
      </c>
      <c r="C3" s="83" t="s">
        <v>2</v>
      </c>
    </row>
    <row r="4" spans="1:3" x14ac:dyDescent="0.2">
      <c r="A4" t="s">
        <v>57</v>
      </c>
      <c r="B4" s="25">
        <f>C.berKapitalkosten1</f>
        <v>201750</v>
      </c>
      <c r="C4" s="16">
        <f>C.berKapitalkosten2</f>
        <v>258250</v>
      </c>
    </row>
    <row r="5" spans="1:3" x14ac:dyDescent="0.2">
      <c r="A5" t="s">
        <v>58</v>
      </c>
      <c r="B5" s="25">
        <f>C.berGewinnzuwachs1</f>
        <v>106300</v>
      </c>
      <c r="C5" s="16">
        <f>C.berGewinnzuwachs2</f>
        <v>131800</v>
      </c>
    </row>
    <row r="6" spans="1:3" ht="13.5" thickBot="1" x14ac:dyDescent="0.25">
      <c r="A6" s="71" t="s">
        <v>59</v>
      </c>
      <c r="B6" s="84">
        <f>B5/B4</f>
        <v>0.52688971499380421</v>
      </c>
      <c r="C6" s="85">
        <f>C5/C4</f>
        <v>0.5103581800580832</v>
      </c>
    </row>
  </sheetData>
  <pageMargins left="0.7" right="0.7" top="0.78740157499999996" bottom="0.78740157499999996" header="0.3" footer="0.3"/>
  <pageSetup paperSize="9" orientation="landscape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5" sqref="B5"/>
    </sheetView>
  </sheetViews>
  <sheetFormatPr baseColWidth="10" defaultColWidth="11" defaultRowHeight="12.75" x14ac:dyDescent="0.2"/>
  <cols>
    <col min="1" max="1" width="39.125" customWidth="1"/>
    <col min="2" max="2" width="18.125" customWidth="1"/>
    <col min="3" max="3" width="22" customWidth="1"/>
  </cols>
  <sheetData>
    <row r="1" spans="1:3" ht="18" x14ac:dyDescent="0.25">
      <c r="A1" s="74" t="s">
        <v>60</v>
      </c>
    </row>
    <row r="2" spans="1:3" ht="13.5" thickBot="1" x14ac:dyDescent="0.25"/>
    <row r="3" spans="1:3" ht="13.5" thickBot="1" x14ac:dyDescent="0.25">
      <c r="A3" s="87"/>
      <c r="B3" s="88" t="s">
        <v>1</v>
      </c>
      <c r="C3" s="89" t="s">
        <v>2</v>
      </c>
    </row>
    <row r="4" spans="1:3" x14ac:dyDescent="0.2">
      <c r="A4" s="86" t="s">
        <v>61</v>
      </c>
    </row>
    <row r="5" spans="1:3" x14ac:dyDescent="0.2">
      <c r="A5" s="90" t="s">
        <v>43</v>
      </c>
      <c r="B5" s="91">
        <f>B.berAnschaffungswert1</f>
        <v>1750000</v>
      </c>
      <c r="C5" s="92">
        <f>B.berAnschaffungswert2</f>
        <v>2250000</v>
      </c>
    </row>
    <row r="6" spans="1:3" x14ac:dyDescent="0.2">
      <c r="A6" t="s">
        <v>44</v>
      </c>
      <c r="B6" s="25">
        <f>B.berRestwert1</f>
        <v>100000</v>
      </c>
      <c r="C6" s="16">
        <f>B.berRestwert2</f>
        <v>140000</v>
      </c>
    </row>
    <row r="7" spans="1:3" x14ac:dyDescent="0.2">
      <c r="A7" s="68" t="s">
        <v>62</v>
      </c>
      <c r="B7" s="93">
        <f>B.berNutzungsdauer1</f>
        <v>10</v>
      </c>
      <c r="C7" s="94">
        <f>B.berNutzungsdauer2</f>
        <v>10</v>
      </c>
    </row>
    <row r="8" spans="1:3" x14ac:dyDescent="0.2">
      <c r="A8" t="s">
        <v>63</v>
      </c>
      <c r="B8" s="25">
        <f>B.berAbschreibungenKalkulatorisch1</f>
        <v>165000</v>
      </c>
      <c r="C8" s="16">
        <f>B.berAbschreibungenKalkulatorisch2</f>
        <v>211000</v>
      </c>
    </row>
    <row r="9" spans="1:3" x14ac:dyDescent="0.2">
      <c r="A9" t="s">
        <v>64</v>
      </c>
      <c r="B9" s="25">
        <f>C.berGewinn1</f>
        <v>457250</v>
      </c>
      <c r="C9" s="16">
        <f>C.berGewinn2</f>
        <v>482750</v>
      </c>
    </row>
    <row r="10" spans="1:3" x14ac:dyDescent="0.2">
      <c r="A10" s="95" t="s">
        <v>65</v>
      </c>
      <c r="B10" s="96">
        <f>B8+B9</f>
        <v>622250</v>
      </c>
      <c r="C10" s="97">
        <f>C8+C9</f>
        <v>693750</v>
      </c>
    </row>
    <row r="11" spans="1:3" ht="13.5" thickBot="1" x14ac:dyDescent="0.25">
      <c r="A11" s="71" t="s">
        <v>66</v>
      </c>
      <c r="B11" s="98">
        <f>(B5-B6)/B10</f>
        <v>2.6516673362796306</v>
      </c>
      <c r="C11" s="99">
        <f>(C5-C6)/C10</f>
        <v>3.0414414414414415</v>
      </c>
    </row>
  </sheetData>
  <pageMargins left="0.7" right="0.7" top="0.78740157499999996" bottom="0.78740157499999996" header="0.3" footer="0.3"/>
  <pageSetup paperSize="9" orientation="landscape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Normal="100" workbookViewId="0">
      <selection activeCell="D6" sqref="D6"/>
    </sheetView>
  </sheetViews>
  <sheetFormatPr baseColWidth="10" defaultColWidth="11" defaultRowHeight="12.75" x14ac:dyDescent="0.2"/>
  <cols>
    <col min="1" max="1" width="13.875" bestFit="1" customWidth="1"/>
    <col min="2" max="2" width="13.625" customWidth="1"/>
    <col min="3" max="3" width="15.25" bestFit="1" customWidth="1"/>
    <col min="4" max="4" width="13.375" customWidth="1"/>
    <col min="5" max="5" width="15.875" bestFit="1" customWidth="1"/>
    <col min="6" max="6" width="19.5" bestFit="1" customWidth="1"/>
  </cols>
  <sheetData>
    <row r="1" spans="1:6" ht="18" x14ac:dyDescent="0.25">
      <c r="A1" s="74" t="s">
        <v>67</v>
      </c>
    </row>
    <row r="3" spans="1:6" x14ac:dyDescent="0.2">
      <c r="A3" s="147" t="s">
        <v>68</v>
      </c>
      <c r="B3" s="147"/>
      <c r="C3" s="147"/>
      <c r="D3" s="147"/>
      <c r="E3" s="147"/>
    </row>
    <row r="4" spans="1:6" ht="13.5" thickBot="1" x14ac:dyDescent="0.25">
      <c r="A4" s="29" t="s">
        <v>69</v>
      </c>
      <c r="B4" s="29" t="s">
        <v>70</v>
      </c>
      <c r="C4" s="29" t="s">
        <v>71</v>
      </c>
      <c r="D4" s="29" t="s">
        <v>72</v>
      </c>
      <c r="E4" s="29" t="s">
        <v>73</v>
      </c>
      <c r="F4" s="6"/>
    </row>
    <row r="5" spans="1:6" x14ac:dyDescent="0.2">
      <c r="A5" s="106">
        <v>0</v>
      </c>
      <c r="B5" s="107">
        <f>B.berAnschaffungswert1</f>
        <v>1750000</v>
      </c>
      <c r="C5" s="108">
        <f>-B.berAnschaffungswert1</f>
        <v>-1750000</v>
      </c>
      <c r="D5" s="109">
        <v>1</v>
      </c>
      <c r="E5" s="106"/>
    </row>
    <row r="6" spans="1:6" x14ac:dyDescent="0.2">
      <c r="A6" s="29">
        <v>1</v>
      </c>
      <c r="B6" s="100"/>
      <c r="C6" s="101">
        <v>320000</v>
      </c>
      <c r="D6" s="102">
        <f t="shared" ref="D6:D15" si="0">NPV(B.berZinssatzFremdkapital,D5)</f>
        <v>0.95969289827255277</v>
      </c>
      <c r="E6" s="26">
        <f>C6*D6</f>
        <v>307101.72744721686</v>
      </c>
      <c r="F6" s="2"/>
    </row>
    <row r="7" spans="1:6" x14ac:dyDescent="0.2">
      <c r="A7" s="29">
        <v>2</v>
      </c>
      <c r="B7" s="103"/>
      <c r="C7" s="101">
        <v>370000</v>
      </c>
      <c r="D7" s="102">
        <f t="shared" si="0"/>
        <v>0.9210104589947723</v>
      </c>
      <c r="E7" s="26">
        <f t="shared" ref="E7:E15" si="1">C7*D7</f>
        <v>340773.86982806574</v>
      </c>
      <c r="F7" s="2"/>
    </row>
    <row r="8" spans="1:6" x14ac:dyDescent="0.2">
      <c r="A8" s="29">
        <v>3</v>
      </c>
      <c r="B8" s="103"/>
      <c r="C8" s="101">
        <v>390000</v>
      </c>
      <c r="D8" s="102">
        <f t="shared" si="0"/>
        <v>0.88388719673202709</v>
      </c>
      <c r="E8" s="26">
        <f t="shared" si="1"/>
        <v>344716.00672549056</v>
      </c>
      <c r="F8" s="2"/>
    </row>
    <row r="9" spans="1:6" x14ac:dyDescent="0.2">
      <c r="A9" s="29">
        <v>4</v>
      </c>
      <c r="B9" s="103"/>
      <c r="C9" s="101">
        <v>440000</v>
      </c>
      <c r="D9" s="102">
        <f t="shared" si="0"/>
        <v>0.84826026557776113</v>
      </c>
      <c r="E9" s="26">
        <f t="shared" si="1"/>
        <v>373234.51685421489</v>
      </c>
      <c r="F9" s="2"/>
    </row>
    <row r="10" spans="1:6" x14ac:dyDescent="0.2">
      <c r="A10" s="29">
        <v>5</v>
      </c>
      <c r="B10" s="103"/>
      <c r="C10" s="101">
        <v>450000</v>
      </c>
      <c r="D10" s="102">
        <f t="shared" si="0"/>
        <v>0.81406935276176684</v>
      </c>
      <c r="E10" s="26">
        <f t="shared" si="1"/>
        <v>366331.2087427951</v>
      </c>
      <c r="F10" s="2"/>
    </row>
    <row r="11" spans="1:6" x14ac:dyDescent="0.2">
      <c r="A11" s="29">
        <v>6</v>
      </c>
      <c r="B11" s="103"/>
      <c r="C11" s="101">
        <v>450000</v>
      </c>
      <c r="D11" s="102">
        <f t="shared" si="0"/>
        <v>0.78125657654680114</v>
      </c>
      <c r="E11" s="26">
        <f t="shared" si="1"/>
        <v>351565.45944606053</v>
      </c>
      <c r="F11" s="2"/>
    </row>
    <row r="12" spans="1:6" x14ac:dyDescent="0.2">
      <c r="A12" s="29">
        <v>7</v>
      </c>
      <c r="B12" s="103"/>
      <c r="C12" s="101">
        <v>370000</v>
      </c>
      <c r="D12" s="102">
        <f t="shared" si="0"/>
        <v>0.74976638824069208</v>
      </c>
      <c r="E12" s="26">
        <f t="shared" si="1"/>
        <v>277413.56364905607</v>
      </c>
      <c r="F12" s="2"/>
    </row>
    <row r="13" spans="1:6" x14ac:dyDescent="0.2">
      <c r="A13" s="29">
        <v>8</v>
      </c>
      <c r="B13" s="103"/>
      <c r="C13" s="101">
        <v>320000</v>
      </c>
      <c r="D13" s="102">
        <f t="shared" si="0"/>
        <v>0.71954547815805381</v>
      </c>
      <c r="E13" s="26">
        <f t="shared" si="1"/>
        <v>230254.55301057722</v>
      </c>
      <c r="F13" s="2"/>
    </row>
    <row r="14" spans="1:6" x14ac:dyDescent="0.2">
      <c r="A14" s="29">
        <v>9</v>
      </c>
      <c r="B14" s="103"/>
      <c r="C14" s="101">
        <v>320000</v>
      </c>
      <c r="D14" s="102">
        <f t="shared" si="0"/>
        <v>0.69054268537241248</v>
      </c>
      <c r="E14" s="26">
        <f t="shared" si="1"/>
        <v>220973.659319172</v>
      </c>
      <c r="F14" s="2"/>
    </row>
    <row r="15" spans="1:6" x14ac:dyDescent="0.2">
      <c r="A15" s="29">
        <v>10</v>
      </c>
      <c r="B15" s="103"/>
      <c r="C15" s="101">
        <v>280000</v>
      </c>
      <c r="D15" s="102">
        <f t="shared" si="0"/>
        <v>0.66270891110596208</v>
      </c>
      <c r="E15" s="26">
        <f t="shared" si="1"/>
        <v>185558.49510966937</v>
      </c>
      <c r="F15" s="2"/>
    </row>
    <row r="16" spans="1:6" ht="13.5" thickBot="1" x14ac:dyDescent="0.25">
      <c r="A16" s="110"/>
      <c r="B16" s="110"/>
      <c r="C16" s="111">
        <f>SUM(C6:C15)</f>
        <v>3710000</v>
      </c>
      <c r="D16" s="110"/>
      <c r="E16" s="112">
        <f>SUM(E6:E15)</f>
        <v>2997923.0601323186</v>
      </c>
      <c r="F16" s="2"/>
    </row>
    <row r="17" spans="1:5" x14ac:dyDescent="0.2">
      <c r="A17" s="29"/>
      <c r="B17" s="29"/>
      <c r="C17" s="104"/>
      <c r="D17" s="28" t="s">
        <v>11</v>
      </c>
      <c r="E17" s="105">
        <f>E16-B5</f>
        <v>1247923.0601323186</v>
      </c>
    </row>
    <row r="18" spans="1:5" x14ac:dyDescent="0.2">
      <c r="A18" s="20"/>
      <c r="B18" s="20"/>
      <c r="C18" s="20"/>
      <c r="D18" s="20"/>
      <c r="E18" s="20"/>
    </row>
    <row r="20" spans="1:5" x14ac:dyDescent="0.2">
      <c r="A20" s="148" t="s">
        <v>74</v>
      </c>
      <c r="B20" s="148"/>
      <c r="C20" s="148"/>
      <c r="D20" s="148"/>
      <c r="E20" s="148"/>
    </row>
    <row r="21" spans="1:5" ht="13.5" thickBot="1" x14ac:dyDescent="0.25">
      <c r="A21" s="32" t="s">
        <v>69</v>
      </c>
      <c r="B21" s="32" t="s">
        <v>70</v>
      </c>
      <c r="C21" s="32" t="s">
        <v>71</v>
      </c>
      <c r="D21" s="32" t="s">
        <v>72</v>
      </c>
      <c r="E21" s="32" t="s">
        <v>73</v>
      </c>
    </row>
    <row r="22" spans="1:5" x14ac:dyDescent="0.2">
      <c r="A22" s="113">
        <v>0</v>
      </c>
      <c r="B22" s="114">
        <f>B.berAnschaffungswert2</f>
        <v>2250000</v>
      </c>
      <c r="C22" s="115">
        <f>-B.berAnschaffungswert2</f>
        <v>-2250000</v>
      </c>
      <c r="D22" s="116">
        <v>1</v>
      </c>
      <c r="E22" s="113"/>
    </row>
    <row r="23" spans="1:5" x14ac:dyDescent="0.2">
      <c r="A23" s="32">
        <v>1</v>
      </c>
      <c r="B23" s="34"/>
      <c r="C23" s="35">
        <v>460000</v>
      </c>
      <c r="D23" s="36">
        <f t="shared" ref="D23:D32" si="2">NPV(B.berZinssatzFremdkapital,D22)</f>
        <v>0.95969289827255277</v>
      </c>
      <c r="E23" s="17">
        <f>C23*D23</f>
        <v>441458.73320537427</v>
      </c>
    </row>
    <row r="24" spans="1:5" x14ac:dyDescent="0.2">
      <c r="A24" s="32">
        <v>2</v>
      </c>
      <c r="B24" s="37"/>
      <c r="C24" s="35">
        <v>460000</v>
      </c>
      <c r="D24" s="36">
        <f t="shared" si="2"/>
        <v>0.9210104589947723</v>
      </c>
      <c r="E24" s="17">
        <f t="shared" ref="E24:E32" si="3">C24*D24</f>
        <v>423664.81113759527</v>
      </c>
    </row>
    <row r="25" spans="1:5" x14ac:dyDescent="0.2">
      <c r="A25" s="32">
        <v>3</v>
      </c>
      <c r="B25" s="37"/>
      <c r="C25" s="35">
        <v>480000</v>
      </c>
      <c r="D25" s="36">
        <f t="shared" si="2"/>
        <v>0.88388719673202709</v>
      </c>
      <c r="E25" s="17">
        <f t="shared" si="3"/>
        <v>424265.85443137301</v>
      </c>
    </row>
    <row r="26" spans="1:5" x14ac:dyDescent="0.2">
      <c r="A26" s="32">
        <v>4</v>
      </c>
      <c r="B26" s="37"/>
      <c r="C26" s="35">
        <v>490000</v>
      </c>
      <c r="D26" s="36">
        <f t="shared" si="2"/>
        <v>0.84826026557776113</v>
      </c>
      <c r="E26" s="17">
        <f t="shared" si="3"/>
        <v>415647.53013310296</v>
      </c>
    </row>
    <row r="27" spans="1:5" x14ac:dyDescent="0.2">
      <c r="A27" s="32">
        <v>5</v>
      </c>
      <c r="B27" s="37"/>
      <c r="C27" s="35">
        <v>520000</v>
      </c>
      <c r="D27" s="36">
        <f t="shared" si="2"/>
        <v>0.81406935276176684</v>
      </c>
      <c r="E27" s="17">
        <f t="shared" si="3"/>
        <v>423316.06343611877</v>
      </c>
    </row>
    <row r="28" spans="1:5" x14ac:dyDescent="0.2">
      <c r="A28" s="32">
        <v>6</v>
      </c>
      <c r="B28" s="37"/>
      <c r="C28" s="35">
        <v>520000</v>
      </c>
      <c r="D28" s="36">
        <f t="shared" si="2"/>
        <v>0.78125657654680114</v>
      </c>
      <c r="E28" s="17">
        <f t="shared" si="3"/>
        <v>406253.41980433662</v>
      </c>
    </row>
    <row r="29" spans="1:5" x14ac:dyDescent="0.2">
      <c r="A29" s="32">
        <v>7</v>
      </c>
      <c r="B29" s="37"/>
      <c r="C29" s="35">
        <v>450000</v>
      </c>
      <c r="D29" s="36">
        <f t="shared" si="2"/>
        <v>0.74976638824069208</v>
      </c>
      <c r="E29" s="17">
        <f t="shared" si="3"/>
        <v>337394.87470831146</v>
      </c>
    </row>
    <row r="30" spans="1:5" x14ac:dyDescent="0.2">
      <c r="A30" s="32">
        <v>8</v>
      </c>
      <c r="B30" s="37"/>
      <c r="C30" s="35">
        <v>420000</v>
      </c>
      <c r="D30" s="36">
        <f t="shared" si="2"/>
        <v>0.71954547815805381</v>
      </c>
      <c r="E30" s="17">
        <f t="shared" si="3"/>
        <v>302209.10082638258</v>
      </c>
    </row>
    <row r="31" spans="1:5" x14ac:dyDescent="0.2">
      <c r="A31" s="32">
        <v>9</v>
      </c>
      <c r="B31" s="37"/>
      <c r="C31" s="35">
        <v>400000</v>
      </c>
      <c r="D31" s="36">
        <f t="shared" si="2"/>
        <v>0.69054268537241248</v>
      </c>
      <c r="E31" s="17">
        <f t="shared" si="3"/>
        <v>276217.07414896501</v>
      </c>
    </row>
    <row r="32" spans="1:5" x14ac:dyDescent="0.2">
      <c r="A32" s="32">
        <v>10</v>
      </c>
      <c r="B32" s="37"/>
      <c r="C32" s="35">
        <v>370000</v>
      </c>
      <c r="D32" s="36">
        <f t="shared" si="2"/>
        <v>0.66270891110596208</v>
      </c>
      <c r="E32" s="17">
        <f t="shared" si="3"/>
        <v>245202.29710920597</v>
      </c>
    </row>
    <row r="33" spans="1:5" ht="13.5" thickBot="1" x14ac:dyDescent="0.25">
      <c r="A33" s="117"/>
      <c r="B33" s="117"/>
      <c r="C33" s="118"/>
      <c r="D33" s="117"/>
      <c r="E33" s="119">
        <f>SUM(E23:E32)</f>
        <v>3695629.7589407666</v>
      </c>
    </row>
    <row r="34" spans="1:5" x14ac:dyDescent="0.2">
      <c r="A34" s="32"/>
      <c r="B34" s="32"/>
      <c r="C34" s="38"/>
      <c r="D34" s="31" t="s">
        <v>11</v>
      </c>
      <c r="E34" s="39">
        <f>E33-B22</f>
        <v>1445629.7589407666</v>
      </c>
    </row>
    <row r="35" spans="1:5" x14ac:dyDescent="0.2">
      <c r="A35" s="11"/>
      <c r="B35" s="11"/>
      <c r="C35" s="11"/>
      <c r="D35" s="11"/>
      <c r="E35" s="11"/>
    </row>
  </sheetData>
  <mergeCells count="2">
    <mergeCell ref="A3:E3"/>
    <mergeCell ref="A20:E20"/>
  </mergeCells>
  <pageMargins left="0.7" right="0.7" top="0.78740157499999996" bottom="0.78740157499999996" header="0.3" footer="0.3"/>
  <pageSetup paperSize="9" orientation="landscape" horizontalDpi="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" sqref="A2"/>
    </sheetView>
  </sheetViews>
  <sheetFormatPr baseColWidth="10" defaultColWidth="11" defaultRowHeight="12.75" x14ac:dyDescent="0.2"/>
  <cols>
    <col min="1" max="1" width="19.75" bestFit="1" customWidth="1"/>
    <col min="2" max="2" width="27.875" customWidth="1"/>
    <col min="3" max="3" width="25" customWidth="1"/>
  </cols>
  <sheetData>
    <row r="1" spans="1:3" ht="18" x14ac:dyDescent="0.25">
      <c r="A1" s="74" t="s">
        <v>75</v>
      </c>
    </row>
    <row r="3" spans="1:3" ht="13.5" thickBot="1" x14ac:dyDescent="0.25">
      <c r="A3" s="149" t="s">
        <v>76</v>
      </c>
      <c r="B3" s="150"/>
      <c r="C3" s="150"/>
    </row>
    <row r="4" spans="1:3" x14ac:dyDescent="0.2">
      <c r="A4" s="120"/>
      <c r="B4" s="121" t="s">
        <v>77</v>
      </c>
      <c r="C4" s="122">
        <f>B.berZinssatzFremdkapital</f>
        <v>4.2000000000000003E-2</v>
      </c>
    </row>
    <row r="5" spans="1:3" ht="13.5" thickBot="1" x14ac:dyDescent="0.25">
      <c r="A5" s="123"/>
      <c r="B5" s="123" t="s">
        <v>78</v>
      </c>
      <c r="C5" s="134">
        <v>4.8000000000000001E-2</v>
      </c>
    </row>
    <row r="6" spans="1:3" x14ac:dyDescent="0.2">
      <c r="A6" s="28" t="s">
        <v>79</v>
      </c>
      <c r="B6" s="26">
        <f>-B.berAnschaffungswert1</f>
        <v>-1750000</v>
      </c>
      <c r="C6" s="20"/>
    </row>
    <row r="7" spans="1:3" ht="13.5" thickBot="1" x14ac:dyDescent="0.25">
      <c r="A7" s="22" t="s">
        <v>80</v>
      </c>
      <c r="B7" s="21" t="s">
        <v>81</v>
      </c>
      <c r="C7" s="21" t="s">
        <v>12</v>
      </c>
    </row>
    <row r="8" spans="1:3" x14ac:dyDescent="0.2">
      <c r="A8" s="106">
        <v>1</v>
      </c>
      <c r="B8" s="108">
        <f>'F. Kapitalwert'!C6</f>
        <v>320000</v>
      </c>
      <c r="C8" s="124"/>
    </row>
    <row r="9" spans="1:3" x14ac:dyDescent="0.2">
      <c r="A9" s="29">
        <v>2</v>
      </c>
      <c r="B9" s="26">
        <f>'F. Kapitalwert'!C7</f>
        <v>370000</v>
      </c>
      <c r="C9" s="20"/>
    </row>
    <row r="10" spans="1:3" x14ac:dyDescent="0.2">
      <c r="A10" s="29">
        <v>3</v>
      </c>
      <c r="B10" s="26">
        <f>'F. Kapitalwert'!C8</f>
        <v>390000</v>
      </c>
      <c r="C10" s="30">
        <f>MIRR($B$6:B10,B.berZinssatzFremdkapital,G.berZinssatzReinvestition1)</f>
        <v>-0.1358685287268101</v>
      </c>
    </row>
    <row r="11" spans="1:3" x14ac:dyDescent="0.2">
      <c r="A11" s="29">
        <v>4</v>
      </c>
      <c r="B11" s="26">
        <f>'F. Kapitalwert'!C9</f>
        <v>440000</v>
      </c>
      <c r="C11" s="30">
        <f>MIRR($B$6:B11,B.berZinssatzFremdkapital,G.berZinssatzReinvestition1)</f>
        <v>-1.8595169173857728E-2</v>
      </c>
    </row>
    <row r="12" spans="1:3" x14ac:dyDescent="0.2">
      <c r="A12" s="29">
        <v>5</v>
      </c>
      <c r="B12" s="26">
        <f>'F. Kapitalwert'!C10</f>
        <v>450000</v>
      </c>
      <c r="C12" s="30">
        <f>MIRR($B$6:B12,B.berZinssatzFremdkapital,G.berZinssatzReinvestition1)</f>
        <v>4.2159894944660437E-2</v>
      </c>
    </row>
    <row r="13" spans="1:3" x14ac:dyDescent="0.2">
      <c r="A13" s="29">
        <v>6</v>
      </c>
      <c r="B13" s="26">
        <f>'F. Kapitalwert'!C11</f>
        <v>450000</v>
      </c>
      <c r="C13" s="30">
        <f>MIRR($B$6:B13,B.berZinssatzFremdkapital,G.berZinssatzReinvestition1)</f>
        <v>7.5253973819992659E-2</v>
      </c>
    </row>
    <row r="14" spans="1:3" x14ac:dyDescent="0.2">
      <c r="A14" s="29">
        <v>7</v>
      </c>
      <c r="B14" s="26">
        <f>'F. Kapitalwert'!C12</f>
        <v>370000</v>
      </c>
      <c r="C14" s="30">
        <f>MIRR($B$6:B14,B.berZinssatzFremdkapital,G.berZinssatzReinvestition1)</f>
        <v>9.0260763716509151E-2</v>
      </c>
    </row>
    <row r="15" spans="1:3" x14ac:dyDescent="0.2">
      <c r="A15" s="29">
        <v>8</v>
      </c>
      <c r="B15" s="26">
        <f>'F. Kapitalwert'!C13</f>
        <v>320000</v>
      </c>
      <c r="C15" s="30">
        <f>MIRR($B$6:B15,B.berZinssatzFremdkapital,G.berZinssatzReinvestition1)</f>
        <v>9.7299759383636886E-2</v>
      </c>
    </row>
    <row r="16" spans="1:3" x14ac:dyDescent="0.2">
      <c r="A16" s="29">
        <v>9</v>
      </c>
      <c r="B16" s="26">
        <f>'F. Kapitalwert'!C14</f>
        <v>320000</v>
      </c>
      <c r="C16" s="30">
        <f>MIRR($B$6:B16,B.berZinssatzFremdkapital,G.berZinssatzReinvestition1)</f>
        <v>0.1014258536811623</v>
      </c>
    </row>
    <row r="17" spans="1:3" ht="13.5" thickBot="1" x14ac:dyDescent="0.25">
      <c r="A17" s="110">
        <v>10</v>
      </c>
      <c r="B17" s="125">
        <f>'F. Kapitalwert'!C15</f>
        <v>280000</v>
      </c>
      <c r="C17" s="126">
        <f>MIRR($B$6:B17,B.berZinssatzFremdkapital,G.berZinssatzReinvestition1)</f>
        <v>0.10278263418010658</v>
      </c>
    </row>
    <row r="18" spans="1:3" x14ac:dyDescent="0.2">
      <c r="A18" s="20"/>
      <c r="B18" s="20"/>
      <c r="C18" s="20"/>
    </row>
    <row r="20" spans="1:3" ht="13.5" thickBot="1" x14ac:dyDescent="0.25">
      <c r="A20" s="151" t="s">
        <v>76</v>
      </c>
      <c r="B20" s="152"/>
      <c r="C20" s="152"/>
    </row>
    <row r="21" spans="1:3" x14ac:dyDescent="0.2">
      <c r="A21" s="127"/>
      <c r="B21" s="128" t="s">
        <v>77</v>
      </c>
      <c r="C21" s="129">
        <f>B.berZinssatzFremdkapital</f>
        <v>4.2000000000000003E-2</v>
      </c>
    </row>
    <row r="22" spans="1:3" ht="13.5" thickBot="1" x14ac:dyDescent="0.25">
      <c r="A22" s="130"/>
      <c r="B22" s="130" t="s">
        <v>78</v>
      </c>
      <c r="C22" s="131">
        <f>G.berZinssatzReinvestition1</f>
        <v>4.8000000000000001E-2</v>
      </c>
    </row>
    <row r="23" spans="1:3" x14ac:dyDescent="0.2">
      <c r="A23" s="31" t="s">
        <v>79</v>
      </c>
      <c r="B23" s="17">
        <f>-B.berAnschaffungswert2</f>
        <v>-2250000</v>
      </c>
      <c r="C23" s="11"/>
    </row>
    <row r="24" spans="1:3" ht="13.5" thickBot="1" x14ac:dyDescent="0.25">
      <c r="A24" s="13" t="s">
        <v>80</v>
      </c>
      <c r="B24" s="12" t="s">
        <v>81</v>
      </c>
      <c r="C24" s="12" t="s">
        <v>12</v>
      </c>
    </row>
    <row r="25" spans="1:3" x14ac:dyDescent="0.2">
      <c r="A25" s="113">
        <v>1</v>
      </c>
      <c r="B25" s="115">
        <f>'F. Kapitalwert'!C23</f>
        <v>460000</v>
      </c>
      <c r="C25" s="132"/>
    </row>
    <row r="26" spans="1:3" x14ac:dyDescent="0.2">
      <c r="A26" s="32">
        <v>2</v>
      </c>
      <c r="B26" s="17">
        <f>'F. Kapitalwert'!C24</f>
        <v>460000</v>
      </c>
      <c r="C26" s="11"/>
    </row>
    <row r="27" spans="1:3" x14ac:dyDescent="0.2">
      <c r="A27" s="32">
        <v>3</v>
      </c>
      <c r="B27" s="17">
        <f>'F. Kapitalwert'!C25</f>
        <v>480000</v>
      </c>
      <c r="C27" s="33">
        <f>MIRR($B$23:B27,B.berZinssatzFremdkapital,G.berZinssatzReinvestition1)</f>
        <v>-0.13281428068301449</v>
      </c>
    </row>
    <row r="28" spans="1:3" x14ac:dyDescent="0.2">
      <c r="A28" s="32">
        <v>4</v>
      </c>
      <c r="B28" s="17">
        <f>'F. Kapitalwert'!C26</f>
        <v>490000</v>
      </c>
      <c r="C28" s="33">
        <f>MIRR($B$23:B28,B.berZinssatzFremdkapital,G.berZinssatzReinvestition1)</f>
        <v>-2.5668116161314591E-2</v>
      </c>
    </row>
    <row r="29" spans="1:3" x14ac:dyDescent="0.2">
      <c r="A29" s="32">
        <v>5</v>
      </c>
      <c r="B29" s="17">
        <f>'F. Kapitalwert'!C27</f>
        <v>520000</v>
      </c>
      <c r="C29" s="33">
        <f>MIRR($B$23:B29,B.berZinssatzFremdkapital,G.berZinssatzReinvestition1)</f>
        <v>3.2881845543015098E-2</v>
      </c>
    </row>
    <row r="30" spans="1:3" x14ac:dyDescent="0.2">
      <c r="A30" s="32">
        <v>6</v>
      </c>
      <c r="B30" s="17">
        <f>'F. Kapitalwert'!C28</f>
        <v>520000</v>
      </c>
      <c r="C30" s="33">
        <f>MIRR($B$23:B30,B.berZinssatzFremdkapital,G.berZinssatzReinvestition1)</f>
        <v>6.548355413519924E-2</v>
      </c>
    </row>
    <row r="31" spans="1:3" x14ac:dyDescent="0.2">
      <c r="A31" s="32">
        <v>7</v>
      </c>
      <c r="B31" s="17">
        <f>'F. Kapitalwert'!C29</f>
        <v>450000</v>
      </c>
      <c r="C31" s="33">
        <f>MIRR($B$23:B31,B.berZinssatzFremdkapital,G.berZinssatzReinvestition1)</f>
        <v>8.1749420225476266E-2</v>
      </c>
    </row>
    <row r="32" spans="1:3" x14ac:dyDescent="0.2">
      <c r="A32" s="32">
        <v>8</v>
      </c>
      <c r="B32" s="17">
        <f>'F. Kapitalwert'!C30</f>
        <v>420000</v>
      </c>
      <c r="C32" s="33">
        <f>MIRR($B$23:B32,B.berZinssatzFremdkapital,G.berZinssatzReinvestition1)</f>
        <v>9.0726993746195639E-2</v>
      </c>
    </row>
    <row r="33" spans="1:3" x14ac:dyDescent="0.2">
      <c r="A33" s="32">
        <v>9</v>
      </c>
      <c r="B33" s="17">
        <f>'F. Kapitalwert'!C31</f>
        <v>400000</v>
      </c>
      <c r="C33" s="33">
        <f>MIRR($B$23:B33,B.berZinssatzFremdkapital,G.berZinssatzReinvestition1)</f>
        <v>9.5746811658407038E-2</v>
      </c>
    </row>
    <row r="34" spans="1:3" ht="13.5" thickBot="1" x14ac:dyDescent="0.25">
      <c r="A34" s="117">
        <v>10</v>
      </c>
      <c r="B34" s="133">
        <f>'F. Kapitalwert'!C32</f>
        <v>370000</v>
      </c>
      <c r="C34" s="131">
        <f>MIRR($B$23:B34,B.berZinssatzFremdkapital,G.berZinssatzReinvestition1)</f>
        <v>9.81693832059507E-2</v>
      </c>
    </row>
    <row r="35" spans="1:3" x14ac:dyDescent="0.2">
      <c r="A35" s="11"/>
      <c r="B35" s="11"/>
      <c r="C35" s="11"/>
    </row>
  </sheetData>
  <mergeCells count="2">
    <mergeCell ref="A3:C3"/>
    <mergeCell ref="A20:C20"/>
  </mergeCells>
  <pageMargins left="0.7" right="0.7" top="0.78740157499999996" bottom="0.78740157499999996" header="0.3" footer="0.3"/>
  <pageSetup paperSize="9" orientation="landscape" horizontalDpi="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14" sqref="H14"/>
    </sheetView>
  </sheetViews>
  <sheetFormatPr baseColWidth="10" defaultColWidth="11" defaultRowHeight="12.75" x14ac:dyDescent="0.2"/>
  <cols>
    <col min="1" max="1" width="26.875" customWidth="1"/>
    <col min="2" max="2" width="13.75" customWidth="1"/>
    <col min="3" max="3" width="2.875" customWidth="1"/>
    <col min="4" max="4" width="5" bestFit="1" customWidth="1"/>
    <col min="5" max="5" width="13.375" bestFit="1" customWidth="1"/>
    <col min="6" max="6" width="12.5" bestFit="1" customWidth="1"/>
    <col min="7" max="9" width="11.75" bestFit="1" customWidth="1"/>
    <col min="10" max="10" width="9" bestFit="1" customWidth="1"/>
  </cols>
  <sheetData>
    <row r="1" spans="1:10" ht="18" x14ac:dyDescent="0.25">
      <c r="A1" s="74" t="s">
        <v>82</v>
      </c>
    </row>
    <row r="2" spans="1:10" ht="12.75" customHeight="1" x14ac:dyDescent="0.25">
      <c r="A2" s="7"/>
    </row>
    <row r="3" spans="1:10" ht="26.25" thickBot="1" x14ac:dyDescent="0.25">
      <c r="A3" s="19" t="s">
        <v>83</v>
      </c>
      <c r="B3" s="20"/>
      <c r="C3" s="20"/>
      <c r="D3" s="21" t="s">
        <v>84</v>
      </c>
      <c r="E3" s="22" t="s">
        <v>85</v>
      </c>
      <c r="F3" s="21" t="s">
        <v>81</v>
      </c>
      <c r="G3" s="21" t="s">
        <v>13</v>
      </c>
      <c r="H3" s="21" t="s">
        <v>86</v>
      </c>
      <c r="I3" s="21" t="s">
        <v>87</v>
      </c>
      <c r="J3" s="21" t="s">
        <v>88</v>
      </c>
    </row>
    <row r="4" spans="1:10" x14ac:dyDescent="0.2">
      <c r="A4" s="124" t="s">
        <v>89</v>
      </c>
      <c r="B4" s="135">
        <f>B.berAnschaffungswert1</f>
        <v>1750000</v>
      </c>
      <c r="C4" s="20"/>
      <c r="D4" s="139">
        <v>1</v>
      </c>
      <c r="E4" s="135">
        <f>B.berAnschaffungswert1</f>
        <v>1750000</v>
      </c>
      <c r="F4" s="108">
        <f>'F. Kapitalwert'!C6</f>
        <v>320000</v>
      </c>
      <c r="G4" s="135">
        <f t="shared" ref="G4:G13" si="0">F.berKapitalwert1*H.berWiedergewinnungsfaktor</f>
        <v>155393.27972587835</v>
      </c>
      <c r="H4" s="135">
        <f t="shared" ref="H4:H13" si="1">E4*B.berZinssatzFremdkapital</f>
        <v>73500</v>
      </c>
      <c r="I4" s="135">
        <f>F4-G4-H4</f>
        <v>91106.720274121646</v>
      </c>
      <c r="J4" s="135">
        <f>F4-G4-H4-I4</f>
        <v>0</v>
      </c>
    </row>
    <row r="5" spans="1:10" x14ac:dyDescent="0.2">
      <c r="A5" s="20" t="s">
        <v>90</v>
      </c>
      <c r="B5" s="23">
        <f>B.berZinssatzFremdkapital</f>
        <v>4.2000000000000003E-2</v>
      </c>
      <c r="C5" s="20"/>
      <c r="D5" s="24">
        <v>2</v>
      </c>
      <c r="E5" s="25">
        <f>E4-I4</f>
        <v>1658893.2797258783</v>
      </c>
      <c r="F5" s="26">
        <f>'F. Kapitalwert'!C7</f>
        <v>370000</v>
      </c>
      <c r="G5" s="25">
        <f t="shared" si="0"/>
        <v>155393.27972587835</v>
      </c>
      <c r="H5" s="25">
        <f t="shared" si="1"/>
        <v>69673.517748486891</v>
      </c>
      <c r="I5" s="25">
        <f t="shared" ref="I5:I13" si="2">F5-G5-H5</f>
        <v>144933.20252563476</v>
      </c>
      <c r="J5" s="25">
        <f t="shared" ref="J5:J12" si="3">F5-G5-H5-I5</f>
        <v>0</v>
      </c>
    </row>
    <row r="6" spans="1:10" x14ac:dyDescent="0.2">
      <c r="A6" s="20" t="s">
        <v>91</v>
      </c>
      <c r="B6" s="20">
        <f>B.berNutzungsdauer1</f>
        <v>10</v>
      </c>
      <c r="C6" s="20"/>
      <c r="D6" s="24">
        <v>3</v>
      </c>
      <c r="E6" s="25">
        <f t="shared" ref="E6:E13" si="4">E5-I5</f>
        <v>1513960.0772002435</v>
      </c>
      <c r="F6" s="26">
        <f>'F. Kapitalwert'!C8</f>
        <v>390000</v>
      </c>
      <c r="G6" s="25">
        <f t="shared" si="0"/>
        <v>155393.27972587835</v>
      </c>
      <c r="H6" s="25">
        <f t="shared" si="1"/>
        <v>63586.323242410232</v>
      </c>
      <c r="I6" s="25">
        <f t="shared" si="2"/>
        <v>171020.39703171141</v>
      </c>
      <c r="J6" s="25">
        <f t="shared" si="3"/>
        <v>0</v>
      </c>
    </row>
    <row r="7" spans="1:10" x14ac:dyDescent="0.2">
      <c r="A7" s="20" t="s">
        <v>92</v>
      </c>
      <c r="B7" s="27">
        <f>((1+B.berZinssatzFremdkapital)^B.berNutzungsdauer1*B.berZinssatzFremdkapital)/((1+B.berZinssatzFremdkapital)^B.berNutzungsdauer1-1)</f>
        <v>0.12452152275269425</v>
      </c>
      <c r="C7" s="20"/>
      <c r="D7" s="24">
        <v>4</v>
      </c>
      <c r="E7" s="25">
        <f t="shared" si="4"/>
        <v>1342939.6801685321</v>
      </c>
      <c r="F7" s="26">
        <f>'F. Kapitalwert'!C9</f>
        <v>440000</v>
      </c>
      <c r="G7" s="25">
        <f t="shared" si="0"/>
        <v>155393.27972587835</v>
      </c>
      <c r="H7" s="25">
        <f t="shared" si="1"/>
        <v>56403.466567078351</v>
      </c>
      <c r="I7" s="25">
        <f t="shared" si="2"/>
        <v>228203.25370704327</v>
      </c>
      <c r="J7" s="25">
        <f t="shared" si="3"/>
        <v>0</v>
      </c>
    </row>
    <row r="8" spans="1:10" ht="13.5" thickBot="1" x14ac:dyDescent="0.25">
      <c r="A8" s="123" t="s">
        <v>93</v>
      </c>
      <c r="B8" s="136">
        <f>F.berKapitalwert1</f>
        <v>1247923.0601323186</v>
      </c>
      <c r="C8" s="20"/>
      <c r="D8" s="24">
        <v>5</v>
      </c>
      <c r="E8" s="25">
        <f t="shared" si="4"/>
        <v>1114736.4264614887</v>
      </c>
      <c r="F8" s="26">
        <f>'F. Kapitalwert'!C10</f>
        <v>450000</v>
      </c>
      <c r="G8" s="25">
        <f t="shared" si="0"/>
        <v>155393.27972587835</v>
      </c>
      <c r="H8" s="25">
        <f t="shared" si="1"/>
        <v>46818.929911382525</v>
      </c>
      <c r="I8" s="25">
        <f t="shared" si="2"/>
        <v>247787.79036273909</v>
      </c>
      <c r="J8" s="25">
        <f t="shared" si="3"/>
        <v>0</v>
      </c>
    </row>
    <row r="9" spans="1:10" x14ac:dyDescent="0.2">
      <c r="A9" s="19"/>
      <c r="B9" s="19"/>
      <c r="C9" s="19"/>
      <c r="D9" s="24">
        <v>6</v>
      </c>
      <c r="E9" s="25">
        <f t="shared" si="4"/>
        <v>866948.63609874959</v>
      </c>
      <c r="F9" s="26">
        <f>'F. Kapitalwert'!C11</f>
        <v>450000</v>
      </c>
      <c r="G9" s="25">
        <f t="shared" si="0"/>
        <v>155393.27972587835</v>
      </c>
      <c r="H9" s="25">
        <f t="shared" si="1"/>
        <v>36411.842716147483</v>
      </c>
      <c r="I9" s="25">
        <f t="shared" si="2"/>
        <v>258194.87755797413</v>
      </c>
      <c r="J9" s="25">
        <f t="shared" si="3"/>
        <v>0</v>
      </c>
    </row>
    <row r="10" spans="1:10" x14ac:dyDescent="0.2">
      <c r="A10" s="20"/>
      <c r="B10" s="20"/>
      <c r="C10" s="20"/>
      <c r="D10" s="24">
        <v>7</v>
      </c>
      <c r="E10" s="25">
        <f t="shared" si="4"/>
        <v>608753.75854077539</v>
      </c>
      <c r="F10" s="26">
        <f>'F. Kapitalwert'!C12</f>
        <v>370000</v>
      </c>
      <c r="G10" s="25">
        <f t="shared" si="0"/>
        <v>155393.27972587835</v>
      </c>
      <c r="H10" s="25">
        <f t="shared" si="1"/>
        <v>25567.65785871257</v>
      </c>
      <c r="I10" s="25">
        <f t="shared" si="2"/>
        <v>189039.06241540908</v>
      </c>
      <c r="J10" s="25">
        <f t="shared" si="3"/>
        <v>0</v>
      </c>
    </row>
    <row r="11" spans="1:10" x14ac:dyDescent="0.2">
      <c r="A11" s="20"/>
      <c r="B11" s="20"/>
      <c r="C11" s="20"/>
      <c r="D11" s="24">
        <v>8</v>
      </c>
      <c r="E11" s="25">
        <f t="shared" si="4"/>
        <v>419714.69612536632</v>
      </c>
      <c r="F11" s="26">
        <f>'F. Kapitalwert'!C13</f>
        <v>320000</v>
      </c>
      <c r="G11" s="25">
        <f t="shared" si="0"/>
        <v>155393.27972587835</v>
      </c>
      <c r="H11" s="25">
        <f t="shared" si="1"/>
        <v>17628.017237265387</v>
      </c>
      <c r="I11" s="25">
        <f t="shared" si="2"/>
        <v>146978.70303685626</v>
      </c>
      <c r="J11" s="25">
        <f t="shared" si="3"/>
        <v>0</v>
      </c>
    </row>
    <row r="12" spans="1:10" x14ac:dyDescent="0.2">
      <c r="A12" s="20"/>
      <c r="B12" s="20"/>
      <c r="C12" s="20"/>
      <c r="D12" s="24">
        <v>9</v>
      </c>
      <c r="E12" s="25">
        <f t="shared" si="4"/>
        <v>272735.99308851006</v>
      </c>
      <c r="F12" s="26">
        <f>'F. Kapitalwert'!C14</f>
        <v>320000</v>
      </c>
      <c r="G12" s="25">
        <f t="shared" si="0"/>
        <v>155393.27972587835</v>
      </c>
      <c r="H12" s="25">
        <f t="shared" si="1"/>
        <v>11454.911709717424</v>
      </c>
      <c r="I12" s="25">
        <f t="shared" si="2"/>
        <v>153151.80856440423</v>
      </c>
      <c r="J12" s="25">
        <f t="shared" si="3"/>
        <v>0</v>
      </c>
    </row>
    <row r="13" spans="1:10" ht="13.5" thickBot="1" x14ac:dyDescent="0.25">
      <c r="A13" s="20"/>
      <c r="B13" s="20"/>
      <c r="C13" s="20"/>
      <c r="D13" s="140">
        <v>10</v>
      </c>
      <c r="E13" s="136">
        <f t="shared" si="4"/>
        <v>119584.18452410583</v>
      </c>
      <c r="F13" s="125">
        <f>'F. Kapitalwert'!C15</f>
        <v>280000</v>
      </c>
      <c r="G13" s="136">
        <f t="shared" si="0"/>
        <v>155393.27972587835</v>
      </c>
      <c r="H13" s="136">
        <f t="shared" si="1"/>
        <v>5022.5357500124455</v>
      </c>
      <c r="I13" s="136">
        <f t="shared" si="2"/>
        <v>119584.18452410919</v>
      </c>
      <c r="J13" s="136">
        <f>F13-G13-H13-I13</f>
        <v>0</v>
      </c>
    </row>
    <row r="14" spans="1:10" x14ac:dyDescent="0.2">
      <c r="A14" s="20"/>
      <c r="B14" s="20"/>
      <c r="C14" s="20"/>
      <c r="D14" s="20"/>
      <c r="E14" s="25"/>
      <c r="F14" s="26"/>
      <c r="G14" s="25"/>
      <c r="H14" s="25"/>
      <c r="I14" s="25"/>
      <c r="J14" s="25"/>
    </row>
    <row r="16" spans="1:10" ht="26.25" thickBot="1" x14ac:dyDescent="0.25">
      <c r="A16" s="10" t="s">
        <v>94</v>
      </c>
      <c r="B16" s="11"/>
      <c r="C16" s="11"/>
      <c r="D16" s="12" t="s">
        <v>84</v>
      </c>
      <c r="E16" s="13" t="s">
        <v>85</v>
      </c>
      <c r="F16" s="12" t="s">
        <v>81</v>
      </c>
      <c r="G16" s="12" t="s">
        <v>13</v>
      </c>
      <c r="H16" s="12" t="s">
        <v>86</v>
      </c>
      <c r="I16" s="12" t="s">
        <v>87</v>
      </c>
      <c r="J16" s="12" t="s">
        <v>88</v>
      </c>
    </row>
    <row r="17" spans="1:10" x14ac:dyDescent="0.2">
      <c r="A17" s="132" t="s">
        <v>89</v>
      </c>
      <c r="B17" s="137">
        <f>B.berAnschaffungswert2</f>
        <v>2250000</v>
      </c>
      <c r="C17" s="11"/>
      <c r="D17" s="141">
        <v>1</v>
      </c>
      <c r="E17" s="137">
        <f>B.berAnschaffungswert2</f>
        <v>2250000</v>
      </c>
      <c r="F17" s="115">
        <f>'F. Kapitalwert'!C23</f>
        <v>460000</v>
      </c>
      <c r="G17" s="137">
        <f t="shared" ref="G17:G26" si="5">F.berKapitalwert2*H.berWiedergewinnungsfaktor</f>
        <v>180012.01891991455</v>
      </c>
      <c r="H17" s="137">
        <f t="shared" ref="H17:H26" si="6">E17*B.berZinssatzFremdkapital</f>
        <v>94500</v>
      </c>
      <c r="I17" s="137">
        <f>F17-G17-H17</f>
        <v>185487.98108008545</v>
      </c>
      <c r="J17" s="137">
        <f t="shared" ref="J17:J25" si="7">F17-G17-H17-I17</f>
        <v>0</v>
      </c>
    </row>
    <row r="18" spans="1:10" x14ac:dyDescent="0.2">
      <c r="A18" s="11" t="s">
        <v>90</v>
      </c>
      <c r="B18" s="14">
        <f>B.berZinssatzFremdkapital</f>
        <v>4.2000000000000003E-2</v>
      </c>
      <c r="C18" s="11"/>
      <c r="D18" s="15">
        <v>2</v>
      </c>
      <c r="E18" s="16">
        <f>E17-I17</f>
        <v>2064512.0189199145</v>
      </c>
      <c r="F18" s="17">
        <f>'F. Kapitalwert'!C24</f>
        <v>460000</v>
      </c>
      <c r="G18" s="16">
        <f t="shared" si="5"/>
        <v>180012.01891991455</v>
      </c>
      <c r="H18" s="16">
        <f t="shared" si="6"/>
        <v>86709.504794636421</v>
      </c>
      <c r="I18" s="16">
        <f t="shared" ref="I18:I26" si="8">F18-G18-H18</f>
        <v>193278.47628544903</v>
      </c>
      <c r="J18" s="16">
        <f t="shared" si="7"/>
        <v>0</v>
      </c>
    </row>
    <row r="19" spans="1:10" x14ac:dyDescent="0.2">
      <c r="A19" s="11" t="s">
        <v>91</v>
      </c>
      <c r="B19" s="11">
        <f>B.berNutzungsdauer2</f>
        <v>10</v>
      </c>
      <c r="C19" s="11"/>
      <c r="D19" s="15">
        <v>3</v>
      </c>
      <c r="E19" s="16">
        <f t="shared" ref="E19:E26" si="9">E18-I18</f>
        <v>1871233.5426344655</v>
      </c>
      <c r="F19" s="17">
        <f>'F. Kapitalwert'!C25</f>
        <v>480000</v>
      </c>
      <c r="G19" s="16">
        <f t="shared" si="5"/>
        <v>180012.01891991455</v>
      </c>
      <c r="H19" s="16">
        <f t="shared" si="6"/>
        <v>78591.808790647556</v>
      </c>
      <c r="I19" s="16">
        <f t="shared" si="8"/>
        <v>221396.17228943791</v>
      </c>
      <c r="J19" s="16">
        <f t="shared" si="7"/>
        <v>0</v>
      </c>
    </row>
    <row r="20" spans="1:10" x14ac:dyDescent="0.2">
      <c r="A20" s="11" t="s">
        <v>92</v>
      </c>
      <c r="B20" s="18">
        <f>((1+B18)^B19*B18)/((1+B18)^B19-1)</f>
        <v>0.12452152275269425</v>
      </c>
      <c r="C20" s="11"/>
      <c r="D20" s="15">
        <v>4</v>
      </c>
      <c r="E20" s="16">
        <f t="shared" si="9"/>
        <v>1649837.3703450277</v>
      </c>
      <c r="F20" s="17">
        <f>'F. Kapitalwert'!C26</f>
        <v>490000</v>
      </c>
      <c r="G20" s="16">
        <f t="shared" si="5"/>
        <v>180012.01891991455</v>
      </c>
      <c r="H20" s="16">
        <f t="shared" si="6"/>
        <v>69293.169554491164</v>
      </c>
      <c r="I20" s="16">
        <f t="shared" si="8"/>
        <v>240694.81152559427</v>
      </c>
      <c r="J20" s="16">
        <f t="shared" si="7"/>
        <v>0</v>
      </c>
    </row>
    <row r="21" spans="1:10" ht="13.5" thickBot="1" x14ac:dyDescent="0.25">
      <c r="A21" s="130" t="s">
        <v>93</v>
      </c>
      <c r="B21" s="138">
        <f>F.berKapitalwert2</f>
        <v>1445629.7589407666</v>
      </c>
      <c r="C21" s="11"/>
      <c r="D21" s="15">
        <v>5</v>
      </c>
      <c r="E21" s="16">
        <f t="shared" si="9"/>
        <v>1409142.5588194334</v>
      </c>
      <c r="F21" s="17">
        <f>'F. Kapitalwert'!C27</f>
        <v>520000</v>
      </c>
      <c r="G21" s="16">
        <f t="shared" si="5"/>
        <v>180012.01891991455</v>
      </c>
      <c r="H21" s="16">
        <f t="shared" si="6"/>
        <v>59183.987470416207</v>
      </c>
      <c r="I21" s="16">
        <f t="shared" si="8"/>
        <v>280803.99360966927</v>
      </c>
      <c r="J21" s="16">
        <f t="shared" si="7"/>
        <v>0</v>
      </c>
    </row>
    <row r="22" spans="1:10" x14ac:dyDescent="0.2">
      <c r="A22" s="10"/>
      <c r="B22" s="10"/>
      <c r="C22" s="10"/>
      <c r="D22" s="15">
        <v>6</v>
      </c>
      <c r="E22" s="16">
        <f t="shared" si="9"/>
        <v>1128338.5652097641</v>
      </c>
      <c r="F22" s="17">
        <f>'F. Kapitalwert'!C28</f>
        <v>520000</v>
      </c>
      <c r="G22" s="16">
        <f t="shared" si="5"/>
        <v>180012.01891991455</v>
      </c>
      <c r="H22" s="16">
        <f t="shared" si="6"/>
        <v>47390.21973881009</v>
      </c>
      <c r="I22" s="16">
        <f t="shared" si="8"/>
        <v>292597.76134127536</v>
      </c>
      <c r="J22" s="16">
        <f t="shared" si="7"/>
        <v>0</v>
      </c>
    </row>
    <row r="23" spans="1:10" x14ac:dyDescent="0.2">
      <c r="A23" s="11"/>
      <c r="B23" s="11"/>
      <c r="C23" s="11"/>
      <c r="D23" s="15">
        <v>7</v>
      </c>
      <c r="E23" s="16">
        <f t="shared" si="9"/>
        <v>835740.80386848864</v>
      </c>
      <c r="F23" s="17">
        <f>'F. Kapitalwert'!C29</f>
        <v>450000</v>
      </c>
      <c r="G23" s="16">
        <f t="shared" si="5"/>
        <v>180012.01891991455</v>
      </c>
      <c r="H23" s="16">
        <f t="shared" si="6"/>
        <v>35101.113762476525</v>
      </c>
      <c r="I23" s="16">
        <f t="shared" si="8"/>
        <v>234886.86731760891</v>
      </c>
      <c r="J23" s="16">
        <f t="shared" si="7"/>
        <v>0</v>
      </c>
    </row>
    <row r="24" spans="1:10" x14ac:dyDescent="0.2">
      <c r="A24" s="11"/>
      <c r="B24" s="11"/>
      <c r="C24" s="11"/>
      <c r="D24" s="15">
        <v>8</v>
      </c>
      <c r="E24" s="16">
        <f t="shared" si="9"/>
        <v>600853.93655087973</v>
      </c>
      <c r="F24" s="17">
        <f>'F. Kapitalwert'!C30</f>
        <v>420000</v>
      </c>
      <c r="G24" s="16">
        <f t="shared" si="5"/>
        <v>180012.01891991455</v>
      </c>
      <c r="H24" s="16">
        <f t="shared" si="6"/>
        <v>25235.86533513695</v>
      </c>
      <c r="I24" s="16">
        <f t="shared" si="8"/>
        <v>214752.1157449485</v>
      </c>
      <c r="J24" s="16">
        <f t="shared" si="7"/>
        <v>0</v>
      </c>
    </row>
    <row r="25" spans="1:10" x14ac:dyDescent="0.2">
      <c r="A25" s="11"/>
      <c r="B25" s="11"/>
      <c r="C25" s="11"/>
      <c r="D25" s="15">
        <v>9</v>
      </c>
      <c r="E25" s="16">
        <f t="shared" si="9"/>
        <v>386101.82080593123</v>
      </c>
      <c r="F25" s="17">
        <f>'F. Kapitalwert'!C31</f>
        <v>400000</v>
      </c>
      <c r="G25" s="16">
        <f t="shared" si="5"/>
        <v>180012.01891991455</v>
      </c>
      <c r="H25" s="16">
        <f t="shared" si="6"/>
        <v>16216.276473849113</v>
      </c>
      <c r="I25" s="16">
        <f t="shared" si="8"/>
        <v>203771.70460623634</v>
      </c>
      <c r="J25" s="16">
        <f t="shared" si="7"/>
        <v>0</v>
      </c>
    </row>
    <row r="26" spans="1:10" ht="13.5" thickBot="1" x14ac:dyDescent="0.25">
      <c r="A26" s="11"/>
      <c r="B26" s="11"/>
      <c r="C26" s="11"/>
      <c r="D26" s="142">
        <v>10</v>
      </c>
      <c r="E26" s="138">
        <f t="shared" si="9"/>
        <v>182330.11619969489</v>
      </c>
      <c r="F26" s="133">
        <f>'F. Kapitalwert'!C32</f>
        <v>370000</v>
      </c>
      <c r="G26" s="138">
        <f t="shared" si="5"/>
        <v>180012.01891991455</v>
      </c>
      <c r="H26" s="138">
        <f t="shared" si="6"/>
        <v>7657.8648803871856</v>
      </c>
      <c r="I26" s="138">
        <f t="shared" si="8"/>
        <v>182330.11619969827</v>
      </c>
      <c r="J26" s="138">
        <f>F26-G26-H26-I26</f>
        <v>0</v>
      </c>
    </row>
    <row r="27" spans="1:10" x14ac:dyDescent="0.2">
      <c r="A27" s="11"/>
      <c r="B27" s="11"/>
      <c r="C27" s="11"/>
      <c r="D27" s="11"/>
      <c r="E27" s="11"/>
      <c r="F27" s="11"/>
      <c r="G27" s="11"/>
      <c r="H27" s="11"/>
      <c r="I27" s="16"/>
      <c r="J27" s="11"/>
    </row>
  </sheetData>
  <pageMargins left="0.25" right="0.25" top="0.75" bottom="0.75" header="0.3" footer="0.3"/>
  <pageSetup paperSize="9" orientation="landscape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3" workbookViewId="0">
      <selection activeCell="E44" sqref="E44"/>
    </sheetView>
  </sheetViews>
  <sheetFormatPr baseColWidth="10" defaultColWidth="11" defaultRowHeight="12.75" x14ac:dyDescent="0.2"/>
  <cols>
    <col min="1" max="1" width="30.75" bestFit="1" customWidth="1"/>
    <col min="2" max="2" width="27.875" bestFit="1" customWidth="1"/>
  </cols>
  <sheetData>
    <row r="1" spans="1:2" ht="18.75" thickBot="1" x14ac:dyDescent="0.3">
      <c r="A1" s="74" t="s">
        <v>95</v>
      </c>
    </row>
    <row r="2" spans="1:2" x14ac:dyDescent="0.2">
      <c r="A2" s="143" t="s">
        <v>96</v>
      </c>
      <c r="B2" s="143" t="s">
        <v>97</v>
      </c>
    </row>
    <row r="3" spans="1:2" x14ac:dyDescent="0.2">
      <c r="A3" t="s">
        <v>98</v>
      </c>
      <c r="B3" t="s">
        <v>99</v>
      </c>
    </row>
    <row r="4" spans="1:2" x14ac:dyDescent="0.2">
      <c r="A4" t="s">
        <v>100</v>
      </c>
      <c r="B4" t="s">
        <v>101</v>
      </c>
    </row>
    <row r="5" spans="1:2" x14ac:dyDescent="0.2">
      <c r="A5" t="s">
        <v>102</v>
      </c>
      <c r="B5" t="s">
        <v>103</v>
      </c>
    </row>
    <row r="6" spans="1:2" x14ac:dyDescent="0.2">
      <c r="A6" t="s">
        <v>104</v>
      </c>
      <c r="B6" t="s">
        <v>105</v>
      </c>
    </row>
    <row r="7" spans="1:2" x14ac:dyDescent="0.2">
      <c r="A7" t="s">
        <v>106</v>
      </c>
      <c r="B7" t="s">
        <v>107</v>
      </c>
    </row>
    <row r="8" spans="1:2" x14ac:dyDescent="0.2">
      <c r="A8" t="s">
        <v>108</v>
      </c>
      <c r="B8" t="s">
        <v>109</v>
      </c>
    </row>
    <row r="9" spans="1:2" x14ac:dyDescent="0.2">
      <c r="A9" t="s">
        <v>110</v>
      </c>
      <c r="B9" t="s">
        <v>111</v>
      </c>
    </row>
    <row r="10" spans="1:2" x14ac:dyDescent="0.2">
      <c r="A10" t="s">
        <v>112</v>
      </c>
      <c r="B10" t="s">
        <v>113</v>
      </c>
    </row>
    <row r="11" spans="1:2" x14ac:dyDescent="0.2">
      <c r="A11" t="s">
        <v>114</v>
      </c>
      <c r="B11" t="s">
        <v>115</v>
      </c>
    </row>
    <row r="12" spans="1:2" x14ac:dyDescent="0.2">
      <c r="A12" t="s">
        <v>116</v>
      </c>
      <c r="B12" t="s">
        <v>117</v>
      </c>
    </row>
    <row r="13" spans="1:2" x14ac:dyDescent="0.2">
      <c r="A13" t="s">
        <v>118</v>
      </c>
      <c r="B13" t="s">
        <v>119</v>
      </c>
    </row>
    <row r="14" spans="1:2" x14ac:dyDescent="0.2">
      <c r="A14" t="s">
        <v>120</v>
      </c>
      <c r="B14" t="s">
        <v>121</v>
      </c>
    </row>
    <row r="15" spans="1:2" x14ac:dyDescent="0.2">
      <c r="A15" t="s">
        <v>122</v>
      </c>
      <c r="B15" t="s">
        <v>123</v>
      </c>
    </row>
    <row r="16" spans="1:2" x14ac:dyDescent="0.2">
      <c r="A16" t="s">
        <v>124</v>
      </c>
      <c r="B16" t="s">
        <v>125</v>
      </c>
    </row>
    <row r="17" spans="1:2" x14ac:dyDescent="0.2">
      <c r="A17" t="s">
        <v>126</v>
      </c>
      <c r="B17" t="s">
        <v>127</v>
      </c>
    </row>
    <row r="18" spans="1:2" x14ac:dyDescent="0.2">
      <c r="A18" t="s">
        <v>128</v>
      </c>
      <c r="B18" t="s">
        <v>129</v>
      </c>
    </row>
    <row r="19" spans="1:2" x14ac:dyDescent="0.2">
      <c r="A19" t="s">
        <v>130</v>
      </c>
      <c r="B19" t="s">
        <v>131</v>
      </c>
    </row>
    <row r="20" spans="1:2" x14ac:dyDescent="0.2">
      <c r="A20" t="s">
        <v>132</v>
      </c>
      <c r="B20" t="s">
        <v>133</v>
      </c>
    </row>
    <row r="21" spans="1:2" x14ac:dyDescent="0.2">
      <c r="A21" t="s">
        <v>134</v>
      </c>
      <c r="B21" t="s">
        <v>135</v>
      </c>
    </row>
    <row r="22" spans="1:2" x14ac:dyDescent="0.2">
      <c r="A22" t="s">
        <v>136</v>
      </c>
      <c r="B22" t="s">
        <v>137</v>
      </c>
    </row>
    <row r="23" spans="1:2" x14ac:dyDescent="0.2">
      <c r="A23" t="s">
        <v>138</v>
      </c>
      <c r="B23" t="s">
        <v>139</v>
      </c>
    </row>
    <row r="24" spans="1:2" x14ac:dyDescent="0.2">
      <c r="A24" t="s">
        <v>140</v>
      </c>
      <c r="B24" t="s">
        <v>141</v>
      </c>
    </row>
    <row r="25" spans="1:2" x14ac:dyDescent="0.2">
      <c r="A25" t="s">
        <v>142</v>
      </c>
      <c r="B25" t="s">
        <v>143</v>
      </c>
    </row>
    <row r="26" spans="1:2" x14ac:dyDescent="0.2">
      <c r="A26" t="s">
        <v>144</v>
      </c>
      <c r="B26" t="s">
        <v>145</v>
      </c>
    </row>
    <row r="27" spans="1:2" x14ac:dyDescent="0.2">
      <c r="A27" t="s">
        <v>146</v>
      </c>
      <c r="B27" t="s">
        <v>147</v>
      </c>
    </row>
    <row r="28" spans="1:2" x14ac:dyDescent="0.2">
      <c r="A28" t="s">
        <v>148</v>
      </c>
      <c r="B28" t="s">
        <v>149</v>
      </c>
    </row>
    <row r="29" spans="1:2" x14ac:dyDescent="0.2">
      <c r="A29" t="s">
        <v>150</v>
      </c>
      <c r="B29" t="s">
        <v>151</v>
      </c>
    </row>
    <row r="30" spans="1:2" x14ac:dyDescent="0.2">
      <c r="A30" t="s">
        <v>152</v>
      </c>
      <c r="B30" t="s">
        <v>153</v>
      </c>
    </row>
    <row r="31" spans="1:2" x14ac:dyDescent="0.2">
      <c r="A31" t="s">
        <v>154</v>
      </c>
      <c r="B31" t="s">
        <v>155</v>
      </c>
    </row>
    <row r="32" spans="1:2" x14ac:dyDescent="0.2">
      <c r="A32" t="s">
        <v>156</v>
      </c>
      <c r="B32" t="s">
        <v>157</v>
      </c>
    </row>
    <row r="33" spans="1:2" x14ac:dyDescent="0.2">
      <c r="A33" t="s">
        <v>158</v>
      </c>
      <c r="B33" t="s">
        <v>159</v>
      </c>
    </row>
    <row r="34" spans="1:2" x14ac:dyDescent="0.2">
      <c r="A34" t="s">
        <v>160</v>
      </c>
      <c r="B34" t="s">
        <v>161</v>
      </c>
    </row>
    <row r="35" spans="1:2" x14ac:dyDescent="0.2">
      <c r="A35" t="s">
        <v>162</v>
      </c>
      <c r="B35" t="s">
        <v>163</v>
      </c>
    </row>
    <row r="36" spans="1:2" x14ac:dyDescent="0.2">
      <c r="A36" t="s">
        <v>164</v>
      </c>
      <c r="B36" t="s">
        <v>165</v>
      </c>
    </row>
    <row r="37" spans="1:2" x14ac:dyDescent="0.2">
      <c r="A37" t="s">
        <v>166</v>
      </c>
      <c r="B37" t="s">
        <v>167</v>
      </c>
    </row>
    <row r="38" spans="1:2" ht="13.5" thickBot="1" x14ac:dyDescent="0.25">
      <c r="A38" s="144" t="s">
        <v>168</v>
      </c>
      <c r="B38" s="144" t="s">
        <v>169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8" ma:contentTypeDescription="Create a new document." ma:contentTypeScope="" ma:versionID="c643f4edc2012c44b6d7e57c29843e5d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7b6636bd3e6b4950d7017f1b17276f7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11634E-224C-4980-874F-E390488BA6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3b55bb2a-13a9-4f7b-b938-377e72c031ae"/>
    <ds:schemaRef ds:uri="c5f48d2f-9361-4b5c-95cc-992c2a00ab4d"/>
    <ds:schemaRef ds:uri="230e9df3-be65-4c73-a93b-d1236ebd677e"/>
    <ds:schemaRef ds:uri="http://schemas.microsoft.com/office/2006/documentManagement/types"/>
    <ds:schemaRef ds:uri="http://schemas.microsoft.com/sharepoint/v3/field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2DAAB73-5ED4-4E26-8C1F-AB6FEA0C9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5ACC42-DFAB-4C80-9185-F04A2EA3B8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37</vt:i4>
      </vt:variant>
    </vt:vector>
  </HeadingPairs>
  <TitlesOfParts>
    <vt:vector size="46" baseType="lpstr">
      <vt:lpstr>A. Investitionsalternativen</vt:lpstr>
      <vt:lpstr>B. Kostenvergleich</vt:lpstr>
      <vt:lpstr>C. Gewinnvergleich</vt:lpstr>
      <vt:lpstr>D. Rentabilitätsvergleich</vt:lpstr>
      <vt:lpstr>E. Amortisation</vt:lpstr>
      <vt:lpstr>F. Kapitalwert</vt:lpstr>
      <vt:lpstr>G. Interner Zinssatz</vt:lpstr>
      <vt:lpstr>H. Annuitäten</vt:lpstr>
      <vt:lpstr>Namen</vt:lpstr>
      <vt:lpstr>B.berAbschreibungenKalkulatorisch1</vt:lpstr>
      <vt:lpstr>B.berAbschreibungenKalkulatorisch2</vt:lpstr>
      <vt:lpstr>B.berAnschaffungswert1</vt:lpstr>
      <vt:lpstr>B.berAnschaffungswert2</vt:lpstr>
      <vt:lpstr>B.berAuslastungLE1</vt:lpstr>
      <vt:lpstr>B.berAuslastungLE2</vt:lpstr>
      <vt:lpstr>B.berJahresgesamtkosten1</vt:lpstr>
      <vt:lpstr>B.berJahresgesamtkosten2</vt:lpstr>
      <vt:lpstr>B.berNutzungsdauer1</vt:lpstr>
      <vt:lpstr>B.berNutzungsdauer2</vt:lpstr>
      <vt:lpstr>B.berRestwert1</vt:lpstr>
      <vt:lpstr>B.berRestwert2</vt:lpstr>
      <vt:lpstr>B.berStückkosten1</vt:lpstr>
      <vt:lpstr>B.berStückkosten2</vt:lpstr>
      <vt:lpstr>B.berZinsenKalkulatorisch1</vt:lpstr>
      <vt:lpstr>B.berZinsenKalkulatorisch2</vt:lpstr>
      <vt:lpstr>B.berZinssatzFremdkapital</vt:lpstr>
      <vt:lpstr>C.berGewinn1</vt:lpstr>
      <vt:lpstr>C.berGewinn2</vt:lpstr>
      <vt:lpstr>C.berGewinnzuwachs1</vt:lpstr>
      <vt:lpstr>C.berGewinnzuwachs2</vt:lpstr>
      <vt:lpstr>C.berKapitalkosten1</vt:lpstr>
      <vt:lpstr>C.berKapitalkosten2</vt:lpstr>
      <vt:lpstr>D.berRentabilität1</vt:lpstr>
      <vt:lpstr>D.berRentabilität2</vt:lpstr>
      <vt:lpstr>E.berAmortisationszeit1</vt:lpstr>
      <vt:lpstr>E.berAmortisationszeit2</vt:lpstr>
      <vt:lpstr>F.berEinzahlungen1</vt:lpstr>
      <vt:lpstr>F.berEinzahlungen2</vt:lpstr>
      <vt:lpstr>F.berKapitalwert1</vt:lpstr>
      <vt:lpstr>F.berKapitalwert2</vt:lpstr>
      <vt:lpstr>G.berInternerZinssatz1</vt:lpstr>
      <vt:lpstr>G.berInternerZinssatz2</vt:lpstr>
      <vt:lpstr>G.berZinssatzReinvestition1</vt:lpstr>
      <vt:lpstr>H.berAnnuität1</vt:lpstr>
      <vt:lpstr>H.berAnnuität2</vt:lpstr>
      <vt:lpstr>H.berWiedergewinnungsfaktor</vt:lpstr>
    </vt:vector>
  </TitlesOfParts>
  <Company>Galileo Computing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cp:revision/>
  <dcterms:created xsi:type="dcterms:W3CDTF">2007-08-19T08:32:27Z</dcterms:created>
  <dcterms:modified xsi:type="dcterms:W3CDTF">2024-06-16T17:10:21Z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  <property fmtid="{D5CDD505-2E9C-101B-9397-08002B2CF9AE}" pid="3" name="MediaServiceImageTags">
    <vt:lpwstr/>
  </property>
</Properties>
</file>