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tempNC\"/>
    </mc:Choice>
  </mc:AlternateContent>
  <xr:revisionPtr revIDLastSave="0" documentId="8_{2A06697D-9A9D-4F0F-B48F-5A432A30CA31}" xr6:coauthVersionLast="47" xr6:coauthVersionMax="47" xr10:uidLastSave="{00000000-0000-0000-0000-000000000000}"/>
  <bookViews>
    <workbookView xWindow="384" yWindow="384" windowWidth="17280" windowHeight="8964" tabRatio="868" firstSheet="1" activeTab="4" xr2:uid="{00000000-000D-0000-FFFF-FFFF00000000}"/>
  </bookViews>
  <sheets>
    <sheet name="KARTA USTAWCZA" sheetId="1" r:id="rId1"/>
    <sheet name="KARTA NARZEDZI OBROBCZYCH" sheetId="2" r:id="rId2"/>
    <sheet name="KARTA UWAG PROGRAMU NC" sheetId="3" state="hidden" r:id="rId3"/>
    <sheet name="TESTY" sheetId="16" state="hidden" r:id="rId4"/>
    <sheet name="POMOC" sheetId="4" r:id="rId5"/>
    <sheet name="BANDAZ_WIRNIK" sheetId="10" r:id="rId6"/>
    <sheet name="BANDAZ_KIEROWNICA" sheetId="9" r:id="rId7"/>
    <sheet name="NOZKA_F2A" sheetId="11" r:id="rId8"/>
    <sheet name="DFA" sheetId="5" r:id="rId9"/>
    <sheet name="TOL" sheetId="12" r:id="rId10"/>
    <sheet name="AUSTENIT_TOOL" sheetId="13" r:id="rId11"/>
    <sheet name="LISTY WYBORU" sheetId="15" r:id="rId12"/>
    <sheet name="SHAPES" sheetId="14" r:id="rId13"/>
    <sheet name="PODPISY" sheetId="17" r:id="rId14"/>
    <sheet name="ARCHIW_KOR_KIER" sheetId="18" r:id="rId15"/>
    <sheet name="ARCHIW_KOR_WIR" sheetId="19" r:id="rId16"/>
    <sheet name="KARTA USTAWCZA DMU(GRIP)" sheetId="6" state="hidden" r:id="rId17"/>
    <sheet name="KARTA USTAWCZA DMU" sheetId="7" state="hidden" r:id="rId18"/>
    <sheet name="KARTA USTAWCZA NX" sheetId="8" state="hidden" r:id="rId19"/>
  </sheets>
  <functionGroups builtInGroupCount="19"/>
  <externalReferences>
    <externalReference r:id="rId20"/>
  </externalReferences>
  <definedNames>
    <definedName name="_xlnm.Print_Area" localSheetId="14">ARCHIW_KOR_KIER!$A$1:$L$68</definedName>
    <definedName name="_xlnm.Print_Area" localSheetId="15">ARCHIW_KOR_WIR!$A$1:$L$80</definedName>
    <definedName name="_xlnm.Print_Area" localSheetId="6">BANDAZ_KIEROWNICA!$A$1:$I$58</definedName>
    <definedName name="_xlnm.Print_Area" localSheetId="5">BANDAZ_WIRNIK!$A$1:$I$58</definedName>
    <definedName name="_xlnm.Print_Area" localSheetId="1">'KARTA NARZEDZI OBROBCZYCH'!$A$1:$Q$46</definedName>
    <definedName name="_xlnm.Print_Area" localSheetId="0">'KARTA USTAWCZA'!$A$1:$I$54</definedName>
    <definedName name="ToolsNX" localSheetId="9">[1]POMOC!$D$15:$D$16</definedName>
    <definedName name="ToolsNX">POMOC!$D$15:$D$16</definedName>
  </definedNames>
  <calcPr calcId="191029"/>
  <customWorkbookViews>
    <customWorkbookView name="Malec, Mariusz (GE Power) - Personal View" guid="{41C149A7-898D-4942-9D39-7B19CD58B51D}" mergeInterval="0" personalView="1" includePrintSettings="0" maximized="1" xWindow="-8" yWindow="-8" windowWidth="1936" windowHeight="1056" tabRatio="86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40" i="2" l="1"/>
  <c r="M40" i="2"/>
  <c r="N42" i="2"/>
  <c r="N41" i="2"/>
  <c r="G49" i="1"/>
  <c r="I54" i="1"/>
  <c r="I53" i="1"/>
  <c r="I52" i="1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E3" i="19" l="1"/>
  <c r="C3" i="19"/>
  <c r="A3" i="19"/>
  <c r="E3" i="18"/>
  <c r="A3" i="18"/>
  <c r="C3" i="18"/>
  <c r="C6" i="4" l="1" a="1"/>
  <c r="C6" i="4" s="1"/>
  <c r="J4" i="4" l="1" a="1"/>
  <c r="J4" i="4" s="1"/>
  <c r="L4" i="4" l="1"/>
  <c r="I4" i="4" a="1"/>
  <c r="I4" i="4" s="1"/>
  <c r="K4" i="4" l="1" a="1"/>
  <c r="K4" i="4" s="1"/>
  <c r="O4" i="4" s="1"/>
  <c r="B27" i="16"/>
  <c r="B26" i="16"/>
  <c r="B24" i="16"/>
  <c r="B23" i="16"/>
  <c r="B22" i="16"/>
  <c r="B21" i="16"/>
  <c r="B20" i="16"/>
  <c r="B19" i="16"/>
  <c r="B18" i="16"/>
  <c r="B17" i="16"/>
  <c r="B16" i="16"/>
  <c r="B15" i="16"/>
  <c r="H12" i="16"/>
  <c r="H11" i="16"/>
  <c r="H10" i="16"/>
  <c r="H9" i="16"/>
  <c r="H8" i="16"/>
  <c r="H7" i="16"/>
  <c r="H6" i="16"/>
  <c r="B4" i="16"/>
  <c r="H3" i="16" s="1"/>
  <c r="B3" i="16"/>
  <c r="B2" i="16"/>
  <c r="B1" i="16"/>
  <c r="H2" i="16" l="1"/>
  <c r="E20" i="16"/>
  <c r="H19" i="16" s="1"/>
  <c r="H20" i="16" s="1"/>
  <c r="L7" i="16"/>
  <c r="A8" i="1" l="1" a="1"/>
  <c r="A8" i="1" s="1"/>
  <c r="I4" i="2" s="1"/>
  <c r="G8" i="1" a="1"/>
  <c r="G8" i="1" s="1"/>
  <c r="Q46" i="2" l="1"/>
  <c r="P46" i="2"/>
  <c r="Q45" i="2"/>
  <c r="P45" i="2"/>
  <c r="N43" i="2"/>
  <c r="E3" i="12" l="1"/>
  <c r="E13" i="12"/>
  <c r="E12" i="12"/>
  <c r="E4" i="12"/>
  <c r="B12" i="12"/>
  <c r="N46" i="2" s="1"/>
  <c r="B3" i="12"/>
  <c r="N45" i="2" s="1"/>
  <c r="F12" i="12" l="1"/>
  <c r="F3" i="12"/>
  <c r="B1" i="12"/>
  <c r="B7" i="12" l="1"/>
  <c r="L28" i="12"/>
  <c r="M14" i="12"/>
  <c r="B16" i="12" l="1"/>
  <c r="B15" i="12"/>
  <c r="B6" i="12"/>
  <c r="B8" i="12" s="1"/>
  <c r="C36" i="4" s="1"/>
  <c r="H18" i="1"/>
  <c r="B9" i="12" l="1"/>
  <c r="O45" i="2"/>
  <c r="B17" i="12"/>
  <c r="C37" i="4" s="1"/>
  <c r="H16" i="1"/>
  <c r="B18" i="12" l="1"/>
  <c r="O46" i="2"/>
  <c r="E19" i="5"/>
  <c r="A26" i="4" l="1"/>
  <c r="B24" i="4" l="1"/>
  <c r="B25" i="4" s="1"/>
  <c r="A20" i="4" l="1"/>
  <c r="D15" i="1" l="1"/>
  <c r="B8" i="4" l="1"/>
  <c r="F2" i="1" l="1"/>
  <c r="L4" i="2" s="1"/>
  <c r="G4" i="2"/>
  <c r="B3" i="2" l="1"/>
  <c r="B21" i="4" l="1"/>
  <c r="B22" i="4" s="1"/>
  <c r="K5" i="2" l="1"/>
  <c r="A23" i="4"/>
  <c r="G50" i="6" l="1"/>
  <c r="B50" i="6"/>
  <c r="H16" i="6"/>
  <c r="D15" i="6"/>
  <c r="G11" i="6"/>
  <c r="E9" i="6"/>
  <c r="D9" i="6"/>
  <c r="A9" i="6"/>
  <c r="G8" i="6"/>
  <c r="H5" i="6"/>
  <c r="G5" i="6"/>
  <c r="D5" i="6"/>
  <c r="A5" i="6"/>
  <c r="C52" i="1" l="1"/>
  <c r="A17" i="1"/>
  <c r="H14" i="1"/>
  <c r="G11" i="1"/>
  <c r="E8" i="1"/>
  <c r="D8" i="1"/>
  <c r="H5" i="1"/>
  <c r="G5" i="1"/>
  <c r="H4" i="2" s="1"/>
  <c r="D5" i="1"/>
  <c r="A5" i="1"/>
  <c r="E4" i="2" l="1"/>
  <c r="G52" i="6" l="1"/>
  <c r="B52" i="6"/>
  <c r="C54" i="1"/>
  <c r="A16" i="8"/>
  <c r="B18" i="4"/>
  <c r="B19" i="4" s="1"/>
  <c r="A10" i="1" s="1"/>
  <c r="G5" i="2" l="1"/>
  <c r="B6" i="3"/>
  <c r="I4" i="3"/>
  <c r="I3" i="3"/>
  <c r="B3" i="3"/>
  <c r="B5" i="2"/>
  <c r="F4" i="3"/>
  <c r="D15" i="7"/>
  <c r="A9" i="8"/>
  <c r="D15" i="8" s="1"/>
  <c r="A9" i="7"/>
  <c r="G50" i="7"/>
  <c r="B50" i="7"/>
  <c r="G11" i="7"/>
  <c r="E9" i="7"/>
  <c r="D9" i="7"/>
  <c r="G8" i="7"/>
  <c r="H5" i="7"/>
  <c r="G5" i="7"/>
  <c r="D5" i="7"/>
  <c r="F21" i="8"/>
  <c r="F20" i="8"/>
  <c r="H21" i="8"/>
  <c r="H20" i="8"/>
  <c r="G21" i="8"/>
  <c r="G20" i="8"/>
  <c r="G8" i="8"/>
  <c r="G48" i="8"/>
  <c r="B48" i="8"/>
  <c r="G11" i="8"/>
  <c r="E9" i="8"/>
  <c r="D9" i="8"/>
  <c r="H5" i="8"/>
  <c r="G5" i="8"/>
  <c r="D5" i="8"/>
  <c r="A5" i="7" l="1"/>
  <c r="A5" i="8"/>
  <c r="H16" i="7"/>
  <c r="H16" i="8"/>
  <c r="G52" i="7"/>
  <c r="B50" i="8"/>
  <c r="B52" i="7"/>
  <c r="G50" i="8"/>
  <c r="F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<sst xmlns="http://schemas.openxmlformats.org/spreadsheetml/2006/main" count="1255" uniqueCount="389">
  <si>
    <t>Data:</t>
  </si>
  <si>
    <t>Maszyna:</t>
  </si>
  <si>
    <t>Rodzaj obróbki</t>
  </si>
  <si>
    <t xml:space="preserve">Narzędzie </t>
  </si>
  <si>
    <t>Pr. gł.</t>
  </si>
  <si>
    <t>Nr. podpr.</t>
  </si>
  <si>
    <t>Nr. Rys.:</t>
  </si>
  <si>
    <t>KARTA UWAG PROGRAMU NC</t>
  </si>
  <si>
    <t>Nr karty:</t>
  </si>
  <si>
    <t>KUP-X-A</t>
  </si>
  <si>
    <t>Przyg.:</t>
  </si>
  <si>
    <t>Typ łopatki:</t>
  </si>
  <si>
    <t>Zatw.:</t>
  </si>
  <si>
    <t>Rewizja:</t>
  </si>
  <si>
    <t>Program główny</t>
  </si>
  <si>
    <t>Nr podpr.:</t>
  </si>
  <si>
    <t xml:space="preserve">Korekty </t>
  </si>
  <si>
    <t>Narzędzie</t>
  </si>
  <si>
    <t>Nr bloku</t>
  </si>
  <si>
    <t>Posuw</t>
  </si>
  <si>
    <t>Obroty</t>
  </si>
  <si>
    <t>Inne</t>
  </si>
  <si>
    <t>Komentarz</t>
  </si>
  <si>
    <t>Data/Operator</t>
  </si>
  <si>
    <t>KUN-X-A</t>
  </si>
  <si>
    <t>Sekwen.</t>
  </si>
  <si>
    <t>Parametry</t>
  </si>
  <si>
    <t>Komentarze:</t>
  </si>
  <si>
    <t>Nr inst:</t>
  </si>
  <si>
    <t>Przyg:</t>
  </si>
  <si>
    <t>NameProject</t>
  </si>
  <si>
    <t>BladeOrientation</t>
  </si>
  <si>
    <t>StageNo</t>
  </si>
  <si>
    <t>ProjectNo</t>
  </si>
  <si>
    <t>Machine</t>
  </si>
  <si>
    <t>Date</t>
  </si>
  <si>
    <t>Material</t>
  </si>
  <si>
    <t>Drawing</t>
  </si>
  <si>
    <t>Revision</t>
  </si>
  <si>
    <t>BladeType</t>
  </si>
  <si>
    <t>ProgramNbr</t>
  </si>
  <si>
    <t>KARTA INSTRUKCYJNA OBRÓBKI</t>
  </si>
  <si>
    <t>Maszyna</t>
  </si>
  <si>
    <t>Sterowanie</t>
  </si>
  <si>
    <t>Wydział</t>
  </si>
  <si>
    <t>Strona</t>
  </si>
  <si>
    <t>T1</t>
  </si>
  <si>
    <t>1/1</t>
  </si>
  <si>
    <t>Nr rysunku</t>
  </si>
  <si>
    <t>Wyrób</t>
  </si>
  <si>
    <t>Gat.Mat.</t>
  </si>
  <si>
    <t>Nr programu</t>
  </si>
  <si>
    <t>Nazwa detalu</t>
  </si>
  <si>
    <t>Mocowanie</t>
  </si>
  <si>
    <t>Zlecenie</t>
  </si>
  <si>
    <t>Uzbrojenie głowicy narzędziowej</t>
  </si>
  <si>
    <t xml:space="preserve">Opracował: </t>
  </si>
  <si>
    <t>Zatwierdził:</t>
  </si>
  <si>
    <t>Podpis:</t>
  </si>
  <si>
    <t>Rewizja</t>
  </si>
  <si>
    <t>Stopień</t>
  </si>
  <si>
    <t>Strumień</t>
  </si>
  <si>
    <t>Approved</t>
  </si>
  <si>
    <t>Prepared</t>
  </si>
  <si>
    <t>UWAGI:</t>
  </si>
  <si>
    <t>R24=0mm</t>
  </si>
  <si>
    <t>Andrzej Jozwik</t>
  </si>
  <si>
    <t>ClampingMethod</t>
  </si>
  <si>
    <t>Kubek</t>
  </si>
  <si>
    <t>Lista narzędziowa</t>
  </si>
  <si>
    <t>T2</t>
  </si>
  <si>
    <t>ø</t>
  </si>
  <si>
    <t>L</t>
  </si>
  <si>
    <t>R</t>
  </si>
  <si>
    <t>AirfoilType</t>
  </si>
  <si>
    <t>Lista korektorów: patrz dysk sieciowy L:\01_KOREKTORY</t>
  </si>
  <si>
    <t>Heidenhein</t>
  </si>
  <si>
    <t>DMU 60P</t>
  </si>
  <si>
    <t>NX155</t>
  </si>
  <si>
    <t>OSAI</t>
  </si>
  <si>
    <t>4-hookRTBMovRoot</t>
  </si>
  <si>
    <t>zataczanie</t>
  </si>
  <si>
    <t>nozka zgr + pwk</t>
  </si>
  <si>
    <t>pioro zgr</t>
  </si>
  <si>
    <t>bandaz zgr + pwk</t>
  </si>
  <si>
    <t>platformy i pioro pwk</t>
  </si>
  <si>
    <t>promienie przejsc pwk</t>
  </si>
  <si>
    <t>promienie przejsc wk</t>
  </si>
  <si>
    <t>romb wk</t>
  </si>
  <si>
    <t>rowek zgr</t>
  </si>
  <si>
    <t>rowek wyk</t>
  </si>
  <si>
    <t>34T</t>
  </si>
  <si>
    <t>pioro wk-Tilt milling</t>
  </si>
  <si>
    <t>czolo nozki po luku zgr</t>
  </si>
  <si>
    <t>czolo bandaza zgr</t>
  </si>
  <si>
    <t>czolo nozki po luku wk</t>
  </si>
  <si>
    <t>podciecie pod ceche</t>
  </si>
  <si>
    <t>cechowanie</t>
  </si>
  <si>
    <t xml:space="preserve"> X=R24,</t>
  </si>
  <si>
    <t xml:space="preserve"> X=R4, X=R3, A=R25,</t>
  </si>
  <si>
    <t xml:space="preserve"> X=R3 A=R25, X=R4 A=R25,</t>
  </si>
  <si>
    <t xml:space="preserve"> X=R9 A=R25, X=R8 A=R25,</t>
  </si>
  <si>
    <t xml:space="preserve"> A=R13, A=R16, A=R14, A=R11 B=R17, A=R15 B=R18,</t>
  </si>
  <si>
    <t xml:space="preserve"> A=R25,</t>
  </si>
  <si>
    <t>DFA</t>
  </si>
  <si>
    <t>L. szt.</t>
  </si>
  <si>
    <t>tool</t>
  </si>
  <si>
    <t>D</t>
  </si>
  <si>
    <t>St12T-F</t>
  </si>
  <si>
    <t>St12T-S</t>
  </si>
  <si>
    <t>StT17/13W-S</t>
  </si>
  <si>
    <t>StT17/13W-F</t>
  </si>
  <si>
    <t>Geometria</t>
  </si>
  <si>
    <t>KARTA INSTRUKCYJNA
 OBRÓBKI</t>
  </si>
  <si>
    <t xml:space="preserve">KARTA NARZĘDZI OBRÓBCZYCH </t>
  </si>
  <si>
    <t>Engravering?</t>
  </si>
  <si>
    <t>Engravering:</t>
  </si>
  <si>
    <t>Brishing:</t>
  </si>
  <si>
    <t>Brushing?</t>
  </si>
  <si>
    <t>Materiał:</t>
  </si>
  <si>
    <t>Rew:</t>
  </si>
  <si>
    <r>
      <t xml:space="preserve">Obroty
S </t>
    </r>
    <r>
      <rPr>
        <sz val="9"/>
        <rFont val="Alstom"/>
        <charset val="238"/>
      </rPr>
      <t>[obr/min]</t>
    </r>
  </si>
  <si>
    <r>
      <t xml:space="preserve">Promień
R 
</t>
    </r>
    <r>
      <rPr>
        <sz val="10"/>
        <rFont val="Alstom"/>
        <charset val="238"/>
      </rPr>
      <t>[mm]</t>
    </r>
  </si>
  <si>
    <r>
      <t xml:space="preserve">Średnica
D 
</t>
    </r>
    <r>
      <rPr>
        <sz val="10"/>
        <rFont val="Alstom"/>
        <charset val="238"/>
      </rPr>
      <t>[mm]</t>
    </r>
  </si>
  <si>
    <r>
      <t xml:space="preserve">Długość
L 
</t>
    </r>
    <r>
      <rPr>
        <sz val="10"/>
        <rFont val="Alstom"/>
        <charset val="238"/>
      </rPr>
      <t>[mm]</t>
    </r>
  </si>
  <si>
    <r>
      <t xml:space="preserve">Posuw 
F
</t>
    </r>
    <r>
      <rPr>
        <sz val="10"/>
        <rFont val="Alstom"/>
        <charset val="238"/>
      </rPr>
      <t>[mm/min]</t>
    </r>
  </si>
  <si>
    <t>Maszyna / Sterowanie</t>
  </si>
  <si>
    <t>Zlecenie:</t>
  </si>
  <si>
    <t>Kubek
T-x</t>
  </si>
  <si>
    <t xml:space="preserve">Korektory 
D  </t>
  </si>
  <si>
    <t>OBRÓBKA W UCHWYCIE OSI "C" ?</t>
  </si>
  <si>
    <t>Mariusz Malec</t>
  </si>
  <si>
    <t>DLA HSTM 500 I HSTM 100/ / 1500:</t>
  </si>
  <si>
    <t>F1</t>
  </si>
  <si>
    <t>D3</t>
  </si>
  <si>
    <t>D5</t>
  </si>
  <si>
    <t>F5</t>
  </si>
  <si>
    <t>D4</t>
  </si>
  <si>
    <t>F7</t>
  </si>
  <si>
    <t>LISTA KOREKTORÓW DLA BANDAŻA</t>
  </si>
  <si>
    <t>KIEROWNICE RTB</t>
  </si>
  <si>
    <t>OSTATNIA AKTUALIZACJA: 01.02.2019</t>
  </si>
  <si>
    <t>WYKONAŁ: MARIUSZ MALEC</t>
  </si>
  <si>
    <t>ShroudMill?</t>
  </si>
  <si>
    <t>ShroudMill:</t>
  </si>
  <si>
    <t>1/2</t>
  </si>
  <si>
    <t>WIRNIKI RTB</t>
  </si>
  <si>
    <t>F2</t>
  </si>
  <si>
    <t>OSTATNIA AKTUALIZACJA: 07.06.2019</t>
  </si>
  <si>
    <t>F6</t>
  </si>
  <si>
    <t>FIG_B</t>
  </si>
  <si>
    <t>FIG_N</t>
  </si>
  <si>
    <t>Figura nóżki</t>
  </si>
  <si>
    <t>Figura bandaża</t>
  </si>
  <si>
    <t>OSTATNIA AKTUALIZACJA: 17.02.2020</t>
  </si>
  <si>
    <t>LISTA KOREKTORÓW DLA NOZKI FIGURA F2A</t>
  </si>
  <si>
    <t>D1</t>
  </si>
  <si>
    <t>D2</t>
  </si>
  <si>
    <t>KIEROWNICA RTB</t>
  </si>
  <si>
    <t>FIGURA F2A</t>
  </si>
  <si>
    <t>Sprawdź figurę nóżki w przewodniku!</t>
  </si>
  <si>
    <t>BF</t>
  </si>
  <si>
    <t>BH</t>
  </si>
  <si>
    <t>BF_SYM_TOL</t>
  </si>
  <si>
    <t>BH_SYM_TOL</t>
  </si>
  <si>
    <t>BF_ISO_TOL</t>
  </si>
  <si>
    <t>BH_ISO_TOL</t>
  </si>
  <si>
    <t>HDD</t>
  </si>
  <si>
    <t>js9</t>
  </si>
  <si>
    <t>wymiar&gt;</t>
  </si>
  <si>
    <t>wymiar &lt;=</t>
  </si>
  <si>
    <t>upper</t>
  </si>
  <si>
    <t>lower</t>
  </si>
  <si>
    <t>f9</t>
  </si>
  <si>
    <t>f10</t>
  </si>
  <si>
    <t>h9</t>
  </si>
  <si>
    <t>BFNominal</t>
  </si>
  <si>
    <t>BHNominal</t>
  </si>
  <si>
    <t>BFUpperTolerance</t>
  </si>
  <si>
    <t>BFLowerTolerance</t>
  </si>
  <si>
    <t>BFUpperDim</t>
  </si>
  <si>
    <t>BFLowerDim</t>
  </si>
  <si>
    <t>BFWST</t>
  </si>
  <si>
    <t>finish offset (o) D1</t>
  </si>
  <si>
    <t>BHUpperTolerance</t>
  </si>
  <si>
    <t>BHLowerTolerance</t>
  </si>
  <si>
    <t>BHUpperDim</t>
  </si>
  <si>
    <t>BHLowerDim</t>
  </si>
  <si>
    <t>finish offset D1 i D2</t>
  </si>
  <si>
    <t>BladeTyp</t>
  </si>
  <si>
    <t>RTBFixedBlade</t>
  </si>
  <si>
    <t>RTBMovingBlade</t>
  </si>
  <si>
    <t>Program</t>
  </si>
  <si>
    <t>WST</t>
  </si>
  <si>
    <t>Utol</t>
  </si>
  <si>
    <t>Ltol</t>
  </si>
  <si>
    <t>BF_PROG</t>
  </si>
  <si>
    <t>BH_PROG</t>
  </si>
  <si>
    <t>BHWST</t>
  </si>
  <si>
    <t>zestaw ST12</t>
  </si>
  <si>
    <t>Zestawy pod Austenit</t>
  </si>
  <si>
    <t>GRIP WKLESLY HSTM</t>
  </si>
  <si>
    <t>GRIP WKLESLY HURON</t>
  </si>
  <si>
    <t>ITBMOV GRIP HSTM</t>
  </si>
  <si>
    <t>ITBMOV GRIP HURON</t>
  </si>
  <si>
    <t>UKLAD KLOCKA HSTM</t>
  </si>
  <si>
    <t>UKLAD KLOCKA HURON</t>
  </si>
  <si>
    <t>UKLAD KLOCKA HX</t>
  </si>
  <si>
    <t>GRIP WYPUKLY HSTM</t>
  </si>
  <si>
    <t>GRIP WYPUKLY HURON</t>
  </si>
  <si>
    <t>Dovetail&amp;Pin</t>
  </si>
  <si>
    <t>Jaskółka + Frezowany nit</t>
  </si>
  <si>
    <t>Dovetail&amp;Pin&amp;CenterBox</t>
  </si>
  <si>
    <t>Jaskółka + Frezowany nit (środek półfabrykatu)</t>
  </si>
  <si>
    <t>Dovetail&amp;PinWelding</t>
  </si>
  <si>
    <t>Jaskółka + Zgrzewany nit</t>
  </si>
  <si>
    <t>Grip&amp;Pin</t>
  </si>
  <si>
    <t>Grip + Frezowany nit</t>
  </si>
  <si>
    <t>Grip&amp;PinWelding</t>
  </si>
  <si>
    <t>Grip + Zgrzewany nit</t>
  </si>
  <si>
    <t>Niestandardowe</t>
  </si>
  <si>
    <t>INNE</t>
  </si>
  <si>
    <t>Grip + Zabierak</t>
  </si>
  <si>
    <t>Grip + Grip</t>
  </si>
  <si>
    <t>Grip&amp;Zabierak</t>
  </si>
  <si>
    <t>Grip&amp;Grip</t>
  </si>
  <si>
    <t>RTB Kierownicza</t>
  </si>
  <si>
    <t>RTB Wirnikowa</t>
  </si>
  <si>
    <t>ITBMovingBlade</t>
  </si>
  <si>
    <t>ITB Wirnikowa</t>
  </si>
  <si>
    <t>ITBFixedBlade</t>
  </si>
  <si>
    <t>ITB Kierownicza</t>
  </si>
  <si>
    <t>RTBRadialFixedBlade</t>
  </si>
  <si>
    <t>RTB Osiowa</t>
  </si>
  <si>
    <t>G-1</t>
  </si>
  <si>
    <t>G-0</t>
  </si>
  <si>
    <t>L-0</t>
  </si>
  <si>
    <t>L-1</t>
  </si>
  <si>
    <t>Left</t>
  </si>
  <si>
    <t>Right</t>
  </si>
  <si>
    <t>HSTM 300 Sin840D</t>
  </si>
  <si>
    <t>HSTM 500M Sin840D</t>
  </si>
  <si>
    <t>HURON Sin840D</t>
  </si>
  <si>
    <t>HX151 Sin840D</t>
  </si>
  <si>
    <t>RAW MATER.  X20CR13QT800</t>
  </si>
  <si>
    <t>ROHMATERIAL X20CR13QT800</t>
  </si>
  <si>
    <t>X20CR13QT800</t>
  </si>
  <si>
    <t>X20</t>
  </si>
  <si>
    <t>RAW MATER.  ST12T</t>
  </si>
  <si>
    <t>ROHMATERIAL ST12T</t>
  </si>
  <si>
    <t>ST12T</t>
  </si>
  <si>
    <t>St12</t>
  </si>
  <si>
    <t>RAW MATER.  STT17/13W</t>
  </si>
  <si>
    <t>ROHMATERIAL STT17/13W</t>
  </si>
  <si>
    <t>STT17/13W</t>
  </si>
  <si>
    <t>Austenit</t>
  </si>
  <si>
    <t>RAW MATER.  NI80TIAL</t>
  </si>
  <si>
    <t>ROHMATERIAL NI80TIAL</t>
  </si>
  <si>
    <t>NI80TIAl</t>
  </si>
  <si>
    <t>Nimonic</t>
  </si>
  <si>
    <t>HSTM 500 Sin840D</t>
  </si>
  <si>
    <t>HSTM 300HD Sin840D</t>
  </si>
  <si>
    <t>2/2</t>
  </si>
  <si>
    <t>HSTM 1000 Sin840D</t>
  </si>
  <si>
    <t>Mariusz Orzechowski</t>
  </si>
  <si>
    <t>Zbigniew Papierowski</t>
  </si>
  <si>
    <t xml:space="preserve">if </t>
  </si>
  <si>
    <t>grip&amp;pinWelding</t>
  </si>
  <si>
    <t xml:space="preserve">or </t>
  </si>
  <si>
    <t>grip&amp;pin</t>
  </si>
  <si>
    <t>then</t>
  </si>
  <si>
    <t>and</t>
  </si>
  <si>
    <t>(</t>
  </si>
  <si>
    <t>)</t>
  </si>
  <si>
    <t>HX</t>
  </si>
  <si>
    <t xml:space="preserve">and </t>
  </si>
  <si>
    <t>or</t>
  </si>
  <si>
    <t>Range("M23") = WKLESLA</t>
  </si>
  <si>
    <t>Range("M23") = WYPUKLA</t>
  </si>
  <si>
    <t>POMOC!B5=HX</t>
  </si>
  <si>
    <t xml:space="preserve">then </t>
  </si>
  <si>
    <t>GRIP WKLESLA HX</t>
  </si>
  <si>
    <t>GRIP WYPUKŁA HX</t>
  </si>
  <si>
    <t xml:space="preserve">POMOC!B5 = </t>
  </si>
  <si>
    <t>500M</t>
  </si>
  <si>
    <t>500HD</t>
  </si>
  <si>
    <t>POMOC!B12=ITBMovingBlade</t>
  </si>
  <si>
    <t>M23=WYPUKLY</t>
  </si>
  <si>
    <t>if</t>
  </si>
  <si>
    <t>M23 = WYPUKLY</t>
  </si>
  <si>
    <t>M23 = WKLESLY</t>
  </si>
  <si>
    <t>300 or</t>
  </si>
  <si>
    <t>300 HD or</t>
  </si>
  <si>
    <t>500M or</t>
  </si>
  <si>
    <t>500HD or</t>
  </si>
  <si>
    <t>HURON</t>
  </si>
  <si>
    <t>POMOC!B5=HURON</t>
  </si>
  <si>
    <t>Range("M23") = WKLESLY</t>
  </si>
  <si>
    <t>default</t>
  </si>
  <si>
    <t>GripPinWeld</t>
  </si>
  <si>
    <t>GripPin</t>
  </si>
  <si>
    <t>300HD</t>
  </si>
  <si>
    <t>IF(OR(AND(POMOC!B12="RTBFixedBlade",POMOC!B15=9000),POMOC!B12="ITBMovingBlade"),"WYPUKLY","WKLESLY")</t>
  </si>
  <si>
    <t>RTBFix</t>
  </si>
  <si>
    <t>RTBMov</t>
  </si>
  <si>
    <t>ITBMov</t>
  </si>
  <si>
    <t>ITBFix</t>
  </si>
  <si>
    <t>RTBRad</t>
  </si>
  <si>
    <t>if (fix + 9000) or itbmov then wypukly other wklesly</t>
  </si>
  <si>
    <t>RTBFix 9000</t>
  </si>
  <si>
    <t>WYPUKLA</t>
  </si>
  <si>
    <t>WKLESLA</t>
  </si>
  <si>
    <t>GRIP</t>
  </si>
  <si>
    <t>GripZab</t>
  </si>
  <si>
    <t>GripGrip</t>
  </si>
  <si>
    <t>2x GRIP</t>
  </si>
  <si>
    <t>HSTM</t>
  </si>
  <si>
    <t>MOCOWANIE</t>
  </si>
  <si>
    <t>PROFIL</t>
  </si>
  <si>
    <t>MASZYNA</t>
  </si>
  <si>
    <t>=</t>
  </si>
  <si>
    <t>RTB/ITB</t>
  </si>
  <si>
    <t>MO</t>
  </si>
  <si>
    <t>PG</t>
  </si>
  <si>
    <t>PW</t>
  </si>
  <si>
    <t>MM</t>
  </si>
  <si>
    <t>JO</t>
  </si>
  <si>
    <t>ZP</t>
  </si>
  <si>
    <t>MP</t>
  </si>
  <si>
    <t>Piotr Grajczak</t>
  </si>
  <si>
    <t>Patryk Wisniewski</t>
  </si>
  <si>
    <t>Jakub Obrebski</t>
  </si>
  <si>
    <t>Michal Popakul</t>
  </si>
  <si>
    <t>Czas zadany</t>
  </si>
  <si>
    <t>Zmiana czasu</t>
  </si>
  <si>
    <t>Powód zmiany</t>
  </si>
  <si>
    <t>ROMB WK</t>
  </si>
  <si>
    <t>D6</t>
  </si>
  <si>
    <t>D7</t>
  </si>
  <si>
    <t>D8</t>
  </si>
  <si>
    <t>HS</t>
  </si>
  <si>
    <t>D9</t>
  </si>
  <si>
    <t>D10</t>
  </si>
  <si>
    <t>Archiwizacja korekt</t>
  </si>
  <si>
    <t>Nr rys</t>
  </si>
  <si>
    <t>Materiał</t>
  </si>
  <si>
    <t>Nr narz:</t>
  </si>
  <si>
    <t>Typ łop</t>
  </si>
  <si>
    <t>D13</t>
  </si>
  <si>
    <t>HHU</t>
  </si>
  <si>
    <t>MILLTIME</t>
  </si>
  <si>
    <t>ie</t>
  </si>
  <si>
    <t>BROH</t>
  </si>
  <si>
    <t>HROH</t>
  </si>
  <si>
    <t>LROH</t>
  </si>
  <si>
    <t>dim</t>
  </si>
  <si>
    <t>"=IF(POMOC!J4="ZAB",SWITCH(POMOC!K4,"HSTM","PRZESUNAĆ WARTOŚĆ G54: X -10MM","HX","PRZESUNAĆ WARTOŚĆ G54: X +10MM",""),"")"</t>
  </si>
  <si>
    <t>DUŻY (PŁX1-576-1)</t>
  </si>
  <si>
    <t>MAŁY M6 (PŁX1-576-2)</t>
  </si>
  <si>
    <t>RODZAJ ZABIERAKA</t>
  </si>
  <si>
    <t>Ltol_HE</t>
  </si>
  <si>
    <t>Utol_HE</t>
  </si>
  <si>
    <t>HE_UTOL</t>
  </si>
  <si>
    <t>HE_LTOL</t>
  </si>
  <si>
    <t>nozka zgr</t>
  </si>
  <si>
    <t>bandaz zgr</t>
  </si>
  <si>
    <t>BH zgr</t>
  </si>
  <si>
    <t>HHU zgr</t>
  </si>
  <si>
    <t>HHU wk</t>
  </si>
  <si>
    <t>pioro wk</t>
  </si>
  <si>
    <t>fazy wk</t>
  </si>
  <si>
    <t>BH wk</t>
  </si>
  <si>
    <t>Gratowanie</t>
  </si>
  <si>
    <t>,1,</t>
  </si>
  <si>
    <t>,2,</t>
  </si>
  <si>
    <t>,1,2,3,</t>
  </si>
  <si>
    <t>,1,2,</t>
  </si>
  <si>
    <t>,1,3,</t>
  </si>
  <si>
    <t>,1,2,3,4,</t>
  </si>
  <si>
    <t>,1,2,3,4,5,6,7,8,9,10,</t>
  </si>
  <si>
    <t>,1,3,2,4,</t>
  </si>
  <si>
    <t>,3,</t>
  </si>
  <si>
    <t>A888888</t>
  </si>
  <si>
    <t>HSTM300 Sin840D</t>
  </si>
  <si>
    <t>IMR-006591-STRH151141</t>
  </si>
  <si>
    <t>137T000339P1001</t>
  </si>
  <si>
    <t>NO</t>
  </si>
  <si>
    <t>BRAKWVARPOOLU</t>
  </si>
  <si>
    <t>COCKBURN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</si>
</sst>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\ ###"/>
    <numFmt numFmtId="165" formatCode="&quot;T-&quot;0"/>
    <numFmt numFmtId="166" formatCode="00"/>
  </numFmts>
  <fonts count="47">
    <font>
      <sz val="10"/>
      <name val="Arial CE"/>
      <charset val="238"/>
    </font>
    <font>
      <sz val="10"/>
      <name val="Alstom"/>
      <charset val="238"/>
    </font>
    <font>
      <b/>
      <sz val="16"/>
      <name val="Alstom"/>
      <charset val="238"/>
    </font>
    <font>
      <sz val="16"/>
      <name val="Alstom"/>
      <charset val="238"/>
    </font>
    <font>
      <sz val="14"/>
      <name val="Alstom"/>
      <charset val="238"/>
    </font>
    <font>
      <sz val="12"/>
      <name val="Alstom"/>
      <charset val="238"/>
    </font>
    <font>
      <sz val="11"/>
      <name val="Alstom"/>
      <charset val="238"/>
    </font>
    <font>
      <b/>
      <sz val="20"/>
      <name val="Alstom"/>
      <charset val="238"/>
    </font>
    <font>
      <b/>
      <sz val="20"/>
      <name val="Arial CE"/>
      <charset val="238"/>
    </font>
    <font>
      <sz val="14"/>
      <name val="Arial CE"/>
      <charset val="238"/>
    </font>
    <font>
      <b/>
      <sz val="22"/>
      <name val="Alstom"/>
      <charset val="238"/>
    </font>
    <font>
      <sz val="9"/>
      <name val="Alstom"/>
      <charset val="238"/>
    </font>
    <font>
      <sz val="18"/>
      <name val="Alstom"/>
      <charset val="238"/>
    </font>
    <font>
      <sz val="13"/>
      <name val="Alstom"/>
      <charset val="238"/>
    </font>
    <font>
      <sz val="16"/>
      <name val="Alstom"/>
      <charset val="238"/>
    </font>
    <font>
      <sz val="10"/>
      <name val="Alstom"/>
      <charset val="238"/>
    </font>
    <font>
      <b/>
      <sz val="9"/>
      <name val="Alstom"/>
      <charset val="238"/>
    </font>
    <font>
      <b/>
      <sz val="10"/>
      <name val="Alstom"/>
      <charset val="238"/>
    </font>
    <font>
      <b/>
      <sz val="14"/>
      <name val="Alstom"/>
      <charset val="238"/>
    </font>
    <font>
      <b/>
      <sz val="11"/>
      <name val="Alstom"/>
      <charset val="238"/>
    </font>
    <font>
      <b/>
      <sz val="18"/>
      <name val="Alstom"/>
      <charset val="238"/>
    </font>
    <font>
      <sz val="16"/>
      <name val="Calibri"/>
      <family val="2"/>
    </font>
    <font>
      <b/>
      <sz val="12"/>
      <name val="Alstom"/>
      <charset val="238"/>
    </font>
    <font>
      <b/>
      <sz val="13"/>
      <name val="Alstom"/>
      <charset val="238"/>
    </font>
    <font>
      <b/>
      <sz val="14"/>
      <name val="Alstom"/>
      <charset val="238"/>
    </font>
    <font>
      <b/>
      <sz val="14"/>
      <name val="Alstom"/>
      <charset val="238"/>
    </font>
    <font>
      <b/>
      <sz val="16"/>
      <color rgb="FF000000"/>
      <name val="Arial CE"/>
    </font>
    <font>
      <b/>
      <sz val="10"/>
      <name val="Arial CE"/>
    </font>
    <font>
      <b/>
      <sz val="12"/>
      <name val="Arial CE"/>
    </font>
    <font>
      <b/>
      <u/>
      <sz val="10"/>
      <name val="Arial CE"/>
    </font>
    <font>
      <sz val="10"/>
      <color rgb="FF000000"/>
      <name val="Arial CE"/>
    </font>
    <font>
      <sz val="16"/>
      <color rgb="FF000000"/>
      <name val="Alstom Black"/>
    </font>
    <font>
      <sz val="10"/>
      <color rgb="FF000000"/>
      <name val="Alstom Black"/>
    </font>
    <font>
      <sz val="14"/>
      <color rgb="FF000000"/>
      <name val="Alstom Black"/>
    </font>
    <font>
      <sz val="14"/>
      <name val="Alstom"/>
    </font>
    <font>
      <sz val="11"/>
      <name val="Arial CE"/>
      <charset val="238"/>
    </font>
    <font>
      <sz val="14"/>
      <name val="Arial CE"/>
    </font>
    <font>
      <sz val="12"/>
      <name val="Arial CE"/>
    </font>
    <font>
      <sz val="8"/>
      <name val="Arial CE"/>
      <charset val="238"/>
    </font>
    <font>
      <sz val="10"/>
      <name val="Arial CE"/>
    </font>
    <font>
      <b/>
      <sz val="11"/>
      <name val="Calibri"/>
      <family val="2"/>
    </font>
    <font>
      <b/>
      <u/>
      <sz val="24"/>
      <name val="Alstom"/>
    </font>
    <font>
      <sz val="11"/>
      <name val="Calibri"/>
      <family val="2"/>
    </font>
    <font>
      <b/>
      <sz val="18"/>
      <name val="Alstom"/>
    </font>
    <font>
      <b/>
      <sz val="11"/>
      <name val="Alstom"/>
    </font>
    <font>
      <sz val="10"/>
      <name val="Alstom"/>
    </font>
    <font>
      <b/>
      <sz val="10"/>
      <name val="Alstom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582">
    <xf numFmtId="0" fontId="0" fillId="0" borderId="0" xfId="0"/>
    <xf numFmtId="0" fontId="1" fillId="0" borderId="0" xfId="0" applyFont="1"/>
    <xf numFmtId="0" fontId="1" fillId="0" borderId="8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5" xfId="0" applyBorder="1" applyAlignment="1">
      <alignment wrapText="1"/>
    </xf>
    <xf numFmtId="0" fontId="1" fillId="0" borderId="26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38" xfId="0" applyBorder="1" applyAlignment="1">
      <alignment wrapText="1"/>
    </xf>
    <xf numFmtId="0" fontId="0" fillId="0" borderId="2" xfId="0" applyBorder="1" applyAlignment="1">
      <alignment wrapText="1"/>
    </xf>
    <xf numFmtId="0" fontId="1" fillId="0" borderId="15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42" xfId="0" applyBorder="1" applyAlignment="1">
      <alignment wrapText="1"/>
    </xf>
    <xf numFmtId="0" fontId="0" fillId="0" borderId="3" xfId="0" applyBorder="1" applyAlignment="1">
      <alignment wrapText="1"/>
    </xf>
    <xf numFmtId="0" fontId="1" fillId="0" borderId="4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1" fillId="0" borderId="0" xfId="0" applyFont="1" applyBorder="1"/>
    <xf numFmtId="0" fontId="1" fillId="0" borderId="24" xfId="0" applyFont="1" applyBorder="1"/>
    <xf numFmtId="0" fontId="1" fillId="0" borderId="46" xfId="0" applyFont="1" applyBorder="1"/>
    <xf numFmtId="0" fontId="1" fillId="0" borderId="40" xfId="0" applyFont="1" applyBorder="1"/>
    <xf numFmtId="0" fontId="1" fillId="0" borderId="41" xfId="0" applyFont="1" applyBorder="1"/>
    <xf numFmtId="0" fontId="1" fillId="0" borderId="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2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0" fillId="0" borderId="2" xfId="0" applyBorder="1" applyAlignment="1">
      <alignment horizontal="center" vertical="center" wrapText="1"/>
    </xf>
    <xf numFmtId="0" fontId="1" fillId="0" borderId="38" xfId="0" applyFont="1" applyFill="1" applyBorder="1" applyAlignment="1">
      <alignment horizontal="center" vertical="center" wrapText="1"/>
    </xf>
    <xf numFmtId="14" fontId="0" fillId="0" borderId="0" xfId="0" applyNumberFormat="1"/>
    <xf numFmtId="0" fontId="15" fillId="0" borderId="49" xfId="0" applyFont="1" applyBorder="1" applyAlignment="1"/>
    <xf numFmtId="0" fontId="15" fillId="0" borderId="51" xfId="0" applyFont="1" applyBorder="1" applyAlignment="1">
      <alignment horizontal="center"/>
    </xf>
    <xf numFmtId="0" fontId="15" fillId="0" borderId="52" xfId="0" applyFont="1" applyBorder="1" applyAlignment="1">
      <alignment horizontal="center"/>
    </xf>
    <xf numFmtId="0" fontId="15" fillId="0" borderId="46" xfId="0" applyFont="1" applyBorder="1" applyAlignment="1"/>
    <xf numFmtId="0" fontId="17" fillId="0" borderId="40" xfId="0" applyNumberFormat="1" applyFont="1" applyBorder="1" applyAlignment="1"/>
    <xf numFmtId="0" fontId="15" fillId="0" borderId="60" xfId="0" applyFont="1" applyBorder="1" applyAlignment="1">
      <alignment horizontal="center"/>
    </xf>
    <xf numFmtId="0" fontId="15" fillId="0" borderId="24" xfId="0" applyFont="1" applyBorder="1" applyAlignment="1">
      <alignment horizontal="left"/>
    </xf>
    <xf numFmtId="0" fontId="15" fillId="0" borderId="25" xfId="0" applyFont="1" applyBorder="1" applyAlignment="1">
      <alignment horizontal="left"/>
    </xf>
    <xf numFmtId="0" fontId="15" fillId="0" borderId="53" xfId="0" applyFont="1" applyBorder="1"/>
    <xf numFmtId="0" fontId="15" fillId="0" borderId="0" xfId="0" applyFont="1" applyBorder="1"/>
    <xf numFmtId="0" fontId="15" fillId="0" borderId="62" xfId="0" applyFont="1" applyBorder="1"/>
    <xf numFmtId="0" fontId="18" fillId="0" borderId="53" xfId="0" applyFont="1" applyBorder="1"/>
    <xf numFmtId="0" fontId="15" fillId="0" borderId="24" xfId="0" applyFont="1" applyBorder="1"/>
    <xf numFmtId="0" fontId="17" fillId="0" borderId="0" xfId="0" applyFont="1" applyBorder="1"/>
    <xf numFmtId="0" fontId="17" fillId="0" borderId="18" xfId="0" applyFont="1" applyBorder="1"/>
    <xf numFmtId="0" fontId="18" fillId="0" borderId="41" xfId="0" applyFont="1" applyBorder="1"/>
    <xf numFmtId="0" fontId="17" fillId="0" borderId="19" xfId="0" applyFont="1" applyBorder="1"/>
    <xf numFmtId="0" fontId="17" fillId="0" borderId="19" xfId="0" applyFont="1" applyBorder="1" applyAlignment="1"/>
    <xf numFmtId="0" fontId="18" fillId="0" borderId="0" xfId="0" applyFont="1" applyBorder="1" applyAlignment="1">
      <alignment horizontal="center"/>
    </xf>
    <xf numFmtId="0" fontId="18" fillId="0" borderId="62" xfId="0" applyFont="1" applyBorder="1" applyAlignment="1">
      <alignment horizontal="center"/>
    </xf>
    <xf numFmtId="0" fontId="15" fillId="0" borderId="23" xfId="0" applyFont="1" applyBorder="1" applyAlignment="1">
      <alignment horizontal="left"/>
    </xf>
    <xf numFmtId="0" fontId="17" fillId="0" borderId="46" xfId="0" applyFont="1" applyBorder="1"/>
    <xf numFmtId="0" fontId="15" fillId="0" borderId="60" xfId="0" applyFont="1" applyBorder="1" applyAlignment="1">
      <alignment horizontal="left"/>
    </xf>
    <xf numFmtId="0" fontId="17" fillId="0" borderId="54" xfId="0" applyFont="1" applyBorder="1"/>
    <xf numFmtId="0" fontId="18" fillId="0" borderId="57" xfId="0" applyFont="1" applyBorder="1" applyAlignment="1">
      <alignment horizontal="left"/>
    </xf>
    <xf numFmtId="0" fontId="17" fillId="0" borderId="24" xfId="0" applyFont="1" applyBorder="1"/>
    <xf numFmtId="14" fontId="17" fillId="0" borderId="41" xfId="0" applyNumberFormat="1" applyFont="1" applyBorder="1"/>
    <xf numFmtId="0" fontId="17" fillId="0" borderId="41" xfId="0" applyFont="1" applyBorder="1"/>
    <xf numFmtId="0" fontId="17" fillId="0" borderId="63" xfId="0" applyFont="1" applyBorder="1"/>
    <xf numFmtId="0" fontId="17" fillId="0" borderId="25" xfId="0" applyFont="1" applyBorder="1"/>
    <xf numFmtId="0" fontId="17" fillId="0" borderId="61" xfId="0" applyFont="1" applyBorder="1"/>
    <xf numFmtId="0" fontId="17" fillId="0" borderId="62" xfId="0" applyFont="1" applyBorder="1"/>
    <xf numFmtId="0" fontId="1" fillId="0" borderId="56" xfId="0" applyFont="1" applyBorder="1"/>
    <xf numFmtId="0" fontId="11" fillId="0" borderId="59" xfId="0" applyFont="1" applyBorder="1"/>
    <xf numFmtId="0" fontId="11" fillId="0" borderId="24" xfId="0" applyFont="1" applyBorder="1"/>
    <xf numFmtId="0" fontId="1" fillId="0" borderId="53" xfId="0" applyFont="1" applyBorder="1"/>
    <xf numFmtId="0" fontId="15" fillId="0" borderId="48" xfId="0" applyFont="1" applyBorder="1" applyAlignment="1"/>
    <xf numFmtId="0" fontId="15" fillId="0" borderId="18" xfId="0" applyFont="1" applyBorder="1" applyAlignment="1"/>
    <xf numFmtId="0" fontId="6" fillId="0" borderId="0" xfId="0" applyFont="1" applyBorder="1" applyAlignment="1">
      <alignment vertical="center" wrapText="1"/>
    </xf>
    <xf numFmtId="0" fontId="0" fillId="0" borderId="0" xfId="0" applyAlignment="1">
      <alignment wrapText="1"/>
    </xf>
    <xf numFmtId="0" fontId="3" fillId="0" borderId="2" xfId="0" applyFont="1" applyBorder="1" applyAlignment="1">
      <alignment horizontal="center" wrapText="1"/>
    </xf>
    <xf numFmtId="0" fontId="3" fillId="0" borderId="38" xfId="0" applyFont="1" applyBorder="1" applyAlignment="1">
      <alignment horizontal="center" wrapText="1"/>
    </xf>
    <xf numFmtId="0" fontId="3" fillId="0" borderId="45" xfId="0" applyFont="1" applyBorder="1" applyAlignment="1">
      <alignment horizontal="center" wrapText="1"/>
    </xf>
    <xf numFmtId="0" fontId="3" fillId="0" borderId="42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0" fontId="21" fillId="0" borderId="5" xfId="0" applyFont="1" applyBorder="1" applyAlignment="1">
      <alignment horizontal="center" wrapText="1"/>
    </xf>
    <xf numFmtId="0" fontId="3" fillId="0" borderId="29" xfId="0" applyFont="1" applyBorder="1" applyAlignment="1">
      <alignment horizontal="center" wrapText="1"/>
    </xf>
    <xf numFmtId="0" fontId="15" fillId="0" borderId="46" xfId="0" applyFont="1" applyBorder="1" applyAlignment="1"/>
    <xf numFmtId="0" fontId="15" fillId="0" borderId="18" xfId="0" applyFont="1" applyBorder="1" applyAlignment="1"/>
    <xf numFmtId="0" fontId="15" fillId="0" borderId="48" xfId="0" applyFont="1" applyBorder="1" applyAlignment="1"/>
    <xf numFmtId="0" fontId="22" fillId="0" borderId="12" xfId="0" applyFont="1" applyBorder="1" applyAlignment="1"/>
    <xf numFmtId="0" fontId="3" fillId="0" borderId="0" xfId="0" applyFont="1" applyBorder="1" applyAlignment="1">
      <alignment wrapText="1"/>
    </xf>
    <xf numFmtId="0" fontId="3" fillId="0" borderId="0" xfId="0" applyFont="1" applyBorder="1" applyAlignment="1">
      <alignment horizontal="center" wrapText="1"/>
    </xf>
    <xf numFmtId="0" fontId="22" fillId="0" borderId="23" xfId="0" applyFont="1" applyBorder="1" applyAlignment="1"/>
    <xf numFmtId="0" fontId="20" fillId="0" borderId="24" xfId="0" applyFont="1" applyBorder="1" applyAlignment="1"/>
    <xf numFmtId="0" fontId="20" fillId="0" borderId="25" xfId="0" applyFont="1" applyBorder="1" applyAlignment="1"/>
    <xf numFmtId="0" fontId="3" fillId="0" borderId="46" xfId="0" applyFont="1" applyBorder="1" applyAlignment="1">
      <alignment horizontal="center" wrapText="1"/>
    </xf>
    <xf numFmtId="0" fontId="3" fillId="0" borderId="18" xfId="0" applyFont="1" applyBorder="1" applyAlignment="1">
      <alignment wrapText="1"/>
    </xf>
    <xf numFmtId="0" fontId="22" fillId="0" borderId="46" xfId="0" applyFont="1" applyBorder="1" applyAlignment="1"/>
    <xf numFmtId="0" fontId="20" fillId="0" borderId="0" xfId="0" applyFont="1" applyBorder="1" applyAlignment="1"/>
    <xf numFmtId="0" fontId="20" fillId="0" borderId="18" xfId="0" applyFont="1" applyBorder="1" applyAlignment="1"/>
    <xf numFmtId="0" fontId="22" fillId="0" borderId="64" xfId="0" applyFont="1" applyBorder="1" applyAlignment="1"/>
    <xf numFmtId="0" fontId="16" fillId="0" borderId="19" xfId="0" applyFont="1" applyBorder="1" applyAlignment="1"/>
    <xf numFmtId="0" fontId="0" fillId="0" borderId="23" xfId="0" applyBorder="1"/>
    <xf numFmtId="0" fontId="0" fillId="0" borderId="46" xfId="0" applyBorder="1"/>
    <xf numFmtId="0" fontId="0" fillId="0" borderId="40" xfId="0" applyBorder="1"/>
    <xf numFmtId="14" fontId="1" fillId="0" borderId="41" xfId="0" applyNumberFormat="1" applyFont="1" applyBorder="1"/>
    <xf numFmtId="0" fontId="1" fillId="0" borderId="31" xfId="0" applyFont="1" applyBorder="1" applyAlignment="1">
      <alignment wrapText="1"/>
    </xf>
    <xf numFmtId="0" fontId="17" fillId="0" borderId="23" xfId="0" applyFont="1" applyBorder="1"/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15" fillId="0" borderId="46" xfId="0" applyFont="1" applyBorder="1" applyAlignment="1"/>
    <xf numFmtId="0" fontId="15" fillId="0" borderId="18" xfId="0" applyFont="1" applyBorder="1" applyAlignment="1"/>
    <xf numFmtId="0" fontId="15" fillId="0" borderId="48" xfId="0" applyFont="1" applyBorder="1" applyAlignment="1"/>
    <xf numFmtId="0" fontId="4" fillId="0" borderId="46" xfId="0" applyFont="1" applyBorder="1"/>
    <xf numFmtId="3" fontId="5" fillId="0" borderId="70" xfId="0" applyNumberFormat="1" applyFont="1" applyBorder="1" applyAlignment="1">
      <alignment horizontal="center" vertical="top" wrapText="1"/>
    </xf>
    <xf numFmtId="3" fontId="5" fillId="0" borderId="69" xfId="0" applyNumberFormat="1" applyFont="1" applyBorder="1" applyAlignment="1">
      <alignment horizontal="center" vertical="top" wrapText="1"/>
    </xf>
    <xf numFmtId="3" fontId="13" fillId="0" borderId="70" xfId="0" applyNumberFormat="1" applyFont="1" applyBorder="1" applyAlignment="1">
      <alignment horizontal="center" vertical="top" wrapText="1"/>
    </xf>
    <xf numFmtId="3" fontId="13" fillId="0" borderId="72" xfId="0" applyNumberFormat="1" applyFont="1" applyBorder="1" applyAlignment="1">
      <alignment horizontal="center" vertical="top" wrapText="1"/>
    </xf>
    <xf numFmtId="0" fontId="0" fillId="0" borderId="2" xfId="0" applyBorder="1" applyAlignment="1">
      <alignment horizontal="center"/>
    </xf>
    <xf numFmtId="0" fontId="27" fillId="2" borderId="2" xfId="0" applyFont="1" applyFill="1" applyBorder="1" applyAlignment="1">
      <alignment horizontal="center"/>
    </xf>
    <xf numFmtId="1" fontId="13" fillId="0" borderId="38" xfId="0" applyNumberFormat="1" applyFont="1" applyBorder="1" applyAlignment="1">
      <alignment horizontal="center" vertical="center" wrapText="1"/>
    </xf>
    <xf numFmtId="0" fontId="3" fillId="0" borderId="66" xfId="0" applyNumberFormat="1" applyFont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 wrapText="1"/>
    </xf>
    <xf numFmtId="1" fontId="13" fillId="0" borderId="1" xfId="0" applyNumberFormat="1" applyFont="1" applyBorder="1" applyAlignment="1">
      <alignment horizontal="center" vertical="center" wrapText="1"/>
    </xf>
    <xf numFmtId="1" fontId="13" fillId="0" borderId="67" xfId="0" applyNumberFormat="1" applyFont="1" applyBorder="1" applyAlignment="1">
      <alignment horizontal="center" vertical="center" wrapText="1"/>
    </xf>
    <xf numFmtId="1" fontId="13" fillId="0" borderId="76" xfId="0" applyNumberFormat="1" applyFont="1" applyBorder="1" applyAlignment="1">
      <alignment horizontal="center" vertical="center" wrapText="1"/>
    </xf>
    <xf numFmtId="1" fontId="5" fillId="0" borderId="38" xfId="0" applyNumberFormat="1" applyFont="1" applyBorder="1" applyAlignment="1">
      <alignment horizontal="center" vertical="center" wrapText="1"/>
    </xf>
    <xf numFmtId="1" fontId="5" fillId="0" borderId="67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0" fontId="3" fillId="0" borderId="45" xfId="0" applyNumberFormat="1" applyFont="1" applyBorder="1" applyAlignment="1">
      <alignment horizontal="center" vertical="center" wrapText="1"/>
    </xf>
    <xf numFmtId="0" fontId="3" fillId="0" borderId="32" xfId="0" applyNumberFormat="1" applyFont="1" applyBorder="1" applyAlignment="1">
      <alignment horizontal="center" vertical="center" wrapText="1"/>
    </xf>
    <xf numFmtId="0" fontId="3" fillId="0" borderId="29" xfId="0" applyNumberFormat="1" applyFont="1" applyBorder="1" applyAlignment="1">
      <alignment horizontal="center" vertical="center" wrapText="1"/>
    </xf>
    <xf numFmtId="0" fontId="3" fillId="0" borderId="31" xfId="0" applyNumberFormat="1" applyFont="1" applyBorder="1" applyAlignment="1">
      <alignment horizontal="center" vertical="center" wrapText="1"/>
    </xf>
    <xf numFmtId="0" fontId="3" fillId="0" borderId="5" xfId="0" applyNumberFormat="1" applyFont="1" applyBorder="1" applyAlignment="1">
      <alignment horizontal="center" vertical="center" wrapText="1"/>
    </xf>
    <xf numFmtId="0" fontId="3" fillId="0" borderId="74" xfId="0" applyNumberFormat="1" applyFont="1" applyBorder="1" applyAlignment="1">
      <alignment horizontal="center" vertical="center" wrapText="1"/>
    </xf>
    <xf numFmtId="0" fontId="3" fillId="0" borderId="75" xfId="0" applyNumberFormat="1" applyFont="1" applyBorder="1" applyAlignment="1">
      <alignment horizontal="center" vertical="center" wrapText="1"/>
    </xf>
    <xf numFmtId="0" fontId="1" fillId="0" borderId="60" xfId="0" applyFont="1" applyBorder="1" applyAlignment="1">
      <alignment horizontal="center"/>
    </xf>
    <xf numFmtId="0" fontId="6" fillId="0" borderId="57" xfId="0" applyFont="1" applyFill="1" applyBorder="1" applyAlignment="1">
      <alignment horizontal="center" vertical="center" wrapText="1"/>
    </xf>
    <xf numFmtId="165" fontId="12" fillId="0" borderId="45" xfId="0" applyNumberFormat="1" applyFont="1" applyBorder="1" applyAlignment="1">
      <alignment horizontal="center" vertical="center" wrapText="1"/>
    </xf>
    <xf numFmtId="165" fontId="12" fillId="0" borderId="32" xfId="0" applyNumberFormat="1" applyFont="1" applyBorder="1" applyAlignment="1">
      <alignment horizontal="center" vertical="center" wrapText="1"/>
    </xf>
    <xf numFmtId="165" fontId="12" fillId="0" borderId="29" xfId="0" applyNumberFormat="1" applyFont="1" applyBorder="1" applyAlignment="1">
      <alignment horizontal="center" vertical="center" wrapText="1"/>
    </xf>
    <xf numFmtId="166" fontId="13" fillId="0" borderId="38" xfId="0" applyNumberFormat="1" applyFont="1" applyBorder="1" applyAlignment="1">
      <alignment horizontal="center" vertical="center" wrapText="1"/>
    </xf>
    <xf numFmtId="166" fontId="13" fillId="0" borderId="1" xfId="0" applyNumberFormat="1" applyFont="1" applyBorder="1" applyAlignment="1">
      <alignment horizontal="center" vertical="center" wrapText="1"/>
    </xf>
    <xf numFmtId="0" fontId="28" fillId="0" borderId="0" xfId="0" applyFont="1"/>
    <xf numFmtId="0" fontId="0" fillId="0" borderId="24" xfId="0" applyBorder="1"/>
    <xf numFmtId="0" fontId="0" fillId="0" borderId="0" xfId="0" applyBorder="1"/>
    <xf numFmtId="0" fontId="27" fillId="0" borderId="0" xfId="0" applyFont="1" applyBorder="1"/>
    <xf numFmtId="0" fontId="0" fillId="0" borderId="25" xfId="0" applyBorder="1"/>
    <xf numFmtId="0" fontId="0" fillId="0" borderId="18" xfId="0" applyBorder="1"/>
    <xf numFmtId="0" fontId="0" fillId="0" borderId="41" xfId="0" applyBorder="1"/>
    <xf numFmtId="0" fontId="0" fillId="0" borderId="19" xfId="0" applyBorder="1"/>
    <xf numFmtId="0" fontId="29" fillId="0" borderId="24" xfId="0" applyFont="1" applyBorder="1"/>
    <xf numFmtId="0" fontId="27" fillId="0" borderId="40" xfId="0" applyFont="1" applyBorder="1"/>
    <xf numFmtId="0" fontId="27" fillId="0" borderId="41" xfId="0" applyFont="1" applyBorder="1"/>
    <xf numFmtId="0" fontId="27" fillId="0" borderId="46" xfId="0" applyFont="1" applyBorder="1"/>
    <xf numFmtId="0" fontId="17" fillId="0" borderId="24" xfId="0" applyFont="1" applyBorder="1" applyAlignment="1">
      <alignment horizontal="left"/>
    </xf>
    <xf numFmtId="0" fontId="15" fillId="0" borderId="46" xfId="0" applyFont="1" applyBorder="1"/>
    <xf numFmtId="0" fontId="15" fillId="0" borderId="18" xfId="0" applyFont="1" applyBorder="1"/>
    <xf numFmtId="3" fontId="13" fillId="0" borderId="69" xfId="0" applyNumberFormat="1" applyFont="1" applyBorder="1" applyAlignment="1">
      <alignment horizontal="center" vertical="top" wrapText="1"/>
    </xf>
    <xf numFmtId="1" fontId="5" fillId="0" borderId="1" xfId="0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0" fontId="5" fillId="0" borderId="42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28" xfId="0" applyFont="1" applyFill="1" applyBorder="1" applyAlignment="1">
      <alignment horizontal="center" vertical="center" wrapText="1"/>
    </xf>
    <xf numFmtId="0" fontId="5" fillId="0" borderId="44" xfId="0" applyFont="1" applyFill="1" applyBorder="1" applyAlignment="1">
      <alignment horizontal="center" vertical="center" wrapText="1"/>
    </xf>
    <xf numFmtId="0" fontId="15" fillId="0" borderId="41" xfId="0" applyFont="1" applyBorder="1"/>
    <xf numFmtId="0" fontId="11" fillId="0" borderId="0" xfId="0" applyFont="1" applyBorder="1" applyAlignment="1"/>
    <xf numFmtId="0" fontId="11" fillId="0" borderId="18" xfId="0" applyFont="1" applyBorder="1" applyAlignment="1"/>
    <xf numFmtId="0" fontId="11" fillId="0" borderId="41" xfId="0" applyFont="1" applyBorder="1" applyAlignment="1"/>
    <xf numFmtId="0" fontId="11" fillId="0" borderId="19" xfId="0" applyFont="1" applyBorder="1" applyAlignment="1"/>
    <xf numFmtId="0" fontId="11" fillId="0" borderId="25" xfId="0" applyFont="1" applyBorder="1" applyAlignment="1"/>
    <xf numFmtId="0" fontId="27" fillId="0" borderId="24" xfId="0" applyFont="1" applyBorder="1"/>
    <xf numFmtId="0" fontId="0" fillId="0" borderId="0" xfId="0" applyAlignment="1"/>
    <xf numFmtId="0" fontId="0" fillId="0" borderId="35" xfId="0" applyBorder="1"/>
    <xf numFmtId="0" fontId="0" fillId="0" borderId="80" xfId="0" applyBorder="1"/>
    <xf numFmtId="0" fontId="0" fillId="0" borderId="34" xfId="0" applyBorder="1"/>
    <xf numFmtId="0" fontId="0" fillId="0" borderId="81" xfId="0" applyBorder="1"/>
    <xf numFmtId="0" fontId="0" fillId="0" borderId="82" xfId="0" applyBorder="1"/>
    <xf numFmtId="0" fontId="0" fillId="0" borderId="78" xfId="0" applyBorder="1"/>
    <xf numFmtId="0" fontId="27" fillId="0" borderId="81" xfId="0" applyFont="1" applyBorder="1"/>
    <xf numFmtId="0" fontId="0" fillId="0" borderId="26" xfId="0" applyBorder="1"/>
    <xf numFmtId="0" fontId="0" fillId="0" borderId="83" xfId="0" applyBorder="1"/>
    <xf numFmtId="0" fontId="0" fillId="0" borderId="75" xfId="0" applyBorder="1"/>
    <xf numFmtId="0" fontId="0" fillId="0" borderId="76" xfId="0" applyBorder="1"/>
    <xf numFmtId="0" fontId="29" fillId="0" borderId="0" xfId="0" applyFont="1" applyBorder="1"/>
    <xf numFmtId="0" fontId="27" fillId="0" borderId="82" xfId="0" applyFont="1" applyBorder="1"/>
    <xf numFmtId="0" fontId="1" fillId="0" borderId="0" xfId="0" applyFont="1" applyBorder="1" applyAlignment="1"/>
    <xf numFmtId="0" fontId="0" fillId="0" borderId="0" xfId="0" applyFill="1"/>
    <xf numFmtId="0" fontId="0" fillId="3" borderId="0" xfId="0" applyFill="1"/>
    <xf numFmtId="0" fontId="1" fillId="0" borderId="38" xfId="0" applyFont="1" applyBorder="1"/>
    <xf numFmtId="0" fontId="1" fillId="0" borderId="42" xfId="0" applyFont="1" applyBorder="1"/>
    <xf numFmtId="0" fontId="1" fillId="0" borderId="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/>
    <xf numFmtId="0" fontId="1" fillId="0" borderId="5" xfId="0" applyFont="1" applyBorder="1" applyAlignment="1">
      <alignment horizontal="center"/>
    </xf>
    <xf numFmtId="0" fontId="17" fillId="0" borderId="8" xfId="0" applyFont="1" applyBorder="1"/>
    <xf numFmtId="0" fontId="17" fillId="0" borderId="11" xfId="0" applyFont="1" applyBorder="1" applyAlignment="1">
      <alignment horizontal="center"/>
    </xf>
    <xf numFmtId="0" fontId="39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0" fillId="0" borderId="0" xfId="0" quotePrefix="1"/>
    <xf numFmtId="164" fontId="12" fillId="0" borderId="66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164" fontId="12" fillId="0" borderId="75" xfId="0" applyNumberFormat="1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43" xfId="0" applyFont="1" applyBorder="1" applyAlignment="1">
      <alignment horizontal="center"/>
    </xf>
    <xf numFmtId="14" fontId="5" fillId="0" borderId="54" xfId="0" applyNumberFormat="1" applyFont="1" applyFill="1" applyBorder="1" applyAlignment="1">
      <alignment horizontal="center" vertical="center" wrapText="1"/>
    </xf>
    <xf numFmtId="14" fontId="5" fillId="0" borderId="18" xfId="0" applyNumberFormat="1" applyFont="1" applyFill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166" fontId="13" fillId="0" borderId="30" xfId="0" applyNumberFormat="1" applyFont="1" applyBorder="1" applyAlignment="1">
      <alignment horizontal="center" vertical="center" wrapText="1"/>
    </xf>
    <xf numFmtId="3" fontId="5" fillId="0" borderId="72" xfId="0" applyNumberFormat="1" applyFont="1" applyBorder="1" applyAlignment="1">
      <alignment horizontal="center" vertical="top" wrapText="1"/>
    </xf>
    <xf numFmtId="1" fontId="13" fillId="0" borderId="30" xfId="0" applyNumberFormat="1" applyFont="1" applyBorder="1" applyAlignment="1">
      <alignment horizontal="center" vertical="center" wrapText="1"/>
    </xf>
    <xf numFmtId="1" fontId="13" fillId="0" borderId="34" xfId="0" applyNumberFormat="1" applyFont="1" applyBorder="1" applyAlignment="1">
      <alignment horizontal="center" vertical="center" wrapText="1"/>
    </xf>
    <xf numFmtId="164" fontId="12" fillId="0" borderId="46" xfId="0" applyNumberFormat="1" applyFont="1" applyBorder="1" applyAlignment="1">
      <alignment horizontal="center" vertical="center" wrapText="1"/>
    </xf>
    <xf numFmtId="0" fontId="1" fillId="0" borderId="12" xfId="0" applyFont="1" applyBorder="1"/>
    <xf numFmtId="0" fontId="1" fillId="0" borderId="13" xfId="0" applyFont="1" applyBorder="1"/>
    <xf numFmtId="0" fontId="0" fillId="0" borderId="2" xfId="0" applyBorder="1"/>
    <xf numFmtId="0" fontId="0" fillId="0" borderId="5" xfId="0" applyBorder="1"/>
    <xf numFmtId="0" fontId="0" fillId="0" borderId="1" xfId="0" applyBorder="1"/>
    <xf numFmtId="0" fontId="0" fillId="0" borderId="29" xfId="0" applyBorder="1"/>
    <xf numFmtId="0" fontId="0" fillId="0" borderId="38" xfId="0" applyBorder="1"/>
    <xf numFmtId="0" fontId="0" fillId="0" borderId="45" xfId="0" applyBorder="1"/>
    <xf numFmtId="0" fontId="0" fillId="0" borderId="42" xfId="0" applyBorder="1"/>
    <xf numFmtId="0" fontId="0" fillId="0" borderId="3" xfId="0" applyBorder="1"/>
    <xf numFmtId="0" fontId="0" fillId="0" borderId="28" xfId="0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15" xfId="0" applyBorder="1"/>
    <xf numFmtId="0" fontId="0" fillId="0" borderId="60" xfId="0" applyBorder="1"/>
    <xf numFmtId="0" fontId="0" fillId="0" borderId="45" xfId="0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/>
    <xf numFmtId="0" fontId="0" fillId="0" borderId="38" xfId="0" applyBorder="1" applyAlignment="1"/>
    <xf numFmtId="0" fontId="0" fillId="0" borderId="38" xfId="0" applyFill="1" applyBorder="1" applyAlignment="1"/>
    <xf numFmtId="0" fontId="0" fillId="0" borderId="42" xfId="0" applyFill="1" applyBorder="1" applyAlignment="1"/>
    <xf numFmtId="0" fontId="40" fillId="0" borderId="2" xfId="0" applyFont="1" applyBorder="1" applyAlignment="1">
      <alignment vertical="center"/>
    </xf>
    <xf numFmtId="0" fontId="11" fillId="0" borderId="54" xfId="0" applyFont="1" applyBorder="1" applyAlignment="1"/>
    <xf numFmtId="0" fontId="11" fillId="0" borderId="57" xfId="0" applyFont="1" applyBorder="1" applyAlignment="1"/>
    <xf numFmtId="0" fontId="42" fillId="0" borderId="0" xfId="0" applyFont="1"/>
    <xf numFmtId="0" fontId="15" fillId="0" borderId="57" xfId="0" applyFont="1" applyBorder="1"/>
    <xf numFmtId="0" fontId="1" fillId="0" borderId="19" xfId="0" applyFont="1" applyBorder="1"/>
    <xf numFmtId="0" fontId="17" fillId="0" borderId="0" xfId="0" applyFont="1" applyBorder="1" applyAlignment="1">
      <alignment vertical="center" wrapText="1"/>
    </xf>
    <xf numFmtId="0" fontId="17" fillId="0" borderId="41" xfId="0" applyFont="1" applyBorder="1" applyAlignment="1">
      <alignment vertical="center" wrapText="1"/>
    </xf>
    <xf numFmtId="0" fontId="44" fillId="0" borderId="46" xfId="0" applyFont="1" applyBorder="1" applyAlignment="1">
      <alignment horizontal="left"/>
    </xf>
    <xf numFmtId="0" fontId="45" fillId="0" borderId="46" xfId="0" applyFont="1" applyBorder="1" applyAlignment="1">
      <alignment horizontal="left"/>
    </xf>
    <xf numFmtId="0" fontId="45" fillId="0" borderId="46" xfId="0" applyFont="1" applyBorder="1" applyAlignment="1">
      <alignment vertical="center" wrapText="1"/>
    </xf>
    <xf numFmtId="0" fontId="46" fillId="0" borderId="0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7" fillId="0" borderId="46" xfId="0" applyNumberFormat="1" applyFont="1" applyBorder="1" applyAlignment="1">
      <alignment horizontal="center" vertical="center"/>
    </xf>
    <xf numFmtId="0" fontId="17" fillId="0" borderId="18" xfId="0" applyNumberFormat="1" applyFont="1" applyBorder="1" applyAlignment="1">
      <alignment horizontal="center" vertical="center"/>
    </xf>
    <xf numFmtId="0" fontId="17" fillId="0" borderId="40" xfId="0" applyNumberFormat="1" applyFont="1" applyBorder="1" applyAlignment="1">
      <alignment horizontal="center" vertical="center"/>
    </xf>
    <xf numFmtId="0" fontId="17" fillId="0" borderId="19" xfId="0" applyNumberFormat="1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46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0" fontId="25" fillId="0" borderId="41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9" fillId="0" borderId="46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8" fillId="0" borderId="46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40" xfId="0" applyFont="1" applyBorder="1" applyAlignment="1">
      <alignment horizontal="center" vertical="center" wrapText="1"/>
    </xf>
    <xf numFmtId="0" fontId="18" fillId="0" borderId="41" xfId="0" applyFont="1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/>
    </xf>
    <xf numFmtId="0" fontId="15" fillId="0" borderId="25" xfId="0" applyFont="1" applyBorder="1" applyAlignment="1"/>
    <xf numFmtId="0" fontId="15" fillId="0" borderId="46" xfId="0" applyFont="1" applyBorder="1" applyAlignment="1"/>
    <xf numFmtId="0" fontId="15" fillId="0" borderId="18" xfId="0" applyFont="1" applyBorder="1" applyAlignment="1"/>
    <xf numFmtId="0" fontId="15" fillId="0" borderId="40" xfId="0" applyFont="1" applyBorder="1" applyAlignment="1"/>
    <xf numFmtId="0" fontId="15" fillId="0" borderId="19" xfId="0" applyFont="1" applyBorder="1" applyAlignment="1"/>
    <xf numFmtId="0" fontId="22" fillId="0" borderId="23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49" fontId="17" fillId="0" borderId="54" xfId="0" applyNumberFormat="1" applyFont="1" applyBorder="1" applyAlignment="1">
      <alignment horizontal="center" vertical="center"/>
    </xf>
    <xf numFmtId="49" fontId="17" fillId="0" borderId="57" xfId="0" applyNumberFormat="1" applyFont="1" applyBorder="1" applyAlignment="1">
      <alignment horizontal="center" vertical="center"/>
    </xf>
    <xf numFmtId="0" fontId="17" fillId="0" borderId="54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18" fillId="0" borderId="46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18" fillId="0" borderId="41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/>
    </xf>
    <xf numFmtId="0" fontId="22" fillId="0" borderId="40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34" fillId="0" borderId="23" xfId="0" applyFont="1" applyBorder="1" applyAlignment="1">
      <alignment horizontal="center"/>
    </xf>
    <xf numFmtId="0" fontId="34" fillId="0" borderId="25" xfId="0" applyFont="1" applyBorder="1" applyAlignment="1">
      <alignment horizont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18" fillId="0" borderId="54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/>
    </xf>
    <xf numFmtId="0" fontId="43" fillId="0" borderId="0" xfId="0" applyFont="1" applyBorder="1" applyAlignment="1">
      <alignment horizontal="center"/>
    </xf>
    <xf numFmtId="0" fontId="43" fillId="0" borderId="18" xfId="0" applyFont="1" applyBorder="1" applyAlignment="1">
      <alignment horizontal="center"/>
    </xf>
    <xf numFmtId="0" fontId="43" fillId="0" borderId="40" xfId="0" applyFont="1" applyBorder="1" applyAlignment="1">
      <alignment horizontal="center"/>
    </xf>
    <xf numFmtId="0" fontId="43" fillId="0" borderId="41" xfId="0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41" fillId="0" borderId="0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35" fillId="0" borderId="24" xfId="0" applyFont="1" applyBorder="1" applyAlignment="1">
      <alignment horizontal="center" vertical="center" wrapText="1"/>
    </xf>
    <xf numFmtId="0" fontId="35" fillId="0" borderId="25" xfId="0" applyFont="1" applyBorder="1" applyAlignment="1">
      <alignment horizontal="center" vertical="center" wrapText="1"/>
    </xf>
    <xf numFmtId="0" fontId="35" fillId="0" borderId="40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center" vertical="center" wrapText="1"/>
    </xf>
    <xf numFmtId="0" fontId="35" fillId="0" borderId="19" xfId="0" applyFont="1" applyBorder="1" applyAlignment="1">
      <alignment horizontal="center" vertical="center" wrapText="1"/>
    </xf>
    <xf numFmtId="0" fontId="24" fillId="0" borderId="40" xfId="0" applyFont="1" applyBorder="1" applyAlignment="1">
      <alignment horizontal="left"/>
    </xf>
    <xf numFmtId="0" fontId="24" fillId="0" borderId="41" xfId="0" applyFont="1" applyBorder="1" applyAlignment="1">
      <alignment horizontal="left"/>
    </xf>
    <xf numFmtId="0" fontId="24" fillId="0" borderId="19" xfId="0" applyFont="1" applyBorder="1" applyAlignment="1">
      <alignment horizontal="left"/>
    </xf>
    <xf numFmtId="0" fontId="17" fillId="0" borderId="23" xfId="0" applyFont="1" applyBorder="1" applyAlignment="1">
      <alignment horizontal="left"/>
    </xf>
    <xf numFmtId="0" fontId="17" fillId="0" borderId="24" xfId="0" applyFont="1" applyBorder="1" applyAlignment="1">
      <alignment horizontal="left"/>
    </xf>
    <xf numFmtId="0" fontId="17" fillId="0" borderId="25" xfId="0" applyFont="1" applyBorder="1" applyAlignment="1">
      <alignment horizontal="left"/>
    </xf>
    <xf numFmtId="0" fontId="36" fillId="0" borderId="23" xfId="0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0" fontId="37" fillId="0" borderId="40" xfId="0" applyFont="1" applyBorder="1" applyAlignment="1">
      <alignment horizontal="center"/>
    </xf>
    <xf numFmtId="0" fontId="37" fillId="0" borderId="19" xfId="0" applyFont="1" applyBorder="1" applyAlignment="1">
      <alignment horizontal="center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9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28" xfId="0" applyFont="1" applyFill="1" applyBorder="1" applyAlignment="1">
      <alignment horizontal="center" vertical="center" wrapText="1"/>
    </xf>
    <xf numFmtId="0" fontId="5" fillId="0" borderId="23" xfId="0" applyFont="1" applyFill="1" applyBorder="1" applyAlignment="1">
      <alignment horizontal="center" vertical="center" wrapText="1"/>
    </xf>
    <xf numFmtId="0" fontId="5" fillId="0" borderId="24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 wrapText="1"/>
    </xf>
    <xf numFmtId="0" fontId="6" fillId="0" borderId="40" xfId="0" applyFont="1" applyFill="1" applyBorder="1" applyAlignment="1">
      <alignment horizontal="center" vertical="center" wrapText="1"/>
    </xf>
    <xf numFmtId="0" fontId="6" fillId="0" borderId="41" xfId="0" applyFont="1" applyFill="1" applyBorder="1" applyAlignment="1">
      <alignment horizontal="center" vertical="center" wrapText="1"/>
    </xf>
    <xf numFmtId="0" fontId="6" fillId="0" borderId="19" xfId="0" applyFont="1" applyFill="1" applyBorder="1" applyAlignment="1">
      <alignment horizontal="center" vertical="center" wrapText="1"/>
    </xf>
    <xf numFmtId="0" fontId="22" fillId="0" borderId="41" xfId="0" applyFont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164" fontId="12" fillId="0" borderId="66" xfId="0" applyNumberFormat="1" applyFont="1" applyBorder="1" applyAlignment="1">
      <alignment horizontal="center" vertical="center" wrapText="1"/>
    </xf>
    <xf numFmtId="164" fontId="12" fillId="0" borderId="67" xfId="0" applyNumberFormat="1" applyFont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top" wrapText="1"/>
    </xf>
    <xf numFmtId="0" fontId="5" fillId="0" borderId="16" xfId="0" applyFont="1" applyBorder="1" applyAlignment="1">
      <alignment horizontal="left" vertical="top" wrapText="1"/>
    </xf>
    <xf numFmtId="164" fontId="12" fillId="0" borderId="36" xfId="0" applyNumberFormat="1" applyFont="1" applyBorder="1" applyAlignment="1">
      <alignment horizontal="center" vertical="center" wrapText="1"/>
    </xf>
    <xf numFmtId="164" fontId="12" fillId="0" borderId="33" xfId="0" applyNumberFormat="1" applyFont="1" applyBorder="1" applyAlignment="1">
      <alignment horizontal="center" vertical="center" wrapText="1"/>
    </xf>
    <xf numFmtId="0" fontId="4" fillId="0" borderId="65" xfId="0" applyFont="1" applyBorder="1" applyAlignment="1">
      <alignment horizontal="center" vertical="center" wrapText="1"/>
    </xf>
    <xf numFmtId="0" fontId="4" fillId="0" borderId="79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left" vertical="top" wrapText="1"/>
    </xf>
    <xf numFmtId="0" fontId="5" fillId="0" borderId="21" xfId="0" applyFont="1" applyBorder="1" applyAlignment="1">
      <alignment horizontal="left" vertical="top" wrapText="1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0" fontId="22" fillId="0" borderId="18" xfId="0" applyFont="1" applyFill="1" applyBorder="1" applyAlignment="1">
      <alignment horizontal="center" vertical="center" wrapText="1"/>
    </xf>
    <xf numFmtId="0" fontId="22" fillId="0" borderId="41" xfId="0" applyFont="1" applyFill="1" applyBorder="1" applyAlignment="1">
      <alignment horizontal="center" vertical="center" wrapText="1"/>
    </xf>
    <xf numFmtId="0" fontId="22" fillId="0" borderId="19" xfId="0" applyFont="1" applyFill="1" applyBorder="1" applyAlignment="1">
      <alignment horizontal="center" vertical="center" wrapText="1"/>
    </xf>
    <xf numFmtId="0" fontId="5" fillId="0" borderId="17" xfId="0" applyFont="1" applyFill="1" applyBorder="1" applyAlignment="1">
      <alignment horizontal="center" vertical="center" wrapText="1"/>
    </xf>
    <xf numFmtId="0" fontId="5" fillId="0" borderId="84" xfId="0" applyFont="1" applyFill="1" applyBorder="1" applyAlignment="1">
      <alignment horizontal="center" vertical="center" wrapText="1"/>
    </xf>
    <xf numFmtId="14" fontId="6" fillId="0" borderId="40" xfId="0" applyNumberFormat="1" applyFont="1" applyFill="1" applyBorder="1" applyAlignment="1">
      <alignment horizontal="center" vertical="center" wrapText="1"/>
    </xf>
    <xf numFmtId="14" fontId="6" fillId="0" borderId="41" xfId="0" applyNumberFormat="1" applyFont="1" applyFill="1" applyBorder="1" applyAlignment="1">
      <alignment horizontal="center" vertical="center" wrapText="1"/>
    </xf>
    <xf numFmtId="0" fontId="5" fillId="0" borderId="82" xfId="0" applyFont="1" applyFill="1" applyBorder="1" applyAlignment="1">
      <alignment horizontal="center" vertical="center" wrapText="1"/>
    </xf>
    <xf numFmtId="0" fontId="5" fillId="0" borderId="81" xfId="0" applyFont="1" applyFill="1" applyBorder="1" applyAlignment="1">
      <alignment horizontal="center" vertical="center" wrapText="1"/>
    </xf>
    <xf numFmtId="49" fontId="1" fillId="0" borderId="41" xfId="0" applyNumberFormat="1" applyFont="1" applyBorder="1" applyAlignment="1">
      <alignment horizontal="center" vertical="center" wrapText="1"/>
    </xf>
    <xf numFmtId="49" fontId="1" fillId="0" borderId="19" xfId="0" applyNumberFormat="1" applyFont="1" applyBorder="1" applyAlignment="1">
      <alignment horizontal="center" vertical="center" wrapText="1"/>
    </xf>
    <xf numFmtId="0" fontId="5" fillId="0" borderId="46" xfId="0" applyFont="1" applyFill="1" applyBorder="1" applyAlignment="1">
      <alignment horizontal="center" vertical="center" wrapText="1"/>
    </xf>
    <xf numFmtId="0" fontId="5" fillId="0" borderId="40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0" fontId="2" fillId="0" borderId="6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4" fillId="0" borderId="36" xfId="0" applyFont="1" applyFill="1" applyBorder="1" applyAlignment="1">
      <alignment horizontal="center" vertical="center" wrapText="1"/>
    </xf>
    <xf numFmtId="0" fontId="4" fillId="0" borderId="37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22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68" xfId="0" applyFont="1" applyBorder="1" applyAlignment="1">
      <alignment horizontal="center" vertical="center" wrapText="1"/>
    </xf>
    <xf numFmtId="0" fontId="4" fillId="0" borderId="71" xfId="0" applyFont="1" applyBorder="1" applyAlignment="1">
      <alignment horizontal="center" vertical="center" wrapText="1"/>
    </xf>
    <xf numFmtId="0" fontId="5" fillId="0" borderId="36" xfId="0" applyFont="1" applyFill="1" applyBorder="1" applyAlignment="1">
      <alignment horizontal="center" vertical="center" wrapText="1"/>
    </xf>
    <xf numFmtId="0" fontId="5" fillId="0" borderId="73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0" fontId="5" fillId="0" borderId="42" xfId="0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textRotation="90" wrapText="1"/>
    </xf>
    <xf numFmtId="0" fontId="5" fillId="0" borderId="42" xfId="0" applyFont="1" applyBorder="1" applyAlignment="1">
      <alignment horizontal="center" vertical="center" textRotation="90" wrapText="1"/>
    </xf>
    <xf numFmtId="0" fontId="4" fillId="0" borderId="7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textRotation="90" wrapText="1"/>
    </xf>
    <xf numFmtId="0" fontId="6" fillId="0" borderId="3" xfId="0" applyFont="1" applyFill="1" applyBorder="1" applyAlignment="1">
      <alignment horizontal="center" vertical="center" textRotation="90" wrapText="1"/>
    </xf>
    <xf numFmtId="0" fontId="10" fillId="0" borderId="2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left" vertical="top" wrapText="1"/>
    </xf>
    <xf numFmtId="0" fontId="6" fillId="0" borderId="16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164" fontId="12" fillId="0" borderId="75" xfId="0" applyNumberFormat="1" applyFont="1" applyBorder="1" applyAlignment="1">
      <alignment horizontal="center" vertical="center" wrapText="1"/>
    </xf>
    <xf numFmtId="164" fontId="12" fillId="0" borderId="76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left" vertical="top" wrapText="1"/>
    </xf>
    <xf numFmtId="0" fontId="5" fillId="0" borderId="77" xfId="0" applyFont="1" applyBorder="1" applyAlignment="1">
      <alignment horizontal="left" vertical="top" wrapText="1"/>
    </xf>
    <xf numFmtId="164" fontId="12" fillId="0" borderId="74" xfId="0" applyNumberFormat="1" applyFont="1" applyBorder="1" applyAlignment="1">
      <alignment horizontal="center" vertical="center" wrapText="1"/>
    </xf>
    <xf numFmtId="164" fontId="12" fillId="0" borderId="34" xfId="0" applyNumberFormat="1" applyFont="1" applyBorder="1" applyAlignment="1">
      <alignment horizontal="center" vertical="center" wrapText="1"/>
    </xf>
    <xf numFmtId="0" fontId="6" fillId="0" borderId="31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left" vertical="top" wrapText="1"/>
    </xf>
    <xf numFmtId="0" fontId="6" fillId="0" borderId="45" xfId="0" applyFont="1" applyBorder="1" applyAlignment="1">
      <alignment horizontal="left" vertical="top" wrapText="1"/>
    </xf>
    <xf numFmtId="0" fontId="0" fillId="0" borderId="2" xfId="0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14" fontId="1" fillId="0" borderId="9" xfId="0" applyNumberFormat="1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36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21" xfId="0" applyFill="1" applyBorder="1" applyAlignment="1">
      <alignment horizontal="center" vertical="center" wrapText="1"/>
    </xf>
    <xf numFmtId="0" fontId="7" fillId="0" borderId="15" xfId="0" applyFont="1" applyFill="1" applyBorder="1" applyAlignment="1">
      <alignment horizontal="center" vertical="center" wrapText="1"/>
    </xf>
    <xf numFmtId="0" fontId="8" fillId="0" borderId="39" xfId="0" applyFont="1" applyFill="1" applyBorder="1" applyAlignment="1">
      <alignment horizontal="center" vertical="center" wrapText="1"/>
    </xf>
    <xf numFmtId="0" fontId="8" fillId="0" borderId="16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0" fillId="0" borderId="41" xfId="0" applyFill="1" applyBorder="1" applyAlignment="1">
      <alignment horizontal="center" vertical="center" wrapText="1"/>
    </xf>
    <xf numFmtId="0" fontId="0" fillId="0" borderId="19" xfId="0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9" fillId="0" borderId="37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5" xfId="0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5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45" xfId="0" applyBorder="1" applyAlignment="1">
      <alignment horizontal="center" wrapText="1"/>
    </xf>
    <xf numFmtId="0" fontId="15" fillId="0" borderId="59" xfId="0" applyFont="1" applyBorder="1" applyAlignment="1">
      <alignment horizontal="center"/>
    </xf>
    <xf numFmtId="0" fontId="15" fillId="0" borderId="24" xfId="0" applyFont="1" applyBorder="1" applyAlignment="1">
      <alignment horizontal="center"/>
    </xf>
    <xf numFmtId="0" fontId="15" fillId="0" borderId="25" xfId="0" applyFont="1" applyBorder="1" applyAlignment="1">
      <alignment horizontal="center"/>
    </xf>
    <xf numFmtId="0" fontId="15" fillId="0" borderId="53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56" xfId="0" applyFont="1" applyBorder="1" applyAlignment="1">
      <alignment horizontal="center"/>
    </xf>
    <xf numFmtId="0" fontId="15" fillId="0" borderId="41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0" fontId="15" fillId="0" borderId="23" xfId="0" applyFont="1" applyBorder="1" applyAlignment="1">
      <alignment horizontal="center"/>
    </xf>
    <xf numFmtId="0" fontId="15" fillId="0" borderId="61" xfId="0" applyFont="1" applyBorder="1" applyAlignment="1">
      <alignment horizontal="center"/>
    </xf>
    <xf numFmtId="0" fontId="19" fillId="0" borderId="62" xfId="0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61" xfId="0" applyFont="1" applyBorder="1" applyAlignment="1">
      <alignment horizontal="center" vertical="center"/>
    </xf>
    <xf numFmtId="0" fontId="15" fillId="0" borderId="56" xfId="0" applyFont="1" applyBorder="1" applyAlignment="1">
      <alignment horizontal="center" vertical="center"/>
    </xf>
    <xf numFmtId="0" fontId="15" fillId="0" borderId="41" xfId="0" applyFont="1" applyBorder="1" applyAlignment="1">
      <alignment horizontal="center" vertical="center"/>
    </xf>
    <xf numFmtId="0" fontId="15" fillId="0" borderId="63" xfId="0" applyFont="1" applyBorder="1" applyAlignment="1">
      <alignment horizontal="center" vertical="center"/>
    </xf>
    <xf numFmtId="0" fontId="18" fillId="0" borderId="41" xfId="0" applyFont="1" applyBorder="1" applyAlignment="1">
      <alignment horizontal="center"/>
    </xf>
    <xf numFmtId="0" fontId="18" fillId="0" borderId="63" xfId="0" applyFont="1" applyBorder="1" applyAlignment="1">
      <alignment horizontal="center"/>
    </xf>
    <xf numFmtId="0" fontId="18" fillId="0" borderId="62" xfId="0" applyFont="1" applyBorder="1" applyAlignment="1">
      <alignment horizontal="center" vertical="center" wrapText="1"/>
    </xf>
    <xf numFmtId="0" fontId="18" fillId="0" borderId="63" xfId="0" applyFont="1" applyBorder="1" applyAlignment="1">
      <alignment horizontal="center" vertical="center" wrapText="1"/>
    </xf>
    <xf numFmtId="0" fontId="18" fillId="0" borderId="40" xfId="0" applyFont="1" applyBorder="1" applyAlignment="1">
      <alignment horizontal="left"/>
    </xf>
    <xf numFmtId="0" fontId="18" fillId="0" borderId="41" xfId="0" applyFont="1" applyBorder="1" applyAlignment="1">
      <alignment horizontal="left"/>
    </xf>
    <xf numFmtId="0" fontId="18" fillId="0" borderId="19" xfId="0" applyFont="1" applyBorder="1" applyAlignment="1">
      <alignment horizontal="left"/>
    </xf>
    <xf numFmtId="0" fontId="14" fillId="0" borderId="47" xfId="0" applyFont="1" applyBorder="1" applyAlignment="1">
      <alignment horizontal="center" vertical="center"/>
    </xf>
    <xf numFmtId="0" fontId="15" fillId="0" borderId="48" xfId="0" applyFont="1" applyBorder="1" applyAlignment="1"/>
    <xf numFmtId="0" fontId="15" fillId="0" borderId="53" xfId="0" applyFont="1" applyBorder="1" applyAlignment="1"/>
    <xf numFmtId="0" fontId="15" fillId="0" borderId="56" xfId="0" applyFont="1" applyBorder="1" applyAlignment="1"/>
    <xf numFmtId="0" fontId="16" fillId="0" borderId="49" xfId="0" applyFont="1" applyBorder="1" applyAlignment="1">
      <alignment horizontal="center" vertical="center"/>
    </xf>
    <xf numFmtId="0" fontId="16" fillId="0" borderId="50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16" fillId="0" borderId="46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40" xfId="0" applyFont="1" applyBorder="1" applyAlignment="1">
      <alignment horizontal="center" vertical="center"/>
    </xf>
    <xf numFmtId="0" fontId="16" fillId="0" borderId="41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49" fontId="17" fillId="0" borderId="55" xfId="0" applyNumberFormat="1" applyFont="1" applyBorder="1" applyAlignment="1">
      <alignment horizontal="center" vertical="center"/>
    </xf>
    <xf numFmtId="49" fontId="17" fillId="0" borderId="58" xfId="0" applyNumberFormat="1" applyFont="1" applyBorder="1" applyAlignment="1">
      <alignment horizontal="center" vertical="center"/>
    </xf>
    <xf numFmtId="0" fontId="18" fillId="0" borderId="53" xfId="0" applyFont="1" applyBorder="1" applyAlignment="1">
      <alignment horizontal="center" vertical="center"/>
    </xf>
    <xf numFmtId="0" fontId="18" fillId="0" borderId="56" xfId="0" applyFont="1" applyBorder="1" applyAlignment="1">
      <alignment horizontal="center" vertical="center"/>
    </xf>
    <xf numFmtId="0" fontId="18" fillId="0" borderId="62" xfId="0" applyFont="1" applyBorder="1" applyAlignment="1">
      <alignment horizontal="center" vertical="center"/>
    </xf>
    <xf numFmtId="0" fontId="18" fillId="0" borderId="6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wrapText="1"/>
    </xf>
    <xf numFmtId="0" fontId="3" fillId="0" borderId="2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15" fillId="0" borderId="23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46" xfId="0" applyFont="1" applyBorder="1" applyAlignment="1">
      <alignment horizontal="center"/>
    </xf>
    <xf numFmtId="0" fontId="18" fillId="0" borderId="40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23" fillId="0" borderId="19" xfId="0" applyFont="1" applyBorder="1" applyAlignment="1">
      <alignment horizontal="center"/>
    </xf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b val="0"/>
        <i val="0"/>
        <color rgb="FF990000"/>
      </font>
      <fill>
        <patternFill>
          <bgColor rgb="FFFFA7A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90000"/>
      </font>
      <fill>
        <patternFill>
          <bgColor rgb="FFFF9393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393"/>
      <color rgb="FF990000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27.png"/><Relationship Id="rId18" Type="http://schemas.openxmlformats.org/officeDocument/2006/relationships/image" Target="../media/image32.png"/><Relationship Id="rId26" Type="http://schemas.openxmlformats.org/officeDocument/2006/relationships/image" Target="../media/image40.png"/><Relationship Id="rId39" Type="http://schemas.openxmlformats.org/officeDocument/2006/relationships/image" Target="../media/image52.png"/><Relationship Id="rId3" Type="http://schemas.openxmlformats.org/officeDocument/2006/relationships/image" Target="../media/image17.png"/><Relationship Id="rId21" Type="http://schemas.openxmlformats.org/officeDocument/2006/relationships/image" Target="../media/image35.png"/><Relationship Id="rId34" Type="http://schemas.openxmlformats.org/officeDocument/2006/relationships/image" Target="../media/image47.png"/><Relationship Id="rId42" Type="http://schemas.openxmlformats.org/officeDocument/2006/relationships/image" Target="../media/image55.png"/><Relationship Id="rId7" Type="http://schemas.openxmlformats.org/officeDocument/2006/relationships/image" Target="../media/image21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9.png"/><Relationship Id="rId33" Type="http://schemas.openxmlformats.org/officeDocument/2006/relationships/image" Target="../media/image46.png"/><Relationship Id="rId38" Type="http://schemas.openxmlformats.org/officeDocument/2006/relationships/image" Target="../media/image51.png"/><Relationship Id="rId2" Type="http://schemas.openxmlformats.org/officeDocument/2006/relationships/image" Target="../media/image16.png"/><Relationship Id="rId16" Type="http://schemas.openxmlformats.org/officeDocument/2006/relationships/image" Target="../media/image30.png"/><Relationship Id="rId20" Type="http://schemas.openxmlformats.org/officeDocument/2006/relationships/image" Target="../media/image34.png"/><Relationship Id="rId29" Type="http://schemas.openxmlformats.org/officeDocument/2006/relationships/image" Target="../media/image42.png"/><Relationship Id="rId41" Type="http://schemas.openxmlformats.org/officeDocument/2006/relationships/image" Target="../media/image54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11" Type="http://schemas.openxmlformats.org/officeDocument/2006/relationships/image" Target="../media/image25.png"/><Relationship Id="rId24" Type="http://schemas.openxmlformats.org/officeDocument/2006/relationships/image" Target="../media/image38.png"/><Relationship Id="rId32" Type="http://schemas.openxmlformats.org/officeDocument/2006/relationships/image" Target="../media/image45.png"/><Relationship Id="rId37" Type="http://schemas.openxmlformats.org/officeDocument/2006/relationships/image" Target="../media/image50.png"/><Relationship Id="rId40" Type="http://schemas.openxmlformats.org/officeDocument/2006/relationships/image" Target="../media/image53.png"/><Relationship Id="rId5" Type="http://schemas.openxmlformats.org/officeDocument/2006/relationships/image" Target="../media/image19.png"/><Relationship Id="rId15" Type="http://schemas.openxmlformats.org/officeDocument/2006/relationships/image" Target="../media/image29.png"/><Relationship Id="rId23" Type="http://schemas.openxmlformats.org/officeDocument/2006/relationships/image" Target="../media/image37.png"/><Relationship Id="rId28" Type="http://schemas.openxmlformats.org/officeDocument/2006/relationships/image" Target="../media/image2.png"/><Relationship Id="rId36" Type="http://schemas.openxmlformats.org/officeDocument/2006/relationships/image" Target="../media/image49.png"/><Relationship Id="rId10" Type="http://schemas.openxmlformats.org/officeDocument/2006/relationships/image" Target="../media/image24.png"/><Relationship Id="rId19" Type="http://schemas.openxmlformats.org/officeDocument/2006/relationships/image" Target="../media/image33.png"/><Relationship Id="rId31" Type="http://schemas.openxmlformats.org/officeDocument/2006/relationships/image" Target="../media/image44.png"/><Relationship Id="rId4" Type="http://schemas.openxmlformats.org/officeDocument/2006/relationships/image" Target="../media/image18.png"/><Relationship Id="rId9" Type="http://schemas.openxmlformats.org/officeDocument/2006/relationships/image" Target="../media/image23.png"/><Relationship Id="rId14" Type="http://schemas.openxmlformats.org/officeDocument/2006/relationships/image" Target="../media/image28.png"/><Relationship Id="rId22" Type="http://schemas.openxmlformats.org/officeDocument/2006/relationships/image" Target="../media/image36.png"/><Relationship Id="rId27" Type="http://schemas.openxmlformats.org/officeDocument/2006/relationships/image" Target="../media/image41.png"/><Relationship Id="rId30" Type="http://schemas.openxmlformats.org/officeDocument/2006/relationships/image" Target="../media/image43.png"/><Relationship Id="rId35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png"/><Relationship Id="rId1" Type="http://schemas.openxmlformats.org/officeDocument/2006/relationships/image" Target="../media/image56.png"/><Relationship Id="rId5" Type="http://schemas.openxmlformats.org/officeDocument/2006/relationships/image" Target="../media/image60.png"/><Relationship Id="rId4" Type="http://schemas.openxmlformats.org/officeDocument/2006/relationships/image" Target="../media/image5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23</xdr:row>
          <xdr:rowOff>30480</xdr:rowOff>
        </xdr:from>
        <xdr:to>
          <xdr:col>13</xdr:col>
          <xdr:colOff>144780</xdr:colOff>
          <xdr:row>27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GENERUJ INSTRUKCJĘ!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301758</xdr:colOff>
      <xdr:row>0</xdr:row>
      <xdr:rowOff>81210</xdr:rowOff>
    </xdr:from>
    <xdr:to>
      <xdr:col>1</xdr:col>
      <xdr:colOff>822250</xdr:colOff>
      <xdr:row>2</xdr:row>
      <xdr:rowOff>169381</xdr:rowOff>
    </xdr:to>
    <xdr:pic>
      <xdr:nvPicPr>
        <xdr:cNvPr id="5" name="Picture 4" descr="http://vignette3.wikia.nocookie.net/logopedia/images/f/f3/General_Electric_1942.png/revision/latest?cb=2012081706214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199" y="81210"/>
          <a:ext cx="527477" cy="5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33</xdr:row>
          <xdr:rowOff>30480</xdr:rowOff>
        </xdr:from>
        <xdr:to>
          <xdr:col>10</xdr:col>
          <xdr:colOff>1097280</xdr:colOff>
          <xdr:row>36</xdr:row>
          <xdr:rowOff>7620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TAK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33</xdr:row>
          <xdr:rowOff>7620</xdr:rowOff>
        </xdr:from>
        <xdr:to>
          <xdr:col>13</xdr:col>
          <xdr:colOff>0</xdr:colOff>
          <xdr:row>35</xdr:row>
          <xdr:rowOff>160020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NIE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36</xdr:row>
          <xdr:rowOff>152400</xdr:rowOff>
        </xdr:from>
        <xdr:to>
          <xdr:col>13</xdr:col>
          <xdr:colOff>0</xdr:colOff>
          <xdr:row>39</xdr:row>
          <xdr:rowOff>144780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USUŃ KOMENTARZ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21</xdr:row>
      <xdr:rowOff>0</xdr:rowOff>
    </xdr:from>
    <xdr:to>
      <xdr:col>8</xdr:col>
      <xdr:colOff>471054</xdr:colOff>
      <xdr:row>36</xdr:row>
      <xdr:rowOff>165005</xdr:rowOff>
    </xdr:to>
    <xdr:pic>
      <xdr:nvPicPr>
        <xdr:cNvPr id="7" name="RTBMOV_GRIP_HSTM_WKLESLA_8000">
          <a:extLst>
            <a:ext uri="{FF2B5EF4-FFF2-40B4-BE49-F238E27FC236}">
              <a16:creationId xmlns:a16="http://schemas.microsoft.com/office/drawing/2014/main" id="{E1EFD07D-DACE-4A30-AFCF-8D05ACF1D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27" y="4225636"/>
          <a:ext cx="6400800" cy="27142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1</xdr:row>
          <xdr:rowOff>106680</xdr:rowOff>
        </xdr:from>
        <xdr:to>
          <xdr:col>24</xdr:col>
          <xdr:colOff>83820</xdr:colOff>
          <xdr:row>3</xdr:row>
          <xdr:rowOff>160020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Sprawdz narzędzia na austenit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4</xdr:row>
          <xdr:rowOff>68580</xdr:rowOff>
        </xdr:from>
        <xdr:to>
          <xdr:col>22</xdr:col>
          <xdr:colOff>259080</xdr:colOff>
          <xdr:row>6</xdr:row>
          <xdr:rowOff>144780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Wstaw komentarz wiercenia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342900</xdr:colOff>
          <xdr:row>4</xdr:row>
          <xdr:rowOff>68580</xdr:rowOff>
        </xdr:from>
        <xdr:to>
          <xdr:col>24</xdr:col>
          <xdr:colOff>487680</xdr:colOff>
          <xdr:row>6</xdr:row>
          <xdr:rowOff>160020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Usun komentarz wiercenia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1</xdr:row>
          <xdr:rowOff>30480</xdr:rowOff>
        </xdr:from>
        <xdr:to>
          <xdr:col>6</xdr:col>
          <xdr:colOff>563880</xdr:colOff>
          <xdr:row>3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lstom Black"/>
                </a:rPr>
                <a:t>Drukuj listę narzędzi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lstom Black"/>
                </a:rPr>
                <a:t>(dla operatora i wydawalni)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4</xdr:row>
          <xdr:rowOff>30480</xdr:rowOff>
        </xdr:from>
        <xdr:to>
          <xdr:col>6</xdr:col>
          <xdr:colOff>563880</xdr:colOff>
          <xdr:row>6</xdr:row>
          <xdr:rowOff>121920</xdr:rowOff>
        </xdr:to>
        <xdr:sp macro="" textlink="">
          <xdr:nvSpPr>
            <xdr:cNvPr id="2051" name="Button 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lstom Black"/>
                </a:rPr>
                <a:t>Drukuj listę narzędzi</a:t>
              </a:r>
              <a:r>
                <a:rPr lang="en-US" sz="1400" b="0" i="0" u="none" strike="noStrike" baseline="0">
                  <a:solidFill>
                    <a:srgbClr val="000000"/>
                  </a:solidFill>
                  <a:latin typeface="Alstom Black"/>
                </a:rPr>
                <a:t>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lstom Black"/>
                </a:rPr>
                <a:t>(tylko dla operatora)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8</xdr:row>
          <xdr:rowOff>68580</xdr:rowOff>
        </xdr:from>
        <xdr:to>
          <xdr:col>6</xdr:col>
          <xdr:colOff>601980</xdr:colOff>
          <xdr:row>12</xdr:row>
          <xdr:rowOff>30480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Przygotowanie karty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63022</xdr:colOff>
      <xdr:row>22</xdr:row>
      <xdr:rowOff>39413</xdr:rowOff>
    </xdr:from>
    <xdr:to>
      <xdr:col>3</xdr:col>
      <xdr:colOff>575165</xdr:colOff>
      <xdr:row>33</xdr:row>
      <xdr:rowOff>112699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22" y="3672051"/>
          <a:ext cx="2344884" cy="187975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28576</xdr:colOff>
      <xdr:row>3</xdr:row>
      <xdr:rowOff>142875</xdr:rowOff>
    </xdr:from>
    <xdr:to>
      <xdr:col>3</xdr:col>
      <xdr:colOff>559394</xdr:colOff>
      <xdr:row>18</xdr:row>
      <xdr:rowOff>20763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6" y="638175"/>
          <a:ext cx="2359618" cy="2306763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16</xdr:row>
      <xdr:rowOff>142876</xdr:rowOff>
    </xdr:from>
    <xdr:to>
      <xdr:col>1</xdr:col>
      <xdr:colOff>47625</xdr:colOff>
      <xdr:row>18</xdr:row>
      <xdr:rowOff>142875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CxnSpPr/>
      </xdr:nvCxnSpPr>
      <xdr:spPr>
        <a:xfrm flipH="1" flipV="1">
          <a:off x="647700" y="2743201"/>
          <a:ext cx="9525" cy="323849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180975</xdr:colOff>
      <xdr:row>15</xdr:row>
      <xdr:rowOff>152403</xdr:rowOff>
    </xdr:from>
    <xdr:to>
      <xdr:col>0</xdr:col>
      <xdr:colOff>381000</xdr:colOff>
      <xdr:row>19</xdr:row>
      <xdr:rowOff>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 flipV="1">
          <a:off x="180975" y="2590803"/>
          <a:ext cx="200025" cy="495297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341586</xdr:colOff>
      <xdr:row>31</xdr:row>
      <xdr:rowOff>52552</xdr:rowOff>
    </xdr:from>
    <xdr:to>
      <xdr:col>1</xdr:col>
      <xdr:colOff>11906</xdr:colOff>
      <xdr:row>34</xdr:row>
      <xdr:rowOff>166687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/>
      </xdr:nvCxnSpPr>
      <xdr:spPr>
        <a:xfrm flipH="1" flipV="1">
          <a:off x="341586" y="5163207"/>
          <a:ext cx="281234" cy="606808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525517</xdr:colOff>
      <xdr:row>32</xdr:row>
      <xdr:rowOff>157655</xdr:rowOff>
    </xdr:from>
    <xdr:to>
      <xdr:col>2</xdr:col>
      <xdr:colOff>23813</xdr:colOff>
      <xdr:row>34</xdr:row>
      <xdr:rowOff>142875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CxnSpPr/>
      </xdr:nvCxnSpPr>
      <xdr:spPr>
        <a:xfrm flipH="1" flipV="1">
          <a:off x="525517" y="5432534"/>
          <a:ext cx="720124" cy="313669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95250</xdr:colOff>
      <xdr:row>29</xdr:row>
      <xdr:rowOff>142875</xdr:rowOff>
    </xdr:from>
    <xdr:to>
      <xdr:col>0</xdr:col>
      <xdr:colOff>261939</xdr:colOff>
      <xdr:row>34</xdr:row>
      <xdr:rowOff>136921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>
        <a:xfrm flipV="1">
          <a:off x="95250" y="4925082"/>
          <a:ext cx="166689" cy="815167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155960</xdr:colOff>
      <xdr:row>0</xdr:row>
      <xdr:rowOff>79550</xdr:rowOff>
    </xdr:from>
    <xdr:to>
      <xdr:col>0</xdr:col>
      <xdr:colOff>564994</xdr:colOff>
      <xdr:row>2</xdr:row>
      <xdr:rowOff>140800</xdr:rowOff>
    </xdr:to>
    <xdr:pic>
      <xdr:nvPicPr>
        <xdr:cNvPr id="43" name="Picture 42" descr="http://vignette3.wikia.nocookie.net/logopedia/images/f/f3/General_Electric_1942.png/revision/latest?cb=2012081706214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960" y="79550"/>
          <a:ext cx="409034" cy="387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456009</xdr:colOff>
      <xdr:row>14</xdr:row>
      <xdr:rowOff>98822</xdr:rowOff>
    </xdr:from>
    <xdr:ext cx="600357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1065609" y="2375297"/>
          <a:ext cx="6003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WYLOT</a:t>
          </a:r>
        </a:p>
      </xdr:txBody>
    </xdr:sp>
    <xdr:clientData/>
  </xdr:oneCellAnchor>
  <xdr:oneCellAnchor>
    <xdr:from>
      <xdr:col>2</xdr:col>
      <xdr:colOff>286941</xdr:colOff>
      <xdr:row>29</xdr:row>
      <xdr:rowOff>90488</xdr:rowOff>
    </xdr:from>
    <xdr:ext cx="600357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1501379" y="4787504"/>
          <a:ext cx="6003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WYLOT</a:t>
          </a:r>
        </a:p>
      </xdr:txBody>
    </xdr:sp>
    <xdr:clientData/>
  </xdr:oneCellAnchor>
  <xdr:twoCellAnchor editAs="oneCell">
    <xdr:from>
      <xdr:col>4</xdr:col>
      <xdr:colOff>142875</xdr:colOff>
      <xdr:row>3</xdr:row>
      <xdr:rowOff>153244</xdr:rowOff>
    </xdr:from>
    <xdr:to>
      <xdr:col>8</xdr:col>
      <xdr:colOff>166687</xdr:colOff>
      <xdr:row>17</xdr:row>
      <xdr:rowOff>154782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71750" y="647353"/>
          <a:ext cx="2452687" cy="2251820"/>
        </a:xfrm>
        <a:prstGeom prst="rect">
          <a:avLst/>
        </a:prstGeom>
      </xdr:spPr>
    </xdr:pic>
    <xdr:clientData/>
  </xdr:twoCellAnchor>
  <xdr:twoCellAnchor>
    <xdr:from>
      <xdr:col>4</xdr:col>
      <xdr:colOff>546497</xdr:colOff>
      <xdr:row>17</xdr:row>
      <xdr:rowOff>22623</xdr:rowOff>
    </xdr:from>
    <xdr:to>
      <xdr:col>5</xdr:col>
      <xdr:colOff>196453</xdr:colOff>
      <xdr:row>18</xdr:row>
      <xdr:rowOff>142875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H="1" flipV="1">
          <a:off x="2975372" y="2767014"/>
          <a:ext cx="257175" cy="280986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154781</xdr:colOff>
      <xdr:row>14</xdr:row>
      <xdr:rowOff>107157</xdr:rowOff>
    </xdr:from>
    <xdr:to>
      <xdr:col>4</xdr:col>
      <xdr:colOff>375049</xdr:colOff>
      <xdr:row>18</xdr:row>
      <xdr:rowOff>160734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 flipV="1">
          <a:off x="2583656" y="2369345"/>
          <a:ext cx="220268" cy="696514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511969</xdr:colOff>
      <xdr:row>14</xdr:row>
      <xdr:rowOff>59531</xdr:rowOff>
    </xdr:from>
    <xdr:ext cx="600357" cy="26456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3548063" y="2321719"/>
          <a:ext cx="6003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WYLOT</a:t>
          </a:r>
        </a:p>
      </xdr:txBody>
    </xdr:sp>
    <xdr:clientData/>
  </xdr:oneCellAnchor>
  <xdr:twoCellAnchor editAs="oneCell">
    <xdr:from>
      <xdr:col>4</xdr:col>
      <xdr:colOff>558559</xdr:colOff>
      <xdr:row>22</xdr:row>
      <xdr:rowOff>105103</xdr:rowOff>
    </xdr:from>
    <xdr:to>
      <xdr:col>8</xdr:col>
      <xdr:colOff>440195</xdr:colOff>
      <xdr:row>33</xdr:row>
      <xdr:rowOff>112833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2214" y="3737741"/>
          <a:ext cx="2325291" cy="1814195"/>
        </a:xfrm>
        <a:prstGeom prst="rect">
          <a:avLst/>
        </a:prstGeom>
      </xdr:spPr>
    </xdr:pic>
    <xdr:clientData/>
  </xdr:twoCellAnchor>
  <xdr:twoCellAnchor>
    <xdr:from>
      <xdr:col>4</xdr:col>
      <xdr:colOff>142547</xdr:colOff>
      <xdr:row>30</xdr:row>
      <xdr:rowOff>85397</xdr:rowOff>
    </xdr:from>
    <xdr:to>
      <xdr:col>5</xdr:col>
      <xdr:colOff>105103</xdr:colOff>
      <xdr:row>34</xdr:row>
      <xdr:rowOff>164512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 flipV="1">
          <a:off x="2586202" y="5031828"/>
          <a:ext cx="573470" cy="736012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111755</xdr:colOff>
      <xdr:row>31</xdr:row>
      <xdr:rowOff>98535</xdr:rowOff>
    </xdr:from>
    <xdr:to>
      <xdr:col>5</xdr:col>
      <xdr:colOff>137948</xdr:colOff>
      <xdr:row>34</xdr:row>
      <xdr:rowOff>161432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 flipV="1">
          <a:off x="3166324" y="5209190"/>
          <a:ext cx="26193" cy="555570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231227</xdr:colOff>
      <xdr:row>32</xdr:row>
      <xdr:rowOff>152400</xdr:rowOff>
    </xdr:from>
    <xdr:to>
      <xdr:col>6</xdr:col>
      <xdr:colOff>78827</xdr:colOff>
      <xdr:row>34</xdr:row>
      <xdr:rowOff>144517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H="1" flipV="1">
          <a:off x="3285796" y="5427279"/>
          <a:ext cx="458514" cy="320566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318965</xdr:colOff>
      <xdr:row>30</xdr:row>
      <xdr:rowOff>64418</xdr:rowOff>
    </xdr:from>
    <xdr:ext cx="600357" cy="26456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3984448" y="5010849"/>
          <a:ext cx="6003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WYLOT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4</xdr:row>
      <xdr:rowOff>28576</xdr:rowOff>
    </xdr:from>
    <xdr:to>
      <xdr:col>3</xdr:col>
      <xdr:colOff>293558</xdr:colOff>
      <xdr:row>19</xdr:row>
      <xdr:rowOff>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1" y="190501"/>
          <a:ext cx="2046157" cy="2400300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16</xdr:row>
      <xdr:rowOff>142876</xdr:rowOff>
    </xdr:from>
    <xdr:to>
      <xdr:col>1</xdr:col>
      <xdr:colOff>47625</xdr:colOff>
      <xdr:row>18</xdr:row>
      <xdr:rowOff>142875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 flipH="1" flipV="1">
          <a:off x="647700" y="2247901"/>
          <a:ext cx="9525" cy="323849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180975</xdr:colOff>
      <xdr:row>15</xdr:row>
      <xdr:rowOff>152403</xdr:rowOff>
    </xdr:from>
    <xdr:to>
      <xdr:col>0</xdr:col>
      <xdr:colOff>381000</xdr:colOff>
      <xdr:row>19</xdr:row>
      <xdr:rowOff>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 flipV="1">
          <a:off x="180975" y="2095503"/>
          <a:ext cx="200025" cy="495297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9526</xdr:colOff>
      <xdr:row>4</xdr:row>
      <xdr:rowOff>28576</xdr:rowOff>
    </xdr:from>
    <xdr:to>
      <xdr:col>8</xdr:col>
      <xdr:colOff>205106</xdr:colOff>
      <xdr:row>18</xdr:row>
      <xdr:rowOff>85728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38401" y="683420"/>
          <a:ext cx="2624455" cy="2307433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16</xdr:row>
      <xdr:rowOff>142878</xdr:rowOff>
    </xdr:from>
    <xdr:to>
      <xdr:col>6</xdr:col>
      <xdr:colOff>98534</xdr:colOff>
      <xdr:row>18</xdr:row>
      <xdr:rowOff>157655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CxnSpPr/>
      </xdr:nvCxnSpPr>
      <xdr:spPr>
        <a:xfrm flipH="1" flipV="1">
          <a:off x="3149819" y="2277792"/>
          <a:ext cx="614198" cy="343225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522890</xdr:colOff>
      <xdr:row>16</xdr:row>
      <xdr:rowOff>152402</xdr:rowOff>
    </xdr:from>
    <xdr:to>
      <xdr:col>5</xdr:col>
      <xdr:colOff>78828</xdr:colOff>
      <xdr:row>19</xdr:row>
      <xdr:rowOff>0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CxnSpPr/>
      </xdr:nvCxnSpPr>
      <xdr:spPr>
        <a:xfrm flipH="1" flipV="1">
          <a:off x="2966545" y="2287316"/>
          <a:ext cx="166852" cy="340270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197069</xdr:colOff>
      <xdr:row>16</xdr:row>
      <xdr:rowOff>13139</xdr:rowOff>
    </xdr:from>
    <xdr:to>
      <xdr:col>4</xdr:col>
      <xdr:colOff>223345</xdr:colOff>
      <xdr:row>18</xdr:row>
      <xdr:rowOff>137948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CxnSpPr/>
      </xdr:nvCxnSpPr>
      <xdr:spPr>
        <a:xfrm flipV="1">
          <a:off x="2640724" y="2148053"/>
          <a:ext cx="26276" cy="453257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23814</xdr:colOff>
      <xdr:row>22</xdr:row>
      <xdr:rowOff>11906</xdr:rowOff>
    </xdr:from>
    <xdr:to>
      <xdr:col>4</xdr:col>
      <xdr:colOff>305723</xdr:colOff>
      <xdr:row>31</xdr:row>
      <xdr:rowOff>47626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4" y="3065859"/>
          <a:ext cx="2710784" cy="1482328"/>
        </a:xfrm>
        <a:prstGeom prst="rect">
          <a:avLst/>
        </a:prstGeom>
      </xdr:spPr>
    </xdr:pic>
    <xdr:clientData/>
  </xdr:twoCellAnchor>
  <xdr:twoCellAnchor>
    <xdr:from>
      <xdr:col>0</xdr:col>
      <xdr:colOff>534591</xdr:colOff>
      <xdr:row>29</xdr:row>
      <xdr:rowOff>104776</xdr:rowOff>
    </xdr:from>
    <xdr:to>
      <xdr:col>1</xdr:col>
      <xdr:colOff>83343</xdr:colOff>
      <xdr:row>31</xdr:row>
      <xdr:rowOff>142874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CxnSpPr/>
      </xdr:nvCxnSpPr>
      <xdr:spPr>
        <a:xfrm flipH="1" flipV="1">
          <a:off x="534591" y="4283870"/>
          <a:ext cx="155971" cy="359567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204788</xdr:colOff>
      <xdr:row>29</xdr:row>
      <xdr:rowOff>84536</xdr:rowOff>
    </xdr:from>
    <xdr:to>
      <xdr:col>2</xdr:col>
      <xdr:colOff>125015</xdr:colOff>
      <xdr:row>31</xdr:row>
      <xdr:rowOff>154781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/>
      </xdr:nvCxnSpPr>
      <xdr:spPr>
        <a:xfrm flipH="1" flipV="1">
          <a:off x="812007" y="4263630"/>
          <a:ext cx="527446" cy="391714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136922</xdr:colOff>
      <xdr:row>29</xdr:row>
      <xdr:rowOff>5953</xdr:rowOff>
    </xdr:from>
    <xdr:to>
      <xdr:col>0</xdr:col>
      <xdr:colOff>267892</xdr:colOff>
      <xdr:row>32</xdr:row>
      <xdr:rowOff>5953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CxnSpPr/>
      </xdr:nvCxnSpPr>
      <xdr:spPr>
        <a:xfrm flipV="1">
          <a:off x="136922" y="4185047"/>
          <a:ext cx="130970" cy="482203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87924</xdr:colOff>
      <xdr:row>0</xdr:row>
      <xdr:rowOff>65943</xdr:rowOff>
    </xdr:from>
    <xdr:to>
      <xdr:col>0</xdr:col>
      <xdr:colOff>496958</xdr:colOff>
      <xdr:row>2</xdr:row>
      <xdr:rowOff>127193</xdr:rowOff>
    </xdr:to>
    <xdr:pic>
      <xdr:nvPicPr>
        <xdr:cNvPr id="38" name="Picture 37" descr="http://vignette3.wikia.nocookie.net/logopedia/images/f/f3/General_Electric_1942.png/revision/latest?cb=20120817062141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24" y="65943"/>
          <a:ext cx="409034" cy="382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6</xdr:col>
      <xdr:colOff>220265</xdr:colOff>
      <xdr:row>14</xdr:row>
      <xdr:rowOff>107156</xdr:rowOff>
    </xdr:from>
    <xdr:ext cx="600357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3863578" y="2369344"/>
          <a:ext cx="6003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WYLOT</a:t>
          </a:r>
        </a:p>
      </xdr:txBody>
    </xdr:sp>
    <xdr:clientData/>
  </xdr:oneCellAnchor>
  <xdr:oneCellAnchor>
    <xdr:from>
      <xdr:col>1</xdr:col>
      <xdr:colOff>456009</xdr:colOff>
      <xdr:row>14</xdr:row>
      <xdr:rowOff>98822</xdr:rowOff>
    </xdr:from>
    <xdr:ext cx="600357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1063228" y="2361010"/>
          <a:ext cx="6003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WYLOT</a:t>
          </a:r>
        </a:p>
      </xdr:txBody>
    </xdr:sp>
    <xdr:clientData/>
  </xdr:oneCellAnchor>
  <xdr:oneCellAnchor>
    <xdr:from>
      <xdr:col>2</xdr:col>
      <xdr:colOff>298847</xdr:colOff>
      <xdr:row>28</xdr:row>
      <xdr:rowOff>72629</xdr:rowOff>
    </xdr:from>
    <xdr:ext cx="600357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1513285" y="4608910"/>
          <a:ext cx="6003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WYLOT</a:t>
          </a:r>
        </a:p>
      </xdr:txBody>
    </xdr:sp>
    <xdr:clientData/>
  </xdr:oneCellAnchor>
  <xdr:twoCellAnchor editAs="oneCell">
    <xdr:from>
      <xdr:col>5</xdr:col>
      <xdr:colOff>52553</xdr:colOff>
      <xdr:row>21</xdr:row>
      <xdr:rowOff>151086</xdr:rowOff>
    </xdr:from>
    <xdr:to>
      <xdr:col>8</xdr:col>
      <xdr:colOff>521108</xdr:colOff>
      <xdr:row>31</xdr:row>
      <xdr:rowOff>160217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07122" y="3619500"/>
          <a:ext cx="2301296" cy="1651372"/>
        </a:xfrm>
        <a:prstGeom prst="rect">
          <a:avLst/>
        </a:prstGeom>
      </xdr:spPr>
    </xdr:pic>
    <xdr:clientData/>
  </xdr:twoCellAnchor>
  <xdr:oneCellAnchor>
    <xdr:from>
      <xdr:col>6</xdr:col>
      <xdr:colOff>235538</xdr:colOff>
      <xdr:row>29</xdr:row>
      <xdr:rowOff>153838</xdr:rowOff>
    </xdr:from>
    <xdr:ext cx="600357" cy="26456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/>
      </xdr:nvSpPr>
      <xdr:spPr>
        <a:xfrm>
          <a:off x="3901021" y="4936045"/>
          <a:ext cx="6003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WYLOT</a:t>
          </a:r>
        </a:p>
      </xdr:txBody>
    </xdr:sp>
    <xdr:clientData/>
  </xdr:oneCellAnchor>
  <xdr:twoCellAnchor>
    <xdr:from>
      <xdr:col>5</xdr:col>
      <xdr:colOff>366548</xdr:colOff>
      <xdr:row>31</xdr:row>
      <xdr:rowOff>43027</xdr:rowOff>
    </xdr:from>
    <xdr:to>
      <xdr:col>6</xdr:col>
      <xdr:colOff>105103</xdr:colOff>
      <xdr:row>32</xdr:row>
      <xdr:rowOff>144518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CxnSpPr/>
      </xdr:nvCxnSpPr>
      <xdr:spPr>
        <a:xfrm flipH="1" flipV="1">
          <a:off x="3421117" y="5153682"/>
          <a:ext cx="349469" cy="265715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85397</xdr:colOff>
      <xdr:row>29</xdr:row>
      <xdr:rowOff>6570</xdr:rowOff>
    </xdr:from>
    <xdr:to>
      <xdr:col>5</xdr:col>
      <xdr:colOff>256190</xdr:colOff>
      <xdr:row>32</xdr:row>
      <xdr:rowOff>164224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CxnSpPr/>
      </xdr:nvCxnSpPr>
      <xdr:spPr>
        <a:xfrm flipV="1">
          <a:off x="3139966" y="4788777"/>
          <a:ext cx="170793" cy="650326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280147</xdr:colOff>
      <xdr:row>9</xdr:row>
      <xdr:rowOff>134471</xdr:rowOff>
    </xdr:from>
    <xdr:to>
      <xdr:col>7</xdr:col>
      <xdr:colOff>437374</xdr:colOff>
      <xdr:row>35</xdr:row>
      <xdr:rowOff>45808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0147" y="1546412"/>
          <a:ext cx="4393051" cy="3990278"/>
        </a:xfrm>
        <a:prstGeom prst="rect">
          <a:avLst/>
        </a:prstGeom>
      </xdr:spPr>
    </xdr:pic>
    <xdr:clientData/>
  </xdr:twoCellAnchor>
  <xdr:twoCellAnchor editAs="oneCell">
    <xdr:from>
      <xdr:col>0</xdr:col>
      <xdr:colOff>179092</xdr:colOff>
      <xdr:row>0</xdr:row>
      <xdr:rowOff>73752</xdr:rowOff>
    </xdr:from>
    <xdr:to>
      <xdr:col>0</xdr:col>
      <xdr:colOff>585997</xdr:colOff>
      <xdr:row>2</xdr:row>
      <xdr:rowOff>129676</xdr:rowOff>
    </xdr:to>
    <xdr:pic>
      <xdr:nvPicPr>
        <xdr:cNvPr id="9" name="Picture 8" descr="http://vignette3.wikia.nocookie.net/logopedia/images/f/f3/General_Electric_1942.png/revision/latest?cb=2012081706214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092" y="73752"/>
          <a:ext cx="406905" cy="387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422391</xdr:colOff>
      <xdr:row>12</xdr:row>
      <xdr:rowOff>20381</xdr:rowOff>
    </xdr:from>
    <xdr:ext cx="610680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027509" y="1902969"/>
          <a:ext cx="6106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 b="1"/>
            <a:t>WYLOT</a:t>
          </a:r>
        </a:p>
      </xdr:txBody>
    </xdr:sp>
    <xdr:clientData/>
  </xdr:oneCellAnchor>
  <xdr:twoCellAnchor>
    <xdr:from>
      <xdr:col>6</xdr:col>
      <xdr:colOff>434439</xdr:colOff>
      <xdr:row>16</xdr:row>
      <xdr:rowOff>89859</xdr:rowOff>
    </xdr:from>
    <xdr:to>
      <xdr:col>7</xdr:col>
      <xdr:colOff>560294</xdr:colOff>
      <xdr:row>16</xdr:row>
      <xdr:rowOff>100853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/>
      </xdr:nvCxnSpPr>
      <xdr:spPr>
        <a:xfrm flipH="1" flipV="1">
          <a:off x="4065145" y="2599977"/>
          <a:ext cx="730973" cy="10994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94902</xdr:colOff>
      <xdr:row>27</xdr:row>
      <xdr:rowOff>6305</xdr:rowOff>
    </xdr:from>
    <xdr:to>
      <xdr:col>7</xdr:col>
      <xdr:colOff>493058</xdr:colOff>
      <xdr:row>29</xdr:row>
      <xdr:rowOff>89647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/>
      </xdr:nvCxnSpPr>
      <xdr:spPr>
        <a:xfrm flipH="1" flipV="1">
          <a:off x="3725608" y="4242129"/>
          <a:ext cx="1003274" cy="397106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299056</xdr:colOff>
      <xdr:row>27</xdr:row>
      <xdr:rowOff>115560</xdr:rowOff>
    </xdr:from>
    <xdr:ext cx="53739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299056" y="4351384"/>
          <a:ext cx="5373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 b="1"/>
            <a:t>WLOT</a:t>
          </a:r>
        </a:p>
      </xdr:txBody>
    </xdr:sp>
    <xdr:clientData/>
  </xdr:oneCellAnchor>
  <xdr:twoCellAnchor>
    <xdr:from>
      <xdr:col>5</xdr:col>
      <xdr:colOff>542017</xdr:colOff>
      <xdr:row>20</xdr:row>
      <xdr:rowOff>141406</xdr:rowOff>
    </xdr:from>
    <xdr:to>
      <xdr:col>7</xdr:col>
      <xdr:colOff>504264</xdr:colOff>
      <xdr:row>21</xdr:row>
      <xdr:rowOff>78442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/>
      </xdr:nvCxnSpPr>
      <xdr:spPr>
        <a:xfrm flipH="1" flipV="1">
          <a:off x="3567605" y="3279053"/>
          <a:ext cx="1172483" cy="93918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209550</xdr:colOff>
      <xdr:row>0</xdr:row>
      <xdr:rowOff>104775</xdr:rowOff>
    </xdr:from>
    <xdr:to>
      <xdr:col>16</xdr:col>
      <xdr:colOff>514350</xdr:colOff>
      <xdr:row>16</xdr:row>
      <xdr:rowOff>136777</xdr:rowOff>
    </xdr:to>
    <xdr:pic>
      <xdr:nvPicPr>
        <xdr:cNvPr id="9" name="ITBMOV_GRIP_HSTM_WYPUKLA_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104775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1</xdr:row>
      <xdr:rowOff>129941</xdr:rowOff>
    </xdr:from>
    <xdr:to>
      <xdr:col>16</xdr:col>
      <xdr:colOff>514350</xdr:colOff>
      <xdr:row>18</xdr:row>
      <xdr:rowOff>7283</xdr:rowOff>
    </xdr:to>
    <xdr:pic>
      <xdr:nvPicPr>
        <xdr:cNvPr id="11" name="ITBMOV_GRIP_HURON_WYPUKLA_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291866"/>
          <a:ext cx="6400800" cy="2630067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3</xdr:row>
      <xdr:rowOff>447</xdr:rowOff>
    </xdr:from>
    <xdr:to>
      <xdr:col>16</xdr:col>
      <xdr:colOff>514350</xdr:colOff>
      <xdr:row>19</xdr:row>
      <xdr:rowOff>32449</xdr:rowOff>
    </xdr:to>
    <xdr:pic>
      <xdr:nvPicPr>
        <xdr:cNvPr id="13" name="ITBMOV_GRIP_HX_WYPUKLA_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486222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4</xdr:row>
      <xdr:rowOff>25613</xdr:rowOff>
    </xdr:from>
    <xdr:to>
      <xdr:col>16</xdr:col>
      <xdr:colOff>514350</xdr:colOff>
      <xdr:row>20</xdr:row>
      <xdr:rowOff>57615</xdr:rowOff>
    </xdr:to>
    <xdr:pic>
      <xdr:nvPicPr>
        <xdr:cNvPr id="15" name="RTBFIX_2XGRIP_HSTM_WKLESLA_8000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673313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5</xdr:row>
      <xdr:rowOff>50779</xdr:rowOff>
    </xdr:from>
    <xdr:to>
      <xdr:col>16</xdr:col>
      <xdr:colOff>514350</xdr:colOff>
      <xdr:row>21</xdr:row>
      <xdr:rowOff>82781</xdr:rowOff>
    </xdr:to>
    <xdr:pic>
      <xdr:nvPicPr>
        <xdr:cNvPr id="17" name="RTBFIX_2XGRIP_HSTM_WYPUKLA_9000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860404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6</xdr:row>
      <xdr:rowOff>75945</xdr:rowOff>
    </xdr:from>
    <xdr:to>
      <xdr:col>16</xdr:col>
      <xdr:colOff>514350</xdr:colOff>
      <xdr:row>22</xdr:row>
      <xdr:rowOff>107947</xdr:rowOff>
    </xdr:to>
    <xdr:pic>
      <xdr:nvPicPr>
        <xdr:cNvPr id="19" name="RTBFIX_2XGRIP_HURON_WKLESLA_8000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1047495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7</xdr:row>
      <xdr:rowOff>101111</xdr:rowOff>
    </xdr:from>
    <xdr:to>
      <xdr:col>16</xdr:col>
      <xdr:colOff>514350</xdr:colOff>
      <xdr:row>23</xdr:row>
      <xdr:rowOff>133113</xdr:rowOff>
    </xdr:to>
    <xdr:pic>
      <xdr:nvPicPr>
        <xdr:cNvPr id="40" name="RTBFIX_2XGRIP_HURON_WYPUKLA_9000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1234586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8</xdr:row>
      <xdr:rowOff>126277</xdr:rowOff>
    </xdr:from>
    <xdr:to>
      <xdr:col>16</xdr:col>
      <xdr:colOff>514350</xdr:colOff>
      <xdr:row>24</xdr:row>
      <xdr:rowOff>158279</xdr:rowOff>
    </xdr:to>
    <xdr:pic>
      <xdr:nvPicPr>
        <xdr:cNvPr id="45" name="RTBFIX_2XGRIP_HX_WKLESLA_8000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1421677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9</xdr:row>
      <xdr:rowOff>151443</xdr:rowOff>
    </xdr:from>
    <xdr:to>
      <xdr:col>16</xdr:col>
      <xdr:colOff>514350</xdr:colOff>
      <xdr:row>26</xdr:row>
      <xdr:rowOff>21520</xdr:rowOff>
    </xdr:to>
    <xdr:pic>
      <xdr:nvPicPr>
        <xdr:cNvPr id="49" name="RTBFIX_2XGRIP_HX_WYPUKLA_9000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1608768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11</xdr:row>
      <xdr:rowOff>14684</xdr:rowOff>
    </xdr:from>
    <xdr:to>
      <xdr:col>16</xdr:col>
      <xdr:colOff>514350</xdr:colOff>
      <xdr:row>27</xdr:row>
      <xdr:rowOff>53951</xdr:rowOff>
    </xdr:to>
    <xdr:pic>
      <xdr:nvPicPr>
        <xdr:cNvPr id="53" name="RTBFIX_GRIP_HSTM_WKLESLA_8000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1795859"/>
          <a:ext cx="6400800" cy="2630067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12</xdr:row>
      <xdr:rowOff>47115</xdr:rowOff>
    </xdr:from>
    <xdr:to>
      <xdr:col>16</xdr:col>
      <xdr:colOff>514350</xdr:colOff>
      <xdr:row>28</xdr:row>
      <xdr:rowOff>86382</xdr:rowOff>
    </xdr:to>
    <xdr:pic>
      <xdr:nvPicPr>
        <xdr:cNvPr id="57" name="RTBFIX_GRIP_HSTM_WYPUKLA_9000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1990215"/>
          <a:ext cx="6400800" cy="2630067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13</xdr:row>
      <xdr:rowOff>79546</xdr:rowOff>
    </xdr:from>
    <xdr:to>
      <xdr:col>16</xdr:col>
      <xdr:colOff>514350</xdr:colOff>
      <xdr:row>29</xdr:row>
      <xdr:rowOff>118813</xdr:rowOff>
    </xdr:to>
    <xdr:pic>
      <xdr:nvPicPr>
        <xdr:cNvPr id="61" name="RTBFIX_GRIP_HURON_WKLESLA_800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2184571"/>
          <a:ext cx="6400800" cy="2630067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14</xdr:row>
      <xdr:rowOff>111977</xdr:rowOff>
    </xdr:from>
    <xdr:to>
      <xdr:col>16</xdr:col>
      <xdr:colOff>514350</xdr:colOff>
      <xdr:row>30</xdr:row>
      <xdr:rowOff>143979</xdr:rowOff>
    </xdr:to>
    <xdr:pic>
      <xdr:nvPicPr>
        <xdr:cNvPr id="65" name="RTBFIX_GRIP_HURON_WYPUKLA_9000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2378927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15</xdr:row>
      <xdr:rowOff>137143</xdr:rowOff>
    </xdr:from>
    <xdr:to>
      <xdr:col>16</xdr:col>
      <xdr:colOff>514350</xdr:colOff>
      <xdr:row>32</xdr:row>
      <xdr:rowOff>14485</xdr:rowOff>
    </xdr:to>
    <xdr:pic>
      <xdr:nvPicPr>
        <xdr:cNvPr id="69" name="RTBFIX_GRIP_HX_WKLESLA_8000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2566018"/>
          <a:ext cx="6400800" cy="2630067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17</xdr:row>
      <xdr:rowOff>7649</xdr:rowOff>
    </xdr:from>
    <xdr:to>
      <xdr:col>16</xdr:col>
      <xdr:colOff>514350</xdr:colOff>
      <xdr:row>33</xdr:row>
      <xdr:rowOff>39651</xdr:rowOff>
    </xdr:to>
    <xdr:pic>
      <xdr:nvPicPr>
        <xdr:cNvPr id="73" name="RTBFIX_GRIP_HX_WYPUKLA_9000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2760374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18</xdr:row>
      <xdr:rowOff>32815</xdr:rowOff>
    </xdr:from>
    <xdr:to>
      <xdr:col>16</xdr:col>
      <xdr:colOff>514350</xdr:colOff>
      <xdr:row>34</xdr:row>
      <xdr:rowOff>64817</xdr:rowOff>
    </xdr:to>
    <xdr:pic>
      <xdr:nvPicPr>
        <xdr:cNvPr id="76" name="RTBFIX_ZAB_HSTM_WKLESLA_8000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2947465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19</xdr:row>
      <xdr:rowOff>57981</xdr:rowOff>
    </xdr:from>
    <xdr:to>
      <xdr:col>16</xdr:col>
      <xdr:colOff>514350</xdr:colOff>
      <xdr:row>35</xdr:row>
      <xdr:rowOff>97248</xdr:rowOff>
    </xdr:to>
    <xdr:pic>
      <xdr:nvPicPr>
        <xdr:cNvPr id="78" name="RTBFIX_ZAB_HSTM_WYPUKLA_9000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3134556"/>
          <a:ext cx="6400800" cy="2630067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20</xdr:row>
      <xdr:rowOff>90412</xdr:rowOff>
    </xdr:from>
    <xdr:to>
      <xdr:col>16</xdr:col>
      <xdr:colOff>514350</xdr:colOff>
      <xdr:row>36</xdr:row>
      <xdr:rowOff>122414</xdr:rowOff>
    </xdr:to>
    <xdr:pic>
      <xdr:nvPicPr>
        <xdr:cNvPr id="131" name="RTBFIX_ZAB_HURON_WKLESLA_8000">
          <a:extLst>
            <a:ext uri="{FF2B5EF4-FFF2-40B4-BE49-F238E27FC236}">
              <a16:creationId xmlns:a16="http://schemas.microsoft.com/office/drawing/2014/main" id="{00000000-0008-0000-0C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3328912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21</xdr:row>
      <xdr:rowOff>115578</xdr:rowOff>
    </xdr:from>
    <xdr:to>
      <xdr:col>16</xdr:col>
      <xdr:colOff>514350</xdr:colOff>
      <xdr:row>37</xdr:row>
      <xdr:rowOff>154845</xdr:rowOff>
    </xdr:to>
    <xdr:pic>
      <xdr:nvPicPr>
        <xdr:cNvPr id="82" name="RTBFIX_ZAB_HURON_WYPUKLA_9000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3516003"/>
          <a:ext cx="6400800" cy="2630067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22</xdr:row>
      <xdr:rowOff>148009</xdr:rowOff>
    </xdr:from>
    <xdr:to>
      <xdr:col>16</xdr:col>
      <xdr:colOff>514350</xdr:colOff>
      <xdr:row>39</xdr:row>
      <xdr:rowOff>18086</xdr:rowOff>
    </xdr:to>
    <xdr:pic>
      <xdr:nvPicPr>
        <xdr:cNvPr id="84" name="RTBFIX_ZAB_HX_WKLESLA_8000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3710359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24</xdr:row>
      <xdr:rowOff>11250</xdr:rowOff>
    </xdr:from>
    <xdr:to>
      <xdr:col>16</xdr:col>
      <xdr:colOff>514350</xdr:colOff>
      <xdr:row>40</xdr:row>
      <xdr:rowOff>43252</xdr:rowOff>
    </xdr:to>
    <xdr:pic>
      <xdr:nvPicPr>
        <xdr:cNvPr id="86" name="RTBFIX_ZAB_HX_WYPUKLA_9000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3897450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25</xdr:row>
      <xdr:rowOff>36416</xdr:rowOff>
    </xdr:from>
    <xdr:to>
      <xdr:col>16</xdr:col>
      <xdr:colOff>514350</xdr:colOff>
      <xdr:row>41</xdr:row>
      <xdr:rowOff>68418</xdr:rowOff>
    </xdr:to>
    <xdr:pic>
      <xdr:nvPicPr>
        <xdr:cNvPr id="88" name="RTBMOV_2XGRIP_HSTM_WKLESLA_8000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4084541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26</xdr:row>
      <xdr:rowOff>61582</xdr:rowOff>
    </xdr:from>
    <xdr:to>
      <xdr:col>16</xdr:col>
      <xdr:colOff>514350</xdr:colOff>
      <xdr:row>42</xdr:row>
      <xdr:rowOff>100849</xdr:rowOff>
    </xdr:to>
    <xdr:pic>
      <xdr:nvPicPr>
        <xdr:cNvPr id="90" name="RTBMOV_2XGRIP_HSTM_WKLESLA_9000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4271632"/>
          <a:ext cx="6400800" cy="2630067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27</xdr:row>
      <xdr:rowOff>94013</xdr:rowOff>
    </xdr:from>
    <xdr:to>
      <xdr:col>16</xdr:col>
      <xdr:colOff>514350</xdr:colOff>
      <xdr:row>43</xdr:row>
      <xdr:rowOff>126372</xdr:rowOff>
    </xdr:to>
    <xdr:pic>
      <xdr:nvPicPr>
        <xdr:cNvPr id="92" name="RTBMOV_2XGRIP_HURON_WKLESLA_8000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4465988"/>
          <a:ext cx="6400800" cy="2623159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28</xdr:row>
      <xdr:rowOff>119536</xdr:rowOff>
    </xdr:from>
    <xdr:to>
      <xdr:col>16</xdr:col>
      <xdr:colOff>514350</xdr:colOff>
      <xdr:row>44</xdr:row>
      <xdr:rowOff>158803</xdr:rowOff>
    </xdr:to>
    <xdr:pic>
      <xdr:nvPicPr>
        <xdr:cNvPr id="94" name="RTBMOV_2XGRIP_HURON_WKLESLA_9000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4653436"/>
          <a:ext cx="6400800" cy="2630067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29</xdr:row>
      <xdr:rowOff>151967</xdr:rowOff>
    </xdr:from>
    <xdr:to>
      <xdr:col>16</xdr:col>
      <xdr:colOff>514350</xdr:colOff>
      <xdr:row>46</xdr:row>
      <xdr:rowOff>22044</xdr:rowOff>
    </xdr:to>
    <xdr:pic>
      <xdr:nvPicPr>
        <xdr:cNvPr id="96" name="RTBMOV_2XGRIP_HX_WKLESLA_8000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4847792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31</xdr:row>
      <xdr:rowOff>15208</xdr:rowOff>
    </xdr:from>
    <xdr:to>
      <xdr:col>16</xdr:col>
      <xdr:colOff>514350</xdr:colOff>
      <xdr:row>47</xdr:row>
      <xdr:rowOff>47210</xdr:rowOff>
    </xdr:to>
    <xdr:pic>
      <xdr:nvPicPr>
        <xdr:cNvPr id="98" name="RTBMOV_2XGRIP_HX_WKLESLA_9000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5034883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32</xdr:row>
      <xdr:rowOff>40374</xdr:rowOff>
    </xdr:from>
    <xdr:to>
      <xdr:col>16</xdr:col>
      <xdr:colOff>514350</xdr:colOff>
      <xdr:row>48</xdr:row>
      <xdr:rowOff>72376</xdr:rowOff>
    </xdr:to>
    <xdr:pic>
      <xdr:nvPicPr>
        <xdr:cNvPr id="100" name="RTBMOV_GRIP_HSTM_WKLESLA_8000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5221974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33</xdr:row>
      <xdr:rowOff>65540</xdr:rowOff>
    </xdr:from>
    <xdr:to>
      <xdr:col>16</xdr:col>
      <xdr:colOff>514350</xdr:colOff>
      <xdr:row>49</xdr:row>
      <xdr:rowOff>97542</xdr:rowOff>
    </xdr:to>
    <xdr:pic>
      <xdr:nvPicPr>
        <xdr:cNvPr id="102" name="RTBMOV_GRIP_HSTM_WKLESLA_9000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5409065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34</xdr:row>
      <xdr:rowOff>90706</xdr:rowOff>
    </xdr:from>
    <xdr:to>
      <xdr:col>16</xdr:col>
      <xdr:colOff>514350</xdr:colOff>
      <xdr:row>50</xdr:row>
      <xdr:rowOff>120074</xdr:rowOff>
    </xdr:to>
    <xdr:pic>
      <xdr:nvPicPr>
        <xdr:cNvPr id="104" name="RTBMOV_GRIP_HURON_WKLESLA_8000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5596156"/>
          <a:ext cx="6400800" cy="2620168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35</xdr:row>
      <xdr:rowOff>113238</xdr:rowOff>
    </xdr:from>
    <xdr:to>
      <xdr:col>16</xdr:col>
      <xdr:colOff>514350</xdr:colOff>
      <xdr:row>51</xdr:row>
      <xdr:rowOff>145240</xdr:rowOff>
    </xdr:to>
    <xdr:pic>
      <xdr:nvPicPr>
        <xdr:cNvPr id="106" name="RTBMOV_GRIP_HURON_WKLESLA_9000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5780613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36</xdr:row>
      <xdr:rowOff>138404</xdr:rowOff>
    </xdr:from>
    <xdr:to>
      <xdr:col>16</xdr:col>
      <xdr:colOff>514350</xdr:colOff>
      <xdr:row>53</xdr:row>
      <xdr:rowOff>5847</xdr:rowOff>
    </xdr:to>
    <xdr:pic>
      <xdr:nvPicPr>
        <xdr:cNvPr id="108" name="RTBMOV_GRIP_HX_WKLESLA_8000">
          <a:extLst>
            <a:ext uri="{FF2B5EF4-FFF2-40B4-BE49-F238E27FC236}">
              <a16:creationId xmlns:a16="http://schemas.microsoft.com/office/drawing/2014/main" id="{00000000-0008-0000-0C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5967704"/>
          <a:ext cx="6400800" cy="2620168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37</xdr:row>
      <xdr:rowOff>160936</xdr:rowOff>
    </xdr:from>
    <xdr:to>
      <xdr:col>16</xdr:col>
      <xdr:colOff>514350</xdr:colOff>
      <xdr:row>54</xdr:row>
      <xdr:rowOff>31013</xdr:rowOff>
    </xdr:to>
    <xdr:pic>
      <xdr:nvPicPr>
        <xdr:cNvPr id="110" name="RTBMOV_GRIP_HX_WKLESLA_9000">
          <a:extLst>
            <a:ext uri="{FF2B5EF4-FFF2-40B4-BE49-F238E27FC236}">
              <a16:creationId xmlns:a16="http://schemas.microsoft.com/office/drawing/2014/main" id="{00000000-0008-0000-0C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6152161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39</xdr:row>
      <xdr:rowOff>24177</xdr:rowOff>
    </xdr:from>
    <xdr:to>
      <xdr:col>16</xdr:col>
      <xdr:colOff>514350</xdr:colOff>
      <xdr:row>55</xdr:row>
      <xdr:rowOff>63444</xdr:rowOff>
    </xdr:to>
    <xdr:pic>
      <xdr:nvPicPr>
        <xdr:cNvPr id="112" name="RTBMOV_ZAB_HSTM_WKLESLA_8000">
          <a:extLst>
            <a:ext uri="{FF2B5EF4-FFF2-40B4-BE49-F238E27FC236}">
              <a16:creationId xmlns:a16="http://schemas.microsoft.com/office/drawing/2014/main" id="{00000000-0008-0000-0C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6339252"/>
          <a:ext cx="6400800" cy="2630067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40</xdr:row>
      <xdr:rowOff>56608</xdr:rowOff>
    </xdr:from>
    <xdr:to>
      <xdr:col>16</xdr:col>
      <xdr:colOff>514350</xdr:colOff>
      <xdr:row>56</xdr:row>
      <xdr:rowOff>88610</xdr:rowOff>
    </xdr:to>
    <xdr:pic>
      <xdr:nvPicPr>
        <xdr:cNvPr id="114" name="RTBMOV_ZAB_HSTM_WKLESLA_9000">
          <a:extLst>
            <a:ext uri="{FF2B5EF4-FFF2-40B4-BE49-F238E27FC236}">
              <a16:creationId xmlns:a16="http://schemas.microsoft.com/office/drawing/2014/main" id="{00000000-0008-0000-0C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6533608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41</xdr:row>
      <xdr:rowOff>81774</xdr:rowOff>
    </xdr:from>
    <xdr:to>
      <xdr:col>16</xdr:col>
      <xdr:colOff>514350</xdr:colOff>
      <xdr:row>57</xdr:row>
      <xdr:rowOff>114133</xdr:rowOff>
    </xdr:to>
    <xdr:pic>
      <xdr:nvPicPr>
        <xdr:cNvPr id="116" name="RTBMOV_ZAB_HURON_WKLESLA_8000">
          <a:extLst>
            <a:ext uri="{FF2B5EF4-FFF2-40B4-BE49-F238E27FC236}">
              <a16:creationId xmlns:a16="http://schemas.microsoft.com/office/drawing/2014/main" id="{00000000-0008-0000-0C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6720699"/>
          <a:ext cx="6400800" cy="2623159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42</xdr:row>
      <xdr:rowOff>107297</xdr:rowOff>
    </xdr:from>
    <xdr:to>
      <xdr:col>16</xdr:col>
      <xdr:colOff>514350</xdr:colOff>
      <xdr:row>58</xdr:row>
      <xdr:rowOff>139299</xdr:rowOff>
    </xdr:to>
    <xdr:pic>
      <xdr:nvPicPr>
        <xdr:cNvPr id="118" name="RTBMOV_ZAB_HURON_WKLESLA_9000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6908147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43</xdr:row>
      <xdr:rowOff>132463</xdr:rowOff>
    </xdr:from>
    <xdr:to>
      <xdr:col>16</xdr:col>
      <xdr:colOff>514350</xdr:colOff>
      <xdr:row>60</xdr:row>
      <xdr:rowOff>9805</xdr:rowOff>
    </xdr:to>
    <xdr:pic>
      <xdr:nvPicPr>
        <xdr:cNvPr id="120" name="RTBMOV_ZAB_HX_WKLESLA_8000">
          <a:extLst>
            <a:ext uri="{FF2B5EF4-FFF2-40B4-BE49-F238E27FC236}">
              <a16:creationId xmlns:a16="http://schemas.microsoft.com/office/drawing/2014/main" id="{00000000-0008-0000-0C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7095238"/>
          <a:ext cx="6400800" cy="2630067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45</xdr:row>
      <xdr:rowOff>2969</xdr:rowOff>
    </xdr:from>
    <xdr:to>
      <xdr:col>16</xdr:col>
      <xdr:colOff>514350</xdr:colOff>
      <xdr:row>61</xdr:row>
      <xdr:rowOff>34971</xdr:rowOff>
    </xdr:to>
    <xdr:pic>
      <xdr:nvPicPr>
        <xdr:cNvPr id="122" name="RTBMOV_ZAB_HX_WKLESLA_9000"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7289594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46</xdr:row>
      <xdr:rowOff>28135</xdr:rowOff>
    </xdr:from>
    <xdr:to>
      <xdr:col>16</xdr:col>
      <xdr:colOff>514350</xdr:colOff>
      <xdr:row>62</xdr:row>
      <xdr:rowOff>67402</xdr:rowOff>
    </xdr:to>
    <xdr:pic>
      <xdr:nvPicPr>
        <xdr:cNvPr id="124" name="RTBRADFIX_2XGRIP_HSTM_WKLESLA_"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7476685"/>
          <a:ext cx="6400800" cy="2630067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47</xdr:row>
      <xdr:rowOff>60566</xdr:rowOff>
    </xdr:from>
    <xdr:to>
      <xdr:col>16</xdr:col>
      <xdr:colOff>514350</xdr:colOff>
      <xdr:row>63</xdr:row>
      <xdr:rowOff>92568</xdr:rowOff>
    </xdr:to>
    <xdr:pic>
      <xdr:nvPicPr>
        <xdr:cNvPr id="126" name="RTBRADFIX_GRIP_HSTM_WKLESLA_">
          <a:extLst>
            <a:ext uri="{FF2B5EF4-FFF2-40B4-BE49-F238E27FC236}">
              <a16:creationId xmlns:a16="http://schemas.microsoft.com/office/drawing/2014/main" id="{00000000-0008-0000-0C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7671041"/>
          <a:ext cx="6400800" cy="2622802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48</xdr:row>
      <xdr:rowOff>85725</xdr:rowOff>
    </xdr:from>
    <xdr:to>
      <xdr:col>16</xdr:col>
      <xdr:colOff>514350</xdr:colOff>
      <xdr:row>64</xdr:row>
      <xdr:rowOff>117727</xdr:rowOff>
    </xdr:to>
    <xdr:pic>
      <xdr:nvPicPr>
        <xdr:cNvPr id="129" name="RTBRADFIX_ZABIERAK_HSTM_WKLESLA_">
          <a:extLst>
            <a:ext uri="{FF2B5EF4-FFF2-40B4-BE49-F238E27FC236}">
              <a16:creationId xmlns:a16="http://schemas.microsoft.com/office/drawing/2014/main" id="{00000000-0008-0000-0C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7858125"/>
          <a:ext cx="6400800" cy="262280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533400</xdr:colOff>
      <xdr:row>2</xdr:row>
      <xdr:rowOff>50800</xdr:rowOff>
    </xdr:from>
    <xdr:to>
      <xdr:col>6</xdr:col>
      <xdr:colOff>50963</xdr:colOff>
      <xdr:row>14</xdr:row>
      <xdr:rowOff>50898</xdr:rowOff>
    </xdr:to>
    <xdr:pic>
      <xdr:nvPicPr>
        <xdr:cNvPr id="20" name="PW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3400" y="368300"/>
          <a:ext cx="3175163" cy="1905098"/>
        </a:xfrm>
        <a:prstGeom prst="rect">
          <a:avLst/>
        </a:prstGeom>
      </xdr:spPr>
    </xdr:pic>
    <xdr:clientData/>
  </xdr:twoCellAnchor>
  <xdr:twoCellAnchor editAs="oneCell">
    <xdr:from>
      <xdr:col>7</xdr:col>
      <xdr:colOff>196850</xdr:colOff>
      <xdr:row>3</xdr:row>
      <xdr:rowOff>12700</xdr:rowOff>
    </xdr:from>
    <xdr:to>
      <xdr:col>12</xdr:col>
      <xdr:colOff>324013</xdr:colOff>
      <xdr:row>15</xdr:row>
      <xdr:rowOff>12798</xdr:rowOff>
    </xdr:to>
    <xdr:pic>
      <xdr:nvPicPr>
        <xdr:cNvPr id="22" name="JO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4050" y="488950"/>
          <a:ext cx="3175163" cy="1905098"/>
        </a:xfrm>
        <a:prstGeom prst="rect">
          <a:avLst/>
        </a:prstGeom>
      </xdr:spPr>
    </xdr:pic>
    <xdr:clientData/>
  </xdr:twoCellAnchor>
  <xdr:twoCellAnchor editAs="oneCell">
    <xdr:from>
      <xdr:col>2</xdr:col>
      <xdr:colOff>454800</xdr:colOff>
      <xdr:row>13</xdr:row>
      <xdr:rowOff>10300</xdr:rowOff>
    </xdr:from>
    <xdr:to>
      <xdr:col>7</xdr:col>
      <xdr:colOff>581963</xdr:colOff>
      <xdr:row>25</xdr:row>
      <xdr:rowOff>10398</xdr:rowOff>
    </xdr:to>
    <xdr:pic>
      <xdr:nvPicPr>
        <xdr:cNvPr id="24" name="MO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4000" y="2074050"/>
          <a:ext cx="3175163" cy="1905098"/>
        </a:xfrm>
        <a:prstGeom prst="rect">
          <a:avLst/>
        </a:prstGeom>
      </xdr:spPr>
    </xdr:pic>
    <xdr:clientData/>
  </xdr:twoCellAnchor>
  <xdr:twoCellAnchor editAs="oneCell">
    <xdr:from>
      <xdr:col>7</xdr:col>
      <xdr:colOff>141250</xdr:colOff>
      <xdr:row>24</xdr:row>
      <xdr:rowOff>26950</xdr:rowOff>
    </xdr:from>
    <xdr:to>
      <xdr:col>12</xdr:col>
      <xdr:colOff>268413</xdr:colOff>
      <xdr:row>36</xdr:row>
      <xdr:rowOff>27048</xdr:rowOff>
    </xdr:to>
    <xdr:pic>
      <xdr:nvPicPr>
        <xdr:cNvPr id="26" name="MP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8450" y="3836950"/>
          <a:ext cx="3175163" cy="1905098"/>
        </a:xfrm>
        <a:prstGeom prst="rect">
          <a:avLst/>
        </a:prstGeom>
      </xdr:spPr>
    </xdr:pic>
    <xdr:clientData/>
  </xdr:twoCellAnchor>
  <xdr:twoCellAnchor editAs="oneCell">
    <xdr:from>
      <xdr:col>12</xdr:col>
      <xdr:colOff>132500</xdr:colOff>
      <xdr:row>12</xdr:row>
      <xdr:rowOff>88050</xdr:rowOff>
    </xdr:from>
    <xdr:to>
      <xdr:col>17</xdr:col>
      <xdr:colOff>259663</xdr:colOff>
      <xdr:row>24</xdr:row>
      <xdr:rowOff>69097</xdr:rowOff>
    </xdr:to>
    <xdr:pic>
      <xdr:nvPicPr>
        <xdr:cNvPr id="28" name="ZP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7700" y="1993050"/>
          <a:ext cx="3175163" cy="18860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33130</xdr:rowOff>
    </xdr:from>
    <xdr:to>
      <xdr:col>8</xdr:col>
      <xdr:colOff>1114424</xdr:colOff>
      <xdr:row>47</xdr:row>
      <xdr:rowOff>123825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190500" y="4976605"/>
          <a:ext cx="6248399" cy="46150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l-PL" sz="1100" b="0" i="0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25676</xdr:colOff>
      <xdr:row>23</xdr:row>
      <xdr:rowOff>142046</xdr:rowOff>
    </xdr:from>
    <xdr:to>
      <xdr:col>6</xdr:col>
      <xdr:colOff>35201</xdr:colOff>
      <xdr:row>33</xdr:row>
      <xdr:rowOff>64604</xdr:rowOff>
    </xdr:to>
    <xdr:cxnSp macro="">
      <xdr:nvCxnSpPr>
        <xdr:cNvPr id="3" name="Łącznik prosty ze strzałką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CxnSpPr/>
      </xdr:nvCxnSpPr>
      <xdr:spPr>
        <a:xfrm flipV="1">
          <a:off x="4064276" y="5266496"/>
          <a:ext cx="9525" cy="1732308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42369</xdr:colOff>
      <xdr:row>28</xdr:row>
      <xdr:rowOff>176482</xdr:rowOff>
    </xdr:from>
    <xdr:to>
      <xdr:col>8</xdr:col>
      <xdr:colOff>338759</xdr:colOff>
      <xdr:row>28</xdr:row>
      <xdr:rowOff>180149</xdr:rowOff>
    </xdr:to>
    <xdr:cxnSp macro="">
      <xdr:nvCxnSpPr>
        <xdr:cNvPr id="4" name="Łącznik prosty ze strzałką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CxnSpPr/>
      </xdr:nvCxnSpPr>
      <xdr:spPr>
        <a:xfrm>
          <a:off x="2175969" y="6205807"/>
          <a:ext cx="3487265" cy="3667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30</xdr:row>
      <xdr:rowOff>104775</xdr:rowOff>
    </xdr:from>
    <xdr:to>
      <xdr:col>1</xdr:col>
      <xdr:colOff>542925</xdr:colOff>
      <xdr:row>47</xdr:row>
      <xdr:rowOff>28575</xdr:rowOff>
    </xdr:to>
    <xdr:cxnSp macro="">
      <xdr:nvCxnSpPr>
        <xdr:cNvPr id="5" name="Łącznik prosty ze strzałką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CxnSpPr/>
      </xdr:nvCxnSpPr>
      <xdr:spPr>
        <a:xfrm flipV="1">
          <a:off x="1152525" y="6496050"/>
          <a:ext cx="0" cy="300037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561975</xdr:colOff>
      <xdr:row>39</xdr:row>
      <xdr:rowOff>142875</xdr:rowOff>
    </xdr:from>
    <xdr:to>
      <xdr:col>8</xdr:col>
      <xdr:colOff>409575</xdr:colOff>
      <xdr:row>39</xdr:row>
      <xdr:rowOff>152400</xdr:rowOff>
    </xdr:to>
    <xdr:cxnSp macro="">
      <xdr:nvCxnSpPr>
        <xdr:cNvPr id="6" name="Łącznik prosty ze strzałką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CxnSpPr/>
      </xdr:nvCxnSpPr>
      <xdr:spPr>
        <a:xfrm flipV="1">
          <a:off x="561975" y="8162925"/>
          <a:ext cx="517207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8</xdr:col>
      <xdr:colOff>129209</xdr:colOff>
      <xdr:row>29</xdr:row>
      <xdr:rowOff>132521</xdr:rowOff>
    </xdr:from>
    <xdr:ext cx="342851" cy="311496"/>
    <xdr:sp macro="" textlink="">
      <xdr:nvSpPr>
        <xdr:cNvPr id="7" name="pole tekstowe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 txBox="1"/>
      </xdr:nvSpPr>
      <xdr:spPr>
        <a:xfrm>
          <a:off x="5453684" y="6342821"/>
          <a:ext cx="34285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Y</a:t>
          </a:r>
          <a:r>
            <a:rPr lang="pl-PL" sz="1400"/>
            <a:t>+</a:t>
          </a:r>
          <a:endParaRPr lang="pl-PL" sz="1100"/>
        </a:p>
      </xdr:txBody>
    </xdr:sp>
    <xdr:clientData/>
  </xdr:oneCellAnchor>
  <xdr:oneCellAnchor>
    <xdr:from>
      <xdr:col>6</xdr:col>
      <xdr:colOff>101876</xdr:colOff>
      <xdr:row>22</xdr:row>
      <xdr:rowOff>170621</xdr:rowOff>
    </xdr:from>
    <xdr:ext cx="340158" cy="311496"/>
    <xdr:sp macro="" textlink="">
      <xdr:nvSpPr>
        <xdr:cNvPr id="8" name="pole tekstowe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 txBox="1"/>
      </xdr:nvSpPr>
      <xdr:spPr>
        <a:xfrm>
          <a:off x="4140476" y="5114096"/>
          <a:ext cx="340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Z</a:t>
          </a:r>
          <a:r>
            <a:rPr lang="pl-PL" sz="1400"/>
            <a:t>+</a:t>
          </a:r>
          <a:endParaRPr lang="pl-PL" sz="1100"/>
        </a:p>
      </xdr:txBody>
    </xdr:sp>
    <xdr:clientData/>
  </xdr:oneCellAnchor>
  <xdr:oneCellAnchor>
    <xdr:from>
      <xdr:col>0</xdr:col>
      <xdr:colOff>438150</xdr:colOff>
      <xdr:row>30</xdr:row>
      <xdr:rowOff>161925</xdr:rowOff>
    </xdr:from>
    <xdr:ext cx="340158" cy="311496"/>
    <xdr:sp macro="" textlink="">
      <xdr:nvSpPr>
        <xdr:cNvPr id="9" name="pole tekstowe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 txBox="1"/>
      </xdr:nvSpPr>
      <xdr:spPr>
        <a:xfrm>
          <a:off x="438150" y="6553200"/>
          <a:ext cx="340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Z</a:t>
          </a:r>
          <a:r>
            <a:rPr lang="pl-PL" sz="1400"/>
            <a:t>+</a:t>
          </a:r>
          <a:endParaRPr lang="pl-PL" sz="1100"/>
        </a:p>
      </xdr:txBody>
    </xdr:sp>
    <xdr:clientData/>
  </xdr:oneCellAnchor>
  <xdr:oneCellAnchor>
    <xdr:from>
      <xdr:col>8</xdr:col>
      <xdr:colOff>57150</xdr:colOff>
      <xdr:row>40</xdr:row>
      <xdr:rowOff>76200</xdr:rowOff>
    </xdr:from>
    <xdr:ext cx="347339" cy="311496"/>
    <xdr:sp macro="" textlink="">
      <xdr:nvSpPr>
        <xdr:cNvPr id="10" name="pole tekstowe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 txBox="1"/>
      </xdr:nvSpPr>
      <xdr:spPr>
        <a:xfrm>
          <a:off x="5381625" y="8277225"/>
          <a:ext cx="34733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X</a:t>
          </a:r>
          <a:r>
            <a:rPr lang="pl-PL" sz="1400"/>
            <a:t>+</a:t>
          </a:r>
          <a:endParaRPr lang="pl-PL" sz="1100"/>
        </a:p>
      </xdr:txBody>
    </xdr:sp>
    <xdr:clientData/>
  </xdr:oneCellAnchor>
  <xdr:twoCellAnchor>
    <xdr:from>
      <xdr:col>5</xdr:col>
      <xdr:colOff>636933</xdr:colOff>
      <xdr:row>28</xdr:row>
      <xdr:rowOff>83654</xdr:rowOff>
    </xdr:from>
    <xdr:to>
      <xdr:col>6</xdr:col>
      <xdr:colOff>111401</xdr:colOff>
      <xdr:row>29</xdr:row>
      <xdr:rowOff>74128</xdr:rowOff>
    </xdr:to>
    <xdr:sp macro="" textlink="">
      <xdr:nvSpPr>
        <xdr:cNvPr id="11" name="Elipsa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3989733" y="6112979"/>
          <a:ext cx="160268" cy="171449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457200</xdr:colOff>
      <xdr:row>39</xdr:row>
      <xdr:rowOff>57150</xdr:rowOff>
    </xdr:from>
    <xdr:to>
      <xdr:col>1</xdr:col>
      <xdr:colOff>619125</xdr:colOff>
      <xdr:row>40</xdr:row>
      <xdr:rowOff>47625</xdr:rowOff>
    </xdr:to>
    <xdr:sp macro="" textlink="">
      <xdr:nvSpPr>
        <xdr:cNvPr id="12" name="Elipsa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1066800" y="8077200"/>
          <a:ext cx="161925" cy="171450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422414</xdr:colOff>
      <xdr:row>36</xdr:row>
      <xdr:rowOff>66675</xdr:rowOff>
    </xdr:from>
    <xdr:to>
      <xdr:col>7</xdr:col>
      <xdr:colOff>114301</xdr:colOff>
      <xdr:row>43</xdr:row>
      <xdr:rowOff>38100</xdr:rowOff>
    </xdr:to>
    <xdr:sp macro="" textlink="">
      <xdr:nvSpPr>
        <xdr:cNvPr id="13" name="Prostokąt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1035327" y="7603849"/>
          <a:ext cx="3808344" cy="1246947"/>
        </a:xfrm>
        <a:prstGeom prst="rect">
          <a:avLst/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114300</xdr:colOff>
      <xdr:row>38</xdr:row>
      <xdr:rowOff>104775</xdr:rowOff>
    </xdr:from>
    <xdr:to>
      <xdr:col>7</xdr:col>
      <xdr:colOff>533400</xdr:colOff>
      <xdr:row>40</xdr:row>
      <xdr:rowOff>171450</xdr:rowOff>
    </xdr:to>
    <xdr:sp macro="" textlink="">
      <xdr:nvSpPr>
        <xdr:cNvPr id="14" name="Prostokąt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4829175" y="7943850"/>
          <a:ext cx="419100" cy="428625"/>
        </a:xfrm>
        <a:prstGeom prst="rect">
          <a:avLst/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</xdr:col>
      <xdr:colOff>99392</xdr:colOff>
      <xdr:row>25</xdr:row>
      <xdr:rowOff>49695</xdr:rowOff>
    </xdr:from>
    <xdr:to>
      <xdr:col>7</xdr:col>
      <xdr:colOff>455544</xdr:colOff>
      <xdr:row>32</xdr:row>
      <xdr:rowOff>57977</xdr:rowOff>
    </xdr:to>
    <xdr:sp macro="" textlink="">
      <xdr:nvSpPr>
        <xdr:cNvPr id="22" name="Prostokąt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2842592" y="5536095"/>
          <a:ext cx="2327827" cy="1275107"/>
        </a:xfrm>
        <a:prstGeom prst="rect">
          <a:avLst/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49696</xdr:colOff>
      <xdr:row>32</xdr:row>
      <xdr:rowOff>60207</xdr:rowOff>
    </xdr:from>
    <xdr:to>
      <xdr:col>4</xdr:col>
      <xdr:colOff>101303</xdr:colOff>
      <xdr:row>32</xdr:row>
      <xdr:rowOff>60207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CxnSpPr/>
      </xdr:nvCxnSpPr>
      <xdr:spPr>
        <a:xfrm flipH="1">
          <a:off x="2183296" y="6813432"/>
          <a:ext cx="661207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49696</xdr:colOff>
      <xdr:row>28</xdr:row>
      <xdr:rowOff>176482</xdr:rowOff>
    </xdr:from>
    <xdr:to>
      <xdr:col>3</xdr:col>
      <xdr:colOff>49696</xdr:colOff>
      <xdr:row>32</xdr:row>
      <xdr:rowOff>60207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CxnSpPr/>
      </xdr:nvCxnSpPr>
      <xdr:spPr>
        <a:xfrm>
          <a:off x="2183296" y="6205807"/>
          <a:ext cx="0" cy="6076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105763</xdr:colOff>
      <xdr:row>28</xdr:row>
      <xdr:rowOff>87317</xdr:rowOff>
    </xdr:from>
    <xdr:ext cx="1047750" cy="815488"/>
    <xdr:sp macro="" textlink="">
      <xdr:nvSpPr>
        <xdr:cNvPr id="25" name="pole tekstowe 6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 txBox="1"/>
      </xdr:nvSpPr>
      <xdr:spPr>
        <a:xfrm>
          <a:off x="1391638" y="6116642"/>
          <a:ext cx="1047750" cy="8154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l-PL" sz="1100"/>
            <a:t>Większa</a:t>
          </a:r>
          <a:r>
            <a:rPr lang="pl-PL" sz="1100" baseline="0"/>
            <a:t> wartość w pokazanym położeniu</a:t>
          </a:r>
          <a:endParaRPr lang="pl-PL" sz="1100"/>
        </a:p>
      </xdr:txBody>
    </xdr:sp>
    <xdr:clientData/>
  </xdr:oneCellAnchor>
  <xdr:twoCellAnchor>
    <xdr:from>
      <xdr:col>1</xdr:col>
      <xdr:colOff>410307</xdr:colOff>
      <xdr:row>42</xdr:row>
      <xdr:rowOff>95250</xdr:rowOff>
    </xdr:from>
    <xdr:to>
      <xdr:col>1</xdr:col>
      <xdr:colOff>417634</xdr:colOff>
      <xdr:row>47</xdr:row>
      <xdr:rowOff>29308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CxnSpPr/>
      </xdr:nvCxnSpPr>
      <xdr:spPr>
        <a:xfrm flipH="1">
          <a:off x="1019907" y="8658225"/>
          <a:ext cx="7327" cy="838933"/>
        </a:xfrm>
        <a:prstGeom prst="line">
          <a:avLst/>
        </a:prstGeom>
        <a:ln>
          <a:tailEnd type="non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432288</xdr:colOff>
      <xdr:row>46</xdr:row>
      <xdr:rowOff>102577</xdr:rowOff>
    </xdr:from>
    <xdr:to>
      <xdr:col>1</xdr:col>
      <xdr:colOff>417634</xdr:colOff>
      <xdr:row>46</xdr:row>
      <xdr:rowOff>102577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CxnSpPr/>
      </xdr:nvCxnSpPr>
      <xdr:spPr>
        <a:xfrm>
          <a:off x="432288" y="9389452"/>
          <a:ext cx="594946" cy="0"/>
        </a:xfrm>
        <a:prstGeom prst="line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534866</xdr:colOff>
      <xdr:row>46</xdr:row>
      <xdr:rowOff>95250</xdr:rowOff>
    </xdr:from>
    <xdr:to>
      <xdr:col>2</xdr:col>
      <xdr:colOff>185486</xdr:colOff>
      <xdr:row>46</xdr:row>
      <xdr:rowOff>95251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CxnSpPr/>
      </xdr:nvCxnSpPr>
      <xdr:spPr>
        <a:xfrm flipH="1">
          <a:off x="1144466" y="9382125"/>
          <a:ext cx="326895" cy="1"/>
        </a:xfrm>
        <a:prstGeom prst="line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411079</xdr:colOff>
      <xdr:row>46</xdr:row>
      <xdr:rowOff>100263</xdr:rowOff>
    </xdr:from>
    <xdr:to>
      <xdr:col>1</xdr:col>
      <xdr:colOff>541421</xdr:colOff>
      <xdr:row>46</xdr:row>
      <xdr:rowOff>100263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CxnSpPr/>
      </xdr:nvCxnSpPr>
      <xdr:spPr>
        <a:xfrm>
          <a:off x="1020679" y="9387138"/>
          <a:ext cx="130342" cy="0"/>
        </a:xfrm>
        <a:prstGeom prst="line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468729</xdr:colOff>
      <xdr:row>45</xdr:row>
      <xdr:rowOff>39603</xdr:rowOff>
    </xdr:from>
    <xdr:ext cx="434734" cy="264560"/>
    <xdr:sp macro="" textlink="">
      <xdr:nvSpPr>
        <xdr:cNvPr id="30" name="pole tekstowe 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 txBox="1"/>
      </xdr:nvSpPr>
      <xdr:spPr>
        <a:xfrm>
          <a:off x="468729" y="9145503"/>
          <a:ext cx="4347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3.65</a:t>
          </a:r>
        </a:p>
      </xdr:txBody>
    </xdr:sp>
    <xdr:clientData/>
  </xdr:oneCellAnchor>
  <xdr:oneCellAnchor>
    <xdr:from>
      <xdr:col>1</xdr:col>
      <xdr:colOff>245098</xdr:colOff>
      <xdr:row>30</xdr:row>
      <xdr:rowOff>82825</xdr:rowOff>
    </xdr:from>
    <xdr:ext cx="367815" cy="1184413"/>
    <xdr:sp macro="" textlink="">
      <xdr:nvSpPr>
        <xdr:cNvPr id="31" name="pole tekstowe 9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 txBox="1"/>
      </xdr:nvSpPr>
      <xdr:spPr>
        <a:xfrm>
          <a:off x="854698" y="6474100"/>
          <a:ext cx="367815" cy="1184413"/>
        </a:xfrm>
        <a:prstGeom prst="rect">
          <a:avLst/>
        </a:prstGeom>
        <a:noFill/>
        <a:scene3d>
          <a:camera prst="orthographicFront">
            <a:rot lat="0" lon="0" rev="0"/>
          </a:camera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vert270" wrap="square" rtlCol="0" anchor="t">
          <a:noAutofit/>
        </a:bodyPr>
        <a:lstStyle/>
        <a:p>
          <a:r>
            <a:rPr lang="pl-PL" sz="1100"/>
            <a:t>os</a:t>
          </a:r>
          <a:r>
            <a:rPr lang="pl-PL" sz="1100" baseline="0"/>
            <a:t> obrotu stołu "C"</a:t>
          </a:r>
          <a:endParaRPr lang="pl-PL" sz="1100"/>
        </a:p>
      </xdr:txBody>
    </xdr:sp>
    <xdr:clientData/>
  </xdr:oneCellAnchor>
  <xdr:twoCellAnchor editAs="oneCell">
    <xdr:from>
      <xdr:col>0</xdr:col>
      <xdr:colOff>381001</xdr:colOff>
      <xdr:row>0</xdr:row>
      <xdr:rowOff>40821</xdr:rowOff>
    </xdr:from>
    <xdr:to>
      <xdr:col>1</xdr:col>
      <xdr:colOff>268365</xdr:colOff>
      <xdr:row>2</xdr:row>
      <xdr:rowOff>161814</xdr:rowOff>
    </xdr:to>
    <xdr:pic>
      <xdr:nvPicPr>
        <xdr:cNvPr id="32" name="Picture 31" descr="http://vignette3.wikia.nocookie.net/logopedia/images/f/f3/General_Electric_1942.png/revision/latest?cb=2012081706214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1" y="40821"/>
          <a:ext cx="496964" cy="5019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33130</xdr:rowOff>
    </xdr:from>
    <xdr:to>
      <xdr:col>8</xdr:col>
      <xdr:colOff>1114424</xdr:colOff>
      <xdr:row>47</xdr:row>
      <xdr:rowOff>123825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190500" y="4671391"/>
          <a:ext cx="6266207" cy="464613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l-PL" sz="1100" b="0" i="0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25676</xdr:colOff>
      <xdr:row>23</xdr:row>
      <xdr:rowOff>142046</xdr:rowOff>
    </xdr:from>
    <xdr:to>
      <xdr:col>6</xdr:col>
      <xdr:colOff>35201</xdr:colOff>
      <xdr:row>33</xdr:row>
      <xdr:rowOff>64604</xdr:rowOff>
    </xdr:to>
    <xdr:cxnSp macro="">
      <xdr:nvCxnSpPr>
        <xdr:cNvPr id="3" name="Łącznik prosty ze strzałką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CxnSpPr/>
      </xdr:nvCxnSpPr>
      <xdr:spPr>
        <a:xfrm flipV="1">
          <a:off x="4075872" y="4962524"/>
          <a:ext cx="9525" cy="1744732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42369</xdr:colOff>
      <xdr:row>28</xdr:row>
      <xdr:rowOff>176482</xdr:rowOff>
    </xdr:from>
    <xdr:to>
      <xdr:col>8</xdr:col>
      <xdr:colOff>338759</xdr:colOff>
      <xdr:row>28</xdr:row>
      <xdr:rowOff>180149</xdr:rowOff>
    </xdr:to>
    <xdr:cxnSp macro="">
      <xdr:nvCxnSpPr>
        <xdr:cNvPr id="4" name="Łącznik prosty ze strzałką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CxnSpPr/>
      </xdr:nvCxnSpPr>
      <xdr:spPr>
        <a:xfrm>
          <a:off x="2179282" y="5908047"/>
          <a:ext cx="3501760" cy="3667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30</xdr:row>
      <xdr:rowOff>104775</xdr:rowOff>
    </xdr:from>
    <xdr:to>
      <xdr:col>1</xdr:col>
      <xdr:colOff>542925</xdr:colOff>
      <xdr:row>47</xdr:row>
      <xdr:rowOff>28575</xdr:rowOff>
    </xdr:to>
    <xdr:cxnSp macro="">
      <xdr:nvCxnSpPr>
        <xdr:cNvPr id="5" name="Łącznik prosty ze strzałką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CxnSpPr/>
      </xdr:nvCxnSpPr>
      <xdr:spPr>
        <a:xfrm flipV="1">
          <a:off x="1152525" y="6162675"/>
          <a:ext cx="0" cy="300037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561975</xdr:colOff>
      <xdr:row>39</xdr:row>
      <xdr:rowOff>142875</xdr:rowOff>
    </xdr:from>
    <xdr:to>
      <xdr:col>8</xdr:col>
      <xdr:colOff>409575</xdr:colOff>
      <xdr:row>39</xdr:row>
      <xdr:rowOff>152400</xdr:rowOff>
    </xdr:to>
    <xdr:cxnSp macro="">
      <xdr:nvCxnSpPr>
        <xdr:cNvPr id="6" name="Łącznik prosty ze strzałką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CxnSpPr/>
      </xdr:nvCxnSpPr>
      <xdr:spPr>
        <a:xfrm flipV="1">
          <a:off x="561975" y="7896225"/>
          <a:ext cx="517207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8</xdr:col>
      <xdr:colOff>129209</xdr:colOff>
      <xdr:row>29</xdr:row>
      <xdr:rowOff>132521</xdr:rowOff>
    </xdr:from>
    <xdr:ext cx="342851" cy="311496"/>
    <xdr:sp macro="" textlink="">
      <xdr:nvSpPr>
        <xdr:cNvPr id="7" name="pole tekstowe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 txBox="1"/>
      </xdr:nvSpPr>
      <xdr:spPr>
        <a:xfrm>
          <a:off x="5471492" y="6046304"/>
          <a:ext cx="34285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Y</a:t>
          </a:r>
          <a:r>
            <a:rPr lang="pl-PL" sz="1400"/>
            <a:t>+</a:t>
          </a:r>
          <a:endParaRPr lang="pl-PL" sz="1100"/>
        </a:p>
      </xdr:txBody>
    </xdr:sp>
    <xdr:clientData/>
  </xdr:oneCellAnchor>
  <xdr:oneCellAnchor>
    <xdr:from>
      <xdr:col>6</xdr:col>
      <xdr:colOff>101876</xdr:colOff>
      <xdr:row>22</xdr:row>
      <xdr:rowOff>170621</xdr:rowOff>
    </xdr:from>
    <xdr:ext cx="340158" cy="311496"/>
    <xdr:sp macro="" textlink="">
      <xdr:nvSpPr>
        <xdr:cNvPr id="8" name="pole tekstowe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 txBox="1"/>
      </xdr:nvSpPr>
      <xdr:spPr>
        <a:xfrm>
          <a:off x="4152072" y="4808882"/>
          <a:ext cx="340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Z</a:t>
          </a:r>
          <a:r>
            <a:rPr lang="pl-PL" sz="1400"/>
            <a:t>+</a:t>
          </a:r>
          <a:endParaRPr lang="pl-PL" sz="1100"/>
        </a:p>
      </xdr:txBody>
    </xdr:sp>
    <xdr:clientData/>
  </xdr:oneCellAnchor>
  <xdr:oneCellAnchor>
    <xdr:from>
      <xdr:col>0</xdr:col>
      <xdr:colOff>438150</xdr:colOff>
      <xdr:row>30</xdr:row>
      <xdr:rowOff>161925</xdr:rowOff>
    </xdr:from>
    <xdr:ext cx="340158" cy="311496"/>
    <xdr:sp macro="" textlink="">
      <xdr:nvSpPr>
        <xdr:cNvPr id="9" name="pole tekstowe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 txBox="1"/>
      </xdr:nvSpPr>
      <xdr:spPr>
        <a:xfrm>
          <a:off x="438150" y="6286500"/>
          <a:ext cx="340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Z</a:t>
          </a:r>
          <a:r>
            <a:rPr lang="pl-PL" sz="1400"/>
            <a:t>+</a:t>
          </a:r>
          <a:endParaRPr lang="pl-PL" sz="1100"/>
        </a:p>
      </xdr:txBody>
    </xdr:sp>
    <xdr:clientData/>
  </xdr:oneCellAnchor>
  <xdr:oneCellAnchor>
    <xdr:from>
      <xdr:col>8</xdr:col>
      <xdr:colOff>57150</xdr:colOff>
      <xdr:row>40</xdr:row>
      <xdr:rowOff>76200</xdr:rowOff>
    </xdr:from>
    <xdr:ext cx="347339" cy="311496"/>
    <xdr:sp macro="" textlink="">
      <xdr:nvSpPr>
        <xdr:cNvPr id="10" name="pole tekstowe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 txBox="1"/>
      </xdr:nvSpPr>
      <xdr:spPr>
        <a:xfrm>
          <a:off x="5381625" y="8010525"/>
          <a:ext cx="34733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X</a:t>
          </a:r>
          <a:r>
            <a:rPr lang="pl-PL" sz="1400"/>
            <a:t>+</a:t>
          </a:r>
          <a:endParaRPr lang="pl-PL" sz="1100"/>
        </a:p>
      </xdr:txBody>
    </xdr:sp>
    <xdr:clientData/>
  </xdr:oneCellAnchor>
  <xdr:twoCellAnchor>
    <xdr:from>
      <xdr:col>5</xdr:col>
      <xdr:colOff>636933</xdr:colOff>
      <xdr:row>28</xdr:row>
      <xdr:rowOff>83654</xdr:rowOff>
    </xdr:from>
    <xdr:to>
      <xdr:col>6</xdr:col>
      <xdr:colOff>111401</xdr:colOff>
      <xdr:row>29</xdr:row>
      <xdr:rowOff>74128</xdr:rowOff>
    </xdr:to>
    <xdr:sp macro="" textlink="">
      <xdr:nvSpPr>
        <xdr:cNvPr id="11" name="Elipsa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3999672" y="5815219"/>
          <a:ext cx="161925" cy="172692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457200</xdr:colOff>
      <xdr:row>39</xdr:row>
      <xdr:rowOff>57150</xdr:rowOff>
    </xdr:from>
    <xdr:to>
      <xdr:col>1</xdr:col>
      <xdr:colOff>619125</xdr:colOff>
      <xdr:row>40</xdr:row>
      <xdr:rowOff>47625</xdr:rowOff>
    </xdr:to>
    <xdr:sp macro="" textlink="">
      <xdr:nvSpPr>
        <xdr:cNvPr id="12" name="Elipsa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1066800" y="7743825"/>
          <a:ext cx="161925" cy="171450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</xdr:col>
      <xdr:colOff>85725</xdr:colOff>
      <xdr:row>36</xdr:row>
      <xdr:rowOff>66675</xdr:rowOff>
    </xdr:from>
    <xdr:to>
      <xdr:col>7</xdr:col>
      <xdr:colOff>114300</xdr:colOff>
      <xdr:row>43</xdr:row>
      <xdr:rowOff>38100</xdr:rowOff>
    </xdr:to>
    <xdr:sp macro="" textlink="">
      <xdr:nvSpPr>
        <xdr:cNvPr id="13" name="Prostokąt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1371600" y="7277100"/>
          <a:ext cx="3457575" cy="1238250"/>
        </a:xfrm>
        <a:prstGeom prst="rect">
          <a:avLst/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114300</xdr:colOff>
      <xdr:row>38</xdr:row>
      <xdr:rowOff>104775</xdr:rowOff>
    </xdr:from>
    <xdr:to>
      <xdr:col>7</xdr:col>
      <xdr:colOff>533400</xdr:colOff>
      <xdr:row>40</xdr:row>
      <xdr:rowOff>171450</xdr:rowOff>
    </xdr:to>
    <xdr:sp macro="" textlink="">
      <xdr:nvSpPr>
        <xdr:cNvPr id="14" name="Prostokąt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4829175" y="7677150"/>
          <a:ext cx="419100" cy="428625"/>
        </a:xfrm>
        <a:prstGeom prst="rect">
          <a:avLst/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615461</xdr:colOff>
      <xdr:row>37</xdr:row>
      <xdr:rowOff>121627</xdr:rowOff>
    </xdr:from>
    <xdr:to>
      <xdr:col>2</xdr:col>
      <xdr:colOff>87924</xdr:colOff>
      <xdr:row>37</xdr:row>
      <xdr:rowOff>121628</xdr:rowOff>
    </xdr:to>
    <xdr:cxnSp macro="">
      <xdr:nvCxnSpPr>
        <xdr:cNvPr id="15" name="Łącznik prostoliniowy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CxnSpPr/>
      </xdr:nvCxnSpPr>
      <xdr:spPr>
        <a:xfrm flipH="1" flipV="1">
          <a:off x="1225061" y="7513027"/>
          <a:ext cx="148738" cy="1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615461</xdr:colOff>
      <xdr:row>37</xdr:row>
      <xdr:rowOff>121627</xdr:rowOff>
    </xdr:from>
    <xdr:to>
      <xdr:col>1</xdr:col>
      <xdr:colOff>615461</xdr:colOff>
      <xdr:row>38</xdr:row>
      <xdr:rowOff>77665</xdr:rowOff>
    </xdr:to>
    <xdr:cxnSp macro="">
      <xdr:nvCxnSpPr>
        <xdr:cNvPr id="16" name="Łącznik prostoliniowy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CxnSpPr/>
      </xdr:nvCxnSpPr>
      <xdr:spPr>
        <a:xfrm>
          <a:off x="1225061" y="7513027"/>
          <a:ext cx="0" cy="137013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417634</xdr:colOff>
      <xdr:row>36</xdr:row>
      <xdr:rowOff>136281</xdr:rowOff>
    </xdr:from>
    <xdr:to>
      <xdr:col>1</xdr:col>
      <xdr:colOff>615461</xdr:colOff>
      <xdr:row>38</xdr:row>
      <xdr:rowOff>77665</xdr:rowOff>
    </xdr:to>
    <xdr:cxnSp macro="">
      <xdr:nvCxnSpPr>
        <xdr:cNvPr id="17" name="Łącznik prostoliniowy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CxnSpPr/>
      </xdr:nvCxnSpPr>
      <xdr:spPr>
        <a:xfrm flipH="1" flipV="1">
          <a:off x="1027234" y="7346706"/>
          <a:ext cx="197827" cy="303334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410307</xdr:colOff>
      <xdr:row>36</xdr:row>
      <xdr:rowOff>128954</xdr:rowOff>
    </xdr:from>
    <xdr:to>
      <xdr:col>1</xdr:col>
      <xdr:colOff>424961</xdr:colOff>
      <xdr:row>42</xdr:row>
      <xdr:rowOff>106973</xdr:rowOff>
    </xdr:to>
    <xdr:cxnSp macro="">
      <xdr:nvCxnSpPr>
        <xdr:cNvPr id="18" name="Łącznik prostoliniowy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CxnSpPr/>
      </xdr:nvCxnSpPr>
      <xdr:spPr>
        <a:xfrm>
          <a:off x="1019907" y="7339379"/>
          <a:ext cx="14654" cy="1063869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622788</xdr:colOff>
      <xdr:row>41</xdr:row>
      <xdr:rowOff>143607</xdr:rowOff>
    </xdr:from>
    <xdr:to>
      <xdr:col>2</xdr:col>
      <xdr:colOff>87923</xdr:colOff>
      <xdr:row>41</xdr:row>
      <xdr:rowOff>143607</xdr:rowOff>
    </xdr:to>
    <xdr:cxnSp macro="">
      <xdr:nvCxnSpPr>
        <xdr:cNvPr id="19" name="Łącznik prostoliniowy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CxnSpPr/>
      </xdr:nvCxnSpPr>
      <xdr:spPr>
        <a:xfrm flipH="1">
          <a:off x="1232388" y="8258907"/>
          <a:ext cx="141410" cy="0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615461</xdr:colOff>
      <xdr:row>41</xdr:row>
      <xdr:rowOff>33704</xdr:rowOff>
    </xdr:from>
    <xdr:to>
      <xdr:col>1</xdr:col>
      <xdr:colOff>615461</xdr:colOff>
      <xdr:row>41</xdr:row>
      <xdr:rowOff>143607</xdr:rowOff>
    </xdr:to>
    <xdr:cxnSp macro="">
      <xdr:nvCxnSpPr>
        <xdr:cNvPr id="20" name="Łącznik prostoliniowy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CxnSpPr/>
      </xdr:nvCxnSpPr>
      <xdr:spPr>
        <a:xfrm flipV="1">
          <a:off x="1225061" y="8149004"/>
          <a:ext cx="0" cy="109903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</xdr:col>
      <xdr:colOff>424961</xdr:colOff>
      <xdr:row>41</xdr:row>
      <xdr:rowOff>26377</xdr:rowOff>
    </xdr:from>
    <xdr:to>
      <xdr:col>1</xdr:col>
      <xdr:colOff>600807</xdr:colOff>
      <xdr:row>42</xdr:row>
      <xdr:rowOff>99646</xdr:rowOff>
    </xdr:to>
    <xdr:cxnSp macro="">
      <xdr:nvCxnSpPr>
        <xdr:cNvPr id="21" name="Łącznik prostoliniowy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CxnSpPr/>
      </xdr:nvCxnSpPr>
      <xdr:spPr>
        <a:xfrm flipH="1">
          <a:off x="1034561" y="8141677"/>
          <a:ext cx="175846" cy="254244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99392</xdr:colOff>
      <xdr:row>25</xdr:row>
      <xdr:rowOff>49695</xdr:rowOff>
    </xdr:from>
    <xdr:to>
      <xdr:col>7</xdr:col>
      <xdr:colOff>455544</xdr:colOff>
      <xdr:row>32</xdr:row>
      <xdr:rowOff>57977</xdr:rowOff>
    </xdr:to>
    <xdr:sp macro="" textlink="">
      <xdr:nvSpPr>
        <xdr:cNvPr id="22" name="Prostokąt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2849218" y="5234608"/>
          <a:ext cx="2335696" cy="1283804"/>
        </a:xfrm>
        <a:prstGeom prst="rect">
          <a:avLst/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49696</xdr:colOff>
      <xdr:row>32</xdr:row>
      <xdr:rowOff>60207</xdr:rowOff>
    </xdr:from>
    <xdr:to>
      <xdr:col>4</xdr:col>
      <xdr:colOff>101303</xdr:colOff>
      <xdr:row>32</xdr:row>
      <xdr:rowOff>60207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CxnSpPr/>
      </xdr:nvCxnSpPr>
      <xdr:spPr>
        <a:xfrm flipH="1">
          <a:off x="2186609" y="6520642"/>
          <a:ext cx="66452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49696</xdr:colOff>
      <xdr:row>28</xdr:row>
      <xdr:rowOff>176482</xdr:rowOff>
    </xdr:from>
    <xdr:to>
      <xdr:col>3</xdr:col>
      <xdr:colOff>49696</xdr:colOff>
      <xdr:row>32</xdr:row>
      <xdr:rowOff>60207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CxnSpPr/>
      </xdr:nvCxnSpPr>
      <xdr:spPr>
        <a:xfrm>
          <a:off x="2186609" y="5908047"/>
          <a:ext cx="0" cy="61259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105763</xdr:colOff>
      <xdr:row>28</xdr:row>
      <xdr:rowOff>87317</xdr:rowOff>
    </xdr:from>
    <xdr:ext cx="1047750" cy="815488"/>
    <xdr:sp macro="" textlink="">
      <xdr:nvSpPr>
        <xdr:cNvPr id="35" name="pole tekstowe 6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SpPr txBox="1"/>
      </xdr:nvSpPr>
      <xdr:spPr>
        <a:xfrm>
          <a:off x="1397850" y="5818882"/>
          <a:ext cx="1047750" cy="8154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l-PL" sz="1100"/>
            <a:t>Większa</a:t>
          </a:r>
          <a:r>
            <a:rPr lang="pl-PL" sz="1100" baseline="0"/>
            <a:t> wartość w pokazanym położeniu</a:t>
          </a:r>
          <a:endParaRPr lang="pl-PL" sz="1100"/>
        </a:p>
      </xdr:txBody>
    </xdr:sp>
    <xdr:clientData/>
  </xdr:oneCellAnchor>
  <xdr:twoCellAnchor>
    <xdr:from>
      <xdr:col>1</xdr:col>
      <xdr:colOff>410307</xdr:colOff>
      <xdr:row>42</xdr:row>
      <xdr:rowOff>95250</xdr:rowOff>
    </xdr:from>
    <xdr:to>
      <xdr:col>1</xdr:col>
      <xdr:colOff>417634</xdr:colOff>
      <xdr:row>47</xdr:row>
      <xdr:rowOff>29308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CxnSpPr/>
      </xdr:nvCxnSpPr>
      <xdr:spPr>
        <a:xfrm flipH="1">
          <a:off x="1018442" y="8374673"/>
          <a:ext cx="7327" cy="849923"/>
        </a:xfrm>
        <a:prstGeom prst="line">
          <a:avLst/>
        </a:prstGeom>
        <a:ln>
          <a:tailEnd type="non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432288</xdr:colOff>
      <xdr:row>46</xdr:row>
      <xdr:rowOff>102577</xdr:rowOff>
    </xdr:from>
    <xdr:to>
      <xdr:col>1</xdr:col>
      <xdr:colOff>417634</xdr:colOff>
      <xdr:row>46</xdr:row>
      <xdr:rowOff>102577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CxnSpPr/>
      </xdr:nvCxnSpPr>
      <xdr:spPr>
        <a:xfrm>
          <a:off x="432288" y="9114692"/>
          <a:ext cx="593481" cy="0"/>
        </a:xfrm>
        <a:prstGeom prst="line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534866</xdr:colOff>
      <xdr:row>46</xdr:row>
      <xdr:rowOff>95250</xdr:rowOff>
    </xdr:from>
    <xdr:to>
      <xdr:col>2</xdr:col>
      <xdr:colOff>185486</xdr:colOff>
      <xdr:row>46</xdr:row>
      <xdr:rowOff>95251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CxnSpPr/>
      </xdr:nvCxnSpPr>
      <xdr:spPr>
        <a:xfrm flipH="1">
          <a:off x="1146471" y="9018671"/>
          <a:ext cx="327397" cy="1"/>
        </a:xfrm>
        <a:prstGeom prst="line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411079</xdr:colOff>
      <xdr:row>46</xdr:row>
      <xdr:rowOff>100263</xdr:rowOff>
    </xdr:from>
    <xdr:to>
      <xdr:col>1</xdr:col>
      <xdr:colOff>541421</xdr:colOff>
      <xdr:row>46</xdr:row>
      <xdr:rowOff>100263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CxnSpPr/>
      </xdr:nvCxnSpPr>
      <xdr:spPr>
        <a:xfrm>
          <a:off x="1022684" y="9023684"/>
          <a:ext cx="130342" cy="0"/>
        </a:xfrm>
        <a:prstGeom prst="line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468729</xdr:colOff>
      <xdr:row>45</xdr:row>
      <xdr:rowOff>39603</xdr:rowOff>
    </xdr:from>
    <xdr:ext cx="434734" cy="264560"/>
    <xdr:sp macro="" textlink="">
      <xdr:nvSpPr>
        <xdr:cNvPr id="48" name="pole tekstowe 9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SpPr txBox="1"/>
      </xdr:nvSpPr>
      <xdr:spPr>
        <a:xfrm>
          <a:off x="468729" y="8782550"/>
          <a:ext cx="4347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3.65</a:t>
          </a:r>
        </a:p>
      </xdr:txBody>
    </xdr:sp>
    <xdr:clientData/>
  </xdr:oneCellAnchor>
  <xdr:oneCellAnchor>
    <xdr:from>
      <xdr:col>1</xdr:col>
      <xdr:colOff>245098</xdr:colOff>
      <xdr:row>30</xdr:row>
      <xdr:rowOff>82825</xdr:rowOff>
    </xdr:from>
    <xdr:ext cx="367815" cy="1184413"/>
    <xdr:sp macro="" textlink="">
      <xdr:nvSpPr>
        <xdr:cNvPr id="49" name="pole tekstowe 9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SpPr txBox="1"/>
      </xdr:nvSpPr>
      <xdr:spPr>
        <a:xfrm>
          <a:off x="858011" y="6286499"/>
          <a:ext cx="367815" cy="1184413"/>
        </a:xfrm>
        <a:prstGeom prst="rect">
          <a:avLst/>
        </a:prstGeom>
        <a:noFill/>
        <a:scene3d>
          <a:camera prst="orthographicFront">
            <a:rot lat="0" lon="0" rev="0"/>
          </a:camera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vert270" wrap="square" rtlCol="0" anchor="t">
          <a:noAutofit/>
        </a:bodyPr>
        <a:lstStyle/>
        <a:p>
          <a:r>
            <a:rPr lang="pl-PL" sz="1100"/>
            <a:t>os</a:t>
          </a:r>
          <a:r>
            <a:rPr lang="pl-PL" sz="1100" baseline="0"/>
            <a:t> obrotu stołu "C"</a:t>
          </a:r>
          <a:endParaRPr lang="pl-PL" sz="1100"/>
        </a:p>
      </xdr:txBody>
    </xdr:sp>
    <xdr:clientData/>
  </xdr:oneCellAnchor>
  <xdr:twoCellAnchor editAs="oneCell">
    <xdr:from>
      <xdr:col>0</xdr:col>
      <xdr:colOff>381001</xdr:colOff>
      <xdr:row>0</xdr:row>
      <xdr:rowOff>40821</xdr:rowOff>
    </xdr:from>
    <xdr:to>
      <xdr:col>1</xdr:col>
      <xdr:colOff>268365</xdr:colOff>
      <xdr:row>2</xdr:row>
      <xdr:rowOff>171339</xdr:rowOff>
    </xdr:to>
    <xdr:pic>
      <xdr:nvPicPr>
        <xdr:cNvPr id="34" name="Picture 33" descr="http://vignette3.wikia.nocookie.net/logopedia/images/f/f3/General_Electric_1942.png/revision/latest?cb=20120817062141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1" y="40821"/>
          <a:ext cx="499685" cy="497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21</xdr:row>
      <xdr:rowOff>59531</xdr:rowOff>
    </xdr:from>
    <xdr:to>
      <xdr:col>8</xdr:col>
      <xdr:colOff>1095374</xdr:colOff>
      <xdr:row>45</xdr:row>
      <xdr:rowOff>28574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71450" y="4783931"/>
          <a:ext cx="6248399" cy="43124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l-PL" sz="1100"/>
        </a:p>
      </xdr:txBody>
    </xdr:sp>
    <xdr:clientData/>
  </xdr:twoCellAnchor>
  <xdr:twoCellAnchor>
    <xdr:from>
      <xdr:col>4</xdr:col>
      <xdr:colOff>514350</xdr:colOff>
      <xdr:row>23</xdr:row>
      <xdr:rowOff>57149</xdr:rowOff>
    </xdr:from>
    <xdr:to>
      <xdr:col>4</xdr:col>
      <xdr:colOff>523875</xdr:colOff>
      <xdr:row>32</xdr:row>
      <xdr:rowOff>161925</xdr:rowOff>
    </xdr:to>
    <xdr:cxnSp macro="">
      <xdr:nvCxnSpPr>
        <xdr:cNvPr id="3" name="Łącznik prosty ze strzałką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CxnSpPr/>
      </xdr:nvCxnSpPr>
      <xdr:spPr>
        <a:xfrm flipV="1">
          <a:off x="3252788" y="5224462"/>
          <a:ext cx="9525" cy="1712119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704850</xdr:colOff>
      <xdr:row>28</xdr:row>
      <xdr:rowOff>95250</xdr:rowOff>
    </xdr:from>
    <xdr:to>
      <xdr:col>7</xdr:col>
      <xdr:colOff>140494</xdr:colOff>
      <xdr:row>28</xdr:row>
      <xdr:rowOff>104775</xdr:rowOff>
    </xdr:to>
    <xdr:cxnSp macro="">
      <xdr:nvCxnSpPr>
        <xdr:cNvPr id="4" name="Łącznik prosty ze strzałką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CxnSpPr/>
      </xdr:nvCxnSpPr>
      <xdr:spPr>
        <a:xfrm flipV="1">
          <a:off x="1990725" y="6155531"/>
          <a:ext cx="2864644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238125</xdr:colOff>
      <xdr:row>28</xdr:row>
      <xdr:rowOff>95250</xdr:rowOff>
    </xdr:from>
    <xdr:to>
      <xdr:col>1</xdr:col>
      <xdr:colOff>238125</xdr:colOff>
      <xdr:row>45</xdr:row>
      <xdr:rowOff>19050</xdr:rowOff>
    </xdr:to>
    <xdr:cxnSp macro="">
      <xdr:nvCxnSpPr>
        <xdr:cNvPr id="5" name="Łącznik prosty ze strzałką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CxnSpPr/>
      </xdr:nvCxnSpPr>
      <xdr:spPr>
        <a:xfrm flipV="1">
          <a:off x="847725" y="6219825"/>
          <a:ext cx="0" cy="300037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561975</xdr:colOff>
      <xdr:row>37</xdr:row>
      <xdr:rowOff>142875</xdr:rowOff>
    </xdr:from>
    <xdr:to>
      <xdr:col>8</xdr:col>
      <xdr:colOff>409575</xdr:colOff>
      <xdr:row>37</xdr:row>
      <xdr:rowOff>152400</xdr:rowOff>
    </xdr:to>
    <xdr:cxnSp macro="">
      <xdr:nvCxnSpPr>
        <xdr:cNvPr id="6" name="Łącznik prosty ze strzałką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CxnSpPr/>
      </xdr:nvCxnSpPr>
      <xdr:spPr>
        <a:xfrm flipV="1">
          <a:off x="561975" y="7896225"/>
          <a:ext cx="517207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6</xdr:col>
      <xdr:colOff>609600</xdr:colOff>
      <xdr:row>29</xdr:row>
      <xdr:rowOff>47625</xdr:rowOff>
    </xdr:from>
    <xdr:ext cx="342851" cy="311496"/>
    <xdr:sp macro="" textlink="">
      <xdr:nvSpPr>
        <xdr:cNvPr id="7" name="pole tekstowe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 txBox="1"/>
      </xdr:nvSpPr>
      <xdr:spPr>
        <a:xfrm>
          <a:off x="4645819" y="6286500"/>
          <a:ext cx="34285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Y</a:t>
          </a:r>
          <a:r>
            <a:rPr lang="pl-PL" sz="1400"/>
            <a:t>+</a:t>
          </a:r>
          <a:endParaRPr lang="pl-PL" sz="1100"/>
        </a:p>
      </xdr:txBody>
    </xdr:sp>
    <xdr:clientData/>
  </xdr:oneCellAnchor>
  <xdr:oneCellAnchor>
    <xdr:from>
      <xdr:col>4</xdr:col>
      <xdr:colOff>590550</xdr:colOff>
      <xdr:row>22</xdr:row>
      <xdr:rowOff>85725</xdr:rowOff>
    </xdr:from>
    <xdr:ext cx="340158" cy="311496"/>
    <xdr:sp macro="" textlink="">
      <xdr:nvSpPr>
        <xdr:cNvPr id="8" name="pole tekstowe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 txBox="1"/>
      </xdr:nvSpPr>
      <xdr:spPr>
        <a:xfrm>
          <a:off x="3328988" y="5074444"/>
          <a:ext cx="340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Z</a:t>
          </a:r>
          <a:r>
            <a:rPr lang="pl-PL" sz="1400"/>
            <a:t>+</a:t>
          </a:r>
          <a:endParaRPr lang="pl-PL" sz="1100"/>
        </a:p>
      </xdr:txBody>
    </xdr:sp>
    <xdr:clientData/>
  </xdr:oneCellAnchor>
  <xdr:oneCellAnchor>
    <xdr:from>
      <xdr:col>0</xdr:col>
      <xdr:colOff>438150</xdr:colOff>
      <xdr:row>28</xdr:row>
      <xdr:rowOff>161925</xdr:rowOff>
    </xdr:from>
    <xdr:ext cx="340158" cy="311496"/>
    <xdr:sp macro="" textlink="">
      <xdr:nvSpPr>
        <xdr:cNvPr id="9" name="pole tekstowe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 txBox="1"/>
      </xdr:nvSpPr>
      <xdr:spPr>
        <a:xfrm>
          <a:off x="438150" y="6286500"/>
          <a:ext cx="340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Z</a:t>
          </a:r>
          <a:r>
            <a:rPr lang="pl-PL" sz="1400"/>
            <a:t>+</a:t>
          </a:r>
          <a:endParaRPr lang="pl-PL" sz="1100"/>
        </a:p>
      </xdr:txBody>
    </xdr:sp>
    <xdr:clientData/>
  </xdr:oneCellAnchor>
  <xdr:oneCellAnchor>
    <xdr:from>
      <xdr:col>8</xdr:col>
      <xdr:colOff>57150</xdr:colOff>
      <xdr:row>38</xdr:row>
      <xdr:rowOff>76200</xdr:rowOff>
    </xdr:from>
    <xdr:ext cx="347339" cy="311496"/>
    <xdr:sp macro="" textlink="">
      <xdr:nvSpPr>
        <xdr:cNvPr id="10" name="pole tekstowe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 txBox="1"/>
      </xdr:nvSpPr>
      <xdr:spPr>
        <a:xfrm>
          <a:off x="5381625" y="8010525"/>
          <a:ext cx="34733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1100"/>
            <a:t>X</a:t>
          </a:r>
          <a:r>
            <a:rPr lang="pl-PL" sz="1400"/>
            <a:t>+</a:t>
          </a:r>
          <a:endParaRPr lang="pl-PL" sz="1100"/>
        </a:p>
      </xdr:txBody>
    </xdr:sp>
    <xdr:clientData/>
  </xdr:oneCellAnchor>
  <xdr:twoCellAnchor>
    <xdr:from>
      <xdr:col>4</xdr:col>
      <xdr:colOff>438150</xdr:colOff>
      <xdr:row>28</xdr:row>
      <xdr:rowOff>2381</xdr:rowOff>
    </xdr:from>
    <xdr:to>
      <xdr:col>4</xdr:col>
      <xdr:colOff>600075</xdr:colOff>
      <xdr:row>28</xdr:row>
      <xdr:rowOff>171450</xdr:rowOff>
    </xdr:to>
    <xdr:sp macro="" textlink="">
      <xdr:nvSpPr>
        <xdr:cNvPr id="11" name="Elipsa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3176588" y="6062662"/>
          <a:ext cx="161925" cy="169069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152400</xdr:colOff>
      <xdr:row>37</xdr:row>
      <xdr:rowOff>76200</xdr:rowOff>
    </xdr:from>
    <xdr:to>
      <xdr:col>1</xdr:col>
      <xdr:colOff>314325</xdr:colOff>
      <xdr:row>38</xdr:row>
      <xdr:rowOff>66675</xdr:rowOff>
    </xdr:to>
    <xdr:sp macro="" textlink="">
      <xdr:nvSpPr>
        <xdr:cNvPr id="12" name="Elipsa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762000" y="7829550"/>
          <a:ext cx="161925" cy="171450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</xdr:col>
      <xdr:colOff>200025</xdr:colOff>
      <xdr:row>34</xdr:row>
      <xdr:rowOff>76200</xdr:rowOff>
    </xdr:from>
    <xdr:to>
      <xdr:col>7</xdr:col>
      <xdr:colOff>228600</xdr:colOff>
      <xdr:row>41</xdr:row>
      <xdr:rowOff>47625</xdr:rowOff>
    </xdr:to>
    <xdr:sp macro="" textlink="">
      <xdr:nvSpPr>
        <xdr:cNvPr id="13" name="Prostokąt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1485900" y="7277100"/>
          <a:ext cx="3457575" cy="1238250"/>
        </a:xfrm>
        <a:prstGeom prst="rect">
          <a:avLst/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458881</xdr:colOff>
      <xdr:row>36</xdr:row>
      <xdr:rowOff>120464</xdr:rowOff>
    </xdr:from>
    <xdr:to>
      <xdr:col>2</xdr:col>
      <xdr:colOff>201706</xdr:colOff>
      <xdr:row>39</xdr:row>
      <xdr:rowOff>6164</xdr:rowOff>
    </xdr:to>
    <xdr:sp macro="" textlink="">
      <xdr:nvSpPr>
        <xdr:cNvPr id="14" name="Prostokąt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1069602" y="7645214"/>
          <a:ext cx="420780" cy="423582"/>
        </a:xfrm>
        <a:prstGeom prst="rect">
          <a:avLst/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234461</xdr:colOff>
      <xdr:row>35</xdr:row>
      <xdr:rowOff>121627</xdr:rowOff>
    </xdr:from>
    <xdr:to>
      <xdr:col>7</xdr:col>
      <xdr:colOff>383199</xdr:colOff>
      <xdr:row>35</xdr:row>
      <xdr:rowOff>121628</xdr:rowOff>
    </xdr:to>
    <xdr:cxnSp macro="">
      <xdr:nvCxnSpPr>
        <xdr:cNvPr id="15" name="Łącznik prostoliniowy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CxnSpPr/>
      </xdr:nvCxnSpPr>
      <xdr:spPr>
        <a:xfrm flipV="1">
          <a:off x="4949336" y="7471752"/>
          <a:ext cx="148738" cy="1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393211</xdr:colOff>
      <xdr:row>35</xdr:row>
      <xdr:rowOff>115277</xdr:rowOff>
    </xdr:from>
    <xdr:to>
      <xdr:col>7</xdr:col>
      <xdr:colOff>393211</xdr:colOff>
      <xdr:row>36</xdr:row>
      <xdr:rowOff>71315</xdr:rowOff>
    </xdr:to>
    <xdr:cxnSp macro="">
      <xdr:nvCxnSpPr>
        <xdr:cNvPr id="16" name="Łącznik prostoliniowy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CxnSpPr/>
      </xdr:nvCxnSpPr>
      <xdr:spPr>
        <a:xfrm>
          <a:off x="5117611" y="7601927"/>
          <a:ext cx="0" cy="140188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385884</xdr:colOff>
      <xdr:row>34</xdr:row>
      <xdr:rowOff>148981</xdr:rowOff>
    </xdr:from>
    <xdr:to>
      <xdr:col>7</xdr:col>
      <xdr:colOff>583711</xdr:colOff>
      <xdr:row>36</xdr:row>
      <xdr:rowOff>90365</xdr:rowOff>
    </xdr:to>
    <xdr:cxnSp macro="">
      <xdr:nvCxnSpPr>
        <xdr:cNvPr id="17" name="Łącznik prostoliniowy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CxnSpPr/>
      </xdr:nvCxnSpPr>
      <xdr:spPr>
        <a:xfrm flipV="1">
          <a:off x="5110284" y="7451481"/>
          <a:ext cx="197827" cy="309684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557851</xdr:colOff>
      <xdr:row>34</xdr:row>
      <xdr:rowOff>156882</xdr:rowOff>
    </xdr:from>
    <xdr:to>
      <xdr:col>7</xdr:col>
      <xdr:colOff>571500</xdr:colOff>
      <xdr:row>40</xdr:row>
      <xdr:rowOff>106227</xdr:rowOff>
    </xdr:to>
    <xdr:cxnSp macro="">
      <xdr:nvCxnSpPr>
        <xdr:cNvPr id="18" name="Łącznik prostoliniowy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CxnSpPr/>
      </xdr:nvCxnSpPr>
      <xdr:spPr>
        <a:xfrm flipH="1">
          <a:off x="5275527" y="7323044"/>
          <a:ext cx="13649" cy="1025109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239672</xdr:colOff>
      <xdr:row>39</xdr:row>
      <xdr:rowOff>159482</xdr:rowOff>
    </xdr:from>
    <xdr:to>
      <xdr:col>7</xdr:col>
      <xdr:colOff>381082</xdr:colOff>
      <xdr:row>39</xdr:row>
      <xdr:rowOff>159482</xdr:rowOff>
    </xdr:to>
    <xdr:cxnSp macro="">
      <xdr:nvCxnSpPr>
        <xdr:cNvPr id="19" name="Łącznik prostoliniowy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CxnSpPr/>
      </xdr:nvCxnSpPr>
      <xdr:spPr>
        <a:xfrm>
          <a:off x="4954547" y="8229274"/>
          <a:ext cx="141410" cy="0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383686</xdr:colOff>
      <xdr:row>39</xdr:row>
      <xdr:rowOff>23202</xdr:rowOff>
    </xdr:from>
    <xdr:to>
      <xdr:col>7</xdr:col>
      <xdr:colOff>559532</xdr:colOff>
      <xdr:row>40</xdr:row>
      <xdr:rowOff>96471</xdr:rowOff>
    </xdr:to>
    <xdr:cxnSp macro="">
      <xdr:nvCxnSpPr>
        <xdr:cNvPr id="21" name="Łącznik prostoliniowy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CxnSpPr/>
      </xdr:nvCxnSpPr>
      <xdr:spPr>
        <a:xfrm>
          <a:off x="5098561" y="8092994"/>
          <a:ext cx="175846" cy="253185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745435</xdr:colOff>
      <xdr:row>24</xdr:row>
      <xdr:rowOff>147016</xdr:rowOff>
    </xdr:from>
    <xdr:to>
      <xdr:col>6</xdr:col>
      <xdr:colOff>323022</xdr:colOff>
      <xdr:row>31</xdr:row>
      <xdr:rowOff>155298</xdr:rowOff>
    </xdr:to>
    <xdr:sp macro="" textlink="">
      <xdr:nvSpPr>
        <xdr:cNvPr id="22" name="Prostokąt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2031310" y="5492922"/>
          <a:ext cx="2327931" cy="1258439"/>
        </a:xfrm>
        <a:prstGeom prst="rect">
          <a:avLst/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388408</xdr:colOff>
      <xdr:row>39</xdr:row>
      <xdr:rowOff>25401</xdr:rowOff>
    </xdr:from>
    <xdr:to>
      <xdr:col>7</xdr:col>
      <xdr:colOff>388408</xdr:colOff>
      <xdr:row>39</xdr:row>
      <xdr:rowOff>165589</xdr:rowOff>
    </xdr:to>
    <xdr:cxnSp macro="">
      <xdr:nvCxnSpPr>
        <xdr:cNvPr id="26" name="Łącznik prostoliniowy 1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CxnSpPr/>
      </xdr:nvCxnSpPr>
      <xdr:spPr>
        <a:xfrm>
          <a:off x="5103283" y="8095193"/>
          <a:ext cx="0" cy="140188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371475</xdr:colOff>
      <xdr:row>0</xdr:row>
      <xdr:rowOff>47625</xdr:rowOff>
    </xdr:from>
    <xdr:to>
      <xdr:col>1</xdr:col>
      <xdr:colOff>261560</xdr:colOff>
      <xdr:row>2</xdr:row>
      <xdr:rowOff>174061</xdr:rowOff>
    </xdr:to>
    <xdr:pic>
      <xdr:nvPicPr>
        <xdr:cNvPr id="24" name="Picture 23" descr="http://vignette3.wikia.nocookie.net/logopedia/images/f/f3/General_Electric_1942.png/revision/latest?cb=20120817062141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47625"/>
          <a:ext cx="499685" cy="497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po-teamsite.ge.com/sites/sekcjatechnologicznat1/Shared%20Documents/Clever/Clever/V300/BladeMill/BladeMillServer/BladeMillScripts/Process/EXCEL_Templates/Nowa%20Lista%20Narzedziowa%20-%20Copy%20BF%20B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ARTA USTAWCZA"/>
      <sheetName val="KARTA UWAG PROGRAMU NC"/>
      <sheetName val="KARTA NARZEDZI OBROBCZYCH"/>
      <sheetName val="POMOC"/>
      <sheetName val="BANDAZ_WIRNIK"/>
      <sheetName val="BANDAZ_KIEROWNICA"/>
      <sheetName val="NOZKA_F2A"/>
      <sheetName val="DFA"/>
      <sheetName val="TOL"/>
      <sheetName val="KARTA USTAWCZA DMU(GRIP)"/>
      <sheetName val="KARTA USTAWCZA DMU"/>
      <sheetName val="KARTA USTAWCZA NX"/>
    </sheetNames>
    <sheetDataSet>
      <sheetData sheetId="0"/>
      <sheetData sheetId="1"/>
      <sheetData sheetId="2"/>
      <sheetData sheetId="3">
        <row r="15">
          <cell r="D15" t="str">
            <v>ZTGW956016T0045</v>
          </cell>
        </row>
        <row r="16">
          <cell r="D16" t="str">
            <v>ZTGW956059T0045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>
          <a:tailEnd type="arrow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AA54"/>
  <sheetViews>
    <sheetView showGridLines="0" view="pageBreakPreview" zoomScale="55" zoomScaleNormal="70" zoomScaleSheetLayoutView="55" workbookViewId="0">
      <selection activeCell="O53" sqref="O52:O53"/>
    </sheetView>
  </sheetViews>
  <sheetFormatPr defaultRowHeight="13.2"/>
  <cols>
    <col min="1" max="1" width="1.109375" customWidth="1"/>
    <col min="2" max="2" width="17.88671875" customWidth="1"/>
    <col min="3" max="3" width="12.88671875" customWidth="1"/>
    <col min="6" max="6" width="13.44140625" customWidth="1"/>
    <col min="7" max="7" width="15.109375" customWidth="1"/>
    <col min="8" max="8" width="9.109375" customWidth="1"/>
    <col min="9" max="9" width="10.88671875" customWidth="1"/>
    <col min="11" max="11" width="16.88671875" customWidth="1"/>
    <col min="13" max="13" width="10.88671875" customWidth="1"/>
  </cols>
  <sheetData>
    <row r="1" spans="1:27" ht="17.100000000000001" customHeight="1">
      <c r="A1" s="290"/>
      <c r="B1" s="291"/>
      <c r="C1" s="296" t="s">
        <v>113</v>
      </c>
      <c r="D1" s="297"/>
      <c r="E1" s="298"/>
      <c r="F1" s="254" t="s">
        <v>126</v>
      </c>
      <c r="G1" s="255"/>
      <c r="H1" s="138" t="s">
        <v>44</v>
      </c>
      <c r="I1" s="138" t="s">
        <v>45</v>
      </c>
    </row>
    <row r="2" spans="1:27" ht="17.100000000000001" customHeight="1">
      <c r="A2" s="292"/>
      <c r="B2" s="293"/>
      <c r="C2" s="260"/>
      <c r="D2" s="261"/>
      <c r="E2" s="262"/>
      <c r="F2" s="256" t="str">
        <f>POMOC!B5</f>
        <v>HSTM300 Sin840D</v>
      </c>
      <c r="G2" s="257"/>
      <c r="H2" s="303" t="s">
        <v>46</v>
      </c>
      <c r="I2" s="301" t="s">
        <v>145</v>
      </c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</row>
    <row r="3" spans="1:27" ht="17.100000000000001" customHeight="1" thickBot="1">
      <c r="A3" s="294"/>
      <c r="B3" s="295"/>
      <c r="C3" s="263"/>
      <c r="D3" s="264"/>
      <c r="E3" s="265"/>
      <c r="F3" s="258"/>
      <c r="G3" s="259"/>
      <c r="H3" s="304"/>
      <c r="I3" s="302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</row>
    <row r="4" spans="1:27">
      <c r="A4" s="254" t="s">
        <v>48</v>
      </c>
      <c r="B4" s="311"/>
      <c r="C4" s="255"/>
      <c r="D4" s="254" t="s">
        <v>49</v>
      </c>
      <c r="E4" s="311"/>
      <c r="F4" s="255"/>
      <c r="G4" s="138" t="s">
        <v>50</v>
      </c>
      <c r="H4" s="254" t="s">
        <v>51</v>
      </c>
      <c r="I4" s="255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</row>
    <row r="5" spans="1:27">
      <c r="A5" s="305" t="str">
        <f>POMOC!B10</f>
        <v>137T000339P1001</v>
      </c>
      <c r="B5" s="306"/>
      <c r="C5" s="307"/>
      <c r="D5" s="305" t="str">
        <f>POMOC!B1</f>
        <v>COCKBURN</v>
      </c>
      <c r="E5" s="306"/>
      <c r="F5" s="307"/>
      <c r="G5" s="299" t="str">
        <f>POMOC!B9</f>
        <v>ST12T</v>
      </c>
      <c r="H5" s="305" t="str">
        <f>POMOC!B13</f>
        <v>A888888</v>
      </c>
      <c r="I5" s="307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</row>
    <row r="6" spans="1:27" ht="13.8" thickBot="1">
      <c r="A6" s="308"/>
      <c r="B6" s="309"/>
      <c r="C6" s="310"/>
      <c r="D6" s="308"/>
      <c r="E6" s="309"/>
      <c r="F6" s="310"/>
      <c r="G6" s="300"/>
      <c r="H6" s="308"/>
      <c r="I6" s="310"/>
      <c r="P6" s="203"/>
      <c r="Q6" s="203"/>
      <c r="R6" s="203"/>
      <c r="S6" s="203"/>
      <c r="T6" s="203"/>
      <c r="U6" s="203"/>
      <c r="V6" s="203"/>
      <c r="W6" s="203"/>
      <c r="X6" s="203"/>
      <c r="Y6" s="203"/>
      <c r="Z6" s="203"/>
      <c r="AA6" s="203"/>
    </row>
    <row r="7" spans="1:27">
      <c r="A7" s="275" t="s">
        <v>52</v>
      </c>
      <c r="B7" s="276"/>
      <c r="C7" s="277"/>
      <c r="D7" s="138" t="s">
        <v>60</v>
      </c>
      <c r="E7" s="254" t="s">
        <v>61</v>
      </c>
      <c r="F7" s="255"/>
      <c r="G7" s="254" t="s">
        <v>53</v>
      </c>
      <c r="H7" s="311"/>
      <c r="I7" s="255"/>
      <c r="P7" s="203"/>
      <c r="Q7" s="203"/>
      <c r="R7" s="203"/>
      <c r="S7" s="203"/>
      <c r="T7" s="203"/>
      <c r="U7" s="203"/>
      <c r="V7" s="203"/>
      <c r="W7" s="203"/>
      <c r="X7" s="203"/>
      <c r="Y7" s="203"/>
      <c r="Z7" s="203"/>
      <c r="AA7" s="203"/>
    </row>
    <row r="8" spans="1:27" ht="21" customHeight="1">
      <c r="A8" s="260" t="str" cm="1">
        <f t="array" ref="A8">_xlfn.SWITCH(POMOC!B12,'LISTY WYBORU'!D1,'LISTY WYBORU'!E1,'LISTY WYBORU'!D2,'LISTY WYBORU'!E2,'LISTY WYBORU'!D3,'LISTY WYBORU'!E3,'LISTY WYBORU'!D4,'LISTY WYBORU'!E4,'LISTY WYBORU'!D5,'LISTY WYBORU'!E5,'LISTY WYBORU'!D6,'LISTY WYBORU'!E6,'LISTY WYBORU'!D7,'LISTY WYBORU'!E7,'LISTY WYBORU'!D8,'LISTY WYBORU'!E8,'LISTY WYBORU'!D9,'LISTY WYBORU'!E9,'LISTY WYBORU'!D10,'LISTY WYBORU'!E10, 'LISTY WYBORU'!E10)&amp;" "&amp;POMOC!B15</f>
        <v>RTB Wirnikowa 8000</v>
      </c>
      <c r="B8" s="261"/>
      <c r="C8" s="262"/>
      <c r="D8" s="320">
        <f>POMOC!B3</f>
        <v>1</v>
      </c>
      <c r="E8" s="305" t="str">
        <f>IF(POMOC!B2="LEFT","Lewa","Prawa")</f>
        <v>Prawa</v>
      </c>
      <c r="F8" s="307"/>
      <c r="G8" s="284" t="str" cm="1">
        <f t="array" ref="G8">_xlfn.SWITCH(POMOC!B14,'LISTY WYBORU'!A1,'LISTY WYBORU'!B1,'LISTY WYBORU'!A2,'LISTY WYBORU'!B2,'LISTY WYBORU'!A3,'LISTY WYBORU'!B3,'LISTY WYBORU'!A4,'LISTY WYBORU'!B4,'LISTY WYBORU'!A5,'LISTY WYBORU'!B5,'LISTY WYBORU'!A6,'LISTY WYBORU'!B6,'LISTY WYBORU'!A7,'LISTY WYBORU'!B7,'LISTY WYBORU'!A8,'LISTY WYBORU'!E10,"Niestandardowe")</f>
        <v>Grip + Zgrzewany nit</v>
      </c>
      <c r="H8" s="285"/>
      <c r="I8" s="286"/>
      <c r="P8" t="s">
        <v>356</v>
      </c>
    </row>
    <row r="9" spans="1:27" ht="24.75" customHeight="1" thickBot="1">
      <c r="A9" s="263"/>
      <c r="B9" s="264"/>
      <c r="C9" s="265"/>
      <c r="D9" s="321"/>
      <c r="E9" s="308"/>
      <c r="F9" s="310"/>
      <c r="G9" s="287"/>
      <c r="H9" s="288"/>
      <c r="I9" s="289"/>
    </row>
    <row r="10" spans="1:27" ht="11.25" customHeight="1">
      <c r="A10" s="266" t="str">
        <f>POMOC!B22&amp;","&amp;POMOC!B19&amp;","&amp;POMOC!B25</f>
        <v>Gratowanie NC,Cechowanie NC,-</v>
      </c>
      <c r="B10" s="267"/>
      <c r="C10" s="267"/>
      <c r="D10" s="266"/>
      <c r="E10" s="267"/>
      <c r="F10" s="268"/>
      <c r="G10" s="275" t="s">
        <v>54</v>
      </c>
      <c r="H10" s="276"/>
      <c r="I10" s="277"/>
    </row>
    <row r="11" spans="1:27" ht="14.25" customHeight="1">
      <c r="A11" s="269"/>
      <c r="B11" s="270"/>
      <c r="C11" s="270"/>
      <c r="D11" s="269"/>
      <c r="E11" s="270"/>
      <c r="F11" s="271"/>
      <c r="G11" s="278" t="str">
        <f>POMOC!B4</f>
        <v>IMR-006591-STRH151141</v>
      </c>
      <c r="H11" s="279"/>
      <c r="I11" s="280"/>
    </row>
    <row r="12" spans="1:27" ht="13.5" customHeight="1" thickBot="1">
      <c r="A12" s="272"/>
      <c r="B12" s="273"/>
      <c r="C12" s="273"/>
      <c r="D12" s="272"/>
      <c r="E12" s="273"/>
      <c r="F12" s="274"/>
      <c r="G12" s="281"/>
      <c r="H12" s="282"/>
      <c r="I12" s="283"/>
    </row>
    <row r="13" spans="1:27" ht="12.75" customHeight="1">
      <c r="A13" s="316" t="s">
        <v>55</v>
      </c>
      <c r="B13" s="317"/>
      <c r="C13" s="317"/>
      <c r="D13" s="317"/>
      <c r="E13" s="317"/>
      <c r="F13" s="317"/>
      <c r="G13" s="317"/>
      <c r="H13" s="254" t="s">
        <v>59</v>
      </c>
      <c r="I13" s="255"/>
    </row>
    <row r="14" spans="1:27" ht="13.5" customHeight="1" thickBot="1">
      <c r="A14" s="318"/>
      <c r="B14" s="319"/>
      <c r="C14" s="319"/>
      <c r="D14" s="319"/>
      <c r="E14" s="319"/>
      <c r="F14" s="319"/>
      <c r="G14" s="319"/>
      <c r="H14" s="312">
        <f>POMOC!B11</f>
        <v>0</v>
      </c>
      <c r="I14" s="313"/>
    </row>
    <row r="15" spans="1:27" ht="20.100000000000001" customHeight="1">
      <c r="A15" s="351" t="s">
        <v>64</v>
      </c>
      <c r="B15" s="352"/>
      <c r="C15" s="353"/>
      <c r="D15" s="333" t="str">
        <f>IF(POMOC!B12="RTBFixedBlade","Łopatka początkowa xxxxxxx75 
dla T="&amp;VLOOKUP("romb wk",'KARTA NARZEDZI OBROBCZYCH'!C8:F27,3,FALSE)&amp;" D3=-0.2
Łopatka końcowa xxxxxxx85  
dla  T="&amp;VLOOKUP("romb wk",'KARTA NARZEDZI OBROBCZYCH'!C8:F27,3,FALSE)&amp;" D4=-0.2","")</f>
        <v/>
      </c>
      <c r="E15" s="334"/>
      <c r="F15" s="334"/>
      <c r="G15" s="335"/>
      <c r="H15" s="314" t="s">
        <v>153</v>
      </c>
      <c r="I15" s="315"/>
    </row>
    <row r="16" spans="1:27" ht="20.100000000000001" customHeight="1" thickBot="1">
      <c r="A16" s="348" t="s">
        <v>65</v>
      </c>
      <c r="B16" s="349"/>
      <c r="C16" s="350"/>
      <c r="D16" s="336"/>
      <c r="E16" s="337"/>
      <c r="F16" s="337"/>
      <c r="G16" s="338"/>
      <c r="H16" s="312" t="str">
        <f>POMOC!B27</f>
        <v>BRAKWVARPOOLU</v>
      </c>
      <c r="I16" s="313"/>
    </row>
    <row r="17" spans="1:11" ht="20.100000000000001" customHeight="1">
      <c r="A17" s="342" t="str">
        <f>POMOC!L1</f>
        <v>Lista korektorów: patrz dysk sieciowy L:\01_KOREKTORY</v>
      </c>
      <c r="B17" s="343"/>
      <c r="C17" s="344"/>
      <c r="D17" s="336"/>
      <c r="E17" s="337"/>
      <c r="F17" s="337"/>
      <c r="G17" s="338"/>
      <c r="H17" s="354" t="s">
        <v>152</v>
      </c>
      <c r="I17" s="355"/>
    </row>
    <row r="18" spans="1:11" ht="20.100000000000001" customHeight="1" thickBot="1">
      <c r="A18" s="345"/>
      <c r="B18" s="346"/>
      <c r="C18" s="347"/>
      <c r="D18" s="339"/>
      <c r="E18" s="340"/>
      <c r="F18" s="340"/>
      <c r="G18" s="341"/>
      <c r="H18" s="356" t="str">
        <f>POMOC!B28</f>
        <v>BRAKWVARPOOLU</v>
      </c>
      <c r="I18" s="357"/>
    </row>
    <row r="19" spans="1:11" ht="12.75" customHeight="1">
      <c r="A19" s="158"/>
      <c r="B19" s="46"/>
      <c r="C19" s="46"/>
      <c r="D19" s="46"/>
      <c r="E19" s="46"/>
      <c r="F19" s="46"/>
      <c r="G19" s="46"/>
      <c r="H19" s="46"/>
      <c r="I19" s="159"/>
    </row>
    <row r="20" spans="1:11" ht="14.25" customHeight="1">
      <c r="A20" s="158"/>
      <c r="B20" s="331"/>
      <c r="C20" s="331"/>
      <c r="D20" s="331"/>
      <c r="E20" s="331"/>
      <c r="F20" s="331"/>
      <c r="G20" s="331"/>
      <c r="H20" s="331"/>
      <c r="I20" s="332"/>
    </row>
    <row r="21" spans="1:11" ht="14.25" customHeight="1">
      <c r="A21" s="158"/>
      <c r="B21" s="331"/>
      <c r="C21" s="331"/>
      <c r="D21" s="331"/>
      <c r="E21" s="331"/>
      <c r="F21" s="331"/>
      <c r="G21" s="331"/>
      <c r="H21" s="331"/>
      <c r="I21" s="332"/>
    </row>
    <row r="22" spans="1:11">
      <c r="A22" s="158"/>
      <c r="B22" s="46"/>
      <c r="C22" s="46"/>
      <c r="D22" s="46"/>
      <c r="E22" s="46"/>
      <c r="F22" s="46"/>
      <c r="G22" s="46"/>
      <c r="H22" s="46"/>
      <c r="I22" s="159"/>
    </row>
    <row r="23" spans="1:11">
      <c r="A23" s="158"/>
      <c r="B23" s="46"/>
      <c r="C23" s="46"/>
      <c r="D23" s="46"/>
      <c r="E23" s="46"/>
      <c r="F23" s="46"/>
      <c r="G23" s="46"/>
      <c r="H23" s="46"/>
      <c r="I23" s="159"/>
    </row>
    <row r="24" spans="1:11">
      <c r="A24" s="158"/>
      <c r="B24" s="46"/>
      <c r="C24" s="46"/>
      <c r="D24" s="46"/>
      <c r="E24" s="46"/>
      <c r="F24" s="46"/>
      <c r="G24" s="46"/>
      <c r="H24" s="46"/>
      <c r="I24" s="159"/>
    </row>
    <row r="25" spans="1:11">
      <c r="A25" s="158"/>
      <c r="B25" s="46"/>
      <c r="C25" s="46"/>
      <c r="D25" s="46"/>
      <c r="E25" s="46"/>
      <c r="F25" s="46"/>
      <c r="G25" s="46"/>
      <c r="H25" s="46"/>
      <c r="I25" s="159"/>
    </row>
    <row r="26" spans="1:11">
      <c r="A26" s="158"/>
      <c r="B26" s="46"/>
      <c r="C26" s="46"/>
      <c r="D26" s="46"/>
      <c r="E26" s="46"/>
      <c r="F26" s="46"/>
      <c r="G26" s="46"/>
      <c r="H26" s="46"/>
      <c r="I26" s="159"/>
    </row>
    <row r="27" spans="1:11">
      <c r="A27" s="158"/>
      <c r="B27" s="46"/>
      <c r="C27" s="46"/>
      <c r="D27" s="46"/>
      <c r="E27" s="46"/>
      <c r="F27" s="46"/>
      <c r="G27" s="46"/>
      <c r="H27" s="46"/>
      <c r="I27" s="159"/>
    </row>
    <row r="28" spans="1:11">
      <c r="A28" s="158"/>
      <c r="B28" s="46"/>
      <c r="C28" s="46"/>
      <c r="D28" s="46"/>
      <c r="E28" s="46"/>
      <c r="F28" s="46"/>
      <c r="G28" s="46"/>
      <c r="H28" s="46"/>
      <c r="I28" s="159"/>
    </row>
    <row r="29" spans="1:11">
      <c r="A29" s="158"/>
      <c r="B29" s="46"/>
      <c r="C29" s="46"/>
      <c r="D29" s="46"/>
      <c r="E29" s="46"/>
      <c r="F29" s="46"/>
      <c r="G29" s="46"/>
      <c r="H29" s="46"/>
      <c r="I29" s="159"/>
    </row>
    <row r="30" spans="1:11">
      <c r="A30" s="158"/>
      <c r="B30" s="46"/>
      <c r="C30" s="46"/>
      <c r="D30" s="46"/>
      <c r="E30" s="46"/>
      <c r="F30" s="46"/>
      <c r="G30" s="46"/>
      <c r="H30" s="46"/>
      <c r="I30" s="159"/>
    </row>
    <row r="31" spans="1:11" ht="15.6">
      <c r="A31" s="158"/>
      <c r="B31" s="46"/>
      <c r="C31" s="46"/>
      <c r="D31" s="46"/>
      <c r="E31" s="46"/>
      <c r="F31" s="46"/>
      <c r="G31" s="46"/>
      <c r="H31" s="46"/>
      <c r="I31" s="159"/>
      <c r="K31" s="145" t="s">
        <v>132</v>
      </c>
    </row>
    <row r="32" spans="1:11" ht="15.6">
      <c r="A32" s="158"/>
      <c r="B32" s="46"/>
      <c r="C32" s="46"/>
      <c r="D32" s="46"/>
      <c r="E32" s="46"/>
      <c r="F32" s="46"/>
      <c r="G32" s="46"/>
      <c r="H32" s="46"/>
      <c r="I32" s="159"/>
      <c r="K32" s="145" t="s">
        <v>130</v>
      </c>
    </row>
    <row r="33" spans="1:9">
      <c r="A33" s="158"/>
      <c r="B33" s="46"/>
      <c r="C33" s="46"/>
      <c r="D33" s="46"/>
      <c r="E33" s="46"/>
      <c r="F33" s="46"/>
      <c r="G33" s="46"/>
      <c r="H33" s="46"/>
      <c r="I33" s="159"/>
    </row>
    <row r="34" spans="1:9">
      <c r="A34" s="158"/>
      <c r="B34" s="46"/>
      <c r="C34" s="46"/>
      <c r="D34" s="46"/>
      <c r="E34" s="46"/>
      <c r="F34" s="46"/>
      <c r="G34" s="46"/>
      <c r="H34" s="46"/>
      <c r="I34" s="159"/>
    </row>
    <row r="35" spans="1:9">
      <c r="A35" s="158"/>
      <c r="B35" s="46"/>
      <c r="C35" s="46"/>
      <c r="D35" s="46"/>
      <c r="E35" s="46"/>
      <c r="F35" s="46"/>
      <c r="G35" s="46"/>
      <c r="H35" s="46"/>
      <c r="I35" s="159"/>
    </row>
    <row r="36" spans="1:9">
      <c r="A36" s="158"/>
      <c r="B36" s="46"/>
      <c r="C36" s="46"/>
      <c r="D36" s="46"/>
      <c r="E36" s="46"/>
      <c r="F36" s="46"/>
      <c r="G36" s="46"/>
      <c r="H36" s="46"/>
      <c r="I36" s="159"/>
    </row>
    <row r="37" spans="1:9">
      <c r="A37" s="158"/>
      <c r="B37" s="46"/>
      <c r="C37" s="46"/>
      <c r="D37" s="46"/>
      <c r="E37" s="46"/>
      <c r="F37" s="46"/>
      <c r="G37" s="46"/>
      <c r="H37" s="46"/>
      <c r="I37" s="159"/>
    </row>
    <row r="38" spans="1:9">
      <c r="A38" s="158"/>
      <c r="B38" s="46"/>
      <c r="C38" s="46"/>
      <c r="D38" s="46"/>
      <c r="E38" s="46"/>
      <c r="F38" s="46"/>
      <c r="G38" s="46"/>
      <c r="H38" s="46"/>
      <c r="I38" s="159"/>
    </row>
    <row r="39" spans="1:9">
      <c r="A39" s="158"/>
      <c r="B39" s="46"/>
      <c r="C39" s="46"/>
      <c r="D39" s="46"/>
      <c r="E39" s="46"/>
      <c r="F39" s="46"/>
      <c r="G39" s="46"/>
      <c r="H39" s="46"/>
      <c r="I39" s="159"/>
    </row>
    <row r="40" spans="1:9">
      <c r="A40" s="158"/>
      <c r="B40" s="46"/>
      <c r="C40" s="46"/>
      <c r="D40" s="46"/>
      <c r="E40" s="46"/>
      <c r="F40" s="46"/>
      <c r="G40" s="46"/>
      <c r="H40" s="46"/>
      <c r="I40" s="159"/>
    </row>
    <row r="41" spans="1:9">
      <c r="A41" s="158"/>
      <c r="B41" s="46"/>
      <c r="C41" s="46"/>
      <c r="D41" s="46"/>
      <c r="E41" s="46"/>
      <c r="F41" s="46"/>
      <c r="G41" s="46"/>
      <c r="H41" s="46"/>
      <c r="I41" s="159"/>
    </row>
    <row r="42" spans="1:9">
      <c r="A42" s="158"/>
      <c r="B42" s="46"/>
      <c r="C42" s="46"/>
      <c r="D42" s="46"/>
      <c r="E42" s="46"/>
      <c r="F42" s="46"/>
      <c r="G42" s="46"/>
      <c r="H42" s="46"/>
      <c r="I42" s="159"/>
    </row>
    <row r="43" spans="1:9">
      <c r="A43" s="158"/>
      <c r="B43" s="46"/>
      <c r="C43" s="46"/>
      <c r="D43" s="46"/>
      <c r="E43" s="46"/>
      <c r="F43" s="46"/>
      <c r="G43" s="46"/>
      <c r="H43" s="46"/>
      <c r="I43" s="159"/>
    </row>
    <row r="44" spans="1:9">
      <c r="A44" s="158"/>
      <c r="B44" s="46"/>
      <c r="C44" s="46"/>
      <c r="D44" s="46"/>
      <c r="E44" s="46"/>
      <c r="F44" s="46"/>
      <c r="G44" s="46"/>
      <c r="H44" s="46"/>
      <c r="I44" s="159"/>
    </row>
    <row r="45" spans="1:9">
      <c r="A45" s="158"/>
      <c r="B45" s="46"/>
      <c r="C45" s="46"/>
      <c r="D45" s="46"/>
      <c r="E45" s="46"/>
      <c r="F45" s="46"/>
      <c r="G45" s="46"/>
      <c r="H45" s="46"/>
      <c r="I45" s="159"/>
    </row>
    <row r="46" spans="1:9">
      <c r="A46" s="158"/>
      <c r="B46" s="46"/>
      <c r="C46" s="46"/>
      <c r="D46" s="46"/>
      <c r="E46" s="46"/>
      <c r="F46" s="46"/>
      <c r="G46" s="46"/>
      <c r="H46" s="46"/>
      <c r="I46" s="159"/>
    </row>
    <row r="47" spans="1:9" ht="13.8" thickBot="1">
      <c r="A47" s="158"/>
      <c r="B47" s="46"/>
      <c r="C47" s="46"/>
      <c r="D47" s="46"/>
      <c r="E47" s="46"/>
      <c r="F47" s="46"/>
      <c r="G47" s="46"/>
      <c r="H47" s="46"/>
      <c r="I47" s="159"/>
    </row>
    <row r="48" spans="1:9" ht="13.8" thickBot="1">
      <c r="A48" s="158"/>
      <c r="B48" s="46"/>
      <c r="C48" s="46"/>
      <c r="D48" s="46"/>
      <c r="E48" s="46"/>
      <c r="F48" s="46"/>
      <c r="G48" s="328" t="s">
        <v>359</v>
      </c>
      <c r="H48" s="329"/>
      <c r="I48" s="330"/>
    </row>
    <row r="49" spans="1:9">
      <c r="A49" s="158"/>
      <c r="B49" s="46"/>
      <c r="C49" s="46"/>
      <c r="D49" s="46"/>
      <c r="E49" s="46"/>
      <c r="F49" s="46"/>
      <c r="G49" s="322" t="str">
        <f>POMOC!B42</f>
        <v>DUŻY (PŁX1-576-1)</v>
      </c>
      <c r="H49" s="323"/>
      <c r="I49" s="324"/>
    </row>
    <row r="50" spans="1:9" ht="13.8" thickBot="1">
      <c r="A50" s="158"/>
      <c r="B50" s="46"/>
      <c r="C50" s="46"/>
      <c r="D50" s="46"/>
      <c r="E50" s="46"/>
      <c r="F50" s="46"/>
      <c r="G50" s="325"/>
      <c r="H50" s="326"/>
      <c r="I50" s="327"/>
    </row>
    <row r="51" spans="1:9" ht="13.8" thickBot="1">
      <c r="A51" s="158"/>
      <c r="B51" s="46"/>
      <c r="C51" s="46"/>
      <c r="D51" s="46"/>
      <c r="E51" s="46"/>
      <c r="F51" s="167"/>
      <c r="G51" s="46"/>
      <c r="H51" s="246"/>
      <c r="I51" s="247" t="s">
        <v>355</v>
      </c>
    </row>
    <row r="52" spans="1:9">
      <c r="A52" s="103"/>
      <c r="B52" s="71" t="s">
        <v>56</v>
      </c>
      <c r="C52" s="157" t="str">
        <f>POMOC!B6</f>
        <v>Mariusz Malec</v>
      </c>
      <c r="D52" s="62"/>
      <c r="E52" s="62"/>
      <c r="F52" s="172"/>
      <c r="G52" s="168"/>
      <c r="H52" s="243" t="s">
        <v>352</v>
      </c>
      <c r="I52" s="169">
        <f>POMOC!B38</f>
        <v>96</v>
      </c>
    </row>
    <row r="53" spans="1:9">
      <c r="A53" s="104"/>
      <c r="B53" s="25"/>
      <c r="C53" s="50"/>
      <c r="D53" s="50"/>
      <c r="E53" s="50"/>
      <c r="F53" s="169"/>
      <c r="G53" s="168"/>
      <c r="H53" s="243" t="s">
        <v>353</v>
      </c>
      <c r="I53" s="169">
        <f>POMOC!B39</f>
        <v>42</v>
      </c>
    </row>
    <row r="54" spans="1:9" ht="13.8" thickBot="1">
      <c r="A54" s="105"/>
      <c r="B54" s="29" t="s">
        <v>0</v>
      </c>
      <c r="C54" s="106">
        <f ca="1">POMOC!B8</f>
        <v>44742</v>
      </c>
      <c r="D54" s="29" t="s">
        <v>58</v>
      </c>
      <c r="E54" s="64"/>
      <c r="F54" s="171"/>
      <c r="G54" s="170"/>
      <c r="H54" s="244" t="s">
        <v>354</v>
      </c>
      <c r="I54" s="171">
        <f>POMOC!B40</f>
        <v>270.58</v>
      </c>
    </row>
  </sheetData>
  <customSheetViews>
    <customSheetView guid="{41C149A7-898D-4942-9D39-7B19CD58B51D}" scale="60" showPageBreaks="1" showGridLines="0" view="pageBreakPreview">
      <selection activeCell="B20" sqref="B20:I21"/>
    </customSheetView>
  </customSheetViews>
  <mergeCells count="38">
    <mergeCell ref="G49:I50"/>
    <mergeCell ref="G48:I48"/>
    <mergeCell ref="B20:I21"/>
    <mergeCell ref="D15:G18"/>
    <mergeCell ref="H13:I13"/>
    <mergeCell ref="H14:I14"/>
    <mergeCell ref="A17:C18"/>
    <mergeCell ref="A16:C16"/>
    <mergeCell ref="A15:C15"/>
    <mergeCell ref="H17:I17"/>
    <mergeCell ref="H18:I18"/>
    <mergeCell ref="A4:C4"/>
    <mergeCell ref="H5:I6"/>
    <mergeCell ref="H16:I16"/>
    <mergeCell ref="H15:I15"/>
    <mergeCell ref="A13:G14"/>
    <mergeCell ref="D8:D9"/>
    <mergeCell ref="E8:F9"/>
    <mergeCell ref="H4:I4"/>
    <mergeCell ref="A5:C6"/>
    <mergeCell ref="D4:F4"/>
    <mergeCell ref="G7:I7"/>
    <mergeCell ref="F1:G1"/>
    <mergeCell ref="F2:G3"/>
    <mergeCell ref="A8:C9"/>
    <mergeCell ref="D10:F12"/>
    <mergeCell ref="A10:C12"/>
    <mergeCell ref="E7:F7"/>
    <mergeCell ref="A7:C7"/>
    <mergeCell ref="G10:I10"/>
    <mergeCell ref="G11:I12"/>
    <mergeCell ref="G8:I9"/>
    <mergeCell ref="A1:B3"/>
    <mergeCell ref="C1:E3"/>
    <mergeCell ref="G5:G6"/>
    <mergeCell ref="I2:I3"/>
    <mergeCell ref="H2:H3"/>
    <mergeCell ref="D5:F6"/>
  </mergeCells>
  <phoneticPr fontId="38" type="noConversion"/>
  <pageMargins left="0.25" right="0.25" top="0.25" bottom="0.25" header="0.3" footer="0.3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ructionGener">
                <anchor moveWithCells="1" sizeWithCells="1">
                  <from>
                    <xdr:col>10</xdr:col>
                    <xdr:colOff>30480</xdr:colOff>
                    <xdr:row>23</xdr:row>
                    <xdr:rowOff>30480</xdr:rowOff>
                  </from>
                  <to>
                    <xdr:col>13</xdr:col>
                    <xdr:colOff>144780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CAxisAvailable_Click">
                <anchor moveWithCells="1" sizeWithCells="1">
                  <from>
                    <xdr:col>10</xdr:col>
                    <xdr:colOff>30480</xdr:colOff>
                    <xdr:row>33</xdr:row>
                    <xdr:rowOff>30480</xdr:rowOff>
                  </from>
                  <to>
                    <xdr:col>10</xdr:col>
                    <xdr:colOff>1097280</xdr:colOff>
                    <xdr:row>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CAxisUnavailable_Click">
                <anchor moveWithCells="1" sizeWithCells="1">
                  <from>
                    <xdr:col>11</xdr:col>
                    <xdr:colOff>266700</xdr:colOff>
                    <xdr:row>33</xdr:row>
                    <xdr:rowOff>7620</xdr:rowOff>
                  </from>
                  <to>
                    <xdr:col>13</xdr:col>
                    <xdr:colOff>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CAxisDelete_Click">
                <anchor moveWithCells="1" sizeWithCells="1">
                  <from>
                    <xdr:col>10</xdr:col>
                    <xdr:colOff>30480</xdr:colOff>
                    <xdr:row>36</xdr:row>
                    <xdr:rowOff>152400</xdr:rowOff>
                  </from>
                  <to>
                    <xdr:col>13</xdr:col>
                    <xdr:colOff>0</xdr:colOff>
                    <xdr:row>39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R62"/>
  <sheetViews>
    <sheetView view="pageBreakPreview" topLeftCell="A25" zoomScale="90" zoomScaleNormal="85" zoomScaleSheetLayoutView="90" workbookViewId="0">
      <selection activeCell="P40" sqref="P40"/>
    </sheetView>
  </sheetViews>
  <sheetFormatPr defaultColWidth="9.109375" defaultRowHeight="13.2"/>
  <cols>
    <col min="1" max="1" width="7.109375" style="1" customWidth="1"/>
    <col min="2" max="2" width="2.88671875" style="1" customWidth="1"/>
    <col min="3" max="3" width="8.109375" style="1" customWidth="1"/>
    <col min="4" max="4" width="16.88671875" style="1" customWidth="1"/>
    <col min="5" max="5" width="6.44140625" style="1" customWidth="1"/>
    <col min="6" max="6" width="6.88671875" style="1" customWidth="1"/>
    <col min="7" max="7" width="9.109375" style="1" customWidth="1"/>
    <col min="8" max="8" width="22.88671875" style="1" customWidth="1"/>
    <col min="9" max="9" width="7.88671875" style="1" customWidth="1"/>
    <col min="10" max="10" width="8.44140625" style="1" customWidth="1"/>
    <col min="11" max="11" width="9.88671875" style="1" customWidth="1"/>
    <col min="12" max="12" width="8.88671875" style="1" customWidth="1"/>
    <col min="13" max="13" width="10" style="1" customWidth="1"/>
    <col min="14" max="14" width="7.109375" style="1" customWidth="1"/>
    <col min="15" max="15" width="7.44140625" style="1" customWidth="1"/>
    <col min="16" max="16" width="6.44140625" style="1" customWidth="1"/>
    <col min="17" max="17" width="17.6640625" style="1" customWidth="1"/>
    <col min="18" max="16384" width="9.109375" style="1"/>
  </cols>
  <sheetData>
    <row r="1" spans="1:18" ht="18" customHeight="1">
      <c r="A1" s="400" t="s">
        <v>114</v>
      </c>
      <c r="B1" s="401"/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2"/>
      <c r="P1" s="382" t="s">
        <v>45</v>
      </c>
      <c r="Q1" s="383"/>
    </row>
    <row r="2" spans="1:18" ht="18.75" customHeight="1" thickBot="1">
      <c r="A2" s="214" t="s">
        <v>28</v>
      </c>
      <c r="B2" s="403" t="s">
        <v>24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4"/>
      <c r="P2" s="394" t="s">
        <v>262</v>
      </c>
      <c r="Q2" s="395"/>
    </row>
    <row r="3" spans="1:18" ht="18.75" customHeight="1">
      <c r="A3" s="396" t="s">
        <v>29</v>
      </c>
      <c r="B3" s="384" t="str">
        <f>POMOC!B6</f>
        <v>Mariusz Malec</v>
      </c>
      <c r="C3" s="384"/>
      <c r="D3" s="385"/>
      <c r="E3" s="388" t="s">
        <v>0</v>
      </c>
      <c r="F3" s="389"/>
      <c r="G3" s="212" t="s">
        <v>120</v>
      </c>
      <c r="H3" s="213" t="s">
        <v>119</v>
      </c>
      <c r="I3" s="392" t="s">
        <v>11</v>
      </c>
      <c r="J3" s="392"/>
      <c r="K3" s="393"/>
      <c r="L3" s="364" t="s">
        <v>1</v>
      </c>
      <c r="M3" s="365"/>
      <c r="N3" s="365"/>
      <c r="O3" s="365"/>
      <c r="P3" s="365"/>
      <c r="Q3" s="366"/>
    </row>
    <row r="4" spans="1:18" ht="18.75" customHeight="1" thickBot="1">
      <c r="A4" s="397"/>
      <c r="B4" s="386"/>
      <c r="C4" s="386"/>
      <c r="D4" s="387"/>
      <c r="E4" s="390">
        <f ca="1">POMOC!B8</f>
        <v>44742</v>
      </c>
      <c r="F4" s="391"/>
      <c r="G4" s="139">
        <f>POMOC!B11</f>
        <v>0</v>
      </c>
      <c r="H4" s="139" t="str">
        <f>'KARTA USTAWCZA'!G5</f>
        <v>ST12T</v>
      </c>
      <c r="I4" s="398" t="str">
        <f>'KARTA USTAWCZA'!A8</f>
        <v>RTB Wirnikowa 8000</v>
      </c>
      <c r="J4" s="399"/>
      <c r="K4" s="399"/>
      <c r="L4" s="367" t="str">
        <f>'KARTA USTAWCZA'!F2</f>
        <v>HSTM300 Sin840D</v>
      </c>
      <c r="M4" s="368"/>
      <c r="N4" s="368"/>
      <c r="O4" s="368"/>
      <c r="P4" s="368"/>
      <c r="Q4" s="369"/>
    </row>
    <row r="5" spans="1:18" ht="29.25" customHeight="1" thickBot="1">
      <c r="A5" s="207" t="s">
        <v>4</v>
      </c>
      <c r="B5" s="427" t="str">
        <f>POMOC!B13</f>
        <v>A888888</v>
      </c>
      <c r="C5" s="428"/>
      <c r="D5" s="429"/>
      <c r="E5" s="408" t="s">
        <v>6</v>
      </c>
      <c r="F5" s="409"/>
      <c r="G5" s="358" t="str">
        <f>POMOC!B10</f>
        <v>137T000339P1001</v>
      </c>
      <c r="H5" s="359"/>
      <c r="I5" s="410" t="s">
        <v>127</v>
      </c>
      <c r="J5" s="358"/>
      <c r="K5" s="370" t="str">
        <f>POMOC!B4</f>
        <v>IMR-006591-STRH151141</v>
      </c>
      <c r="L5" s="370"/>
      <c r="M5" s="370"/>
      <c r="N5" s="370"/>
      <c r="O5" s="370"/>
      <c r="P5" s="370"/>
      <c r="Q5" s="371"/>
    </row>
    <row r="6" spans="1:18" ht="17.25" customHeight="1">
      <c r="A6" s="421" t="s">
        <v>5</v>
      </c>
      <c r="B6" s="425" t="s">
        <v>25</v>
      </c>
      <c r="C6" s="412" t="s">
        <v>2</v>
      </c>
      <c r="D6" s="423"/>
      <c r="E6" s="411" t="s">
        <v>3</v>
      </c>
      <c r="F6" s="412"/>
      <c r="G6" s="378" t="s">
        <v>128</v>
      </c>
      <c r="H6" s="415" t="s">
        <v>129</v>
      </c>
      <c r="I6" s="405" t="s">
        <v>112</v>
      </c>
      <c r="J6" s="406"/>
      <c r="K6" s="407"/>
      <c r="L6" s="405" t="s">
        <v>26</v>
      </c>
      <c r="M6" s="407"/>
      <c r="N6" s="417" t="s">
        <v>105</v>
      </c>
      <c r="O6" s="419" t="s">
        <v>333</v>
      </c>
      <c r="P6" s="360" t="s">
        <v>334</v>
      </c>
      <c r="Q6" s="362" t="s">
        <v>335</v>
      </c>
    </row>
    <row r="7" spans="1:18" ht="62.25" customHeight="1" thickBot="1">
      <c r="A7" s="422"/>
      <c r="B7" s="426"/>
      <c r="C7" s="414"/>
      <c r="D7" s="424"/>
      <c r="E7" s="413"/>
      <c r="F7" s="414"/>
      <c r="G7" s="379"/>
      <c r="H7" s="416"/>
      <c r="I7" s="163" t="s">
        <v>124</v>
      </c>
      <c r="J7" s="164" t="s">
        <v>123</v>
      </c>
      <c r="K7" s="165" t="s">
        <v>122</v>
      </c>
      <c r="L7" s="163" t="s">
        <v>121</v>
      </c>
      <c r="M7" s="166" t="s">
        <v>125</v>
      </c>
      <c r="N7" s="418"/>
      <c r="O7" s="420"/>
      <c r="P7" s="361"/>
      <c r="Q7" s="363"/>
    </row>
    <row r="8" spans="1:18" ht="33" customHeight="1">
      <c r="A8" s="144">
        <v>9</v>
      </c>
      <c r="B8" s="33"/>
      <c r="C8" s="380" t="s">
        <v>81</v>
      </c>
      <c r="D8" s="381"/>
      <c r="E8" s="376">
        <v>958435</v>
      </c>
      <c r="F8" s="377"/>
      <c r="G8" s="142">
        <v>958435</v>
      </c>
      <c r="H8" s="160" t="s">
        <v>373</v>
      </c>
      <c r="I8" s="137">
        <v>150</v>
      </c>
      <c r="J8" s="135">
        <v>16</v>
      </c>
      <c r="K8" s="133">
        <v>1</v>
      </c>
      <c r="L8" s="161">
        <v>3580</v>
      </c>
      <c r="M8" s="162">
        <v>1224</v>
      </c>
      <c r="N8" s="208"/>
      <c r="O8" s="224">
        <v>120</v>
      </c>
      <c r="P8" s="223"/>
      <c r="Q8" s="225"/>
      <c r="R8" s="1" t="str">
        <f t="shared" ref="R8:R37" si="0">IF(OR(AND(D8=61,NOT(F8="cechowanie")),AND(D8=81,NOT(F8="Gratowanie")),AND(D8=61,NOT(F8="cechowanie FEE")),AND(D8=61,NOT(F8="cechowanie FEA"))),"BŁĘDNY NUMER PODPROGRAMU!   NUMERY 61 i 81 ZAREZERWOWANE!   61 - CECHOWANIE ; 81 - GRATOWANIE","")</f>
        <v/>
      </c>
    </row>
    <row r="9" spans="1:18" ht="33" customHeight="1">
      <c r="A9" s="143">
        <v>11</v>
      </c>
      <c r="B9" s="32"/>
      <c r="C9" s="374" t="s">
        <v>364</v>
      </c>
      <c r="D9" s="375"/>
      <c r="E9" s="372">
        <v>941290</v>
      </c>
      <c r="F9" s="373"/>
      <c r="G9" s="140">
        <v>941290</v>
      </c>
      <c r="H9" s="117" t="s">
        <v>374</v>
      </c>
      <c r="I9" s="122">
        <v>90</v>
      </c>
      <c r="J9" s="123">
        <v>50</v>
      </c>
      <c r="K9" s="131">
        <v>6</v>
      </c>
      <c r="L9" s="127">
        <v>1718</v>
      </c>
      <c r="M9" s="128">
        <v>2834</v>
      </c>
      <c r="N9" s="206"/>
      <c r="O9" s="226">
        <v>60</v>
      </c>
      <c r="P9" s="222"/>
      <c r="Q9" s="227"/>
      <c r="R9" s="1" t="str">
        <f t="shared" si="0"/>
        <v/>
      </c>
    </row>
    <row r="10" spans="1:18" ht="33" customHeight="1">
      <c r="A10" s="143">
        <v>13</v>
      </c>
      <c r="B10" s="32"/>
      <c r="C10" s="374" t="s">
        <v>83</v>
      </c>
      <c r="D10" s="375"/>
      <c r="E10" s="372">
        <v>941291</v>
      </c>
      <c r="F10" s="373"/>
      <c r="G10" s="140">
        <v>941291</v>
      </c>
      <c r="H10" s="117" t="s">
        <v>373</v>
      </c>
      <c r="I10" s="122">
        <v>90</v>
      </c>
      <c r="J10" s="123">
        <v>50</v>
      </c>
      <c r="K10" s="131">
        <v>6</v>
      </c>
      <c r="L10" s="127">
        <v>1718</v>
      </c>
      <c r="M10" s="128">
        <v>2834</v>
      </c>
      <c r="N10" s="206"/>
      <c r="O10" s="226">
        <v>60</v>
      </c>
      <c r="P10" s="222"/>
      <c r="Q10" s="227"/>
      <c r="R10" s="1" t="str">
        <f t="shared" si="0"/>
        <v/>
      </c>
    </row>
    <row r="11" spans="1:18" ht="33" customHeight="1">
      <c r="A11" s="143">
        <v>14</v>
      </c>
      <c r="B11" s="32"/>
      <c r="C11" s="374" t="s">
        <v>365</v>
      </c>
      <c r="D11" s="375"/>
      <c r="E11" s="372">
        <v>941290</v>
      </c>
      <c r="F11" s="373"/>
      <c r="G11" s="140">
        <v>941290</v>
      </c>
      <c r="H11" s="117" t="s">
        <v>373</v>
      </c>
      <c r="I11" s="122">
        <v>90</v>
      </c>
      <c r="J11" s="123">
        <v>50</v>
      </c>
      <c r="K11" s="131">
        <v>6</v>
      </c>
      <c r="L11" s="127">
        <v>1718</v>
      </c>
      <c r="M11" s="128">
        <v>2834</v>
      </c>
      <c r="N11" s="206"/>
      <c r="O11" s="226">
        <v>60</v>
      </c>
      <c r="P11" s="222"/>
      <c r="Q11" s="227"/>
      <c r="R11" s="1" t="str">
        <f t="shared" si="0"/>
        <v/>
      </c>
    </row>
    <row r="12" spans="1:18" ht="33" customHeight="1">
      <c r="A12" s="143">
        <v>20</v>
      </c>
      <c r="B12" s="32"/>
      <c r="C12" s="374" t="s">
        <v>85</v>
      </c>
      <c r="D12" s="375"/>
      <c r="E12" s="372">
        <v>940969</v>
      </c>
      <c r="F12" s="373"/>
      <c r="G12" s="140">
        <v>940969</v>
      </c>
      <c r="H12" s="117" t="s">
        <v>375</v>
      </c>
      <c r="I12" s="122">
        <v>95</v>
      </c>
      <c r="J12" s="123">
        <v>25</v>
      </c>
      <c r="K12" s="131">
        <v>5</v>
      </c>
      <c r="L12" s="127">
        <v>2546</v>
      </c>
      <c r="M12" s="128">
        <v>1909</v>
      </c>
      <c r="N12" s="206"/>
      <c r="O12" s="226">
        <v>60</v>
      </c>
      <c r="P12" s="222"/>
      <c r="Q12" s="227"/>
      <c r="R12" s="1" t="str">
        <f t="shared" si="0"/>
        <v/>
      </c>
    </row>
    <row r="13" spans="1:18" ht="33" customHeight="1">
      <c r="A13" s="143">
        <v>32</v>
      </c>
      <c r="B13" s="32"/>
      <c r="C13" s="374" t="s">
        <v>86</v>
      </c>
      <c r="D13" s="375"/>
      <c r="E13" s="372">
        <v>940626</v>
      </c>
      <c r="F13" s="373"/>
      <c r="G13" s="140">
        <v>940626</v>
      </c>
      <c r="H13" s="117" t="s">
        <v>376</v>
      </c>
      <c r="I13" s="122">
        <v>155</v>
      </c>
      <c r="J13" s="123">
        <v>8.391</v>
      </c>
      <c r="K13" s="131">
        <v>5</v>
      </c>
      <c r="L13" s="127">
        <v>6987</v>
      </c>
      <c r="M13" s="128">
        <v>1456</v>
      </c>
      <c r="N13" s="206"/>
      <c r="O13" s="226">
        <v>200</v>
      </c>
      <c r="P13" s="222"/>
      <c r="Q13" s="227"/>
      <c r="R13" s="1" t="str">
        <f t="shared" si="0"/>
        <v/>
      </c>
    </row>
    <row r="14" spans="1:18" ht="33" customHeight="1">
      <c r="A14" s="143"/>
      <c r="B14" s="32"/>
      <c r="C14" s="374"/>
      <c r="D14" s="375"/>
      <c r="E14" s="372"/>
      <c r="F14" s="373"/>
      <c r="G14" s="140"/>
      <c r="H14" s="117"/>
      <c r="I14" s="122"/>
      <c r="J14" s="123"/>
      <c r="K14" s="131"/>
      <c r="L14" s="127"/>
      <c r="M14" s="128"/>
      <c r="N14" s="206"/>
      <c r="O14" s="226"/>
      <c r="P14" s="222"/>
      <c r="Q14" s="227"/>
      <c r="R14" s="1" t="str">
        <f t="shared" si="0"/>
        <v/>
      </c>
    </row>
    <row r="15" spans="1:18" ht="33" customHeight="1">
      <c r="A15" s="143">
        <v>40</v>
      </c>
      <c r="B15" s="32"/>
      <c r="C15" s="374" t="s">
        <v>366</v>
      </c>
      <c r="D15" s="375"/>
      <c r="E15" s="372">
        <v>958842</v>
      </c>
      <c r="F15" s="373"/>
      <c r="G15" s="140">
        <v>958842</v>
      </c>
      <c r="H15" s="117" t="s">
        <v>373</v>
      </c>
      <c r="I15" s="122">
        <v>155</v>
      </c>
      <c r="J15" s="123">
        <v>20</v>
      </c>
      <c r="K15" s="131">
        <v>4</v>
      </c>
      <c r="L15" s="127">
        <v>3183</v>
      </c>
      <c r="M15" s="128">
        <v>1527</v>
      </c>
      <c r="N15" s="206"/>
      <c r="O15" s="226">
        <v>0</v>
      </c>
      <c r="P15" s="222"/>
      <c r="Q15" s="227"/>
      <c r="R15" s="1" t="str">
        <f t="shared" si="0"/>
        <v/>
      </c>
    </row>
    <row r="16" spans="1:18" ht="33" customHeight="1">
      <c r="A16" s="143">
        <v>41</v>
      </c>
      <c r="B16" s="32"/>
      <c r="C16" s="374" t="s">
        <v>367</v>
      </c>
      <c r="D16" s="375"/>
      <c r="E16" s="372">
        <v>940861</v>
      </c>
      <c r="F16" s="373"/>
      <c r="G16" s="140">
        <v>940861</v>
      </c>
      <c r="H16" s="117" t="s">
        <v>377</v>
      </c>
      <c r="I16" s="122">
        <v>124</v>
      </c>
      <c r="J16" s="123">
        <v>12</v>
      </c>
      <c r="K16" s="131">
        <v>4</v>
      </c>
      <c r="L16" s="127">
        <v>4244</v>
      </c>
      <c r="M16" s="128">
        <v>594</v>
      </c>
      <c r="N16" s="206"/>
      <c r="O16" s="226">
        <v>60</v>
      </c>
      <c r="P16" s="222"/>
      <c r="Q16" s="227"/>
      <c r="R16" s="1" t="str">
        <f t="shared" si="0"/>
        <v/>
      </c>
    </row>
    <row r="17" spans="1:18" ht="33" customHeight="1">
      <c r="A17" s="143">
        <v>47</v>
      </c>
      <c r="B17" s="32"/>
      <c r="C17" s="374" t="s">
        <v>368</v>
      </c>
      <c r="D17" s="375"/>
      <c r="E17" s="372">
        <v>940862</v>
      </c>
      <c r="F17" s="373"/>
      <c r="G17" s="140">
        <v>940862</v>
      </c>
      <c r="H17" s="117" t="s">
        <v>378</v>
      </c>
      <c r="I17" s="122">
        <v>122</v>
      </c>
      <c r="J17" s="123">
        <v>12</v>
      </c>
      <c r="K17" s="131">
        <v>4</v>
      </c>
      <c r="L17" s="127">
        <v>5039</v>
      </c>
      <c r="M17" s="128">
        <v>705</v>
      </c>
      <c r="N17" s="206"/>
      <c r="O17" s="226">
        <v>60</v>
      </c>
      <c r="P17" s="222"/>
      <c r="Q17" s="227"/>
      <c r="R17" s="1" t="str">
        <f t="shared" si="0"/>
        <v/>
      </c>
    </row>
    <row r="18" spans="1:18" ht="33" customHeight="1">
      <c r="A18" s="143">
        <v>49</v>
      </c>
      <c r="B18" s="32"/>
      <c r="C18" s="374" t="s">
        <v>88</v>
      </c>
      <c r="D18" s="375"/>
      <c r="E18" s="372">
        <v>940661</v>
      </c>
      <c r="F18" s="373"/>
      <c r="G18" s="140">
        <v>940661</v>
      </c>
      <c r="H18" s="117" t="s">
        <v>379</v>
      </c>
      <c r="I18" s="122">
        <v>135</v>
      </c>
      <c r="J18" s="123">
        <v>20</v>
      </c>
      <c r="K18" s="131">
        <v>0.8</v>
      </c>
      <c r="L18" s="127">
        <v>3200</v>
      </c>
      <c r="M18" s="128">
        <v>806</v>
      </c>
      <c r="N18" s="206"/>
      <c r="O18" s="226">
        <v>120</v>
      </c>
      <c r="P18" s="222"/>
      <c r="Q18" s="227"/>
      <c r="R18" s="1" t="str">
        <f t="shared" si="0"/>
        <v/>
      </c>
    </row>
    <row r="19" spans="1:18" ht="33" customHeight="1">
      <c r="A19" s="143">
        <v>33</v>
      </c>
      <c r="B19" s="32"/>
      <c r="C19" s="374" t="s">
        <v>87</v>
      </c>
      <c r="D19" s="375"/>
      <c r="E19" s="372">
        <v>940683</v>
      </c>
      <c r="F19" s="373"/>
      <c r="G19" s="140">
        <v>940683</v>
      </c>
      <c r="H19" s="117" t="s">
        <v>380</v>
      </c>
      <c r="I19" s="122">
        <v>150</v>
      </c>
      <c r="J19" s="123">
        <v>5.0350000000000001</v>
      </c>
      <c r="K19" s="131">
        <v>3</v>
      </c>
      <c r="L19" s="127">
        <v>8619</v>
      </c>
      <c r="M19" s="128">
        <v>861</v>
      </c>
      <c r="N19" s="206"/>
      <c r="O19" s="226">
        <v>60</v>
      </c>
      <c r="P19" s="222"/>
      <c r="Q19" s="227"/>
      <c r="R19" s="1" t="str">
        <f t="shared" si="0"/>
        <v/>
      </c>
    </row>
    <row r="20" spans="1:18" ht="33" customHeight="1">
      <c r="A20" s="143">
        <v>34</v>
      </c>
      <c r="B20" s="32"/>
      <c r="C20" s="374" t="s">
        <v>369</v>
      </c>
      <c r="D20" s="375"/>
      <c r="E20" s="372">
        <v>941355</v>
      </c>
      <c r="F20" s="373"/>
      <c r="G20" s="140">
        <v>941355</v>
      </c>
      <c r="H20" s="117" t="s">
        <v>373</v>
      </c>
      <c r="I20" s="122">
        <v>130</v>
      </c>
      <c r="J20" s="123">
        <v>16</v>
      </c>
      <c r="K20" s="131">
        <v>4</v>
      </c>
      <c r="L20" s="127">
        <v>4774</v>
      </c>
      <c r="M20" s="128">
        <v>2291</v>
      </c>
      <c r="N20" s="206"/>
      <c r="O20" s="226">
        <v>60</v>
      </c>
      <c r="P20" s="222"/>
      <c r="Q20" s="227"/>
      <c r="R20" s="1" t="str">
        <f t="shared" si="0"/>
        <v/>
      </c>
    </row>
    <row r="21" spans="1:18" ht="33" customHeight="1">
      <c r="A21" s="143">
        <v>38</v>
      </c>
      <c r="B21" s="32"/>
      <c r="C21" s="374" t="s">
        <v>93</v>
      </c>
      <c r="D21" s="375"/>
      <c r="E21" s="372">
        <v>957774</v>
      </c>
      <c r="F21" s="373"/>
      <c r="G21" s="140">
        <v>957774</v>
      </c>
      <c r="H21" s="117" t="s">
        <v>375</v>
      </c>
      <c r="I21" s="122">
        <v>129</v>
      </c>
      <c r="J21" s="123">
        <v>10</v>
      </c>
      <c r="K21" s="131">
        <v>0</v>
      </c>
      <c r="L21" s="127">
        <v>2864</v>
      </c>
      <c r="M21" s="128">
        <v>458</v>
      </c>
      <c r="N21" s="206"/>
      <c r="O21" s="226">
        <v>60</v>
      </c>
      <c r="P21" s="222"/>
      <c r="Q21" s="227"/>
      <c r="R21" s="1" t="str">
        <f t="shared" si="0"/>
        <v/>
      </c>
    </row>
    <row r="22" spans="1:18" ht="33" customHeight="1">
      <c r="A22" s="143">
        <v>51</v>
      </c>
      <c r="B22" s="107"/>
      <c r="C22" s="374" t="s">
        <v>370</v>
      </c>
      <c r="D22" s="375"/>
      <c r="E22" s="372">
        <v>940790</v>
      </c>
      <c r="F22" s="373"/>
      <c r="G22" s="140">
        <v>940790</v>
      </c>
      <c r="H22" s="118" t="s">
        <v>376</v>
      </c>
      <c r="I22" s="122">
        <v>135</v>
      </c>
      <c r="J22" s="123">
        <v>8</v>
      </c>
      <c r="K22" s="131">
        <v>0</v>
      </c>
      <c r="L22" s="127">
        <v>7161</v>
      </c>
      <c r="M22" s="128">
        <v>859</v>
      </c>
      <c r="N22" s="206"/>
      <c r="O22" s="226">
        <v>60</v>
      </c>
      <c r="P22" s="222"/>
      <c r="Q22" s="227"/>
      <c r="R22" s="1" t="str">
        <f t="shared" si="0"/>
        <v/>
      </c>
    </row>
    <row r="23" spans="1:18" ht="33" customHeight="1">
      <c r="A23" s="143">
        <v>52</v>
      </c>
      <c r="B23" s="107"/>
      <c r="C23" s="436" t="s">
        <v>371</v>
      </c>
      <c r="D23" s="437"/>
      <c r="E23" s="438">
        <v>941121</v>
      </c>
      <c r="F23" s="439"/>
      <c r="G23" s="141">
        <v>941121</v>
      </c>
      <c r="H23" s="118" t="s">
        <v>380</v>
      </c>
      <c r="I23" s="136">
        <v>130</v>
      </c>
      <c r="J23" s="134">
        <v>16</v>
      </c>
      <c r="K23" s="132">
        <v>4</v>
      </c>
      <c r="L23" s="129">
        <v>4774</v>
      </c>
      <c r="M23" s="130">
        <v>954</v>
      </c>
      <c r="N23" s="206"/>
      <c r="O23" s="226">
        <v>60</v>
      </c>
      <c r="P23" s="222"/>
      <c r="Q23" s="227"/>
      <c r="R23" s="1" t="str">
        <f t="shared" si="0"/>
        <v/>
      </c>
    </row>
    <row r="24" spans="1:18" ht="33" customHeight="1">
      <c r="A24" s="143">
        <v>39</v>
      </c>
      <c r="B24" s="32"/>
      <c r="C24" s="430" t="s">
        <v>95</v>
      </c>
      <c r="D24" s="431"/>
      <c r="E24" s="372">
        <v>958329</v>
      </c>
      <c r="F24" s="373"/>
      <c r="G24" s="140">
        <v>958329</v>
      </c>
      <c r="H24" s="115" t="s">
        <v>376</v>
      </c>
      <c r="I24" s="122">
        <v>129</v>
      </c>
      <c r="J24" s="123">
        <v>9.5</v>
      </c>
      <c r="K24" s="131">
        <v>1</v>
      </c>
      <c r="L24" s="121">
        <v>5361</v>
      </c>
      <c r="M24" s="125">
        <v>643</v>
      </c>
      <c r="N24" s="208"/>
      <c r="O24" s="226">
        <v>60</v>
      </c>
      <c r="P24" s="222"/>
      <c r="Q24" s="227"/>
      <c r="R24" s="1" t="str">
        <f t="shared" si="0"/>
        <v/>
      </c>
    </row>
    <row r="25" spans="1:18" ht="33" customHeight="1">
      <c r="A25" s="143">
        <v>60</v>
      </c>
      <c r="B25" s="32"/>
      <c r="C25" s="430" t="s">
        <v>96</v>
      </c>
      <c r="D25" s="431"/>
      <c r="E25" s="372">
        <v>957453</v>
      </c>
      <c r="F25" s="373"/>
      <c r="G25" s="140">
        <v>957453</v>
      </c>
      <c r="H25" s="115" t="s">
        <v>381</v>
      </c>
      <c r="I25" s="122">
        <v>109</v>
      </c>
      <c r="J25" s="123">
        <v>5</v>
      </c>
      <c r="K25" s="131">
        <v>0</v>
      </c>
      <c r="L25" s="121">
        <v>12095</v>
      </c>
      <c r="M25" s="125">
        <v>544</v>
      </c>
      <c r="N25" s="208"/>
      <c r="O25" s="226">
        <v>20</v>
      </c>
      <c r="P25" s="222"/>
      <c r="Q25" s="227"/>
      <c r="R25" s="1" t="str">
        <f t="shared" si="0"/>
        <v/>
      </c>
    </row>
    <row r="26" spans="1:18" ht="33" customHeight="1">
      <c r="A26" s="143">
        <v>81</v>
      </c>
      <c r="B26" s="32"/>
      <c r="C26" s="430" t="s">
        <v>372</v>
      </c>
      <c r="D26" s="431"/>
      <c r="E26" s="372">
        <v>958476</v>
      </c>
      <c r="F26" s="373"/>
      <c r="G26" s="140">
        <v>958476</v>
      </c>
      <c r="H26" s="115" t="s">
        <v>373</v>
      </c>
      <c r="I26" s="122">
        <v>205</v>
      </c>
      <c r="J26" s="123">
        <v>40</v>
      </c>
      <c r="K26" s="131">
        <v>0</v>
      </c>
      <c r="L26" s="121">
        <v>2546</v>
      </c>
      <c r="M26" s="125">
        <v>2036</v>
      </c>
      <c r="N26" s="208"/>
      <c r="O26" s="226">
        <v>10</v>
      </c>
      <c r="P26" s="222"/>
      <c r="Q26" s="227"/>
      <c r="R26" s="1" t="str">
        <f t="shared" si="0"/>
        <v/>
      </c>
    </row>
    <row r="27" spans="1:18" ht="33" customHeight="1">
      <c r="A27" s="144">
        <v>61</v>
      </c>
      <c r="B27" s="33"/>
      <c r="C27" s="432" t="s">
        <v>97</v>
      </c>
      <c r="D27" s="433"/>
      <c r="E27" s="434">
        <v>956910</v>
      </c>
      <c r="F27" s="435"/>
      <c r="G27" s="142">
        <v>956910</v>
      </c>
      <c r="H27" s="116" t="s">
        <v>373</v>
      </c>
      <c r="I27" s="137">
        <v>180</v>
      </c>
      <c r="J27" s="135">
        <v>3</v>
      </c>
      <c r="K27" s="133">
        <v>0</v>
      </c>
      <c r="L27" s="124">
        <v>12732</v>
      </c>
      <c r="M27" s="126">
        <v>2546</v>
      </c>
      <c r="N27" s="208"/>
      <c r="O27" s="226">
        <v>0</v>
      </c>
      <c r="P27" s="222"/>
      <c r="Q27" s="227"/>
      <c r="R27" s="1" t="str">
        <f t="shared" si="0"/>
        <v/>
      </c>
    </row>
    <row r="28" spans="1:18" ht="33" customHeight="1">
      <c r="A28" s="144"/>
      <c r="B28" s="33"/>
      <c r="C28" s="432"/>
      <c r="D28" s="433"/>
      <c r="E28" s="372"/>
      <c r="F28" s="373"/>
      <c r="G28" s="140"/>
      <c r="H28" s="116"/>
      <c r="I28" s="122"/>
      <c r="J28" s="123"/>
      <c r="K28" s="131"/>
      <c r="L28" s="121"/>
      <c r="M28" s="125"/>
      <c r="N28" s="208"/>
      <c r="O28" s="226"/>
      <c r="P28" s="222"/>
      <c r="Q28" s="227"/>
      <c r="R28" s="1" t="str">
        <f t="shared" si="0"/>
        <v/>
      </c>
    </row>
    <row r="29" spans="1:18" ht="33" customHeight="1">
      <c r="A29" s="143"/>
      <c r="B29" s="32"/>
      <c r="C29" s="430"/>
      <c r="D29" s="431"/>
      <c r="E29" s="372"/>
      <c r="F29" s="373"/>
      <c r="G29" s="140"/>
      <c r="H29" s="115"/>
      <c r="I29" s="122"/>
      <c r="J29" s="123"/>
      <c r="K29" s="131"/>
      <c r="L29" s="121"/>
      <c r="M29" s="125"/>
      <c r="N29" s="208"/>
      <c r="O29" s="226"/>
      <c r="P29" s="222"/>
      <c r="Q29" s="227"/>
      <c r="R29" s="1" t="str">
        <f t="shared" si="0"/>
        <v/>
      </c>
    </row>
    <row r="30" spans="1:18" ht="33" customHeight="1">
      <c r="A30" s="143"/>
      <c r="B30" s="32"/>
      <c r="C30" s="430"/>
      <c r="D30" s="431"/>
      <c r="E30" s="372"/>
      <c r="F30" s="373"/>
      <c r="G30" s="140"/>
      <c r="H30" s="115"/>
      <c r="I30" s="122"/>
      <c r="J30" s="123"/>
      <c r="K30" s="131"/>
      <c r="L30" s="121"/>
      <c r="M30" s="125"/>
      <c r="N30" s="208"/>
      <c r="O30" s="226"/>
      <c r="P30" s="222"/>
      <c r="Q30" s="227"/>
      <c r="R30" s="1" t="str">
        <f t="shared" si="0"/>
        <v/>
      </c>
    </row>
    <row r="31" spans="1:18" ht="33" customHeight="1">
      <c r="A31" s="143"/>
      <c r="B31" s="32"/>
      <c r="C31" s="430"/>
      <c r="D31" s="431"/>
      <c r="E31" s="372"/>
      <c r="F31" s="373"/>
      <c r="G31" s="140"/>
      <c r="H31" s="115"/>
      <c r="I31" s="122"/>
      <c r="J31" s="123"/>
      <c r="K31" s="131"/>
      <c r="L31" s="121"/>
      <c r="M31" s="125"/>
      <c r="N31" s="208"/>
      <c r="O31" s="226"/>
      <c r="P31" s="222"/>
      <c r="Q31" s="227"/>
      <c r="R31" s="1" t="str">
        <f t="shared" si="0"/>
        <v/>
      </c>
    </row>
    <row r="32" spans="1:18" ht="33" customHeight="1">
      <c r="A32" s="143"/>
      <c r="B32" s="32"/>
      <c r="C32" s="430"/>
      <c r="D32" s="431"/>
      <c r="E32" s="372"/>
      <c r="F32" s="373"/>
      <c r="G32" s="140"/>
      <c r="H32" s="115"/>
      <c r="I32" s="122"/>
      <c r="J32" s="123"/>
      <c r="K32" s="131"/>
      <c r="L32" s="121"/>
      <c r="M32" s="125"/>
      <c r="N32" s="208"/>
      <c r="O32" s="226"/>
      <c r="P32" s="222"/>
      <c r="Q32" s="227"/>
      <c r="R32" s="1" t="str">
        <f t="shared" si="0"/>
        <v/>
      </c>
    </row>
    <row r="33" spans="1:18" ht="33" customHeight="1">
      <c r="A33" s="143"/>
      <c r="B33" s="32"/>
      <c r="C33" s="442"/>
      <c r="D33" s="443"/>
      <c r="E33" s="372"/>
      <c r="F33" s="373"/>
      <c r="G33" s="140"/>
      <c r="H33" s="115"/>
      <c r="I33" s="122"/>
      <c r="J33" s="123"/>
      <c r="K33" s="131"/>
      <c r="L33" s="121"/>
      <c r="M33" s="125"/>
      <c r="N33" s="208"/>
      <c r="O33" s="226"/>
      <c r="P33" s="222"/>
      <c r="Q33" s="227"/>
      <c r="R33" s="1" t="str">
        <f t="shared" si="0"/>
        <v/>
      </c>
    </row>
    <row r="34" spans="1:18" ht="33" customHeight="1">
      <c r="A34" s="143"/>
      <c r="B34" s="32"/>
      <c r="C34" s="442"/>
      <c r="D34" s="443"/>
      <c r="E34" s="372"/>
      <c r="F34" s="373"/>
      <c r="G34" s="140"/>
      <c r="H34" s="115"/>
      <c r="I34" s="122"/>
      <c r="J34" s="123"/>
      <c r="K34" s="131"/>
      <c r="L34" s="121"/>
      <c r="M34" s="125"/>
      <c r="N34" s="208"/>
      <c r="O34" s="226"/>
      <c r="P34" s="222"/>
      <c r="Q34" s="227"/>
      <c r="R34" s="1" t="str">
        <f t="shared" si="0"/>
        <v/>
      </c>
    </row>
    <row r="35" spans="1:18" ht="33" customHeight="1">
      <c r="A35" s="143"/>
      <c r="B35" s="32"/>
      <c r="C35" s="442"/>
      <c r="D35" s="443"/>
      <c r="E35" s="372"/>
      <c r="F35" s="373"/>
      <c r="G35" s="140"/>
      <c r="H35" s="115"/>
      <c r="I35" s="122"/>
      <c r="J35" s="123"/>
      <c r="K35" s="131"/>
      <c r="L35" s="121"/>
      <c r="M35" s="125"/>
      <c r="N35" s="208"/>
      <c r="O35" s="226"/>
      <c r="P35" s="222"/>
      <c r="Q35" s="227"/>
      <c r="R35" s="1" t="str">
        <f t="shared" si="0"/>
        <v/>
      </c>
    </row>
    <row r="36" spans="1:18" ht="33" customHeight="1">
      <c r="A36" s="143"/>
      <c r="B36" s="32"/>
      <c r="C36" s="442"/>
      <c r="D36" s="443"/>
      <c r="E36" s="372"/>
      <c r="F36" s="373"/>
      <c r="G36" s="140"/>
      <c r="H36" s="115"/>
      <c r="I36" s="122"/>
      <c r="J36" s="123"/>
      <c r="K36" s="131"/>
      <c r="L36" s="121"/>
      <c r="M36" s="125"/>
      <c r="N36" s="208"/>
      <c r="O36" s="226"/>
      <c r="P36" s="222"/>
      <c r="Q36" s="227"/>
      <c r="R36" s="1" t="str">
        <f t="shared" si="0"/>
        <v/>
      </c>
    </row>
    <row r="37" spans="1:18" ht="33" customHeight="1" thickBot="1">
      <c r="A37" s="215"/>
      <c r="B37" s="107"/>
      <c r="C37" s="440"/>
      <c r="D37" s="441"/>
      <c r="E37" s="438"/>
      <c r="F37" s="439"/>
      <c r="G37" s="141"/>
      <c r="H37" s="216"/>
      <c r="I37" s="136"/>
      <c r="J37" s="134"/>
      <c r="K37" s="132"/>
      <c r="L37" s="217"/>
      <c r="M37" s="218"/>
      <c r="N37" s="219"/>
      <c r="O37" s="228"/>
      <c r="P37" s="229"/>
      <c r="Q37" s="230"/>
      <c r="R37" s="1" t="str">
        <f t="shared" si="0"/>
        <v/>
      </c>
    </row>
    <row r="38" spans="1:18" ht="22.5" customHeight="1" thickBot="1">
      <c r="A38" s="220"/>
      <c r="B38" s="221"/>
      <c r="C38" s="221"/>
      <c r="D38" s="221"/>
      <c r="E38" s="221"/>
      <c r="F38" s="221"/>
      <c r="G38" s="221"/>
      <c r="H38" s="221"/>
      <c r="I38" s="221"/>
      <c r="J38" s="221"/>
      <c r="K38" s="221"/>
      <c r="L38" s="221"/>
      <c r="M38" s="221"/>
      <c r="N38" s="221"/>
      <c r="O38" s="151"/>
      <c r="P38" s="151"/>
      <c r="Q38" s="152"/>
    </row>
    <row r="39" spans="1:18" ht="17.399999999999999">
      <c r="A39" s="114" t="s">
        <v>27</v>
      </c>
      <c r="B39" s="25"/>
      <c r="C39" s="25"/>
      <c r="D39" s="25"/>
      <c r="E39" s="25"/>
      <c r="F39" s="25"/>
      <c r="G39" s="25"/>
      <c r="H39" s="188"/>
      <c r="I39" s="188"/>
      <c r="M39" s="250" t="s">
        <v>160</v>
      </c>
      <c r="N39" s="188"/>
      <c r="O39" s="188"/>
      <c r="P39" s="25"/>
      <c r="Q39" s="25"/>
    </row>
    <row r="40" spans="1:18" ht="17.399999999999999">
      <c r="A40" s="114"/>
      <c r="B40" s="25"/>
      <c r="C40" s="50"/>
      <c r="D40" s="50"/>
      <c r="E40" s="50"/>
      <c r="F40" s="50"/>
      <c r="G40" s="50"/>
      <c r="H40" s="188"/>
      <c r="I40" s="188"/>
      <c r="M40" s="251" t="str">
        <f>"Tolerancje dla figury nóżki"</f>
        <v>Tolerancje dla figury nóżki</v>
      </c>
      <c r="N40" s="188"/>
      <c r="O40" s="188"/>
      <c r="P40" s="253" t="str">
        <f>POMOC!B28</f>
        <v>BRAKWVARPOOLU</v>
      </c>
      <c r="Q40" s="25"/>
    </row>
    <row r="41" spans="1:18" ht="15" customHeight="1">
      <c r="A41" s="114"/>
      <c r="B41" s="25"/>
      <c r="C41" s="147"/>
      <c r="D41" s="50"/>
      <c r="E41" s="50"/>
      <c r="F41" s="50"/>
      <c r="G41" s="50"/>
      <c r="H41" s="50"/>
      <c r="I41" s="50"/>
      <c r="M41" s="252" t="s">
        <v>363</v>
      </c>
      <c r="N41" s="248">
        <f>POMOC!B43</f>
        <v>0</v>
      </c>
      <c r="O41" s="248"/>
      <c r="P41" s="25"/>
      <c r="Q41" s="25"/>
    </row>
    <row r="42" spans="1:18" ht="15" customHeight="1" thickBot="1">
      <c r="A42" s="27"/>
      <c r="B42" s="25"/>
      <c r="C42" s="50"/>
      <c r="D42" s="50"/>
      <c r="E42" s="50"/>
      <c r="F42" s="50"/>
      <c r="G42" s="50"/>
      <c r="H42" s="50"/>
      <c r="I42" s="50"/>
      <c r="M42" s="252" t="s">
        <v>362</v>
      </c>
      <c r="N42" s="248">
        <f>POMOC!B44</f>
        <v>0</v>
      </c>
      <c r="O42" s="249"/>
      <c r="P42" s="29"/>
      <c r="Q42" s="29"/>
    </row>
    <row r="43" spans="1:18" ht="13.8" thickBot="1">
      <c r="A43" s="27"/>
      <c r="B43" s="25"/>
      <c r="C43" s="50"/>
      <c r="D43" s="50"/>
      <c r="E43" s="50"/>
      <c r="F43" s="50"/>
      <c r="G43" s="50"/>
      <c r="H43" s="50"/>
      <c r="I43" s="50"/>
      <c r="M43" s="198" t="s">
        <v>167</v>
      </c>
      <c r="N43" s="199">
        <f>POMOC!B35</f>
        <v>202.44999999999899</v>
      </c>
      <c r="O43" s="26"/>
      <c r="P43" s="26"/>
      <c r="Q43" s="26"/>
    </row>
    <row r="44" spans="1:18">
      <c r="A44" s="27"/>
      <c r="B44" s="25"/>
      <c r="C44" s="25"/>
      <c r="D44" s="25"/>
      <c r="E44" s="25"/>
      <c r="F44" s="25"/>
      <c r="G44" s="25"/>
      <c r="H44" s="25"/>
      <c r="I44" s="25"/>
      <c r="M44" s="196"/>
      <c r="N44" s="197" t="s">
        <v>192</v>
      </c>
      <c r="O44" s="193" t="s">
        <v>193</v>
      </c>
      <c r="P44" s="193" t="s">
        <v>194</v>
      </c>
      <c r="Q44" s="209" t="s">
        <v>195</v>
      </c>
    </row>
    <row r="45" spans="1:18">
      <c r="A45" s="27"/>
      <c r="B45" s="25"/>
      <c r="C45" s="25"/>
      <c r="D45" s="25"/>
      <c r="E45" s="25"/>
      <c r="F45" s="25"/>
      <c r="G45" s="25"/>
      <c r="H45" s="25"/>
      <c r="I45" s="25"/>
      <c r="M45" s="191" t="s">
        <v>161</v>
      </c>
      <c r="N45" s="194">
        <f>IF(POMOC!B36 &lt;&gt; 0, POMOC!B36,TOL!B3)</f>
        <v>40.799999999999997</v>
      </c>
      <c r="O45" s="194">
        <f>TOL!B8</f>
        <v>40.799999999999997</v>
      </c>
      <c r="P45" s="194">
        <f>TOL!B4</f>
        <v>0.1</v>
      </c>
      <c r="Q45" s="210">
        <f>TOL!B5</f>
        <v>-0.1</v>
      </c>
    </row>
    <row r="46" spans="1:18" ht="13.8" thickBot="1">
      <c r="A46" s="28"/>
      <c r="B46" s="29"/>
      <c r="C46" s="29"/>
      <c r="D46" s="29"/>
      <c r="E46" s="29"/>
      <c r="F46" s="29"/>
      <c r="G46" s="29"/>
      <c r="H46" s="29"/>
      <c r="I46" s="29"/>
      <c r="M46" s="192" t="s">
        <v>162</v>
      </c>
      <c r="N46" s="195">
        <f>IF(POMOC!B37&lt;&gt;0,POMOC!B37,TOL!B12)</f>
        <v>28.8</v>
      </c>
      <c r="O46" s="195">
        <f>TOL!B17</f>
        <v>28.774000000000001</v>
      </c>
      <c r="P46" s="195">
        <f>TOL!B13</f>
        <v>0</v>
      </c>
      <c r="Q46" s="211">
        <f>TOL!B14</f>
        <v>-5.1999999999999998E-2</v>
      </c>
    </row>
    <row r="47" spans="1:18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</row>
    <row r="48" spans="1:18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</row>
    <row r="49" spans="1:14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</row>
    <row r="53" spans="1:14">
      <c r="L53" s="1" t="s">
        <v>351</v>
      </c>
    </row>
    <row r="54" spans="1:14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</row>
    <row r="55" spans="1:14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</row>
    <row r="56" spans="1:14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</row>
    <row r="57" spans="1:14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</row>
    <row r="58" spans="1:14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</row>
    <row r="59" spans="1:14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</row>
    <row r="60" spans="1:14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</row>
    <row r="61" spans="1:14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</row>
    <row r="62" spans="1:14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</row>
  </sheetData>
  <customSheetViews>
    <customSheetView guid="{41C149A7-898D-4942-9D39-7B19CD58B51D}" scale="55" showPageBreaks="1" view="pageBreakPreview">
      <selection activeCell="F44" sqref="F44"/>
    </customSheetView>
  </customSheetViews>
  <mergeCells count="89">
    <mergeCell ref="E31:F31"/>
    <mergeCell ref="C32:D32"/>
    <mergeCell ref="E32:F32"/>
    <mergeCell ref="C37:D37"/>
    <mergeCell ref="E37:F37"/>
    <mergeCell ref="E36:F36"/>
    <mergeCell ref="C35:D35"/>
    <mergeCell ref="E35:F35"/>
    <mergeCell ref="C36:D36"/>
    <mergeCell ref="C33:D33"/>
    <mergeCell ref="E33:F33"/>
    <mergeCell ref="C34:D34"/>
    <mergeCell ref="E34:F34"/>
    <mergeCell ref="C21:D21"/>
    <mergeCell ref="C22:D22"/>
    <mergeCell ref="C23:D23"/>
    <mergeCell ref="E25:F25"/>
    <mergeCell ref="E21:F21"/>
    <mergeCell ref="E22:F22"/>
    <mergeCell ref="E23:F23"/>
    <mergeCell ref="E24:F24"/>
    <mergeCell ref="C15:D15"/>
    <mergeCell ref="C16:D16"/>
    <mergeCell ref="C17:D17"/>
    <mergeCell ref="E19:F19"/>
    <mergeCell ref="E20:F20"/>
    <mergeCell ref="E18:F18"/>
    <mergeCell ref="E29:F29"/>
    <mergeCell ref="C28:D28"/>
    <mergeCell ref="E28:F28"/>
    <mergeCell ref="C25:D25"/>
    <mergeCell ref="C26:D26"/>
    <mergeCell ref="C27:D27"/>
    <mergeCell ref="E27:F27"/>
    <mergeCell ref="E26:F26"/>
    <mergeCell ref="C30:D30"/>
    <mergeCell ref="E30:F30"/>
    <mergeCell ref="C31:D31"/>
    <mergeCell ref="C12:D12"/>
    <mergeCell ref="C13:D13"/>
    <mergeCell ref="E12:F12"/>
    <mergeCell ref="E13:F13"/>
    <mergeCell ref="C14:D14"/>
    <mergeCell ref="C24:D24"/>
    <mergeCell ref="C19:D19"/>
    <mergeCell ref="C20:D20"/>
    <mergeCell ref="C18:D18"/>
    <mergeCell ref="E15:F15"/>
    <mergeCell ref="E16:F16"/>
    <mergeCell ref="E17:F17"/>
    <mergeCell ref="C29:D29"/>
    <mergeCell ref="A3:A4"/>
    <mergeCell ref="I4:K4"/>
    <mergeCell ref="A1:O1"/>
    <mergeCell ref="B2:O2"/>
    <mergeCell ref="I6:K6"/>
    <mergeCell ref="E5:F5"/>
    <mergeCell ref="I5:J5"/>
    <mergeCell ref="L6:M6"/>
    <mergeCell ref="E6:F7"/>
    <mergeCell ref="H6:H7"/>
    <mergeCell ref="N6:N7"/>
    <mergeCell ref="O6:O7"/>
    <mergeCell ref="A6:A7"/>
    <mergeCell ref="C6:D7"/>
    <mergeCell ref="B6:B7"/>
    <mergeCell ref="B5:D5"/>
    <mergeCell ref="P1:Q1"/>
    <mergeCell ref="B3:D4"/>
    <mergeCell ref="E3:F3"/>
    <mergeCell ref="E4:F4"/>
    <mergeCell ref="I3:K3"/>
    <mergeCell ref="P2:Q2"/>
    <mergeCell ref="E14:F14"/>
    <mergeCell ref="C10:D10"/>
    <mergeCell ref="C11:D11"/>
    <mergeCell ref="E9:F9"/>
    <mergeCell ref="E8:F8"/>
    <mergeCell ref="C8:D8"/>
    <mergeCell ref="C9:D9"/>
    <mergeCell ref="E10:F10"/>
    <mergeCell ref="E11:F11"/>
    <mergeCell ref="G5:H5"/>
    <mergeCell ref="P6:P7"/>
    <mergeCell ref="Q6:Q7"/>
    <mergeCell ref="L3:Q3"/>
    <mergeCell ref="L4:Q4"/>
    <mergeCell ref="K5:Q5"/>
    <mergeCell ref="G6:G7"/>
  </mergeCells>
  <conditionalFormatting sqref="G8:G37">
    <cfRule type="duplicateValues" dxfId="5" priority="1"/>
  </conditionalFormatting>
  <pageMargins left="0.2" right="0.2" top="0.2" bottom="0.2" header="0.3" footer="0.3"/>
  <pageSetup paperSize="9" scale="6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heckAustenitTool">
                <anchor moveWithCells="1" sizeWithCells="1">
                  <from>
                    <xdr:col>20</xdr:col>
                    <xdr:colOff>7620</xdr:colOff>
                    <xdr:row>1</xdr:row>
                    <xdr:rowOff>106680</xdr:rowOff>
                  </from>
                  <to>
                    <xdr:col>24</xdr:col>
                    <xdr:colOff>83820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WstawKomentarzWiercenia">
                <anchor moveWithCells="1" sizeWithCells="1">
                  <from>
                    <xdr:col>20</xdr:col>
                    <xdr:colOff>38100</xdr:colOff>
                    <xdr:row>4</xdr:row>
                    <xdr:rowOff>68580</xdr:rowOff>
                  </from>
                  <to>
                    <xdr:col>22</xdr:col>
                    <xdr:colOff>259080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UsunKomentarzWiercenia">
                <anchor moveWithCells="1" sizeWithCells="1">
                  <from>
                    <xdr:col>22</xdr:col>
                    <xdr:colOff>342900</xdr:colOff>
                    <xdr:row>4</xdr:row>
                    <xdr:rowOff>68580</xdr:rowOff>
                  </from>
                  <to>
                    <xdr:col>24</xdr:col>
                    <xdr:colOff>487680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33"/>
  <sheetViews>
    <sheetView topLeftCell="A7" workbookViewId="0">
      <selection activeCell="F17" sqref="F17:G17"/>
    </sheetView>
  </sheetViews>
  <sheetFormatPr defaultRowHeight="13.2"/>
  <cols>
    <col min="1" max="1" width="7.5546875" customWidth="1"/>
    <col min="7" max="7" width="5.109375" customWidth="1"/>
    <col min="8" max="8" width="28" customWidth="1"/>
    <col min="9" max="9" width="20.5546875" customWidth="1"/>
  </cols>
  <sheetData>
    <row r="1" spans="1:9" ht="24" customHeight="1" thickBot="1">
      <c r="A1" s="445" t="s">
        <v>7</v>
      </c>
      <c r="B1" s="446"/>
      <c r="C1" s="446"/>
      <c r="D1" s="446"/>
      <c r="E1" s="446"/>
      <c r="F1" s="446"/>
      <c r="G1" s="446"/>
      <c r="H1" s="446"/>
      <c r="I1" s="447"/>
    </row>
    <row r="2" spans="1:9" ht="20.25" customHeight="1" thickBot="1">
      <c r="A2" s="2" t="s">
        <v>8</v>
      </c>
      <c r="B2" s="448" t="s">
        <v>9</v>
      </c>
      <c r="C2" s="449"/>
      <c r="D2" s="449"/>
      <c r="E2" s="449"/>
      <c r="F2" s="449"/>
      <c r="G2" s="449"/>
      <c r="H2" s="449"/>
      <c r="I2" s="450"/>
    </row>
    <row r="3" spans="1:9">
      <c r="A3" s="3" t="s">
        <v>10</v>
      </c>
      <c r="B3" s="451" t="str">
        <f>POMOC!B6</f>
        <v>Mariusz Malec</v>
      </c>
      <c r="C3" s="451"/>
      <c r="D3" s="452"/>
      <c r="E3" s="4" t="s">
        <v>0</v>
      </c>
      <c r="F3" s="453">
        <f ca="1">POMOC!B8</f>
        <v>44742</v>
      </c>
      <c r="G3" s="454"/>
      <c r="H3" s="5" t="s">
        <v>11</v>
      </c>
      <c r="I3" s="30" t="str">
        <f>POMOC!B12</f>
        <v>RTBMovingBlade</v>
      </c>
    </row>
    <row r="4" spans="1:9" ht="13.8" thickBot="1">
      <c r="A4" s="3" t="s">
        <v>12</v>
      </c>
      <c r="B4" s="451" t="s">
        <v>66</v>
      </c>
      <c r="C4" s="451"/>
      <c r="D4" s="452"/>
      <c r="E4" s="6" t="s">
        <v>13</v>
      </c>
      <c r="F4" s="451">
        <f>POMOC!B11</f>
        <v>0</v>
      </c>
      <c r="G4" s="455"/>
      <c r="H4" s="3" t="s">
        <v>1</v>
      </c>
      <c r="I4" s="31" t="str">
        <f>POMOC!B5</f>
        <v>HSTM300 Sin840D</v>
      </c>
    </row>
    <row r="5" spans="1:9" ht="7.5" customHeight="1">
      <c r="A5" s="456"/>
      <c r="B5" s="457"/>
      <c r="C5" s="457"/>
      <c r="D5" s="457"/>
      <c r="E5" s="457"/>
      <c r="F5" s="457"/>
      <c r="G5" s="457"/>
      <c r="H5" s="457"/>
      <c r="I5" s="458"/>
    </row>
    <row r="6" spans="1:9" ht="39.6">
      <c r="A6" s="35" t="s">
        <v>14</v>
      </c>
      <c r="B6" s="459" t="str">
        <f>POMOC!B13</f>
        <v>A888888</v>
      </c>
      <c r="C6" s="460"/>
      <c r="D6" s="460"/>
      <c r="E6" s="460"/>
      <c r="F6" s="460"/>
      <c r="G6" s="460"/>
      <c r="H6" s="460"/>
      <c r="I6" s="461"/>
    </row>
    <row r="7" spans="1:9" ht="6.75" customHeight="1" thickBot="1">
      <c r="A7" s="462"/>
      <c r="B7" s="463"/>
      <c r="C7" s="463"/>
      <c r="D7" s="463"/>
      <c r="E7" s="463"/>
      <c r="F7" s="463"/>
      <c r="G7" s="463"/>
      <c r="H7" s="463"/>
      <c r="I7" s="464"/>
    </row>
    <row r="8" spans="1:9" ht="17.399999999999999">
      <c r="A8" s="465" t="s">
        <v>15</v>
      </c>
      <c r="B8" s="467" t="s">
        <v>16</v>
      </c>
      <c r="C8" s="468"/>
      <c r="D8" s="468"/>
      <c r="E8" s="468"/>
      <c r="F8" s="468"/>
      <c r="G8" s="468"/>
      <c r="H8" s="468"/>
      <c r="I8" s="469"/>
    </row>
    <row r="9" spans="1:9" ht="14.4" thickBot="1">
      <c r="A9" s="466"/>
      <c r="B9" s="7" t="s">
        <v>17</v>
      </c>
      <c r="C9" s="8" t="s">
        <v>18</v>
      </c>
      <c r="D9" s="8" t="s">
        <v>19</v>
      </c>
      <c r="E9" s="8" t="s">
        <v>20</v>
      </c>
      <c r="F9" s="470" t="s">
        <v>21</v>
      </c>
      <c r="G9" s="471"/>
      <c r="H9" s="8" t="s">
        <v>22</v>
      </c>
      <c r="I9" s="9" t="s">
        <v>23</v>
      </c>
    </row>
    <row r="10" spans="1:9" ht="30" customHeight="1">
      <c r="A10" s="10"/>
      <c r="B10" s="11"/>
      <c r="C10" s="11"/>
      <c r="D10" s="11"/>
      <c r="E10" s="12"/>
      <c r="F10" s="472"/>
      <c r="G10" s="472"/>
      <c r="H10" s="13"/>
      <c r="I10" s="14"/>
    </row>
    <row r="11" spans="1:9" ht="30" customHeight="1">
      <c r="A11" s="15"/>
      <c r="B11" s="16"/>
      <c r="C11" s="16"/>
      <c r="D11" s="16"/>
      <c r="E11" s="17"/>
      <c r="F11" s="444"/>
      <c r="G11" s="444"/>
      <c r="H11" s="18"/>
      <c r="I11" s="19"/>
    </row>
    <row r="12" spans="1:9" ht="30" customHeight="1">
      <c r="A12" s="15"/>
      <c r="B12" s="16"/>
      <c r="C12" s="16"/>
      <c r="D12" s="16"/>
      <c r="E12" s="17"/>
      <c r="F12" s="444"/>
      <c r="G12" s="444"/>
      <c r="H12" s="18"/>
      <c r="I12" s="19"/>
    </row>
    <row r="13" spans="1:9" ht="30" customHeight="1">
      <c r="A13" s="15"/>
      <c r="B13" s="16"/>
      <c r="C13" s="16"/>
      <c r="D13" s="16"/>
      <c r="E13" s="17"/>
      <c r="F13" s="444"/>
      <c r="G13" s="444"/>
      <c r="H13" s="18"/>
      <c r="I13" s="19"/>
    </row>
    <row r="14" spans="1:9" ht="30" customHeight="1">
      <c r="A14" s="15"/>
      <c r="B14" s="16"/>
      <c r="C14" s="16"/>
      <c r="D14" s="16"/>
      <c r="E14" s="17"/>
      <c r="F14" s="444"/>
      <c r="G14" s="444"/>
      <c r="H14" s="34"/>
      <c r="I14" s="19"/>
    </row>
    <row r="15" spans="1:9" ht="30" customHeight="1">
      <c r="A15" s="15"/>
      <c r="B15" s="16"/>
      <c r="C15" s="16"/>
      <c r="D15" s="16"/>
      <c r="E15" s="17"/>
      <c r="F15" s="444"/>
      <c r="G15" s="444"/>
      <c r="H15" s="18"/>
      <c r="I15" s="19"/>
    </row>
    <row r="16" spans="1:9" ht="30" customHeight="1">
      <c r="A16" s="15"/>
      <c r="B16" s="16"/>
      <c r="C16" s="16"/>
      <c r="D16" s="16"/>
      <c r="E16" s="17"/>
      <c r="F16" s="444"/>
      <c r="G16" s="444"/>
      <c r="H16" s="18"/>
      <c r="I16" s="19"/>
    </row>
    <row r="17" spans="1:9" ht="30" customHeight="1">
      <c r="A17" s="15"/>
      <c r="B17" s="16"/>
      <c r="C17" s="16"/>
      <c r="D17" s="16"/>
      <c r="E17" s="17"/>
      <c r="F17" s="444"/>
      <c r="G17" s="444"/>
      <c r="H17" s="18"/>
      <c r="I17" s="19"/>
    </row>
    <row r="18" spans="1:9" ht="30" customHeight="1">
      <c r="A18" s="15"/>
      <c r="B18" s="16"/>
      <c r="C18" s="16"/>
      <c r="D18" s="16"/>
      <c r="E18" s="17"/>
      <c r="F18" s="444"/>
      <c r="G18" s="444"/>
      <c r="H18" s="18"/>
      <c r="I18" s="19"/>
    </row>
    <row r="19" spans="1:9" ht="30" customHeight="1">
      <c r="A19" s="15"/>
      <c r="B19" s="16"/>
      <c r="C19" s="16"/>
      <c r="D19" s="16"/>
      <c r="E19" s="17"/>
      <c r="F19" s="444"/>
      <c r="G19" s="444"/>
      <c r="H19" s="18"/>
      <c r="I19" s="19"/>
    </row>
    <row r="20" spans="1:9" ht="30" customHeight="1">
      <c r="A20" s="15"/>
      <c r="B20" s="16"/>
      <c r="C20" s="16"/>
      <c r="D20" s="16"/>
      <c r="E20" s="17"/>
      <c r="F20" s="444"/>
      <c r="G20" s="444"/>
      <c r="H20" s="18"/>
      <c r="I20" s="19"/>
    </row>
    <row r="21" spans="1:9" ht="30" customHeight="1">
      <c r="A21" s="15"/>
      <c r="B21" s="16"/>
      <c r="C21" s="16"/>
      <c r="D21" s="16"/>
      <c r="E21" s="17"/>
      <c r="F21" s="444"/>
      <c r="G21" s="444"/>
      <c r="H21" s="18"/>
      <c r="I21" s="19"/>
    </row>
    <row r="22" spans="1:9" ht="30" customHeight="1">
      <c r="A22" s="15"/>
      <c r="B22" s="16"/>
      <c r="C22" s="16"/>
      <c r="D22" s="16"/>
      <c r="E22" s="17"/>
      <c r="F22" s="444"/>
      <c r="G22" s="444"/>
      <c r="H22" s="18"/>
      <c r="I22" s="19"/>
    </row>
    <row r="23" spans="1:9" ht="30" customHeight="1">
      <c r="A23" s="15"/>
      <c r="B23" s="16"/>
      <c r="C23" s="16"/>
      <c r="D23" s="16"/>
      <c r="E23" s="17"/>
      <c r="F23" s="444"/>
      <c r="G23" s="444"/>
      <c r="H23" s="18"/>
      <c r="I23" s="19"/>
    </row>
    <row r="24" spans="1:9" ht="30" customHeight="1">
      <c r="A24" s="15"/>
      <c r="B24" s="16"/>
      <c r="C24" s="16"/>
      <c r="D24" s="16"/>
      <c r="E24" s="17"/>
      <c r="F24" s="444"/>
      <c r="G24" s="444"/>
      <c r="H24" s="18"/>
      <c r="I24" s="19"/>
    </row>
    <row r="25" spans="1:9" ht="30" customHeight="1">
      <c r="A25" s="15"/>
      <c r="B25" s="16"/>
      <c r="C25" s="16"/>
      <c r="D25" s="16"/>
      <c r="E25" s="17"/>
      <c r="F25" s="444"/>
      <c r="G25" s="444"/>
      <c r="H25" s="18"/>
      <c r="I25" s="19"/>
    </row>
    <row r="26" spans="1:9" ht="30" customHeight="1">
      <c r="A26" s="15"/>
      <c r="B26" s="16"/>
      <c r="C26" s="16"/>
      <c r="D26" s="16"/>
      <c r="E26" s="17"/>
      <c r="F26" s="444"/>
      <c r="G26" s="444"/>
      <c r="H26" s="18"/>
      <c r="I26" s="19"/>
    </row>
    <row r="27" spans="1:9" ht="30" customHeight="1">
      <c r="A27" s="15"/>
      <c r="B27" s="16"/>
      <c r="C27" s="16"/>
      <c r="D27" s="16"/>
      <c r="E27" s="17"/>
      <c r="F27" s="444"/>
      <c r="G27" s="444"/>
      <c r="H27" s="18"/>
      <c r="I27" s="19"/>
    </row>
    <row r="28" spans="1:9" ht="30" customHeight="1">
      <c r="A28" s="15"/>
      <c r="B28" s="16"/>
      <c r="C28" s="16"/>
      <c r="D28" s="16"/>
      <c r="E28" s="17"/>
      <c r="F28" s="444"/>
      <c r="G28" s="444"/>
      <c r="H28" s="18"/>
      <c r="I28" s="19"/>
    </row>
    <row r="29" spans="1:9" ht="30" customHeight="1">
      <c r="A29" s="15"/>
      <c r="B29" s="16"/>
      <c r="C29" s="16"/>
      <c r="D29" s="16"/>
      <c r="E29" s="17"/>
      <c r="F29" s="444"/>
      <c r="G29" s="444"/>
      <c r="H29" s="18"/>
      <c r="I29" s="19"/>
    </row>
    <row r="30" spans="1:9" ht="30" customHeight="1">
      <c r="A30" s="15"/>
      <c r="B30" s="16"/>
      <c r="C30" s="16"/>
      <c r="D30" s="16"/>
      <c r="E30" s="17"/>
      <c r="F30" s="444"/>
      <c r="G30" s="444"/>
      <c r="H30" s="18"/>
      <c r="I30" s="19"/>
    </row>
    <row r="31" spans="1:9" ht="30" customHeight="1">
      <c r="A31" s="15"/>
      <c r="B31" s="16"/>
      <c r="C31" s="16"/>
      <c r="D31" s="16"/>
      <c r="E31" s="17"/>
      <c r="F31" s="444"/>
      <c r="G31" s="444"/>
      <c r="H31" s="34"/>
      <c r="I31" s="19"/>
    </row>
    <row r="32" spans="1:9" ht="30" customHeight="1">
      <c r="A32" s="15"/>
      <c r="B32" s="16"/>
      <c r="C32" s="16"/>
      <c r="D32" s="16"/>
      <c r="E32" s="17"/>
      <c r="F32" s="444"/>
      <c r="G32" s="444"/>
      <c r="H32" s="18"/>
      <c r="I32" s="19"/>
    </row>
    <row r="33" spans="1:9" ht="30" customHeight="1" thickBot="1">
      <c r="A33" s="20"/>
      <c r="B33" s="21"/>
      <c r="C33" s="21"/>
      <c r="D33" s="21"/>
      <c r="E33" s="22"/>
      <c r="F33" s="473"/>
      <c r="G33" s="473"/>
      <c r="H33" s="23"/>
      <c r="I33" s="24"/>
    </row>
  </sheetData>
  <customSheetViews>
    <customSheetView guid="{41C149A7-898D-4942-9D39-7B19CD58B51D}" state="hidden" topLeftCell="A7">
      <selection activeCell="F17" sqref="F17:G17"/>
    </customSheetView>
  </customSheetViews>
  <mergeCells count="36">
    <mergeCell ref="F33:G33"/>
    <mergeCell ref="F29:G29"/>
    <mergeCell ref="F30:G30"/>
    <mergeCell ref="F32:G32"/>
    <mergeCell ref="F28:G28"/>
    <mergeCell ref="F31:G31"/>
    <mergeCell ref="F25:G25"/>
    <mergeCell ref="F26:G26"/>
    <mergeCell ref="F17:G17"/>
    <mergeCell ref="F18:G18"/>
    <mergeCell ref="F19:G19"/>
    <mergeCell ref="F20:G20"/>
    <mergeCell ref="F21:G21"/>
    <mergeCell ref="F27:G27"/>
    <mergeCell ref="F16:G16"/>
    <mergeCell ref="A5:I5"/>
    <mergeCell ref="B6:I6"/>
    <mergeCell ref="A7:I7"/>
    <mergeCell ref="A8:A9"/>
    <mergeCell ref="B8:I8"/>
    <mergeCell ref="F9:G9"/>
    <mergeCell ref="F10:G10"/>
    <mergeCell ref="F11:G11"/>
    <mergeCell ref="F12:G12"/>
    <mergeCell ref="F13:G13"/>
    <mergeCell ref="F15:G15"/>
    <mergeCell ref="F22:G22"/>
    <mergeCell ref="F23:G23"/>
    <mergeCell ref="F24:G24"/>
    <mergeCell ref="F14:G14"/>
    <mergeCell ref="A1:I1"/>
    <mergeCell ref="B2:I2"/>
    <mergeCell ref="B3:D3"/>
    <mergeCell ref="F3:G3"/>
    <mergeCell ref="B4:D4"/>
    <mergeCell ref="F4:G4"/>
  </mergeCells>
  <pageMargins left="0.23" right="0.23" top="0.23" bottom="0.23" header="0.31" footer="0.31"/>
  <pageSetup paperSize="9" scale="94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044C3-7CE9-4B42-9720-4FB8B1DA24CE}">
  <sheetPr codeName="Sheet16"/>
  <dimension ref="A1:Z74"/>
  <sheetViews>
    <sheetView workbookViewId="0">
      <selection activeCell="H43" sqref="H43"/>
    </sheetView>
  </sheetViews>
  <sheetFormatPr defaultRowHeight="13.2"/>
  <sheetData>
    <row r="1" spans="1:12">
      <c r="A1" s="204" t="s">
        <v>299</v>
      </c>
      <c r="B1" t="b">
        <f>IF(POMOC!$B$14="Grip&amp;PinWelding",TRUE)</f>
        <v>1</v>
      </c>
    </row>
    <row r="2" spans="1:12">
      <c r="A2" s="204" t="s">
        <v>300</v>
      </c>
      <c r="B2" t="b">
        <f>IF(POMOC!$B$14="Grip&amp;Pin",TRUE)</f>
        <v>0</v>
      </c>
      <c r="G2" t="s">
        <v>312</v>
      </c>
      <c r="H2" t="b">
        <f>IF(OR($B$1=TRUE,$B$2=TRUE,$B$3=TRUE),TRUE)</f>
        <v>1</v>
      </c>
    </row>
    <row r="3" spans="1:12">
      <c r="A3" t="s">
        <v>313</v>
      </c>
      <c r="B3" t="b">
        <f>IF(POMOC!$B$14="Grip&amp;Zabierak",TRUE)</f>
        <v>0</v>
      </c>
      <c r="G3" t="s">
        <v>315</v>
      </c>
      <c r="H3" t="b">
        <f>IF($B$4=TRUE,TRUE)</f>
        <v>0</v>
      </c>
    </row>
    <row r="4" spans="1:12">
      <c r="A4" t="s">
        <v>314</v>
      </c>
      <c r="B4" t="b">
        <f>IF(POMOC!$B$14="Grip&amp;Grip",TRUE)</f>
        <v>0</v>
      </c>
    </row>
    <row r="6" spans="1:12">
      <c r="G6" s="204">
        <v>300</v>
      </c>
      <c r="H6" t="b">
        <f>IF(POMOC!$B$5="HSTM 300 Sin840D",TRUE)</f>
        <v>0</v>
      </c>
    </row>
    <row r="7" spans="1:12">
      <c r="G7" s="204" t="s">
        <v>301</v>
      </c>
      <c r="H7" t="b">
        <f>IF(POMOC!$B$5="HSTM 300HD Sin840D",TRUE)</f>
        <v>0</v>
      </c>
      <c r="K7" t="s">
        <v>316</v>
      </c>
      <c r="L7" t="b">
        <f>IF(OR($H$6=TRUE,$H$7=TRUE,$H$8=TRUE,$H$9=TRUE,$H$10=TRUE),TRUE)</f>
        <v>0</v>
      </c>
    </row>
    <row r="8" spans="1:12">
      <c r="G8" s="204" t="s">
        <v>284</v>
      </c>
      <c r="H8" t="b">
        <f>IF(POMOC!$B$5="HSTM 500M Sin840D",TRUE)</f>
        <v>0</v>
      </c>
    </row>
    <row r="9" spans="1:12">
      <c r="G9" s="204" t="s">
        <v>285</v>
      </c>
      <c r="H9" t="b">
        <f>IF(POMOC!$B$5="HSTM 500 Sin840D",TRUE)</f>
        <v>0</v>
      </c>
    </row>
    <row r="10" spans="1:12">
      <c r="G10" s="204">
        <v>1000</v>
      </c>
      <c r="H10" t="b">
        <f>IF(POMOC!$B$5="HSTM 1000 Sin840D",TRUE)</f>
        <v>0</v>
      </c>
    </row>
    <row r="11" spans="1:12">
      <c r="G11" s="204" t="s">
        <v>274</v>
      </c>
      <c r="H11" t="b">
        <f>IF(POMOC!$B$5="HX151 Sin840D",TRUE)</f>
        <v>0</v>
      </c>
    </row>
    <row r="12" spans="1:12">
      <c r="G12" s="204" t="s">
        <v>295</v>
      </c>
      <c r="H12" t="b">
        <f>IF(POMOC!$B$5="HURON Sin840D",TRUE)</f>
        <v>0</v>
      </c>
    </row>
    <row r="13" spans="1:12">
      <c r="G13" s="174"/>
    </row>
    <row r="14" spans="1:12">
      <c r="G14" s="202"/>
    </row>
    <row r="15" spans="1:12">
      <c r="A15" s="204" t="s">
        <v>303</v>
      </c>
      <c r="B15" t="b">
        <f>IF(POMOC!$B$12="RTBFixedBlade",TRUE)</f>
        <v>0</v>
      </c>
    </row>
    <row r="16" spans="1:12">
      <c r="A16" s="204" t="s">
        <v>304</v>
      </c>
      <c r="B16" t="b">
        <f>IF(POMOC!$B$12="RTBMovingBlade",TRUE)</f>
        <v>1</v>
      </c>
    </row>
    <row r="17" spans="1:8">
      <c r="A17" s="204" t="s">
        <v>306</v>
      </c>
      <c r="B17" t="b">
        <f>IF(POMOC!$B$12="ITBFixedBlade",TRUE)</f>
        <v>0</v>
      </c>
      <c r="G17" s="174"/>
    </row>
    <row r="18" spans="1:8">
      <c r="A18" s="204" t="s">
        <v>305</v>
      </c>
      <c r="B18" t="b">
        <f>IF(POMOC!$B$12="ITBMovingBlade",TRUE)</f>
        <v>0</v>
      </c>
      <c r="G18" s="174"/>
    </row>
    <row r="19" spans="1:8">
      <c r="A19" s="204" t="s">
        <v>307</v>
      </c>
      <c r="B19" t="b">
        <f>IF(POMOC!$B$12="RTBRadialFixedBlade",TRUE)</f>
        <v>0</v>
      </c>
      <c r="G19" t="s">
        <v>310</v>
      </c>
      <c r="H19" t="b">
        <f>IF(OR($E$20=TRUE,$B$18=TRUE),TRUE)</f>
        <v>0</v>
      </c>
    </row>
    <row r="20" spans="1:8">
      <c r="A20" s="204" t="s">
        <v>235</v>
      </c>
      <c r="B20" t="b">
        <f>IF(POMOC!$B$12="G-0",TRUE)</f>
        <v>0</v>
      </c>
      <c r="D20" t="s">
        <v>309</v>
      </c>
      <c r="E20" t="b">
        <f>IF(AND($B$15=TRUE,$B$27=TRUE),TRUE)</f>
        <v>0</v>
      </c>
      <c r="G20" t="s">
        <v>311</v>
      </c>
      <c r="H20" t="b">
        <f>IF($H$19=TRUE,FALSE,TRUE)</f>
        <v>1</v>
      </c>
    </row>
    <row r="21" spans="1:8">
      <c r="A21" s="174" t="s">
        <v>234</v>
      </c>
      <c r="B21" t="b">
        <f>IF(POMOC!$B$12="G-1",TRUE)</f>
        <v>0</v>
      </c>
      <c r="G21" s="174"/>
    </row>
    <row r="22" spans="1:8">
      <c r="A22" s="174" t="s">
        <v>236</v>
      </c>
      <c r="B22" t="b">
        <f>IF(POMOC!$B$12="L-0",TRUE)</f>
        <v>0</v>
      </c>
      <c r="G22" s="174"/>
    </row>
    <row r="23" spans="1:8">
      <c r="A23" s="174" t="s">
        <v>237</v>
      </c>
      <c r="B23" t="b">
        <f>IF(POMOC!$B$12="L-1",TRUE)</f>
        <v>0</v>
      </c>
    </row>
    <row r="24" spans="1:8">
      <c r="A24" s="174" t="s">
        <v>221</v>
      </c>
      <c r="B24" t="b">
        <f>IF(POMOC!$B$12="INNE",TRUE)</f>
        <v>0</v>
      </c>
    </row>
    <row r="26" spans="1:8">
      <c r="A26" s="204">
        <v>8000</v>
      </c>
      <c r="B26" t="b">
        <f>IF(POMOC!$B$15=8000,TRUE)</f>
        <v>1</v>
      </c>
    </row>
    <row r="27" spans="1:8">
      <c r="A27" s="204">
        <v>9000</v>
      </c>
      <c r="B27" t="b">
        <f>IF(POMOC!$B$15=9000,TRUE)</f>
        <v>0</v>
      </c>
    </row>
    <row r="36" spans="1:15">
      <c r="A36" t="s">
        <v>302</v>
      </c>
    </row>
    <row r="38" spans="1:15">
      <c r="A38" t="s">
        <v>308</v>
      </c>
    </row>
    <row r="44" spans="1:15">
      <c r="D44" t="s">
        <v>266</v>
      </c>
      <c r="E44" t="s">
        <v>272</v>
      </c>
      <c r="F44" t="s">
        <v>267</v>
      </c>
      <c r="H44" t="s">
        <v>268</v>
      </c>
      <c r="I44" t="s">
        <v>269</v>
      </c>
      <c r="J44" t="s">
        <v>273</v>
      </c>
      <c r="K44" t="s">
        <v>271</v>
      </c>
      <c r="L44" t="s">
        <v>279</v>
      </c>
      <c r="N44" t="s">
        <v>275</v>
      </c>
      <c r="O44" t="s">
        <v>278</v>
      </c>
    </row>
    <row r="45" spans="1:15">
      <c r="E45" t="s">
        <v>280</v>
      </c>
      <c r="F45" t="s">
        <v>282</v>
      </c>
    </row>
    <row r="47" spans="1:15">
      <c r="D47" t="s">
        <v>266</v>
      </c>
      <c r="E47" t="s">
        <v>272</v>
      </c>
      <c r="F47" t="s">
        <v>267</v>
      </c>
      <c r="H47" t="s">
        <v>276</v>
      </c>
      <c r="I47" t="s">
        <v>269</v>
      </c>
      <c r="J47" t="s">
        <v>273</v>
      </c>
      <c r="K47" t="s">
        <v>271</v>
      </c>
      <c r="L47" t="s">
        <v>279</v>
      </c>
      <c r="N47" t="s">
        <v>271</v>
      </c>
      <c r="O47" t="s">
        <v>277</v>
      </c>
    </row>
    <row r="48" spans="1:15">
      <c r="E48" t="s">
        <v>280</v>
      </c>
      <c r="F48" t="s">
        <v>281</v>
      </c>
      <c r="I48" s="201"/>
    </row>
    <row r="50" spans="4:26">
      <c r="D50" t="s">
        <v>266</v>
      </c>
      <c r="E50" t="s">
        <v>279</v>
      </c>
      <c r="I50" s="201"/>
    </row>
    <row r="51" spans="4:26">
      <c r="E51" t="s">
        <v>270</v>
      </c>
      <c r="F51" t="s">
        <v>207</v>
      </c>
      <c r="I51" s="201"/>
    </row>
    <row r="53" spans="4:26">
      <c r="D53" t="s">
        <v>266</v>
      </c>
      <c r="E53" t="s">
        <v>272</v>
      </c>
      <c r="F53" t="s">
        <v>267</v>
      </c>
      <c r="H53" t="s">
        <v>268</v>
      </c>
      <c r="I53" t="s">
        <v>269</v>
      </c>
      <c r="J53" t="s">
        <v>273</v>
      </c>
      <c r="K53" t="s">
        <v>275</v>
      </c>
      <c r="L53" t="s">
        <v>272</v>
      </c>
      <c r="M53" t="s">
        <v>283</v>
      </c>
      <c r="O53" t="s">
        <v>291</v>
      </c>
      <c r="P53" t="s">
        <v>292</v>
      </c>
      <c r="Q53" t="s">
        <v>293</v>
      </c>
      <c r="R53" t="s">
        <v>294</v>
      </c>
      <c r="S53">
        <v>1000</v>
      </c>
      <c r="T53" t="s">
        <v>273</v>
      </c>
      <c r="U53" t="s">
        <v>271</v>
      </c>
      <c r="V53" t="s">
        <v>286</v>
      </c>
      <c r="Y53" t="s">
        <v>271</v>
      </c>
      <c r="Z53" t="s">
        <v>287</v>
      </c>
    </row>
    <row r="54" spans="4:26">
      <c r="E54" t="s">
        <v>270</v>
      </c>
      <c r="F54" t="s">
        <v>203</v>
      </c>
    </row>
    <row r="56" spans="4:26">
      <c r="D56" t="s">
        <v>288</v>
      </c>
      <c r="E56" t="s">
        <v>272</v>
      </c>
      <c r="F56" t="s">
        <v>267</v>
      </c>
      <c r="H56" t="s">
        <v>268</v>
      </c>
      <c r="I56" t="s">
        <v>269</v>
      </c>
      <c r="J56" t="s">
        <v>273</v>
      </c>
      <c r="K56" t="s">
        <v>275</v>
      </c>
      <c r="L56" t="s">
        <v>272</v>
      </c>
      <c r="M56" t="s">
        <v>283</v>
      </c>
      <c r="O56" t="s">
        <v>291</v>
      </c>
      <c r="P56" t="s">
        <v>292</v>
      </c>
      <c r="Q56" t="s">
        <v>293</v>
      </c>
      <c r="R56" t="s">
        <v>294</v>
      </c>
      <c r="S56">
        <v>1000</v>
      </c>
      <c r="T56" t="s">
        <v>273</v>
      </c>
      <c r="U56" t="s">
        <v>271</v>
      </c>
      <c r="V56" t="s">
        <v>289</v>
      </c>
    </row>
    <row r="57" spans="4:26">
      <c r="E57" t="s">
        <v>270</v>
      </c>
      <c r="F57" t="s">
        <v>208</v>
      </c>
    </row>
    <row r="59" spans="4:26">
      <c r="D59" t="s">
        <v>288</v>
      </c>
      <c r="E59" t="s">
        <v>272</v>
      </c>
      <c r="F59" t="s">
        <v>267</v>
      </c>
      <c r="H59" t="s">
        <v>268</v>
      </c>
      <c r="I59" t="s">
        <v>269</v>
      </c>
      <c r="J59" t="s">
        <v>273</v>
      </c>
      <c r="K59" t="s">
        <v>275</v>
      </c>
      <c r="L59" t="s">
        <v>272</v>
      </c>
      <c r="M59" t="s">
        <v>283</v>
      </c>
      <c r="O59" t="s">
        <v>291</v>
      </c>
      <c r="P59" t="s">
        <v>292</v>
      </c>
      <c r="Q59" t="s">
        <v>293</v>
      </c>
      <c r="R59" t="s">
        <v>294</v>
      </c>
      <c r="S59">
        <v>1000</v>
      </c>
      <c r="T59" t="s">
        <v>273</v>
      </c>
      <c r="U59" t="s">
        <v>271</v>
      </c>
      <c r="V59" t="s">
        <v>290</v>
      </c>
    </row>
    <row r="60" spans="4:26">
      <c r="E60" t="s">
        <v>270</v>
      </c>
      <c r="F60" t="s">
        <v>201</v>
      </c>
    </row>
    <row r="62" spans="4:26">
      <c r="D62" t="s">
        <v>288</v>
      </c>
      <c r="E62" t="s">
        <v>272</v>
      </c>
      <c r="F62" t="s">
        <v>283</v>
      </c>
      <c r="H62" t="s">
        <v>291</v>
      </c>
      <c r="I62" t="s">
        <v>292</v>
      </c>
      <c r="J62" t="s">
        <v>293</v>
      </c>
      <c r="K62" t="s">
        <v>294</v>
      </c>
      <c r="L62">
        <v>1000</v>
      </c>
      <c r="M62" t="s">
        <v>273</v>
      </c>
    </row>
    <row r="63" spans="4:26">
      <c r="E63" t="s">
        <v>270</v>
      </c>
      <c r="F63" t="s">
        <v>205</v>
      </c>
    </row>
    <row r="65" spans="4:15">
      <c r="D65" t="s">
        <v>288</v>
      </c>
      <c r="E65" t="s">
        <v>272</v>
      </c>
      <c r="F65" t="s">
        <v>267</v>
      </c>
      <c r="H65" t="s">
        <v>268</v>
      </c>
      <c r="I65" t="s">
        <v>269</v>
      </c>
      <c r="J65" t="s">
        <v>273</v>
      </c>
      <c r="K65" t="s">
        <v>271</v>
      </c>
      <c r="L65" t="s">
        <v>228</v>
      </c>
      <c r="M65" t="s">
        <v>271</v>
      </c>
      <c r="N65" t="s">
        <v>296</v>
      </c>
    </row>
    <row r="66" spans="4:15">
      <c r="E66" t="s">
        <v>270</v>
      </c>
      <c r="F66" t="s">
        <v>204</v>
      </c>
    </row>
    <row r="68" spans="4:15">
      <c r="D68" t="s">
        <v>288</v>
      </c>
      <c r="E68" t="s">
        <v>272</v>
      </c>
      <c r="F68" t="s">
        <v>267</v>
      </c>
      <c r="H68" t="s">
        <v>268</v>
      </c>
      <c r="I68" t="s">
        <v>269</v>
      </c>
      <c r="J68" t="s">
        <v>273</v>
      </c>
      <c r="K68" t="s">
        <v>271</v>
      </c>
      <c r="L68" t="s">
        <v>296</v>
      </c>
      <c r="N68" t="s">
        <v>271</v>
      </c>
      <c r="O68" t="s">
        <v>278</v>
      </c>
    </row>
    <row r="69" spans="4:15">
      <c r="E69" t="s">
        <v>270</v>
      </c>
      <c r="F69" t="s">
        <v>209</v>
      </c>
    </row>
    <row r="71" spans="4:15">
      <c r="D71" t="s">
        <v>288</v>
      </c>
      <c r="E71" t="s">
        <v>272</v>
      </c>
      <c r="F71" t="s">
        <v>267</v>
      </c>
      <c r="H71" t="s">
        <v>268</v>
      </c>
      <c r="I71" t="s">
        <v>269</v>
      </c>
      <c r="J71" t="s">
        <v>273</v>
      </c>
      <c r="K71" t="s">
        <v>271</v>
      </c>
      <c r="L71" t="s">
        <v>296</v>
      </c>
      <c r="N71" t="s">
        <v>271</v>
      </c>
      <c r="O71" t="s">
        <v>297</v>
      </c>
    </row>
    <row r="72" spans="4:15">
      <c r="E72" t="s">
        <v>270</v>
      </c>
      <c r="F72" t="s">
        <v>202</v>
      </c>
    </row>
    <row r="74" spans="4:15">
      <c r="D74" t="s">
        <v>298</v>
      </c>
      <c r="E74" t="s">
        <v>206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4"/>
  <sheetViews>
    <sheetView tabSelected="1" workbookViewId="0"/>
  </sheetViews>
  <sheetFormatPr defaultRowHeight="13.2"/>
  <cols>
    <col min="1" max="1" width="18.88671875" customWidth="1"/>
    <col min="2" max="2" width="27.5546875" customWidth="1"/>
    <col min="3" max="3" width="12.5546875" customWidth="1"/>
    <col min="4" max="4" width="20.109375" customWidth="1"/>
    <col min="5" max="5" width="13.44140625" customWidth="1"/>
    <col min="6" max="6" width="16.88671875" customWidth="1"/>
    <col min="10" max="10" width="10.109375" customWidth="1"/>
  </cols>
  <sheetData>
    <row r="1" spans="1:16">
      <c r="A1" t="s">
        <v>30</v>
      </c>
      <c r="B1" t="s">
        <v>388</v>
      </c>
      <c r="L1" t="s">
        <v>75</v>
      </c>
    </row>
    <row r="2" spans="1:16">
      <c r="A2" t="s">
        <v>31</v>
      </c>
      <c r="B2" t="s">
        <v>239</v>
      </c>
    </row>
    <row r="3" spans="1:16">
      <c r="A3" t="s">
        <v>32</v>
      </c>
      <c r="B3">
        <v>1</v>
      </c>
      <c r="I3" t="s">
        <v>321</v>
      </c>
      <c r="J3" t="s">
        <v>317</v>
      </c>
      <c r="K3" t="s">
        <v>319</v>
      </c>
      <c r="L3" t="s">
        <v>318</v>
      </c>
    </row>
    <row r="4" spans="1:16">
      <c r="A4" t="s">
        <v>33</v>
      </c>
      <c r="B4" t="s">
        <v>384</v>
      </c>
      <c r="I4" t="str" cm="1">
        <f t="array" ref="I4">_xlfn.SWITCH($B$12,'LISTY WYBORU'!D1,"RTBFIX",'LISTY WYBORU'!D2,"RTBMOV",'LISTY WYBORU'!D3,"ITBMOV",'LISTY WYBORU'!D4,"ITBFIX",'LISTY WYBORU'!D5,"RTBRADFIX","KLOCEK")</f>
        <v>RTBMOV</v>
      </c>
      <c r="J4" t="str" cm="1">
        <f t="array" ref="J4">_xlfn.SWITCH($B$14,'LISTY WYBORU'!A1,"JASKOLKA",'LISTY WYBORU'!A2,"JASKOLKA",'LISTY WYBORU'!A3,"JASKOLKA",'LISTY WYBORU'!A4,"GRIP",'LISTY WYBORU'!A5,"GRIP",'LISTY WYBORU'!A6,"ZAB",'LISTY WYBORU'!A7,"2XGRIP","UKLAD")</f>
        <v>GRIP</v>
      </c>
      <c r="K4" t="str" cm="1">
        <f t="array" ref="K4">_xlfn.SWITCH($B$5,'LISTY WYBORU'!I6,"HX",'LISTY WYBORU'!I7,"HURON","HSTM")</f>
        <v>HSTM</v>
      </c>
      <c r="L4" t="str">
        <f>IF(OR($B$12="ITBMovingBlade",AND($B$12="RTBFixedBlade",$B$15=9000)),"WYPUKLA","WKLESLA")</f>
        <v>WKLESLA</v>
      </c>
      <c r="N4" s="205" t="s">
        <v>320</v>
      </c>
      <c r="O4" t="str">
        <f>I4&amp;"_"&amp;J4 &amp;"_"&amp;K4&amp;"_"&amp;L4 &amp;"_"&amp;B15</f>
        <v>RTBMOV_GRIP_HSTM_WKLESLA_8000</v>
      </c>
    </row>
    <row r="5" spans="1:16">
      <c r="A5" t="s">
        <v>34</v>
      </c>
      <c r="B5" t="s">
        <v>383</v>
      </c>
    </row>
    <row r="6" spans="1:16">
      <c r="A6" t="s">
        <v>63</v>
      </c>
      <c r="B6" t="s">
        <v>131</v>
      </c>
      <c r="C6" t="str" cm="1">
        <f t="array" ref="C6">_xlfn.SWITCH(B6,'LISTY WYBORU'!N1,'LISTY WYBORU'!O1,'LISTY WYBORU'!N2,'LISTY WYBORU'!O2,'LISTY WYBORU'!N3,'LISTY WYBORU'!O3,'LISTY WYBORU'!N4,'LISTY WYBORU'!O4,'LISTY WYBORU'!N5,'LISTY WYBORU'!O5,'LISTY WYBORU'!N6,'LISTY WYBORU'!O6,'LISTY WYBORU'!N7,'LISTY WYBORU'!O7,"PUSTO")</f>
        <v>MM</v>
      </c>
    </row>
    <row r="7" spans="1:16">
      <c r="A7" t="s">
        <v>62</v>
      </c>
      <c r="B7" t="s">
        <v>131</v>
      </c>
    </row>
    <row r="8" spans="1:16">
      <c r="A8" t="s">
        <v>35</v>
      </c>
      <c r="B8" s="36">
        <f ca="1">TODAY()</f>
        <v>44742</v>
      </c>
      <c r="J8">
        <v>9</v>
      </c>
      <c r="L8" t="s">
        <v>81</v>
      </c>
      <c r="N8">
        <v>940697</v>
      </c>
      <c r="P8" t="s">
        <v>98</v>
      </c>
    </row>
    <row r="9" spans="1:16">
      <c r="A9" t="s">
        <v>36</v>
      </c>
      <c r="B9" t="s">
        <v>250</v>
      </c>
      <c r="C9" t="s">
        <v>250</v>
      </c>
      <c r="J9">
        <v>11</v>
      </c>
      <c r="L9" t="s">
        <v>82</v>
      </c>
      <c r="N9">
        <v>941290</v>
      </c>
    </row>
    <row r="10" spans="1:16">
      <c r="A10" t="s">
        <v>37</v>
      </c>
      <c r="B10" t="s">
        <v>385</v>
      </c>
      <c r="J10">
        <v>13</v>
      </c>
      <c r="L10" t="s">
        <v>83</v>
      </c>
      <c r="N10">
        <v>941291</v>
      </c>
    </row>
    <row r="11" spans="1:16">
      <c r="A11" t="s">
        <v>38</v>
      </c>
      <c r="J11">
        <v>14</v>
      </c>
      <c r="L11" t="s">
        <v>84</v>
      </c>
      <c r="N11">
        <v>941290</v>
      </c>
    </row>
    <row r="12" spans="1:16">
      <c r="A12" t="s">
        <v>39</v>
      </c>
      <c r="B12" t="s">
        <v>191</v>
      </c>
      <c r="J12">
        <v>20</v>
      </c>
      <c r="L12" t="s">
        <v>85</v>
      </c>
      <c r="N12">
        <v>940969</v>
      </c>
      <c r="P12" t="s">
        <v>99</v>
      </c>
    </row>
    <row r="13" spans="1:16">
      <c r="A13" t="s">
        <v>40</v>
      </c>
      <c r="B13" t="s">
        <v>382</v>
      </c>
      <c r="J13">
        <v>32</v>
      </c>
      <c r="L13" t="s">
        <v>86</v>
      </c>
      <c r="N13">
        <v>940626</v>
      </c>
      <c r="P13" t="s">
        <v>100</v>
      </c>
    </row>
    <row r="14" spans="1:16">
      <c r="A14" t="s">
        <v>67</v>
      </c>
      <c r="B14" t="s">
        <v>218</v>
      </c>
      <c r="J14">
        <v>33</v>
      </c>
      <c r="L14" t="s">
        <v>87</v>
      </c>
      <c r="N14">
        <v>940783</v>
      </c>
      <c r="P14" t="s">
        <v>101</v>
      </c>
    </row>
    <row r="15" spans="1:16">
      <c r="A15" t="s">
        <v>74</v>
      </c>
      <c r="B15">
        <v>8000</v>
      </c>
      <c r="J15">
        <v>35</v>
      </c>
      <c r="L15" t="s">
        <v>88</v>
      </c>
      <c r="N15">
        <v>940661</v>
      </c>
      <c r="P15" t="s">
        <v>102</v>
      </c>
    </row>
    <row r="16" spans="1:16">
      <c r="A16" t="s">
        <v>80</v>
      </c>
      <c r="B16" t="s">
        <v>386</v>
      </c>
      <c r="D16" s="76"/>
      <c r="J16">
        <v>36</v>
      </c>
      <c r="L16" t="s">
        <v>89</v>
      </c>
      <c r="N16">
        <v>940663</v>
      </c>
    </row>
    <row r="17" spans="1:16">
      <c r="A17" t="s">
        <v>104</v>
      </c>
      <c r="B17">
        <v>0</v>
      </c>
      <c r="J17">
        <v>37</v>
      </c>
      <c r="L17" t="s">
        <v>90</v>
      </c>
      <c r="N17">
        <v>940664</v>
      </c>
    </row>
    <row r="18" spans="1:16">
      <c r="A18" t="s">
        <v>115</v>
      </c>
      <c r="B18" t="b">
        <f>ISERROR(A23)</f>
        <v>0</v>
      </c>
      <c r="J18" t="s">
        <v>91</v>
      </c>
      <c r="L18" t="s">
        <v>92</v>
      </c>
      <c r="N18">
        <v>957163</v>
      </c>
      <c r="P18" t="s">
        <v>103</v>
      </c>
    </row>
    <row r="19" spans="1:16">
      <c r="A19" t="s">
        <v>116</v>
      </c>
      <c r="B19" t="str">
        <f>IF(B18=TRUE,"-","Cechowanie NC")</f>
        <v>Cechowanie NC</v>
      </c>
      <c r="J19">
        <v>38</v>
      </c>
      <c r="L19" t="s">
        <v>93</v>
      </c>
      <c r="N19">
        <v>957774</v>
      </c>
    </row>
    <row r="20" spans="1:16">
      <c r="A20">
        <f>MATCH(81,'KARTA NARZEDZI OBROBCZYCH'!$A$1:$A$56,0)</f>
        <v>26</v>
      </c>
      <c r="J20">
        <v>59</v>
      </c>
      <c r="L20" t="s">
        <v>94</v>
      </c>
      <c r="N20">
        <v>957774</v>
      </c>
    </row>
    <row r="21" spans="1:16">
      <c r="A21" t="s">
        <v>118</v>
      </c>
      <c r="B21" t="b">
        <f>ISERROR(A20)</f>
        <v>0</v>
      </c>
      <c r="J21">
        <v>39</v>
      </c>
      <c r="L21" t="s">
        <v>95</v>
      </c>
      <c r="N21">
        <v>958329</v>
      </c>
    </row>
    <row r="22" spans="1:16">
      <c r="A22" t="s">
        <v>117</v>
      </c>
      <c r="B22" t="str">
        <f>IF(B21=TRUE,"-","Gratowanie NC")</f>
        <v>Gratowanie NC</v>
      </c>
      <c r="J22">
        <v>60</v>
      </c>
      <c r="L22" t="s">
        <v>96</v>
      </c>
      <c r="N22">
        <v>957453</v>
      </c>
    </row>
    <row r="23" spans="1:16">
      <c r="A23">
        <f>MATCH(61,'KARTA NARZEDZI OBROBCZYCH'!$A$1:$A$56,0)</f>
        <v>27</v>
      </c>
      <c r="J23">
        <v>61</v>
      </c>
      <c r="L23" t="s">
        <v>97</v>
      </c>
      <c r="N23">
        <v>957807</v>
      </c>
    </row>
    <row r="24" spans="1:16">
      <c r="A24" t="s">
        <v>143</v>
      </c>
      <c r="B24" t="b">
        <f>ISERROR(A26)</f>
        <v>1</v>
      </c>
    </row>
    <row r="25" spans="1:16">
      <c r="A25" t="s">
        <v>144</v>
      </c>
      <c r="B25" t="str">
        <f>IF(B24=TRUE,"-","Bandaz na got.")</f>
        <v>-</v>
      </c>
    </row>
    <row r="26" spans="1:16">
      <c r="A26" t="e">
        <f>MATCH(68,'KARTA NARZEDZI OBROBCZYCH'!$A$1:$A$56,0)</f>
        <v>#N/A</v>
      </c>
    </row>
    <row r="27" spans="1:16">
      <c r="A27" t="s">
        <v>150</v>
      </c>
      <c r="B27" t="s">
        <v>387</v>
      </c>
    </row>
    <row r="28" spans="1:16">
      <c r="A28" t="s">
        <v>151</v>
      </c>
      <c r="B28" t="s">
        <v>387</v>
      </c>
    </row>
    <row r="29" spans="1:16">
      <c r="A29" t="s">
        <v>161</v>
      </c>
      <c r="B29">
        <v>40.799999999999997</v>
      </c>
    </row>
    <row r="30" spans="1:16">
      <c r="A30" t="s">
        <v>162</v>
      </c>
      <c r="B30">
        <v>28.8</v>
      </c>
    </row>
    <row r="31" spans="1:16">
      <c r="A31" t="s">
        <v>163</v>
      </c>
      <c r="B31">
        <v>0.1</v>
      </c>
    </row>
    <row r="32" spans="1:16">
      <c r="A32" t="s">
        <v>164</v>
      </c>
    </row>
    <row r="33" spans="1:3">
      <c r="A33" t="s">
        <v>165</v>
      </c>
    </row>
    <row r="34" spans="1:3">
      <c r="A34" t="s">
        <v>166</v>
      </c>
      <c r="B34" t="s">
        <v>175</v>
      </c>
    </row>
    <row r="35" spans="1:3">
      <c r="A35" t="s">
        <v>167</v>
      </c>
      <c r="B35">
        <v>202.44999999999899</v>
      </c>
    </row>
    <row r="36" spans="1:3">
      <c r="A36" t="s">
        <v>196</v>
      </c>
      <c r="C36">
        <f>TOL!B8</f>
        <v>40.799999999999997</v>
      </c>
    </row>
    <row r="37" spans="1:3">
      <c r="A37" t="s">
        <v>197</v>
      </c>
      <c r="C37">
        <f>TOL!B17</f>
        <v>28.774000000000001</v>
      </c>
    </row>
    <row r="38" spans="1:3">
      <c r="A38" t="s">
        <v>352</v>
      </c>
      <c r="B38">
        <v>96</v>
      </c>
    </row>
    <row r="39" spans="1:3">
      <c r="A39" t="s">
        <v>353</v>
      </c>
      <c r="B39">
        <v>42</v>
      </c>
    </row>
    <row r="40" spans="1:3">
      <c r="A40" t="s">
        <v>354</v>
      </c>
      <c r="B40">
        <v>270.58</v>
      </c>
    </row>
    <row r="42" spans="1:3">
      <c r="A42" t="s">
        <v>359</v>
      </c>
      <c r="B42" t="s">
        <v>357</v>
      </c>
    </row>
    <row r="43" spans="1:3">
      <c r="A43" t="s">
        <v>360</v>
      </c>
    </row>
    <row r="44" spans="1:3">
      <c r="A44" t="s">
        <v>361</v>
      </c>
    </row>
  </sheetData>
  <customSheetViews>
    <customSheetView guid="{41C149A7-898D-4942-9D39-7B19CD58B51D}">
      <selection activeCell="D12" sqref="D12"/>
    </customSheetView>
  </customSheetViews>
  <conditionalFormatting sqref="B9">
    <cfRule type="containsBlanks" dxfId="4" priority="7">
      <formula>LEN(TRIM(B9))=0</formula>
    </cfRule>
  </conditionalFormatting>
  <conditionalFormatting sqref="B36">
    <cfRule type="cellIs" priority="2" stopIfTrue="1" operator="equal">
      <formula>0</formula>
    </cfRule>
    <cfRule type="cellIs" dxfId="3" priority="3" operator="notEqual">
      <formula>$C$36</formula>
    </cfRule>
    <cfRule type="cellIs" dxfId="2" priority="6" operator="equal">
      <formula>$C$36</formula>
    </cfRule>
  </conditionalFormatting>
  <conditionalFormatting sqref="B37">
    <cfRule type="cellIs" priority="1" stopIfTrue="1" operator="equal">
      <formula>0</formula>
    </cfRule>
    <cfRule type="cellIs" dxfId="1" priority="4" operator="notEqual">
      <formula>$C$37</formula>
    </cfRule>
    <cfRule type="cellIs" dxfId="0" priority="5" operator="equal">
      <formula>$C$37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tToollist1_Click">
                <anchor moveWithCells="1" sizeWithCells="1">
                  <from>
                    <xdr:col>3</xdr:col>
                    <xdr:colOff>45720</xdr:colOff>
                    <xdr:row>1</xdr:row>
                    <xdr:rowOff>30480</xdr:rowOff>
                  </from>
                  <to>
                    <xdr:col>6</xdr:col>
                    <xdr:colOff>563880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1">
              <controlPr defaultSize="0" print="0" autoFill="0" autoPict="0" macro="[0]!PrintToollist2_Click">
                <anchor moveWithCells="1" sizeWithCells="1">
                  <from>
                    <xdr:col>3</xdr:col>
                    <xdr:colOff>45720</xdr:colOff>
                    <xdr:row>4</xdr:row>
                    <xdr:rowOff>30480</xdr:rowOff>
                  </from>
                  <to>
                    <xdr:col>6</xdr:col>
                    <xdr:colOff>563880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Print1_Click">
                <anchor moveWithCells="1" sizeWithCells="1">
                  <from>
                    <xdr:col>3</xdr:col>
                    <xdr:colOff>68580</xdr:colOff>
                    <xdr:row>8</xdr:row>
                    <xdr:rowOff>68580</xdr:rowOff>
                  </from>
                  <to>
                    <xdr:col>6</xdr:col>
                    <xdr:colOff>601980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77ADAE2-DD62-4BF4-AA6A-DEEFB3001B0F}">
          <x14:formula1>
            <xm:f>'LISTY WYBORU'!$A$1:$A$8</xm:f>
          </x14:formula1>
          <xm:sqref>B14</xm:sqref>
        </x14:dataValidation>
        <x14:dataValidation type="list" allowBlank="1" showInputMessage="1" showErrorMessage="1" xr:uid="{C60AEB03-6FFE-4B3E-A7EC-459E50D53A71}">
          <x14:formula1>
            <xm:f>'LISTY WYBORU'!$D$1:$D$10</xm:f>
          </x14:formula1>
          <xm:sqref>B12</xm:sqref>
        </x14:dataValidation>
        <x14:dataValidation type="list" allowBlank="1" showInputMessage="1" showErrorMessage="1" xr:uid="{6B0ACB71-5F3F-4707-A151-50C4C8698189}">
          <x14:formula1>
            <xm:f>'LISTY WYBORU'!$G$1:$G$2</xm:f>
          </x14:formula1>
          <xm:sqref>B2</xm:sqref>
        </x14:dataValidation>
        <x14:dataValidation type="list" allowBlank="1" showInputMessage="1" showErrorMessage="1" xr:uid="{2E0BAC0C-F48E-4960-B6D1-56D90A599CA3}">
          <x14:formula1>
            <xm:f>'LISTY WYBORU'!$K$1:$K$12</xm:f>
          </x14:formula1>
          <xm:sqref>C9</xm:sqref>
        </x14:dataValidation>
        <x14:dataValidation type="list" allowBlank="1" showInputMessage="1" showErrorMessage="1" xr:uid="{2634F24B-2420-4FDC-B000-CF465E537907}">
          <x14:formula1>
            <xm:f>'LISTY WYBORU'!$N$1:$N$7</xm:f>
          </x14:formula1>
          <xm:sqref>B6:B7</xm:sqref>
        </x14:dataValidation>
        <x14:dataValidation type="list" allowBlank="1" showInputMessage="1" showErrorMessage="1" xr:uid="{78017DF7-2950-4BF6-9196-F9D818875ACE}">
          <x14:formula1>
            <xm:f>'LISTY WYBORU'!$I$1:$I$8</xm:f>
          </x14:formula1>
          <xm:sqref>B5</xm:sqref>
        </x14:dataValidation>
        <x14:dataValidation type="list" allowBlank="1" showInputMessage="1" showErrorMessage="1" xr:uid="{FD910B4D-AE28-4ED1-A9CD-6437086B93F3}">
          <x14:formula1>
            <xm:f>'LISTY WYBORU'!$Q$1:$Q$2</xm:f>
          </x14:formula1>
          <xm:sqref>B15</xm:sqref>
        </x14:dataValidation>
        <x14:dataValidation type="list" allowBlank="1" showInputMessage="1" showErrorMessage="1" xr:uid="{6382A92D-FF39-4E4C-A353-B51B61836E8E}">
          <x14:formula1>
            <xm:f>'LISTY WYBORU'!$S$1:$S$2</xm:f>
          </x14:formula1>
          <xm:sqref>B42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E33B8-C4E8-40FA-B0F1-9FF52BF1CF35}">
  <sheetPr codeName="Sheet5"/>
  <dimension ref="A1:I59"/>
  <sheetViews>
    <sheetView view="pageBreakPreview" topLeftCell="A4" zoomScale="130" zoomScaleNormal="145" zoomScaleSheetLayoutView="130" workbookViewId="0">
      <selection activeCell="F40" sqref="F40"/>
    </sheetView>
  </sheetViews>
  <sheetFormatPr defaultRowHeight="13.2"/>
  <sheetData>
    <row r="1" spans="1:9">
      <c r="A1" s="147"/>
      <c r="B1" s="147"/>
      <c r="C1" s="147"/>
      <c r="D1" s="147"/>
      <c r="E1" s="147"/>
      <c r="F1" s="147"/>
      <c r="G1" s="147"/>
      <c r="H1" s="147"/>
      <c r="I1" s="147"/>
    </row>
    <row r="2" spans="1:9">
      <c r="A2" s="147"/>
      <c r="B2" s="147"/>
      <c r="C2" s="147"/>
      <c r="D2" s="147"/>
      <c r="E2" s="147"/>
      <c r="F2" s="147"/>
      <c r="G2" s="147"/>
      <c r="H2" s="147"/>
      <c r="I2" s="147"/>
    </row>
    <row r="3" spans="1:9" ht="13.8" thickBot="1">
      <c r="A3" s="147"/>
      <c r="B3" s="147"/>
      <c r="C3" s="147"/>
      <c r="D3" s="147"/>
      <c r="E3" s="147"/>
      <c r="F3" s="147"/>
      <c r="G3" s="147"/>
      <c r="H3" s="147"/>
      <c r="I3" s="147"/>
    </row>
    <row r="4" spans="1:9">
      <c r="A4" s="103"/>
      <c r="B4" s="153" t="s">
        <v>133</v>
      </c>
      <c r="C4" s="146"/>
      <c r="D4" s="149"/>
      <c r="E4" s="103"/>
      <c r="F4" s="173" t="s">
        <v>147</v>
      </c>
      <c r="G4" s="153"/>
      <c r="H4" s="146"/>
      <c r="I4" s="149"/>
    </row>
    <row r="5" spans="1:9">
      <c r="A5" s="104"/>
      <c r="B5" s="147"/>
      <c r="C5" s="147"/>
      <c r="D5" s="150"/>
      <c r="E5" s="104"/>
      <c r="F5" s="147"/>
      <c r="G5" s="147"/>
      <c r="H5" s="147"/>
      <c r="I5" s="150"/>
    </row>
    <row r="6" spans="1:9">
      <c r="A6" s="104"/>
      <c r="B6" s="147"/>
      <c r="C6" s="147"/>
      <c r="D6" s="150"/>
      <c r="E6" s="104"/>
      <c r="F6" s="147"/>
      <c r="G6" s="147"/>
      <c r="H6" s="147"/>
      <c r="I6" s="150"/>
    </row>
    <row r="7" spans="1:9">
      <c r="A7" s="104"/>
      <c r="B7" s="147"/>
      <c r="C7" s="147"/>
      <c r="D7" s="150"/>
      <c r="E7" s="104"/>
      <c r="F7" s="147"/>
      <c r="G7" s="147"/>
      <c r="H7" s="147"/>
      <c r="I7" s="150"/>
    </row>
    <row r="8" spans="1:9">
      <c r="A8" s="104"/>
      <c r="B8" s="147"/>
      <c r="C8" s="147"/>
      <c r="D8" s="150"/>
      <c r="E8" s="104"/>
      <c r="F8" s="147"/>
      <c r="G8" s="147"/>
      <c r="H8" s="147"/>
      <c r="I8" s="150"/>
    </row>
    <row r="9" spans="1:9">
      <c r="A9" s="104"/>
      <c r="B9" s="147"/>
      <c r="C9" s="147"/>
      <c r="D9" s="150"/>
      <c r="E9" s="104"/>
      <c r="F9" s="147"/>
      <c r="G9" s="147"/>
      <c r="H9" s="147"/>
      <c r="I9" s="150"/>
    </row>
    <row r="10" spans="1:9">
      <c r="A10" s="104"/>
      <c r="B10" s="147"/>
      <c r="C10" s="147"/>
      <c r="D10" s="150"/>
      <c r="E10" s="104"/>
      <c r="F10" s="147"/>
      <c r="G10" s="147"/>
      <c r="H10" s="147"/>
      <c r="I10" s="150"/>
    </row>
    <row r="11" spans="1:9">
      <c r="A11" s="104"/>
      <c r="B11" s="147"/>
      <c r="C11" s="147"/>
      <c r="D11" s="150"/>
      <c r="E11" s="104"/>
      <c r="F11" s="147"/>
      <c r="G11" s="147"/>
      <c r="H11" s="147"/>
      <c r="I11" s="150"/>
    </row>
    <row r="12" spans="1:9">
      <c r="A12" s="104"/>
      <c r="B12" s="147"/>
      <c r="C12" s="147"/>
      <c r="D12" s="150"/>
      <c r="E12" s="104"/>
      <c r="F12" s="147"/>
      <c r="G12" s="147"/>
      <c r="H12" s="147"/>
      <c r="I12" s="150"/>
    </row>
    <row r="13" spans="1:9">
      <c r="A13" s="104"/>
      <c r="B13" s="147"/>
      <c r="C13" s="147"/>
      <c r="D13" s="150"/>
      <c r="E13" s="104"/>
      <c r="F13" s="147"/>
      <c r="G13" s="147"/>
      <c r="H13" s="147"/>
      <c r="I13" s="150"/>
    </row>
    <row r="14" spans="1:9">
      <c r="A14" s="104"/>
      <c r="B14" s="147"/>
      <c r="C14" s="147"/>
      <c r="D14" s="150"/>
      <c r="E14" s="104"/>
      <c r="F14" s="147"/>
      <c r="G14" s="147"/>
      <c r="H14" s="147"/>
      <c r="I14" s="150"/>
    </row>
    <row r="15" spans="1:9">
      <c r="A15" s="104"/>
      <c r="B15" s="147"/>
      <c r="C15" s="147"/>
      <c r="D15" s="150"/>
      <c r="E15" s="104"/>
      <c r="F15" s="147"/>
      <c r="G15" s="147"/>
      <c r="H15" s="147"/>
      <c r="I15" s="150"/>
    </row>
    <row r="16" spans="1:9">
      <c r="A16" s="104"/>
      <c r="B16" s="147"/>
      <c r="C16" s="147"/>
      <c r="D16" s="150"/>
      <c r="E16" s="104"/>
      <c r="F16" s="147"/>
      <c r="G16" s="147"/>
      <c r="H16" s="147"/>
      <c r="I16" s="150"/>
    </row>
    <row r="17" spans="1:9">
      <c r="A17" s="104"/>
      <c r="B17" s="147"/>
      <c r="C17" s="147"/>
      <c r="D17" s="150"/>
      <c r="E17" s="104"/>
      <c r="F17" s="147"/>
      <c r="G17" s="147"/>
      <c r="H17" s="147"/>
      <c r="I17" s="150"/>
    </row>
    <row r="18" spans="1:9">
      <c r="A18" s="104"/>
      <c r="B18" s="147"/>
      <c r="C18" s="147"/>
      <c r="D18" s="150"/>
      <c r="E18" s="104"/>
      <c r="F18" s="147"/>
      <c r="G18" s="147"/>
      <c r="H18" s="147"/>
      <c r="I18" s="150"/>
    </row>
    <row r="19" spans="1:9">
      <c r="A19" s="104"/>
      <c r="B19" s="147"/>
      <c r="C19" s="147"/>
      <c r="D19" s="150"/>
      <c r="E19" s="104"/>
      <c r="F19" s="147"/>
      <c r="G19" s="147"/>
      <c r="H19" s="147"/>
      <c r="I19" s="150"/>
    </row>
    <row r="20" spans="1:9" ht="13.8" thickBot="1">
      <c r="A20" s="154" t="s">
        <v>135</v>
      </c>
      <c r="B20" s="155" t="s">
        <v>137</v>
      </c>
      <c r="C20" s="151"/>
      <c r="D20" s="152"/>
      <c r="E20" s="154" t="s">
        <v>134</v>
      </c>
      <c r="F20" s="155" t="s">
        <v>135</v>
      </c>
      <c r="G20" s="155"/>
      <c r="H20" s="151"/>
      <c r="I20" s="152"/>
    </row>
    <row r="21" spans="1:9" ht="13.8" thickBot="1">
      <c r="A21" s="147"/>
      <c r="B21" s="147"/>
      <c r="C21" s="147"/>
      <c r="D21" s="147"/>
      <c r="E21" s="147"/>
      <c r="F21" s="147"/>
      <c r="G21" s="147"/>
      <c r="H21" s="147"/>
      <c r="I21" s="147"/>
    </row>
    <row r="22" spans="1:9">
      <c r="A22" s="103"/>
      <c r="B22" s="153" t="s">
        <v>138</v>
      </c>
      <c r="C22" s="146"/>
      <c r="D22" s="146"/>
      <c r="E22" s="103"/>
      <c r="F22" s="153" t="s">
        <v>149</v>
      </c>
      <c r="G22" s="146"/>
      <c r="H22" s="146"/>
      <c r="I22" s="149"/>
    </row>
    <row r="23" spans="1:9">
      <c r="A23" s="104"/>
      <c r="B23" s="147"/>
      <c r="C23" s="147"/>
      <c r="D23" s="147"/>
      <c r="E23" s="104"/>
      <c r="F23" s="147"/>
      <c r="G23" s="147"/>
      <c r="H23" s="147"/>
      <c r="I23" s="150"/>
    </row>
    <row r="24" spans="1:9">
      <c r="A24" s="104"/>
      <c r="B24" s="147"/>
      <c r="C24" s="147"/>
      <c r="D24" s="147"/>
      <c r="E24" s="104"/>
      <c r="F24" s="147"/>
      <c r="G24" s="147"/>
      <c r="H24" s="147"/>
      <c r="I24" s="150"/>
    </row>
    <row r="25" spans="1:9">
      <c r="A25" s="104"/>
      <c r="B25" s="147"/>
      <c r="C25" s="147"/>
      <c r="D25" s="147"/>
      <c r="E25" s="104"/>
      <c r="F25" s="147"/>
      <c r="G25" s="147"/>
      <c r="H25" s="147"/>
      <c r="I25" s="150"/>
    </row>
    <row r="26" spans="1:9">
      <c r="A26" s="104"/>
      <c r="B26" s="147"/>
      <c r="C26" s="147"/>
      <c r="D26" s="147"/>
      <c r="E26" s="104"/>
      <c r="F26" s="147"/>
      <c r="G26" s="147"/>
      <c r="H26" s="147"/>
      <c r="I26" s="150"/>
    </row>
    <row r="27" spans="1:9">
      <c r="A27" s="104"/>
      <c r="B27" s="147"/>
      <c r="C27" s="147"/>
      <c r="D27" s="147"/>
      <c r="E27" s="104"/>
      <c r="F27" s="147"/>
      <c r="G27" s="147"/>
      <c r="H27" s="147"/>
      <c r="I27" s="150"/>
    </row>
    <row r="28" spans="1:9">
      <c r="A28" s="104"/>
      <c r="B28" s="147"/>
      <c r="C28" s="147"/>
      <c r="D28" s="147"/>
      <c r="E28" s="104"/>
      <c r="F28" s="147"/>
      <c r="G28" s="147"/>
      <c r="H28" s="147"/>
      <c r="I28" s="150"/>
    </row>
    <row r="29" spans="1:9">
      <c r="A29" s="104"/>
      <c r="B29" s="147"/>
      <c r="C29" s="147"/>
      <c r="D29" s="147"/>
      <c r="E29" s="104"/>
      <c r="F29" s="147"/>
      <c r="G29" s="147"/>
      <c r="H29" s="147"/>
      <c r="I29" s="150"/>
    </row>
    <row r="30" spans="1:9">
      <c r="A30" s="104"/>
      <c r="B30" s="147"/>
      <c r="C30" s="147"/>
      <c r="D30" s="147"/>
      <c r="E30" s="104"/>
      <c r="F30" s="147"/>
      <c r="G30" s="147"/>
      <c r="H30" s="147"/>
      <c r="I30" s="150"/>
    </row>
    <row r="31" spans="1:9">
      <c r="A31" s="104"/>
      <c r="B31" s="147"/>
      <c r="C31" s="147"/>
      <c r="D31" s="147"/>
      <c r="E31" s="104"/>
      <c r="F31" s="147"/>
      <c r="G31" s="147"/>
      <c r="H31" s="147"/>
      <c r="I31" s="150"/>
    </row>
    <row r="32" spans="1:9">
      <c r="A32" s="104"/>
      <c r="B32" s="147"/>
      <c r="C32" s="147"/>
      <c r="D32" s="147"/>
      <c r="E32" s="104"/>
      <c r="F32" s="147"/>
      <c r="G32" s="147"/>
      <c r="H32" s="147"/>
      <c r="I32" s="150"/>
    </row>
    <row r="33" spans="1:9">
      <c r="A33" s="156"/>
      <c r="B33" s="148"/>
      <c r="C33" s="148"/>
      <c r="D33" s="147"/>
      <c r="E33" s="104"/>
      <c r="F33" s="147"/>
      <c r="G33" s="147"/>
      <c r="H33" s="147"/>
      <c r="I33" s="150"/>
    </row>
    <row r="34" spans="1:9">
      <c r="A34" s="104"/>
      <c r="B34" s="147"/>
      <c r="C34" s="147"/>
      <c r="D34" s="147"/>
      <c r="E34" s="104"/>
      <c r="F34" s="147"/>
      <c r="G34" s="147"/>
      <c r="H34" s="147"/>
      <c r="I34" s="150"/>
    </row>
    <row r="35" spans="1:9">
      <c r="A35" s="104"/>
      <c r="B35" s="147"/>
      <c r="C35" s="147"/>
      <c r="D35" s="147"/>
      <c r="E35" s="104"/>
      <c r="F35" s="147"/>
      <c r="G35" s="147"/>
      <c r="H35" s="147"/>
      <c r="I35" s="150"/>
    </row>
    <row r="36" spans="1:9" ht="13.8" thickBot="1">
      <c r="A36" s="154" t="s">
        <v>134</v>
      </c>
      <c r="B36" s="155" t="s">
        <v>135</v>
      </c>
      <c r="C36" s="155" t="s">
        <v>137</v>
      </c>
      <c r="D36" s="151"/>
      <c r="E36" s="154" t="s">
        <v>137</v>
      </c>
      <c r="F36" s="155" t="s">
        <v>134</v>
      </c>
      <c r="G36" s="155" t="s">
        <v>135</v>
      </c>
      <c r="H36" s="151"/>
      <c r="I36" s="152"/>
    </row>
    <row r="37" spans="1:9">
      <c r="A37" s="147"/>
      <c r="B37" s="147"/>
      <c r="C37" s="147"/>
      <c r="D37" s="147"/>
      <c r="E37" s="147"/>
      <c r="F37" s="147"/>
      <c r="G37" s="147"/>
      <c r="H37" s="147"/>
      <c r="I37" s="147"/>
    </row>
    <row r="38" spans="1:9">
      <c r="A38" s="147"/>
      <c r="B38" s="147"/>
      <c r="C38" s="147"/>
      <c r="D38" s="147"/>
      <c r="E38" s="147"/>
      <c r="F38" s="147"/>
      <c r="G38" s="147"/>
      <c r="H38" s="147"/>
      <c r="I38" s="147"/>
    </row>
    <row r="39" spans="1:9">
      <c r="A39" s="147"/>
      <c r="B39" s="147"/>
      <c r="C39" s="147"/>
      <c r="D39" s="147"/>
      <c r="E39" s="147"/>
      <c r="F39" s="147"/>
      <c r="G39" s="147"/>
      <c r="H39" s="147"/>
      <c r="I39" s="147"/>
    </row>
    <row r="40" spans="1:9">
      <c r="A40" s="147"/>
      <c r="B40" s="147"/>
      <c r="C40" s="147"/>
      <c r="D40" s="147"/>
      <c r="E40" s="147"/>
      <c r="F40" s="147"/>
      <c r="G40" s="147"/>
      <c r="H40" s="147"/>
      <c r="I40" s="147"/>
    </row>
    <row r="41" spans="1:9">
      <c r="A41" s="147"/>
      <c r="B41" s="147"/>
      <c r="C41" s="147"/>
      <c r="D41" s="147"/>
      <c r="E41" s="147"/>
      <c r="F41" s="147"/>
      <c r="G41" s="147"/>
      <c r="H41" s="147"/>
      <c r="I41" s="147"/>
    </row>
    <row r="42" spans="1:9">
      <c r="A42" s="147"/>
      <c r="B42" s="147"/>
      <c r="C42" s="147"/>
      <c r="D42" s="147"/>
      <c r="E42" s="147"/>
      <c r="F42" s="147"/>
      <c r="G42" s="147"/>
      <c r="H42" s="147"/>
      <c r="I42" s="147"/>
    </row>
    <row r="43" spans="1:9">
      <c r="A43" s="147"/>
      <c r="B43" s="147"/>
      <c r="C43" s="147"/>
      <c r="D43" s="147"/>
      <c r="E43" s="147"/>
      <c r="F43" s="147"/>
      <c r="G43" s="147"/>
      <c r="H43" s="147"/>
      <c r="I43" s="147"/>
    </row>
    <row r="44" spans="1:9">
      <c r="A44" s="147"/>
      <c r="B44" s="147"/>
      <c r="C44" s="147"/>
      <c r="D44" s="147"/>
      <c r="E44" s="147"/>
      <c r="F44" s="147"/>
      <c r="G44" s="147"/>
      <c r="H44" s="147"/>
      <c r="I44" s="147"/>
    </row>
    <row r="45" spans="1:9">
      <c r="A45" s="147"/>
      <c r="B45" s="147"/>
      <c r="C45" s="147"/>
      <c r="D45" s="147"/>
      <c r="E45" s="147"/>
      <c r="F45" s="147"/>
      <c r="G45" s="147"/>
      <c r="H45" s="147"/>
      <c r="I45" s="147"/>
    </row>
    <row r="46" spans="1:9">
      <c r="A46" s="147"/>
      <c r="B46" s="147"/>
      <c r="C46" s="147"/>
      <c r="D46" s="147"/>
      <c r="E46" s="147"/>
      <c r="F46" s="147"/>
      <c r="G46" s="147"/>
      <c r="H46" s="147"/>
      <c r="I46" s="147"/>
    </row>
    <row r="47" spans="1:9">
      <c r="A47" s="147"/>
      <c r="B47" s="147"/>
      <c r="C47" s="147"/>
      <c r="D47" s="147"/>
      <c r="E47" s="147"/>
      <c r="F47" s="147"/>
      <c r="G47" s="147"/>
      <c r="H47" s="147"/>
      <c r="I47" s="147"/>
    </row>
    <row r="48" spans="1:9">
      <c r="A48" s="147"/>
      <c r="B48" s="147"/>
      <c r="C48" s="147"/>
      <c r="D48" s="147"/>
      <c r="E48" s="147"/>
      <c r="F48" s="147"/>
      <c r="G48" s="147"/>
      <c r="H48" s="147"/>
      <c r="I48" s="147"/>
    </row>
    <row r="49" spans="1:9">
      <c r="A49" s="147"/>
      <c r="B49" s="147"/>
      <c r="C49" s="147"/>
      <c r="D49" s="147"/>
      <c r="E49" s="147"/>
      <c r="F49" s="147"/>
      <c r="G49" s="147"/>
      <c r="H49" s="147"/>
      <c r="I49" s="147"/>
    </row>
    <row r="50" spans="1:9">
      <c r="A50" s="147"/>
      <c r="B50" s="147"/>
      <c r="C50" s="147"/>
      <c r="D50" s="147"/>
      <c r="E50" s="147"/>
      <c r="F50" s="147"/>
      <c r="G50" s="147"/>
      <c r="H50" s="147"/>
      <c r="I50" s="147"/>
    </row>
    <row r="51" spans="1:9">
      <c r="A51" s="147"/>
      <c r="B51" s="147"/>
      <c r="C51" s="147"/>
      <c r="D51" s="147"/>
      <c r="E51" s="147"/>
      <c r="F51" s="147"/>
      <c r="G51" s="147"/>
      <c r="H51" s="147"/>
      <c r="I51" s="147"/>
    </row>
    <row r="52" spans="1:9">
      <c r="A52" s="147"/>
      <c r="B52" s="147"/>
      <c r="C52" s="147"/>
      <c r="D52" s="147"/>
      <c r="E52" s="147"/>
      <c r="F52" s="147"/>
      <c r="G52" s="147"/>
      <c r="H52" s="147"/>
      <c r="I52" s="147"/>
    </row>
    <row r="53" spans="1:9">
      <c r="A53" s="147"/>
      <c r="B53" s="147"/>
      <c r="C53" s="147"/>
      <c r="D53" s="147"/>
      <c r="E53" s="147"/>
      <c r="F53" s="147"/>
      <c r="G53" s="147"/>
      <c r="H53" s="147"/>
      <c r="I53" s="147"/>
    </row>
    <row r="54" spans="1:9" ht="13.8" thickBot="1">
      <c r="A54" s="147"/>
      <c r="B54" s="147"/>
      <c r="C54" s="147"/>
      <c r="D54" s="147"/>
      <c r="E54" s="147"/>
      <c r="F54" s="147"/>
      <c r="G54" s="147"/>
      <c r="H54" s="147"/>
      <c r="I54" s="147"/>
    </row>
    <row r="55" spans="1:9">
      <c r="A55" s="147"/>
      <c r="B55" s="147"/>
      <c r="C55" s="147"/>
      <c r="D55" s="147"/>
      <c r="E55" s="103" t="s">
        <v>146</v>
      </c>
      <c r="F55" s="146"/>
      <c r="G55" s="146"/>
      <c r="H55" s="146"/>
      <c r="I55" s="149"/>
    </row>
    <row r="56" spans="1:9">
      <c r="A56" s="147"/>
      <c r="B56" s="147"/>
      <c r="C56" s="147"/>
      <c r="D56" s="147"/>
      <c r="E56" s="104" t="s">
        <v>139</v>
      </c>
      <c r="F56" s="147"/>
      <c r="G56" s="147"/>
      <c r="H56" s="147"/>
      <c r="I56" s="150"/>
    </row>
    <row r="57" spans="1:9">
      <c r="A57" s="147"/>
      <c r="B57" s="147"/>
      <c r="C57" s="147"/>
      <c r="D57" s="147"/>
      <c r="E57" s="104" t="s">
        <v>148</v>
      </c>
      <c r="F57" s="147"/>
      <c r="G57" s="147"/>
      <c r="H57" s="147"/>
      <c r="I57" s="150"/>
    </row>
    <row r="58" spans="1:9" ht="13.8" thickBot="1">
      <c r="A58" s="147"/>
      <c r="B58" s="147"/>
      <c r="C58" s="147"/>
      <c r="D58" s="147"/>
      <c r="E58" s="105" t="s">
        <v>142</v>
      </c>
      <c r="F58" s="151"/>
      <c r="G58" s="151"/>
      <c r="H58" s="151"/>
      <c r="I58" s="152"/>
    </row>
    <row r="59" spans="1:9">
      <c r="A59" s="147"/>
      <c r="B59" s="147"/>
      <c r="C59" s="147"/>
      <c r="D59" s="147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40A5F-F03F-43F7-95D5-8581746CB1F5}">
  <sheetPr codeName="Sheet1"/>
  <dimension ref="A1:I59"/>
  <sheetViews>
    <sheetView view="pageBreakPreview" topLeftCell="A7" zoomScale="145" zoomScaleNormal="115" zoomScaleSheetLayoutView="145" workbookViewId="0">
      <selection activeCell="K23" sqref="K23"/>
    </sheetView>
  </sheetViews>
  <sheetFormatPr defaultRowHeight="13.2"/>
  <sheetData>
    <row r="1" spans="1:9">
      <c r="A1" s="147"/>
      <c r="B1" s="147"/>
      <c r="C1" s="147"/>
      <c r="D1" s="147"/>
      <c r="E1" s="147"/>
      <c r="F1" s="147"/>
      <c r="G1" s="147"/>
      <c r="H1" s="147"/>
      <c r="I1" s="147"/>
    </row>
    <row r="2" spans="1:9">
      <c r="A2" s="147"/>
      <c r="B2" s="147"/>
      <c r="C2" s="147"/>
      <c r="D2" s="147"/>
      <c r="E2" s="147"/>
      <c r="F2" s="147"/>
      <c r="G2" s="147"/>
      <c r="H2" s="147"/>
      <c r="I2" s="147"/>
    </row>
    <row r="3" spans="1:9" ht="13.8" thickBot="1">
      <c r="A3" s="147"/>
      <c r="B3" s="147"/>
      <c r="C3" s="147"/>
      <c r="D3" s="147"/>
      <c r="E3" s="147"/>
      <c r="F3" s="147"/>
      <c r="G3" s="147"/>
      <c r="H3" s="147"/>
      <c r="I3" s="147"/>
    </row>
    <row r="4" spans="1:9">
      <c r="A4" s="103"/>
      <c r="B4" s="153" t="s">
        <v>133</v>
      </c>
      <c r="C4" s="146"/>
      <c r="D4" s="149"/>
      <c r="E4" s="103"/>
      <c r="F4" s="146"/>
      <c r="G4" s="153" t="s">
        <v>136</v>
      </c>
      <c r="H4" s="146"/>
      <c r="I4" s="149"/>
    </row>
    <row r="5" spans="1:9">
      <c r="A5" s="104"/>
      <c r="B5" s="147"/>
      <c r="C5" s="147"/>
      <c r="D5" s="150"/>
      <c r="E5" s="104"/>
      <c r="F5" s="147"/>
      <c r="G5" s="147"/>
      <c r="H5" s="147"/>
      <c r="I5" s="150"/>
    </row>
    <row r="6" spans="1:9">
      <c r="A6" s="104"/>
      <c r="B6" s="147"/>
      <c r="C6" s="147"/>
      <c r="D6" s="150"/>
      <c r="E6" s="104"/>
      <c r="F6" s="147"/>
      <c r="G6" s="147"/>
      <c r="H6" s="147"/>
      <c r="I6" s="150"/>
    </row>
    <row r="7" spans="1:9">
      <c r="A7" s="104"/>
      <c r="B7" s="147"/>
      <c r="C7" s="147"/>
      <c r="D7" s="150"/>
      <c r="E7" s="104"/>
      <c r="F7" s="147"/>
      <c r="G7" s="147"/>
      <c r="H7" s="147"/>
      <c r="I7" s="150"/>
    </row>
    <row r="8" spans="1:9">
      <c r="A8" s="104"/>
      <c r="B8" s="147"/>
      <c r="C8" s="147"/>
      <c r="D8" s="150"/>
      <c r="E8" s="104"/>
      <c r="F8" s="147"/>
      <c r="G8" s="147"/>
      <c r="H8" s="147"/>
      <c r="I8" s="150"/>
    </row>
    <row r="9" spans="1:9">
      <c r="A9" s="104"/>
      <c r="B9" s="147"/>
      <c r="C9" s="147"/>
      <c r="D9" s="150"/>
      <c r="E9" s="104"/>
      <c r="F9" s="147"/>
      <c r="G9" s="147"/>
      <c r="H9" s="147"/>
      <c r="I9" s="150"/>
    </row>
    <row r="10" spans="1:9">
      <c r="A10" s="104"/>
      <c r="B10" s="147"/>
      <c r="C10" s="147"/>
      <c r="D10" s="150"/>
      <c r="E10" s="104"/>
      <c r="F10" s="147"/>
      <c r="G10" s="147"/>
      <c r="H10" s="147"/>
      <c r="I10" s="150"/>
    </row>
    <row r="11" spans="1:9">
      <c r="A11" s="104"/>
      <c r="B11" s="147"/>
      <c r="C11" s="147"/>
      <c r="D11" s="150"/>
      <c r="E11" s="104"/>
      <c r="F11" s="147"/>
      <c r="G11" s="147"/>
      <c r="H11" s="147"/>
      <c r="I11" s="150"/>
    </row>
    <row r="12" spans="1:9">
      <c r="A12" s="104"/>
      <c r="B12" s="147"/>
      <c r="C12" s="147"/>
      <c r="D12" s="150"/>
      <c r="E12" s="104"/>
      <c r="F12" s="147"/>
      <c r="G12" s="147"/>
      <c r="H12" s="147"/>
      <c r="I12" s="150"/>
    </row>
    <row r="13" spans="1:9">
      <c r="A13" s="104"/>
      <c r="B13" s="147"/>
      <c r="C13" s="147"/>
      <c r="D13" s="150"/>
      <c r="E13" s="104"/>
      <c r="F13" s="147"/>
      <c r="G13" s="147"/>
      <c r="H13" s="147"/>
      <c r="I13" s="150"/>
    </row>
    <row r="14" spans="1:9">
      <c r="A14" s="104"/>
      <c r="B14" s="147"/>
      <c r="C14" s="147"/>
      <c r="D14" s="150"/>
      <c r="E14" s="104"/>
      <c r="F14" s="147"/>
      <c r="G14" s="147"/>
      <c r="H14" s="147"/>
      <c r="I14" s="150"/>
    </row>
    <row r="15" spans="1:9">
      <c r="A15" s="104"/>
      <c r="B15" s="147"/>
      <c r="C15" s="147"/>
      <c r="D15" s="150"/>
      <c r="E15" s="104"/>
      <c r="F15" s="147"/>
      <c r="G15" s="147"/>
      <c r="H15" s="147"/>
      <c r="I15" s="150"/>
    </row>
    <row r="16" spans="1:9">
      <c r="A16" s="104"/>
      <c r="B16" s="147"/>
      <c r="C16" s="147"/>
      <c r="D16" s="150"/>
      <c r="E16" s="104"/>
      <c r="F16" s="147"/>
      <c r="G16" s="147"/>
      <c r="H16" s="147"/>
      <c r="I16" s="150"/>
    </row>
    <row r="17" spans="1:9">
      <c r="A17" s="104"/>
      <c r="B17" s="147"/>
      <c r="C17" s="147"/>
      <c r="D17" s="150"/>
      <c r="E17" s="104"/>
      <c r="F17" s="147"/>
      <c r="G17" s="147"/>
      <c r="H17" s="147"/>
      <c r="I17" s="150"/>
    </row>
    <row r="18" spans="1:9">
      <c r="A18" s="104"/>
      <c r="B18" s="147"/>
      <c r="C18" s="147"/>
      <c r="D18" s="150"/>
      <c r="E18" s="104"/>
      <c r="F18" s="147"/>
      <c r="G18" s="147"/>
      <c r="H18" s="147"/>
      <c r="I18" s="150"/>
    </row>
    <row r="19" spans="1:9">
      <c r="A19" s="104"/>
      <c r="B19" s="147"/>
      <c r="C19" s="147"/>
      <c r="D19" s="150"/>
      <c r="E19" s="104"/>
      <c r="F19" s="147"/>
      <c r="G19" s="147"/>
      <c r="H19" s="147"/>
      <c r="I19" s="150"/>
    </row>
    <row r="20" spans="1:9" ht="13.8" thickBot="1">
      <c r="A20" s="154" t="s">
        <v>135</v>
      </c>
      <c r="B20" s="155" t="s">
        <v>137</v>
      </c>
      <c r="C20" s="151"/>
      <c r="D20" s="152"/>
      <c r="E20" s="154" t="s">
        <v>135</v>
      </c>
      <c r="F20" s="155" t="s">
        <v>137</v>
      </c>
      <c r="G20" s="155" t="s">
        <v>134</v>
      </c>
      <c r="H20" s="151"/>
      <c r="I20" s="152"/>
    </row>
    <row r="21" spans="1:9" ht="13.8" thickBot="1">
      <c r="A21" s="147"/>
      <c r="B21" s="147"/>
      <c r="C21" s="147"/>
      <c r="D21" s="147"/>
      <c r="E21" s="147"/>
      <c r="F21" s="147"/>
      <c r="G21" s="147"/>
      <c r="H21" s="147"/>
      <c r="I21" s="147"/>
    </row>
    <row r="22" spans="1:9">
      <c r="A22" s="103"/>
      <c r="B22" s="153" t="s">
        <v>138</v>
      </c>
      <c r="C22" s="146"/>
      <c r="D22" s="146"/>
      <c r="E22" s="149"/>
      <c r="F22" s="103"/>
      <c r="G22" s="153" t="s">
        <v>147</v>
      </c>
      <c r="H22" s="146"/>
      <c r="I22" s="149"/>
    </row>
    <row r="23" spans="1:9">
      <c r="A23" s="104"/>
      <c r="B23" s="147"/>
      <c r="C23" s="147"/>
      <c r="D23" s="147"/>
      <c r="E23" s="150"/>
      <c r="F23" s="104"/>
      <c r="G23" s="147"/>
      <c r="H23" s="147"/>
      <c r="I23" s="150"/>
    </row>
    <row r="24" spans="1:9">
      <c r="A24" s="104"/>
      <c r="B24" s="147"/>
      <c r="C24" s="147"/>
      <c r="D24" s="147"/>
      <c r="E24" s="150"/>
      <c r="F24" s="104"/>
      <c r="G24" s="147"/>
      <c r="H24" s="147"/>
      <c r="I24" s="150"/>
    </row>
    <row r="25" spans="1:9">
      <c r="A25" s="104"/>
      <c r="B25" s="147"/>
      <c r="C25" s="147"/>
      <c r="D25" s="147"/>
      <c r="E25" s="150"/>
      <c r="F25" s="104"/>
      <c r="G25" s="147"/>
      <c r="H25" s="147"/>
      <c r="I25" s="150"/>
    </row>
    <row r="26" spans="1:9">
      <c r="A26" s="104"/>
      <c r="B26" s="147"/>
      <c r="C26" s="147"/>
      <c r="D26" s="147"/>
      <c r="E26" s="150"/>
      <c r="F26" s="104"/>
      <c r="G26" s="147"/>
      <c r="H26" s="147"/>
      <c r="I26" s="150"/>
    </row>
    <row r="27" spans="1:9">
      <c r="A27" s="104"/>
      <c r="B27" s="147"/>
      <c r="C27" s="147"/>
      <c r="D27" s="147"/>
      <c r="E27" s="150"/>
      <c r="F27" s="104"/>
      <c r="G27" s="147"/>
      <c r="H27" s="147"/>
      <c r="I27" s="150"/>
    </row>
    <row r="28" spans="1:9">
      <c r="A28" s="104"/>
      <c r="B28" s="147"/>
      <c r="C28" s="147"/>
      <c r="D28" s="147"/>
      <c r="E28" s="150"/>
      <c r="F28" s="104"/>
      <c r="G28" s="147"/>
      <c r="H28" s="147"/>
      <c r="I28" s="150"/>
    </row>
    <row r="29" spans="1:9">
      <c r="A29" s="104"/>
      <c r="B29" s="147"/>
      <c r="C29" s="147"/>
      <c r="D29" s="147"/>
      <c r="E29" s="150"/>
      <c r="F29" s="104"/>
      <c r="G29" s="147"/>
      <c r="H29" s="147"/>
      <c r="I29" s="150"/>
    </row>
    <row r="30" spans="1:9">
      <c r="A30" s="104"/>
      <c r="B30" s="147"/>
      <c r="C30" s="147"/>
      <c r="D30" s="147"/>
      <c r="E30" s="150"/>
      <c r="F30" s="104"/>
      <c r="G30" s="147"/>
      <c r="H30" s="147"/>
      <c r="I30" s="150"/>
    </row>
    <row r="31" spans="1:9">
      <c r="A31" s="104"/>
      <c r="B31" s="147"/>
      <c r="C31" s="147"/>
      <c r="D31" s="147"/>
      <c r="E31" s="150"/>
      <c r="F31" s="104"/>
      <c r="G31" s="147"/>
      <c r="H31" s="147"/>
      <c r="I31" s="150"/>
    </row>
    <row r="32" spans="1:9">
      <c r="A32" s="104"/>
      <c r="B32" s="147"/>
      <c r="C32" s="147"/>
      <c r="D32" s="147"/>
      <c r="E32" s="150"/>
      <c r="F32" s="104"/>
      <c r="G32" s="147"/>
      <c r="H32" s="147"/>
      <c r="I32" s="150"/>
    </row>
    <row r="33" spans="1:9">
      <c r="A33" s="156" t="s">
        <v>134</v>
      </c>
      <c r="B33" s="148" t="s">
        <v>135</v>
      </c>
      <c r="C33" s="148" t="s">
        <v>137</v>
      </c>
      <c r="D33" s="147"/>
      <c r="E33" s="150"/>
      <c r="F33" s="104"/>
      <c r="G33" s="147"/>
      <c r="H33" s="147"/>
      <c r="I33" s="150"/>
    </row>
    <row r="34" spans="1:9" ht="13.8" thickBot="1">
      <c r="A34" s="105"/>
      <c r="B34" s="151"/>
      <c r="C34" s="151"/>
      <c r="D34" s="151"/>
      <c r="E34" s="152"/>
      <c r="F34" s="105" t="s">
        <v>135</v>
      </c>
      <c r="G34" s="151" t="s">
        <v>137</v>
      </c>
      <c r="H34" s="151"/>
      <c r="I34" s="152"/>
    </row>
    <row r="35" spans="1:9">
      <c r="A35" s="147"/>
      <c r="B35" s="147"/>
      <c r="C35" s="147"/>
      <c r="D35" s="147"/>
      <c r="E35" s="147"/>
      <c r="F35" s="147"/>
      <c r="G35" s="147"/>
      <c r="H35" s="147"/>
      <c r="I35" s="147"/>
    </row>
    <row r="36" spans="1:9">
      <c r="A36" s="147"/>
      <c r="B36" s="147"/>
      <c r="C36" s="147"/>
      <c r="D36" s="147"/>
      <c r="E36" s="147"/>
      <c r="F36" s="147"/>
      <c r="G36" s="147"/>
      <c r="H36" s="147"/>
      <c r="I36" s="147"/>
    </row>
    <row r="37" spans="1:9">
      <c r="A37" s="147"/>
      <c r="B37" s="147"/>
      <c r="C37" s="147"/>
      <c r="D37" s="147"/>
      <c r="E37" s="147"/>
      <c r="F37" s="147"/>
      <c r="G37" s="147"/>
      <c r="H37" s="147"/>
      <c r="I37" s="147"/>
    </row>
    <row r="38" spans="1:9">
      <c r="A38" s="147"/>
      <c r="B38" s="147"/>
      <c r="C38" s="147"/>
      <c r="D38" s="147"/>
      <c r="E38" s="147"/>
      <c r="F38" s="147"/>
      <c r="G38" s="147"/>
      <c r="H38" s="147"/>
      <c r="I38" s="147"/>
    </row>
    <row r="39" spans="1:9">
      <c r="A39" s="147"/>
      <c r="B39" s="147"/>
      <c r="C39" s="147"/>
      <c r="D39" s="147"/>
      <c r="E39" s="147"/>
      <c r="F39" s="147"/>
      <c r="G39" s="147"/>
      <c r="H39" s="147"/>
      <c r="I39" s="147"/>
    </row>
    <row r="40" spans="1:9">
      <c r="A40" s="147"/>
      <c r="B40" s="147"/>
      <c r="C40" s="147"/>
      <c r="D40" s="147"/>
      <c r="E40" s="147"/>
      <c r="F40" s="147"/>
      <c r="G40" s="147"/>
      <c r="H40" s="147"/>
      <c r="I40" s="147"/>
    </row>
    <row r="41" spans="1:9">
      <c r="A41" s="147"/>
      <c r="B41" s="147"/>
      <c r="C41" s="147"/>
      <c r="D41" s="147"/>
      <c r="E41" s="147"/>
      <c r="F41" s="147"/>
      <c r="G41" s="147"/>
      <c r="H41" s="147"/>
      <c r="I41" s="147"/>
    </row>
    <row r="42" spans="1:9">
      <c r="A42" s="147"/>
      <c r="B42" s="147"/>
      <c r="C42" s="147"/>
      <c r="D42" s="147"/>
      <c r="E42" s="147"/>
      <c r="F42" s="147"/>
      <c r="G42" s="147"/>
      <c r="H42" s="147"/>
      <c r="I42" s="147"/>
    </row>
    <row r="43" spans="1:9">
      <c r="A43" s="147"/>
      <c r="B43" s="147"/>
      <c r="C43" s="147"/>
      <c r="D43" s="147"/>
      <c r="E43" s="147"/>
      <c r="F43" s="147"/>
      <c r="G43" s="147"/>
      <c r="H43" s="147"/>
      <c r="I43" s="147"/>
    </row>
    <row r="44" spans="1:9">
      <c r="A44" s="147"/>
      <c r="B44" s="147"/>
      <c r="C44" s="147"/>
      <c r="D44" s="147"/>
      <c r="E44" s="147"/>
      <c r="F44" s="147"/>
      <c r="G44" s="147"/>
      <c r="H44" s="147"/>
      <c r="I44" s="147"/>
    </row>
    <row r="45" spans="1:9">
      <c r="A45" s="147"/>
      <c r="B45" s="147"/>
      <c r="C45" s="147"/>
      <c r="D45" s="147"/>
      <c r="E45" s="147"/>
      <c r="F45" s="147"/>
      <c r="G45" s="147"/>
      <c r="H45" s="147"/>
      <c r="I45" s="147"/>
    </row>
    <row r="46" spans="1:9">
      <c r="A46" s="147"/>
      <c r="B46" s="147"/>
      <c r="C46" s="147"/>
      <c r="D46" s="147"/>
      <c r="E46" s="147"/>
      <c r="F46" s="147"/>
      <c r="G46" s="147"/>
      <c r="H46" s="147"/>
      <c r="I46" s="147"/>
    </row>
    <row r="47" spans="1:9">
      <c r="A47" s="147"/>
      <c r="B47" s="147"/>
      <c r="C47" s="147"/>
      <c r="D47" s="147"/>
      <c r="E47" s="147"/>
      <c r="F47" s="147"/>
      <c r="G47" s="147"/>
      <c r="H47" s="147"/>
      <c r="I47" s="147"/>
    </row>
    <row r="48" spans="1:9">
      <c r="A48" s="147"/>
      <c r="B48" s="147"/>
      <c r="C48" s="147"/>
      <c r="D48" s="147"/>
      <c r="E48" s="147"/>
      <c r="F48" s="147"/>
      <c r="G48" s="147"/>
      <c r="H48" s="147"/>
      <c r="I48" s="147"/>
    </row>
    <row r="49" spans="1:9">
      <c r="A49" s="147"/>
      <c r="B49" s="147"/>
      <c r="C49" s="147"/>
      <c r="D49" s="147"/>
      <c r="E49" s="147"/>
      <c r="F49" s="147"/>
      <c r="G49" s="147"/>
      <c r="H49" s="147"/>
      <c r="I49" s="147"/>
    </row>
    <row r="50" spans="1:9">
      <c r="A50" s="147"/>
      <c r="B50" s="147"/>
      <c r="C50" s="147"/>
      <c r="D50" s="147"/>
      <c r="E50" s="147"/>
      <c r="F50" s="147"/>
      <c r="G50" s="147"/>
      <c r="H50" s="147"/>
      <c r="I50" s="147"/>
    </row>
    <row r="51" spans="1:9">
      <c r="A51" s="147"/>
      <c r="B51" s="147"/>
      <c r="C51" s="147"/>
      <c r="D51" s="147"/>
      <c r="E51" s="147"/>
      <c r="F51" s="147"/>
      <c r="G51" s="147"/>
      <c r="H51" s="147"/>
      <c r="I51" s="147"/>
    </row>
    <row r="52" spans="1:9">
      <c r="A52" s="147"/>
      <c r="B52" s="147"/>
      <c r="C52" s="147"/>
      <c r="D52" s="147"/>
      <c r="E52" s="147"/>
      <c r="F52" s="147"/>
      <c r="G52" s="147"/>
      <c r="H52" s="147"/>
      <c r="I52" s="147"/>
    </row>
    <row r="53" spans="1:9">
      <c r="A53" s="147"/>
      <c r="B53" s="147"/>
      <c r="C53" s="147"/>
      <c r="D53" s="147"/>
      <c r="E53" s="147"/>
      <c r="F53" s="147"/>
      <c r="G53" s="147"/>
      <c r="H53" s="147"/>
      <c r="I53" s="147"/>
    </row>
    <row r="54" spans="1:9" ht="13.8" thickBot="1">
      <c r="A54" s="147"/>
      <c r="B54" s="147"/>
      <c r="C54" s="147"/>
      <c r="D54" s="147"/>
      <c r="E54" s="147"/>
      <c r="F54" s="147"/>
      <c r="G54" s="147"/>
      <c r="H54" s="147"/>
      <c r="I54" s="147"/>
    </row>
    <row r="55" spans="1:9">
      <c r="A55" s="147"/>
      <c r="B55" s="147"/>
      <c r="C55" s="147"/>
      <c r="D55" s="147"/>
      <c r="E55" s="103" t="s">
        <v>140</v>
      </c>
      <c r="F55" s="146"/>
      <c r="G55" s="146"/>
      <c r="H55" s="146"/>
      <c r="I55" s="149"/>
    </row>
    <row r="56" spans="1:9">
      <c r="A56" s="147"/>
      <c r="B56" s="147"/>
      <c r="C56" s="147"/>
      <c r="D56" s="147"/>
      <c r="E56" s="104" t="s">
        <v>139</v>
      </c>
      <c r="F56" s="147"/>
      <c r="G56" s="147"/>
      <c r="H56" s="147"/>
      <c r="I56" s="150"/>
    </row>
    <row r="57" spans="1:9">
      <c r="A57" s="147"/>
      <c r="B57" s="147"/>
      <c r="C57" s="147"/>
      <c r="D57" s="147"/>
      <c r="E57" s="104" t="s">
        <v>141</v>
      </c>
      <c r="F57" s="147"/>
      <c r="G57" s="147"/>
      <c r="H57" s="147"/>
      <c r="I57" s="150"/>
    </row>
    <row r="58" spans="1:9" ht="13.8" thickBot="1">
      <c r="A58" s="147"/>
      <c r="B58" s="147"/>
      <c r="C58" s="147"/>
      <c r="D58" s="147"/>
      <c r="E58" s="105" t="s">
        <v>142</v>
      </c>
      <c r="F58" s="151"/>
      <c r="G58" s="151"/>
      <c r="H58" s="151"/>
      <c r="I58" s="152"/>
    </row>
    <row r="59" spans="1:9">
      <c r="A59" s="147"/>
      <c r="B59" s="147"/>
      <c r="C59" s="147"/>
      <c r="D59" s="147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88BF9-4275-4E93-89C9-DE08A880F8AE}">
  <sheetPr codeName="Sheet7"/>
  <dimension ref="A1:I58"/>
  <sheetViews>
    <sheetView topLeftCell="A7" zoomScale="130" zoomScaleNormal="130" workbookViewId="0">
      <selection activeCell="F4" sqref="F4"/>
    </sheetView>
  </sheetViews>
  <sheetFormatPr defaultRowHeight="13.2"/>
  <sheetData>
    <row r="1" spans="1:9">
      <c r="A1" s="175"/>
      <c r="B1" s="176"/>
      <c r="C1" s="176"/>
      <c r="D1" s="176"/>
      <c r="E1" s="176"/>
      <c r="F1" s="176"/>
      <c r="G1" s="176"/>
      <c r="H1" s="176"/>
      <c r="I1" s="177"/>
    </row>
    <row r="2" spans="1:9">
      <c r="A2" s="178"/>
      <c r="B2" s="147"/>
      <c r="C2" s="147"/>
      <c r="D2" s="147"/>
      <c r="E2" s="147"/>
      <c r="F2" s="147"/>
      <c r="G2" s="147"/>
      <c r="H2" s="147"/>
      <c r="I2" s="179"/>
    </row>
    <row r="3" spans="1:9">
      <c r="A3" s="178"/>
      <c r="B3" s="147"/>
      <c r="C3" s="147"/>
      <c r="D3" s="147"/>
      <c r="E3" s="147"/>
      <c r="F3" s="147"/>
      <c r="G3" s="147"/>
      <c r="H3" s="147"/>
      <c r="I3" s="179"/>
    </row>
    <row r="4" spans="1:9">
      <c r="A4" s="178"/>
      <c r="C4" s="147"/>
      <c r="D4" s="147"/>
      <c r="E4" s="147"/>
      <c r="F4" s="148"/>
      <c r="G4" s="186"/>
      <c r="H4" s="147"/>
      <c r="I4" s="179"/>
    </row>
    <row r="5" spans="1:9">
      <c r="A5" s="178"/>
      <c r="B5" s="147"/>
      <c r="C5" s="147"/>
      <c r="D5" s="147"/>
      <c r="E5" s="147"/>
      <c r="F5" s="147"/>
      <c r="G5" s="147"/>
      <c r="H5" s="147"/>
      <c r="I5" s="179"/>
    </row>
    <row r="6" spans="1:9">
      <c r="A6" s="178"/>
      <c r="B6" s="147"/>
      <c r="C6" s="147"/>
      <c r="D6" s="147"/>
      <c r="E6" s="147"/>
      <c r="F6" s="147"/>
      <c r="G6" s="147"/>
      <c r="H6" s="147"/>
      <c r="I6" s="179"/>
    </row>
    <row r="7" spans="1:9">
      <c r="A7" s="178"/>
      <c r="B7" s="147"/>
      <c r="C7" s="147"/>
      <c r="D7" s="186" t="s">
        <v>159</v>
      </c>
      <c r="E7" s="147"/>
      <c r="F7" s="147"/>
      <c r="G7" s="147"/>
      <c r="H7" s="147"/>
      <c r="I7" s="179"/>
    </row>
    <row r="8" spans="1:9">
      <c r="A8" s="178"/>
      <c r="B8" s="147"/>
      <c r="C8" s="147"/>
      <c r="D8" s="147"/>
      <c r="E8" s="147"/>
      <c r="F8" s="147"/>
      <c r="G8" s="147"/>
      <c r="H8" s="147"/>
      <c r="I8" s="179"/>
    </row>
    <row r="9" spans="1:9">
      <c r="A9" s="178"/>
      <c r="B9" s="147"/>
      <c r="C9" s="147"/>
      <c r="D9" s="147"/>
      <c r="E9" s="147"/>
      <c r="F9" s="147"/>
      <c r="G9" s="147"/>
      <c r="H9" s="147"/>
      <c r="I9" s="179"/>
    </row>
    <row r="10" spans="1:9">
      <c r="A10" s="178"/>
      <c r="B10" s="147"/>
      <c r="C10" s="147"/>
      <c r="D10" s="147"/>
      <c r="E10" s="147"/>
      <c r="F10" s="147"/>
      <c r="G10" s="147"/>
      <c r="H10" s="147"/>
      <c r="I10" s="179"/>
    </row>
    <row r="11" spans="1:9">
      <c r="A11" s="178"/>
      <c r="B11" s="147"/>
      <c r="C11" s="147"/>
      <c r="D11" s="147"/>
      <c r="E11" s="147"/>
      <c r="F11" s="147"/>
      <c r="G11" s="147"/>
      <c r="H11" s="147"/>
      <c r="I11" s="179"/>
    </row>
    <row r="12" spans="1:9">
      <c r="A12" s="178"/>
      <c r="B12" s="147"/>
      <c r="C12" s="147"/>
      <c r="D12" s="147"/>
      <c r="E12" s="147"/>
      <c r="F12" s="147"/>
      <c r="G12" s="147"/>
      <c r="H12" s="147"/>
      <c r="I12" s="179"/>
    </row>
    <row r="13" spans="1:9">
      <c r="A13" s="178"/>
      <c r="B13" s="147"/>
      <c r="C13" s="147"/>
      <c r="D13" s="147"/>
      <c r="E13" s="147"/>
      <c r="F13" s="147"/>
      <c r="G13" s="147"/>
      <c r="H13" s="147"/>
      <c r="I13" s="179"/>
    </row>
    <row r="14" spans="1:9">
      <c r="A14" s="178"/>
      <c r="B14" s="147"/>
      <c r="C14" s="147"/>
      <c r="D14" s="147"/>
      <c r="E14" s="147"/>
      <c r="F14" s="147"/>
      <c r="G14" s="147"/>
      <c r="H14" s="147"/>
      <c r="I14" s="179"/>
    </row>
    <row r="15" spans="1:9">
      <c r="A15" s="178"/>
      <c r="B15" s="147"/>
      <c r="C15" s="147"/>
      <c r="D15" s="147"/>
      <c r="E15" s="147"/>
      <c r="F15" s="147"/>
      <c r="G15" s="147"/>
      <c r="H15" s="147"/>
      <c r="I15" s="179"/>
    </row>
    <row r="16" spans="1:9">
      <c r="A16" s="178"/>
      <c r="B16" s="147"/>
      <c r="C16" s="147"/>
      <c r="D16" s="147"/>
      <c r="E16" s="147"/>
      <c r="F16" s="147"/>
      <c r="G16" s="147"/>
      <c r="H16" s="147"/>
      <c r="I16" s="179"/>
    </row>
    <row r="17" spans="1:9">
      <c r="A17" s="178"/>
      <c r="B17" s="147"/>
      <c r="C17" s="147"/>
      <c r="D17" s="147"/>
      <c r="E17" s="147"/>
      <c r="F17" s="147"/>
      <c r="G17" s="147"/>
      <c r="H17" s="147"/>
      <c r="I17" s="187" t="s">
        <v>157</v>
      </c>
    </row>
    <row r="18" spans="1:9">
      <c r="A18" s="178"/>
      <c r="B18" s="147"/>
      <c r="C18" s="147"/>
      <c r="D18" s="147"/>
      <c r="E18" s="147"/>
      <c r="F18" s="147"/>
      <c r="G18" s="147"/>
      <c r="H18" s="147"/>
      <c r="I18" s="179"/>
    </row>
    <row r="19" spans="1:9">
      <c r="A19" s="178"/>
      <c r="B19" s="147"/>
      <c r="C19" s="147"/>
      <c r="D19" s="147"/>
      <c r="E19" s="147"/>
      <c r="F19" s="147"/>
      <c r="G19" s="147"/>
      <c r="H19" s="147"/>
      <c r="I19" s="179"/>
    </row>
    <row r="20" spans="1:9">
      <c r="A20" s="181"/>
      <c r="B20" s="148"/>
      <c r="C20" s="147"/>
      <c r="D20" s="147"/>
      <c r="E20" s="148" t="s">
        <v>134</v>
      </c>
      <c r="F20" s="148" t="s">
        <v>135</v>
      </c>
      <c r="G20" s="148"/>
      <c r="H20" s="147"/>
      <c r="I20" s="179"/>
    </row>
    <row r="21" spans="1:9">
      <c r="A21" s="178"/>
      <c r="B21" s="147"/>
      <c r="C21" s="147"/>
      <c r="D21" s="147"/>
      <c r="E21" s="147"/>
      <c r="F21" s="147"/>
      <c r="G21" s="147"/>
      <c r="H21" s="147"/>
      <c r="I21" s="179"/>
    </row>
    <row r="22" spans="1:9">
      <c r="A22" s="178"/>
      <c r="B22" s="186"/>
      <c r="C22" s="147"/>
      <c r="D22" s="147"/>
      <c r="E22" s="147"/>
      <c r="F22" s="186"/>
      <c r="G22" s="147"/>
      <c r="H22" s="147"/>
      <c r="I22" s="187" t="s">
        <v>134</v>
      </c>
    </row>
    <row r="23" spans="1:9">
      <c r="A23" s="178"/>
      <c r="B23" s="147"/>
      <c r="C23" s="147"/>
      <c r="D23" s="147"/>
      <c r="E23" s="147"/>
      <c r="F23" s="147"/>
      <c r="G23" s="147"/>
      <c r="H23" s="147"/>
      <c r="I23" s="179"/>
    </row>
    <row r="24" spans="1:9">
      <c r="A24" s="178"/>
      <c r="B24" s="147"/>
      <c r="C24" s="147"/>
      <c r="D24" s="147"/>
      <c r="E24" s="147"/>
      <c r="F24" s="147"/>
      <c r="G24" s="147"/>
      <c r="H24" s="147"/>
      <c r="I24" s="179"/>
    </row>
    <row r="25" spans="1:9">
      <c r="A25" s="178"/>
      <c r="B25" s="147"/>
      <c r="C25" s="147"/>
      <c r="D25" s="147"/>
      <c r="E25" s="147"/>
      <c r="F25" s="147"/>
      <c r="G25" s="147"/>
      <c r="H25" s="147"/>
      <c r="I25" s="179"/>
    </row>
    <row r="26" spans="1:9">
      <c r="A26" s="178"/>
      <c r="B26" s="147"/>
      <c r="C26" s="147"/>
      <c r="D26" s="147"/>
      <c r="E26" s="147"/>
      <c r="F26" s="147"/>
      <c r="G26" s="147"/>
      <c r="H26" s="147"/>
      <c r="I26" s="179"/>
    </row>
    <row r="27" spans="1:9">
      <c r="A27" s="178"/>
      <c r="B27" s="147"/>
      <c r="C27" s="147"/>
      <c r="D27" s="147"/>
      <c r="E27" s="147"/>
      <c r="F27" s="147"/>
      <c r="G27" s="147"/>
      <c r="H27" s="147"/>
      <c r="I27" s="179"/>
    </row>
    <row r="28" spans="1:9">
      <c r="A28" s="178"/>
      <c r="B28" s="147"/>
      <c r="C28" s="147"/>
      <c r="D28" s="147"/>
      <c r="E28" s="147"/>
      <c r="F28" s="147"/>
      <c r="G28" s="147"/>
      <c r="H28" s="147"/>
      <c r="I28" s="179"/>
    </row>
    <row r="29" spans="1:9">
      <c r="A29" s="178"/>
      <c r="B29" s="147"/>
      <c r="C29" s="147"/>
      <c r="D29" s="147"/>
      <c r="E29" s="147"/>
      <c r="F29" s="147"/>
      <c r="G29" s="147"/>
      <c r="H29" s="147"/>
      <c r="I29" s="179"/>
    </row>
    <row r="30" spans="1:9">
      <c r="A30" s="178"/>
      <c r="B30" s="147"/>
      <c r="C30" s="147"/>
      <c r="D30" s="147"/>
      <c r="E30" s="147"/>
      <c r="F30" s="147"/>
      <c r="G30" s="147"/>
      <c r="H30" s="147"/>
      <c r="I30" s="187" t="s">
        <v>156</v>
      </c>
    </row>
    <row r="31" spans="1:9">
      <c r="A31" s="178"/>
      <c r="B31" s="147"/>
      <c r="C31" s="147"/>
      <c r="D31" s="147"/>
      <c r="E31" s="147"/>
      <c r="F31" s="147"/>
      <c r="G31" s="147"/>
      <c r="H31" s="147"/>
      <c r="I31" s="179"/>
    </row>
    <row r="32" spans="1:9">
      <c r="A32" s="178"/>
      <c r="B32" s="147"/>
      <c r="C32" s="147"/>
      <c r="D32" s="147"/>
      <c r="E32" s="147"/>
      <c r="F32" s="147"/>
      <c r="G32" s="147"/>
      <c r="H32" s="147"/>
      <c r="I32" s="179"/>
    </row>
    <row r="33" spans="1:9">
      <c r="A33" s="181"/>
      <c r="B33" s="148"/>
      <c r="C33" s="148"/>
      <c r="D33" s="147"/>
      <c r="E33" s="147"/>
      <c r="F33" s="147"/>
      <c r="G33" s="147"/>
      <c r="H33" s="147"/>
      <c r="I33" s="179"/>
    </row>
    <row r="34" spans="1:9">
      <c r="A34" s="178"/>
      <c r="B34" s="147"/>
      <c r="C34" s="147"/>
      <c r="D34" s="147"/>
      <c r="E34" s="147"/>
      <c r="F34" s="147"/>
      <c r="G34" s="147"/>
      <c r="H34" s="147"/>
      <c r="I34" s="179"/>
    </row>
    <row r="35" spans="1:9">
      <c r="A35" s="178"/>
      <c r="B35" s="147"/>
      <c r="C35" s="147"/>
      <c r="D35" s="147"/>
      <c r="E35" s="147"/>
      <c r="F35" s="147"/>
      <c r="G35" s="147"/>
      <c r="H35" s="147"/>
      <c r="I35" s="179"/>
    </row>
    <row r="36" spans="1:9">
      <c r="A36" s="181"/>
      <c r="B36" s="148"/>
      <c r="C36" s="148"/>
      <c r="D36" s="147"/>
      <c r="E36" s="148"/>
      <c r="F36" s="148"/>
      <c r="G36" s="148"/>
      <c r="H36" s="147"/>
      <c r="I36" s="179"/>
    </row>
    <row r="37" spans="1:9">
      <c r="A37" s="178"/>
      <c r="B37" s="147"/>
      <c r="C37" s="147"/>
      <c r="D37" s="147"/>
      <c r="E37" s="147"/>
      <c r="F37" s="147"/>
      <c r="G37" s="147"/>
      <c r="H37" s="147"/>
      <c r="I37" s="179"/>
    </row>
    <row r="38" spans="1:9">
      <c r="A38" s="178"/>
      <c r="B38" s="147"/>
      <c r="C38" s="147"/>
      <c r="D38" s="147"/>
      <c r="E38" s="147"/>
      <c r="F38" s="147"/>
      <c r="G38" s="147"/>
      <c r="H38" s="147"/>
      <c r="I38" s="179"/>
    </row>
    <row r="39" spans="1:9">
      <c r="A39" s="178"/>
      <c r="B39" s="147"/>
      <c r="C39" s="147"/>
      <c r="D39" s="147"/>
      <c r="E39" s="147"/>
      <c r="F39" s="147"/>
      <c r="G39" s="147"/>
      <c r="H39" s="147"/>
      <c r="I39" s="179"/>
    </row>
    <row r="40" spans="1:9">
      <c r="A40" s="178"/>
      <c r="B40" s="147"/>
      <c r="C40" s="147"/>
      <c r="D40" s="147"/>
      <c r="E40" s="147"/>
      <c r="F40" s="147"/>
      <c r="G40" s="147"/>
      <c r="H40" s="147"/>
      <c r="I40" s="179"/>
    </row>
    <row r="41" spans="1:9">
      <c r="A41" s="178"/>
      <c r="B41" s="147"/>
      <c r="C41" s="147"/>
      <c r="D41" s="147"/>
      <c r="E41" s="147"/>
      <c r="F41" s="147"/>
      <c r="G41" s="147"/>
      <c r="H41" s="147"/>
      <c r="I41" s="179"/>
    </row>
    <row r="42" spans="1:9">
      <c r="A42" s="178"/>
      <c r="B42" s="147"/>
      <c r="C42" s="147"/>
      <c r="D42" s="147"/>
      <c r="E42" s="147"/>
      <c r="F42" s="147"/>
      <c r="G42" s="147"/>
      <c r="H42" s="147"/>
      <c r="I42" s="179"/>
    </row>
    <row r="43" spans="1:9">
      <c r="A43" s="178"/>
      <c r="B43" s="147"/>
      <c r="C43" s="147"/>
      <c r="D43" s="147"/>
      <c r="E43" s="147"/>
      <c r="F43" s="147"/>
      <c r="G43" s="147"/>
      <c r="H43" s="147"/>
      <c r="I43" s="179"/>
    </row>
    <row r="44" spans="1:9">
      <c r="A44" s="178"/>
      <c r="B44" s="147"/>
      <c r="C44" s="147"/>
      <c r="D44" s="147"/>
      <c r="E44" s="147"/>
      <c r="F44" s="147"/>
      <c r="G44" s="147"/>
      <c r="H44" s="147"/>
      <c r="I44" s="179"/>
    </row>
    <row r="45" spans="1:9">
      <c r="A45" s="178"/>
      <c r="B45" s="147"/>
      <c r="C45" s="147"/>
      <c r="D45" s="147"/>
      <c r="E45" s="147"/>
      <c r="F45" s="147"/>
      <c r="G45" s="147"/>
      <c r="H45" s="147"/>
      <c r="I45" s="179"/>
    </row>
    <row r="46" spans="1:9">
      <c r="A46" s="178"/>
      <c r="B46" s="147"/>
      <c r="C46" s="147"/>
      <c r="D46" s="147"/>
      <c r="E46" s="147"/>
      <c r="F46" s="147"/>
      <c r="G46" s="147"/>
      <c r="H46" s="147"/>
      <c r="I46" s="179"/>
    </row>
    <row r="47" spans="1:9">
      <c r="A47" s="178"/>
      <c r="B47" s="147"/>
      <c r="C47" s="147"/>
      <c r="D47" s="147"/>
      <c r="E47" s="147"/>
      <c r="F47" s="147"/>
      <c r="G47" s="147"/>
      <c r="H47" s="147"/>
      <c r="I47" s="179"/>
    </row>
    <row r="48" spans="1:9">
      <c r="A48" s="178"/>
      <c r="B48" s="147"/>
      <c r="C48" s="147"/>
      <c r="D48" s="147"/>
      <c r="E48" s="147"/>
      <c r="F48" s="147"/>
      <c r="G48" s="147"/>
      <c r="H48" s="147"/>
      <c r="I48" s="179"/>
    </row>
    <row r="49" spans="1:9">
      <c r="A49" s="178"/>
      <c r="B49" s="147"/>
      <c r="C49" s="147"/>
      <c r="D49" s="147"/>
      <c r="E49" s="147"/>
      <c r="F49" s="147"/>
      <c r="G49" s="147"/>
      <c r="H49" s="147"/>
      <c r="I49" s="179"/>
    </row>
    <row r="50" spans="1:9">
      <c r="A50" s="178"/>
      <c r="B50" s="147"/>
      <c r="C50" s="147"/>
      <c r="D50" s="147"/>
      <c r="E50" s="147"/>
      <c r="F50" s="147"/>
      <c r="G50" s="147"/>
      <c r="H50" s="147"/>
      <c r="I50" s="179"/>
    </row>
    <row r="51" spans="1:9">
      <c r="A51" s="178"/>
      <c r="B51" s="147"/>
      <c r="C51" s="147"/>
      <c r="D51" s="147"/>
      <c r="E51" s="147"/>
      <c r="F51" s="147"/>
      <c r="G51" s="147"/>
      <c r="H51" s="147"/>
      <c r="I51" s="179"/>
    </row>
    <row r="52" spans="1:9">
      <c r="A52" s="178"/>
      <c r="B52" s="147"/>
      <c r="C52" s="147"/>
      <c r="D52" s="147"/>
      <c r="E52" s="147"/>
      <c r="F52" s="147"/>
      <c r="G52" s="147"/>
      <c r="H52" s="147"/>
      <c r="I52" s="179"/>
    </row>
    <row r="53" spans="1:9">
      <c r="A53" s="178"/>
      <c r="B53" s="147"/>
      <c r="C53" s="147"/>
      <c r="D53" s="147"/>
      <c r="E53" s="147"/>
      <c r="F53" s="147"/>
      <c r="G53" s="147"/>
      <c r="H53" s="147"/>
      <c r="I53" s="179"/>
    </row>
    <row r="54" spans="1:9" ht="13.8" thickBot="1">
      <c r="A54" s="178"/>
      <c r="B54" s="147"/>
      <c r="C54" s="147"/>
      <c r="D54" s="147"/>
      <c r="E54" s="147"/>
      <c r="F54" s="147"/>
      <c r="G54" s="147"/>
      <c r="H54" s="147"/>
      <c r="I54" s="179"/>
    </row>
    <row r="55" spans="1:9">
      <c r="A55" s="178"/>
      <c r="B55" s="147"/>
      <c r="C55" s="147"/>
      <c r="D55" s="147"/>
      <c r="E55" s="103" t="s">
        <v>158</v>
      </c>
      <c r="F55" s="146"/>
      <c r="G55" s="146"/>
      <c r="H55" s="146"/>
      <c r="I55" s="180"/>
    </row>
    <row r="56" spans="1:9">
      <c r="A56" s="178"/>
      <c r="B56" s="147"/>
      <c r="C56" s="147"/>
      <c r="D56" s="147"/>
      <c r="E56" s="104" t="s">
        <v>155</v>
      </c>
      <c r="F56" s="147"/>
      <c r="G56" s="147"/>
      <c r="H56" s="147"/>
      <c r="I56" s="179"/>
    </row>
    <row r="57" spans="1:9">
      <c r="A57" s="178"/>
      <c r="B57" s="147"/>
      <c r="C57" s="147"/>
      <c r="D57" s="147"/>
      <c r="E57" s="104" t="s">
        <v>154</v>
      </c>
      <c r="F57" s="147"/>
      <c r="G57" s="147"/>
      <c r="H57" s="147"/>
      <c r="I57" s="179"/>
    </row>
    <row r="58" spans="1:9">
      <c r="A58" s="182"/>
      <c r="B58" s="183"/>
      <c r="C58" s="183"/>
      <c r="D58" s="183"/>
      <c r="E58" s="184" t="s">
        <v>142</v>
      </c>
      <c r="F58" s="183"/>
      <c r="G58" s="183"/>
      <c r="H58" s="183"/>
      <c r="I58" s="185"/>
    </row>
  </sheetData>
  <pageMargins left="0.7" right="0.7" top="0.75" bottom="0.75" header="0.3" footer="0.3"/>
  <pageSetup paperSize="9" fitToWidth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pageSetUpPr fitToPage="1"/>
  </sheetPr>
  <dimension ref="A1:J32"/>
  <sheetViews>
    <sheetView workbookViewId="0">
      <selection activeCell="O44" sqref="O44"/>
    </sheetView>
  </sheetViews>
  <sheetFormatPr defaultRowHeight="13.2"/>
  <cols>
    <col min="8" max="8" width="12.109375" bestFit="1" customWidth="1"/>
    <col min="9" max="9" width="12.109375" customWidth="1"/>
  </cols>
  <sheetData>
    <row r="1" spans="1:10">
      <c r="A1" s="120" t="s">
        <v>104</v>
      </c>
      <c r="B1" s="120" t="s">
        <v>106</v>
      </c>
      <c r="C1" s="120" t="s">
        <v>72</v>
      </c>
      <c r="D1" s="120" t="s">
        <v>107</v>
      </c>
      <c r="E1" s="120" t="s">
        <v>73</v>
      </c>
      <c r="F1" s="120" t="s">
        <v>109</v>
      </c>
      <c r="G1" s="120" t="s">
        <v>108</v>
      </c>
      <c r="H1" s="120" t="s">
        <v>110</v>
      </c>
      <c r="I1" s="120" t="s">
        <v>111</v>
      </c>
      <c r="J1" s="120" t="s">
        <v>350</v>
      </c>
    </row>
    <row r="2" spans="1:10">
      <c r="A2" s="119">
        <v>7</v>
      </c>
      <c r="B2" s="119">
        <v>957537</v>
      </c>
      <c r="C2" s="119">
        <v>105</v>
      </c>
      <c r="D2" s="119">
        <v>7</v>
      </c>
      <c r="E2" s="119">
        <v>0</v>
      </c>
      <c r="F2" s="119">
        <v>9094</v>
      </c>
      <c r="G2" s="119">
        <v>818</v>
      </c>
      <c r="H2" s="119">
        <v>9094</v>
      </c>
      <c r="I2" s="119">
        <v>818</v>
      </c>
      <c r="J2" s="222"/>
    </row>
    <row r="3" spans="1:10" ht="14.4">
      <c r="A3" s="119">
        <v>10</v>
      </c>
      <c r="B3" s="119">
        <v>940983</v>
      </c>
      <c r="C3" s="119">
        <v>116</v>
      </c>
      <c r="D3" s="119">
        <v>10</v>
      </c>
      <c r="E3" s="119">
        <v>0</v>
      </c>
      <c r="F3" s="119">
        <v>5411</v>
      </c>
      <c r="G3" s="119">
        <v>676</v>
      </c>
      <c r="H3" s="119">
        <v>2865</v>
      </c>
      <c r="I3" s="119">
        <v>286</v>
      </c>
      <c r="J3" s="242">
        <v>150</v>
      </c>
    </row>
    <row r="4" spans="1:10" ht="14.4">
      <c r="A4" s="119">
        <v>12</v>
      </c>
      <c r="B4" s="119">
        <v>940984</v>
      </c>
      <c r="C4" s="119">
        <v>120</v>
      </c>
      <c r="D4" s="119">
        <v>12</v>
      </c>
      <c r="E4" s="119">
        <v>0</v>
      </c>
      <c r="F4" s="119">
        <v>5305</v>
      </c>
      <c r="G4" s="119">
        <v>795</v>
      </c>
      <c r="H4" s="119">
        <v>2122</v>
      </c>
      <c r="I4" s="119">
        <v>339</v>
      </c>
      <c r="J4" s="242">
        <v>150</v>
      </c>
    </row>
    <row r="5" spans="1:10" ht="14.4">
      <c r="A5" s="119">
        <v>14</v>
      </c>
      <c r="B5" s="119">
        <v>940929</v>
      </c>
      <c r="C5" s="119">
        <v>120</v>
      </c>
      <c r="D5" s="119">
        <v>14</v>
      </c>
      <c r="E5" s="119">
        <v>0</v>
      </c>
      <c r="F5" s="119">
        <v>4092</v>
      </c>
      <c r="G5" s="119">
        <v>654</v>
      </c>
      <c r="H5" s="119">
        <v>1819</v>
      </c>
      <c r="I5" s="119">
        <v>291</v>
      </c>
      <c r="J5" s="242">
        <v>200</v>
      </c>
    </row>
    <row r="6" spans="1:10" ht="14.4">
      <c r="A6" s="119">
        <v>16</v>
      </c>
      <c r="B6" s="119">
        <v>940985</v>
      </c>
      <c r="C6" s="119">
        <v>128</v>
      </c>
      <c r="D6" s="119">
        <v>16</v>
      </c>
      <c r="E6" s="119">
        <v>0</v>
      </c>
      <c r="F6" s="119">
        <v>3183</v>
      </c>
      <c r="G6" s="119">
        <v>636</v>
      </c>
      <c r="H6" s="119">
        <v>1592</v>
      </c>
      <c r="I6" s="119">
        <v>318</v>
      </c>
      <c r="J6" s="242">
        <v>150</v>
      </c>
    </row>
    <row r="7" spans="1:10" ht="14.4">
      <c r="A7" s="119">
        <v>18</v>
      </c>
      <c r="B7" s="119">
        <v>940986</v>
      </c>
      <c r="C7" s="119">
        <v>128</v>
      </c>
      <c r="D7" s="119">
        <v>18</v>
      </c>
      <c r="E7" s="119">
        <v>0</v>
      </c>
      <c r="F7" s="119">
        <v>2829</v>
      </c>
      <c r="G7" s="119">
        <v>452</v>
      </c>
      <c r="H7" s="119">
        <v>1415</v>
      </c>
      <c r="I7" s="119">
        <v>254</v>
      </c>
      <c r="J7" s="242">
        <v>150</v>
      </c>
    </row>
    <row r="8" spans="1:10">
      <c r="A8" s="119">
        <v>20</v>
      </c>
      <c r="B8" s="119"/>
      <c r="C8" s="119"/>
      <c r="D8" s="119"/>
      <c r="E8" s="119">
        <v>0</v>
      </c>
      <c r="F8" s="119"/>
      <c r="G8" s="119"/>
      <c r="H8" s="119"/>
      <c r="I8" s="119"/>
      <c r="J8" s="222"/>
    </row>
    <row r="9" spans="1:10" ht="14.4">
      <c r="A9" s="119">
        <v>22</v>
      </c>
      <c r="B9" s="119">
        <v>941090</v>
      </c>
      <c r="C9" s="119">
        <v>134</v>
      </c>
      <c r="D9" s="119">
        <v>22</v>
      </c>
      <c r="E9" s="119">
        <v>0</v>
      </c>
      <c r="F9" s="119">
        <v>2315</v>
      </c>
      <c r="G9" s="119">
        <v>463</v>
      </c>
      <c r="H9" s="119">
        <v>1157</v>
      </c>
      <c r="I9" s="119">
        <v>231</v>
      </c>
      <c r="J9" s="242">
        <v>200</v>
      </c>
    </row>
    <row r="19" spans="1:5">
      <c r="E19" t="str">
        <f>IF(OR(C9="RAW MATER.  X20CR13QT800",C9="ROHMATERIAL X20CR13QT800",C9="X20CR13QT800"),"X20",IF(OR(C9="RAW MATER.  ST12T",C9="ROHMATERIAL ST12T",C9="ST12T"),"St12",IF(OR(C9="RAW MATER.  STT17/13W",C9="ROHMATERIAL STT17/13W",C9="STT17/13W"),"Austenit",IF(OR(C9="RAW MATER.  NI80TIAL",C9="ROHMATERIAL NI80TIAL",C9="NI80TIAl"),"Nimonic",""))))</f>
        <v/>
      </c>
    </row>
    <row r="30" spans="1:5">
      <c r="A30" s="174"/>
    </row>
    <row r="31" spans="1:5">
      <c r="A31" s="174"/>
    </row>
    <row r="32" spans="1:5">
      <c r="A32" s="174"/>
    </row>
  </sheetData>
  <customSheetViews>
    <customSheetView guid="{41C149A7-898D-4942-9D39-7B19CD58B51D}" state="hidden">
      <selection activeCell="B11" sqref="B11"/>
    </customSheetView>
  </customSheetViews>
  <pageMargins left="0.7" right="0.7" top="0.75" bottom="0.75" header="0.3" footer="0.3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AAD78-D91E-4396-8372-77537F5352C9}">
  <sheetPr codeName="Sheet9"/>
  <dimension ref="A1:R58"/>
  <sheetViews>
    <sheetView workbookViewId="0"/>
  </sheetViews>
  <sheetFormatPr defaultRowHeight="13.2"/>
  <cols>
    <col min="1" max="1" width="17.109375" bestFit="1" customWidth="1"/>
    <col min="4" max="4" width="13.109375" bestFit="1" customWidth="1"/>
    <col min="6" max="6" width="11.5546875" customWidth="1"/>
    <col min="8" max="8" width="9.109375" customWidth="1"/>
  </cols>
  <sheetData>
    <row r="1" spans="1:18">
      <c r="A1" t="s">
        <v>189</v>
      </c>
      <c r="B1" t="str">
        <f>POMOC!B12</f>
        <v>RTBMovingBlade</v>
      </c>
      <c r="G1" t="s">
        <v>190</v>
      </c>
      <c r="J1" t="s">
        <v>191</v>
      </c>
    </row>
    <row r="3" spans="1:18">
      <c r="A3" t="s">
        <v>176</v>
      </c>
      <c r="B3" s="190">
        <f>POMOC!B29</f>
        <v>40.799999999999997</v>
      </c>
      <c r="D3" t="s">
        <v>163</v>
      </c>
      <c r="E3">
        <f>POMOC!B31</f>
        <v>0.1</v>
      </c>
      <c r="F3" t="str">
        <f>IF(E3&lt;&gt;0,"SYM_TOL",IF(E4&lt;&gt;0,"ISO_TOL",))</f>
        <v>SYM_TOL</v>
      </c>
    </row>
    <row r="4" spans="1:18" ht="12.75" customHeight="1">
      <c r="A4" t="s">
        <v>178</v>
      </c>
      <c r="B4" s="190">
        <v>0.1</v>
      </c>
      <c r="D4" t="s">
        <v>165</v>
      </c>
      <c r="E4">
        <f>POMOC!B33</f>
        <v>0</v>
      </c>
    </row>
    <row r="5" spans="1:18" ht="12.75" customHeight="1">
      <c r="A5" t="s">
        <v>179</v>
      </c>
      <c r="B5" s="190">
        <v>-0.1</v>
      </c>
      <c r="J5" t="s">
        <v>168</v>
      </c>
      <c r="O5" t="s">
        <v>175</v>
      </c>
    </row>
    <row r="6" spans="1:18" ht="12.75" customHeight="1">
      <c r="A6" t="s">
        <v>180</v>
      </c>
      <c r="B6">
        <f>B3+B4</f>
        <v>40.9</v>
      </c>
      <c r="J6" t="s">
        <v>169</v>
      </c>
      <c r="K6" t="s">
        <v>170</v>
      </c>
      <c r="L6" t="s">
        <v>171</v>
      </c>
      <c r="M6" t="s">
        <v>172</v>
      </c>
      <c r="O6" t="s">
        <v>169</v>
      </c>
      <c r="P6" t="s">
        <v>170</v>
      </c>
      <c r="Q6" t="s">
        <v>171</v>
      </c>
      <c r="R6" t="s">
        <v>172</v>
      </c>
    </row>
    <row r="7" spans="1:18" ht="12.75" customHeight="1">
      <c r="A7" t="s">
        <v>181</v>
      </c>
      <c r="B7">
        <f>B3+B5</f>
        <v>40.699999999999996</v>
      </c>
      <c r="J7">
        <v>1</v>
      </c>
      <c r="K7">
        <v>3</v>
      </c>
      <c r="L7">
        <v>1.2500000000000001E-2</v>
      </c>
      <c r="M7">
        <v>-1.2500000000000001E-2</v>
      </c>
      <c r="O7">
        <v>1</v>
      </c>
      <c r="P7">
        <v>3</v>
      </c>
      <c r="Q7">
        <v>0</v>
      </c>
      <c r="R7">
        <v>-2.5000000000000001E-2</v>
      </c>
    </row>
    <row r="8" spans="1:18" ht="12.75" customHeight="1">
      <c r="A8" t="s">
        <v>182</v>
      </c>
      <c r="B8">
        <f>(B6+B7)/2</f>
        <v>40.799999999999997</v>
      </c>
      <c r="J8">
        <v>3</v>
      </c>
      <c r="K8">
        <v>6</v>
      </c>
      <c r="L8">
        <v>1.4999999999999999E-2</v>
      </c>
      <c r="M8">
        <v>-1.4999999999999999E-2</v>
      </c>
      <c r="O8">
        <v>3</v>
      </c>
      <c r="P8">
        <v>6</v>
      </c>
      <c r="Q8">
        <v>0</v>
      </c>
      <c r="R8">
        <v>-0.03</v>
      </c>
    </row>
    <row r="9" spans="1:18" ht="12.75" customHeight="1">
      <c r="A9" t="s">
        <v>183</v>
      </c>
      <c r="B9">
        <f>-(B3-B8)</f>
        <v>0</v>
      </c>
      <c r="J9">
        <v>6</v>
      </c>
      <c r="K9">
        <v>10</v>
      </c>
      <c r="L9">
        <v>1.7999999999999999E-2</v>
      </c>
      <c r="M9">
        <v>-1.7999999999999999E-2</v>
      </c>
      <c r="O9">
        <v>6</v>
      </c>
      <c r="P9">
        <v>10</v>
      </c>
      <c r="Q9">
        <v>0</v>
      </c>
      <c r="R9">
        <v>-3.5999999999999997E-2</v>
      </c>
    </row>
    <row r="10" spans="1:18" ht="12.75" customHeight="1">
      <c r="J10">
        <v>10</v>
      </c>
      <c r="K10">
        <v>18</v>
      </c>
      <c r="L10">
        <v>2.1499999999999998E-2</v>
      </c>
      <c r="M10">
        <v>-2.1499999999999998E-2</v>
      </c>
      <c r="O10">
        <v>10</v>
      </c>
      <c r="P10">
        <v>18</v>
      </c>
      <c r="Q10">
        <v>0</v>
      </c>
      <c r="R10">
        <v>-4.2999999999999997E-2</v>
      </c>
    </row>
    <row r="11" spans="1:18" ht="12.75" customHeight="1">
      <c r="J11">
        <v>18</v>
      </c>
      <c r="K11">
        <v>30</v>
      </c>
      <c r="L11">
        <v>2.5999999999999999E-2</v>
      </c>
      <c r="M11">
        <v>-2.5999999999999999E-2</v>
      </c>
      <c r="O11">
        <v>18</v>
      </c>
      <c r="P11">
        <v>30</v>
      </c>
      <c r="Q11">
        <v>0</v>
      </c>
      <c r="R11">
        <v>-5.1999999999999998E-2</v>
      </c>
    </row>
    <row r="12" spans="1:18" ht="12.75" customHeight="1">
      <c r="A12" t="s">
        <v>177</v>
      </c>
      <c r="B12" s="190">
        <f>POMOC!B30</f>
        <v>28.8</v>
      </c>
      <c r="D12" t="s">
        <v>164</v>
      </c>
      <c r="E12">
        <f>POMOC!B32</f>
        <v>0</v>
      </c>
      <c r="F12" t="str">
        <f>IF(E12&lt;&gt;0,"SYM_TOL",IF(E13&lt;&gt;0,"ISO_TOL",))</f>
        <v>ISO_TOL</v>
      </c>
      <c r="J12">
        <v>30</v>
      </c>
      <c r="K12">
        <v>50</v>
      </c>
      <c r="L12">
        <v>3.1E-2</v>
      </c>
      <c r="M12">
        <v>-3.1E-2</v>
      </c>
      <c r="O12">
        <v>30</v>
      </c>
      <c r="P12">
        <v>50</v>
      </c>
      <c r="Q12">
        <v>0</v>
      </c>
      <c r="R12">
        <v>-6.2E-2</v>
      </c>
    </row>
    <row r="13" spans="1:18" ht="12.75" customHeight="1">
      <c r="A13" t="s">
        <v>184</v>
      </c>
      <c r="B13" s="190">
        <v>0</v>
      </c>
      <c r="D13" t="s">
        <v>166</v>
      </c>
      <c r="E13" t="str">
        <f>POMOC!B34</f>
        <v>h9</v>
      </c>
      <c r="J13">
        <v>50</v>
      </c>
      <c r="K13">
        <v>80</v>
      </c>
      <c r="L13">
        <v>3.6999999999999998E-2</v>
      </c>
      <c r="M13">
        <v>-3.6999999999999998E-2</v>
      </c>
      <c r="O13">
        <v>50</v>
      </c>
      <c r="P13">
        <v>80</v>
      </c>
      <c r="Q13">
        <v>0</v>
      </c>
      <c r="R13">
        <v>-7.3999999999999996E-2</v>
      </c>
    </row>
    <row r="14" spans="1:18" ht="12.75" customHeight="1">
      <c r="A14" t="s">
        <v>185</v>
      </c>
      <c r="B14" s="190">
        <v>-5.1999999999999998E-2</v>
      </c>
      <c r="J14">
        <v>80</v>
      </c>
      <c r="K14">
        <v>120</v>
      </c>
      <c r="L14">
        <v>4.3499999999999997E-2</v>
      </c>
      <c r="M14">
        <f>-0.0000435*1000</f>
        <v>-4.3499999999999997E-2</v>
      </c>
      <c r="O14">
        <v>80</v>
      </c>
      <c r="P14">
        <v>120</v>
      </c>
      <c r="Q14">
        <v>0</v>
      </c>
      <c r="R14">
        <v>-8.6999999999999994E-2</v>
      </c>
    </row>
    <row r="15" spans="1:18" ht="12.75" customHeight="1">
      <c r="A15" t="s">
        <v>186</v>
      </c>
      <c r="B15">
        <f>B12+B13</f>
        <v>28.8</v>
      </c>
      <c r="J15">
        <v>120</v>
      </c>
      <c r="K15">
        <v>180</v>
      </c>
      <c r="L15">
        <v>0.05</v>
      </c>
      <c r="M15">
        <v>-0.05</v>
      </c>
      <c r="O15">
        <v>120</v>
      </c>
      <c r="P15">
        <v>180</v>
      </c>
      <c r="Q15">
        <v>0</v>
      </c>
      <c r="R15">
        <v>-0.1</v>
      </c>
    </row>
    <row r="16" spans="1:18" ht="12.75" customHeight="1">
      <c r="A16" t="s">
        <v>187</v>
      </c>
      <c r="B16">
        <f>B12+B14</f>
        <v>28.748000000000001</v>
      </c>
      <c r="J16">
        <v>180</v>
      </c>
      <c r="K16">
        <v>250</v>
      </c>
      <c r="L16">
        <v>5.7500000000000002E-2</v>
      </c>
      <c r="M16">
        <v>-5.7500000000000002E-2</v>
      </c>
      <c r="O16">
        <v>180</v>
      </c>
      <c r="P16">
        <v>250</v>
      </c>
      <c r="Q16">
        <v>0</v>
      </c>
      <c r="R16">
        <v>-0.115</v>
      </c>
    </row>
    <row r="17" spans="1:18" ht="12.75" customHeight="1">
      <c r="A17" t="s">
        <v>198</v>
      </c>
      <c r="B17">
        <f>(B15+B16)/2</f>
        <v>28.774000000000001</v>
      </c>
      <c r="J17">
        <v>250</v>
      </c>
      <c r="K17">
        <v>315</v>
      </c>
      <c r="L17">
        <v>6.5000000000000002E-2</v>
      </c>
      <c r="M17">
        <v>-6.5000000000000002E-2</v>
      </c>
      <c r="O17">
        <v>250</v>
      </c>
      <c r="P17">
        <v>315</v>
      </c>
      <c r="Q17">
        <v>0</v>
      </c>
      <c r="R17">
        <v>-0.13</v>
      </c>
    </row>
    <row r="18" spans="1:18" ht="12.75" customHeight="1">
      <c r="A18" t="s">
        <v>188</v>
      </c>
      <c r="B18">
        <f>-((B12-B17)/2)</f>
        <v>-1.2999999999999901E-2</v>
      </c>
      <c r="J18">
        <v>315</v>
      </c>
      <c r="K18">
        <v>400</v>
      </c>
      <c r="L18">
        <v>7.0000000000000007E-2</v>
      </c>
      <c r="M18">
        <v>-7.0000000000000007E-2</v>
      </c>
      <c r="O18">
        <v>315</v>
      </c>
      <c r="P18">
        <v>400</v>
      </c>
      <c r="Q18">
        <v>0</v>
      </c>
      <c r="R18">
        <v>-0.14000000000000001</v>
      </c>
    </row>
    <row r="19" spans="1:18" ht="12.75" customHeight="1">
      <c r="J19">
        <v>400</v>
      </c>
      <c r="K19">
        <v>500</v>
      </c>
      <c r="L19">
        <v>7.7499999999999999E-2</v>
      </c>
      <c r="M19">
        <v>-7.7499999999999999E-2</v>
      </c>
      <c r="O19">
        <v>400</v>
      </c>
      <c r="P19">
        <v>500</v>
      </c>
      <c r="Q19">
        <v>0</v>
      </c>
      <c r="R19">
        <v>-0.155</v>
      </c>
    </row>
    <row r="20" spans="1:18" ht="12.75" customHeight="1"/>
    <row r="21" spans="1:18" ht="12.75" customHeight="1">
      <c r="J21" t="s">
        <v>173</v>
      </c>
    </row>
    <row r="22" spans="1:18" ht="12.75" customHeight="1">
      <c r="J22" t="s">
        <v>169</v>
      </c>
      <c r="K22" t="s">
        <v>170</v>
      </c>
      <c r="L22" t="s">
        <v>171</v>
      </c>
      <c r="M22" t="s">
        <v>172</v>
      </c>
    </row>
    <row r="23" spans="1:18" ht="12.75" customHeight="1">
      <c r="J23">
        <v>1</v>
      </c>
      <c r="K23">
        <v>3</v>
      </c>
      <c r="L23">
        <v>-6.0000000000000001E-3</v>
      </c>
      <c r="M23">
        <v>-3.1E-2</v>
      </c>
    </row>
    <row r="24" spans="1:18" ht="12.75" customHeight="1">
      <c r="F24" s="189"/>
      <c r="G24" s="189"/>
      <c r="J24">
        <v>3</v>
      </c>
      <c r="K24">
        <v>6</v>
      </c>
      <c r="L24">
        <v>-0.01</v>
      </c>
      <c r="M24">
        <v>-0.04</v>
      </c>
    </row>
    <row r="25" spans="1:18" ht="12.75" customHeight="1">
      <c r="J25">
        <v>6</v>
      </c>
      <c r="K25">
        <v>10</v>
      </c>
      <c r="L25">
        <v>-1.2999999999999999E-2</v>
      </c>
      <c r="M25">
        <v>-4.9000000000000002E-2</v>
      </c>
    </row>
    <row r="26" spans="1:18" ht="12.75" customHeight="1">
      <c r="J26">
        <v>10</v>
      </c>
      <c r="K26">
        <v>18</v>
      </c>
      <c r="L26">
        <v>-1.6E-2</v>
      </c>
      <c r="M26">
        <v>-5.8999999999999997E-2</v>
      </c>
    </row>
    <row r="27" spans="1:18" ht="12.75" customHeight="1">
      <c r="J27">
        <v>18</v>
      </c>
      <c r="K27">
        <v>30</v>
      </c>
      <c r="L27">
        <v>-0.02</v>
      </c>
      <c r="M27">
        <v>-7.1999999999999995E-2</v>
      </c>
    </row>
    <row r="28" spans="1:18" ht="12.75" customHeight="1">
      <c r="J28">
        <v>30</v>
      </c>
      <c r="K28">
        <v>50</v>
      </c>
      <c r="L28">
        <f>-0.000025*1000</f>
        <v>-2.5000000000000001E-2</v>
      </c>
      <c r="M28">
        <v>-8.6999999999999994E-2</v>
      </c>
    </row>
    <row r="29" spans="1:18" ht="12.75" customHeight="1">
      <c r="J29">
        <v>50</v>
      </c>
      <c r="K29">
        <v>80</v>
      </c>
      <c r="L29">
        <v>-0.03</v>
      </c>
      <c r="M29">
        <v>-0.104</v>
      </c>
    </row>
    <row r="30" spans="1:18" ht="12.75" customHeight="1">
      <c r="J30">
        <v>80</v>
      </c>
      <c r="K30">
        <v>120</v>
      </c>
      <c r="L30">
        <v>-3.5999999999999997E-2</v>
      </c>
      <c r="M30">
        <v>-0.123</v>
      </c>
    </row>
    <row r="31" spans="1:18" ht="12.75" customHeight="1">
      <c r="J31">
        <v>120</v>
      </c>
      <c r="K31">
        <v>180</v>
      </c>
      <c r="L31">
        <v>-4.2999999999999997E-2</v>
      </c>
      <c r="M31">
        <v>-0.14299999999999999</v>
      </c>
    </row>
    <row r="32" spans="1:18" ht="12.75" customHeight="1">
      <c r="J32">
        <v>180</v>
      </c>
      <c r="K32">
        <v>250</v>
      </c>
      <c r="L32">
        <v>-0.05</v>
      </c>
      <c r="M32">
        <v>-0.16500000000000001</v>
      </c>
    </row>
    <row r="33" spans="10:13" ht="12.75" customHeight="1">
      <c r="J33">
        <v>250</v>
      </c>
      <c r="K33">
        <v>315</v>
      </c>
      <c r="L33">
        <v>-5.6000000000000001E-2</v>
      </c>
      <c r="M33">
        <v>-0.186</v>
      </c>
    </row>
    <row r="34" spans="10:13" ht="12.75" customHeight="1">
      <c r="J34">
        <v>315</v>
      </c>
      <c r="K34">
        <v>400</v>
      </c>
      <c r="L34">
        <v>-6.2E-2</v>
      </c>
      <c r="M34">
        <v>-0.20200000000000001</v>
      </c>
    </row>
    <row r="35" spans="10:13" ht="12.75" customHeight="1">
      <c r="J35">
        <v>400</v>
      </c>
      <c r="K35">
        <v>500</v>
      </c>
      <c r="L35">
        <v>-6.8000000000000005E-2</v>
      </c>
      <c r="M35">
        <v>-0.223</v>
      </c>
    </row>
    <row r="36" spans="10:13" ht="12.75" customHeight="1"/>
    <row r="37" spans="10:13" ht="12.75" customHeight="1">
      <c r="J37" t="s">
        <v>174</v>
      </c>
    </row>
    <row r="38" spans="10:13" ht="12.75" customHeight="1">
      <c r="J38" t="s">
        <v>169</v>
      </c>
      <c r="K38" t="s">
        <v>170</v>
      </c>
      <c r="L38" t="s">
        <v>171</v>
      </c>
      <c r="M38" t="s">
        <v>172</v>
      </c>
    </row>
    <row r="39" spans="10:13" ht="12.75" customHeight="1">
      <c r="J39">
        <v>1</v>
      </c>
      <c r="K39">
        <v>3</v>
      </c>
      <c r="L39">
        <v>-6.0000000000000001E-3</v>
      </c>
      <c r="M39">
        <v>-4.5999999999999999E-2</v>
      </c>
    </row>
    <row r="40" spans="10:13" ht="12.75" customHeight="1">
      <c r="J40">
        <v>3</v>
      </c>
      <c r="K40">
        <v>6</v>
      </c>
      <c r="L40">
        <v>-0.01</v>
      </c>
      <c r="M40">
        <v>-5.8000000000000003E-2</v>
      </c>
    </row>
    <row r="41" spans="10:13" ht="12.75" customHeight="1">
      <c r="J41">
        <v>6</v>
      </c>
      <c r="K41">
        <v>10</v>
      </c>
      <c r="L41">
        <v>-1.2999999999999999E-2</v>
      </c>
      <c r="M41">
        <v>-7.0999999999999994E-2</v>
      </c>
    </row>
    <row r="42" spans="10:13" ht="12.75" customHeight="1">
      <c r="J42">
        <v>10</v>
      </c>
      <c r="K42">
        <v>18</v>
      </c>
      <c r="L42">
        <v>-1.6E-2</v>
      </c>
      <c r="M42">
        <v>-8.5999999999999993E-2</v>
      </c>
    </row>
    <row r="43" spans="10:13" ht="12.75" customHeight="1">
      <c r="J43">
        <v>18</v>
      </c>
      <c r="K43">
        <v>30</v>
      </c>
      <c r="L43">
        <v>-0.02</v>
      </c>
      <c r="M43">
        <v>-0.104</v>
      </c>
    </row>
    <row r="44" spans="10:13" ht="12.75" customHeight="1">
      <c r="J44">
        <v>30</v>
      </c>
      <c r="K44">
        <v>50</v>
      </c>
      <c r="L44">
        <v>-2.5000000000000001E-2</v>
      </c>
      <c r="M44">
        <v>-0.125</v>
      </c>
    </row>
    <row r="45" spans="10:13" ht="12.75" customHeight="1">
      <c r="J45">
        <v>50</v>
      </c>
      <c r="K45">
        <v>80</v>
      </c>
      <c r="L45">
        <v>-0.03</v>
      </c>
      <c r="M45">
        <v>-0.15</v>
      </c>
    </row>
    <row r="46" spans="10:13" ht="12.75" customHeight="1">
      <c r="J46">
        <v>80</v>
      </c>
      <c r="K46">
        <v>120</v>
      </c>
      <c r="L46">
        <v>-3.5999999999999997E-2</v>
      </c>
      <c r="M46">
        <v>-0.17599999999999999</v>
      </c>
    </row>
    <row r="47" spans="10:13" ht="12.75" customHeight="1">
      <c r="J47">
        <v>120</v>
      </c>
      <c r="K47">
        <v>180</v>
      </c>
      <c r="L47">
        <v>-4.2999999999999997E-2</v>
      </c>
      <c r="M47">
        <v>-0.20300000000000001</v>
      </c>
    </row>
    <row r="48" spans="10:13" ht="12.75" customHeight="1">
      <c r="J48">
        <v>180</v>
      </c>
      <c r="K48">
        <v>250</v>
      </c>
      <c r="L48">
        <v>-0.05</v>
      </c>
      <c r="M48">
        <v>-0.23499999999999999</v>
      </c>
    </row>
    <row r="49" spans="10:13" ht="12.75" customHeight="1">
      <c r="J49">
        <v>250</v>
      </c>
      <c r="K49">
        <v>315</v>
      </c>
      <c r="L49">
        <v>-5.6000000000000001E-2</v>
      </c>
      <c r="M49">
        <v>-0.26600000000000001</v>
      </c>
    </row>
    <row r="50" spans="10:13" ht="12.75" customHeight="1">
      <c r="J50">
        <v>315</v>
      </c>
      <c r="K50">
        <v>400</v>
      </c>
      <c r="L50">
        <v>-6.2E-2</v>
      </c>
      <c r="M50">
        <v>-0.29199999999999998</v>
      </c>
    </row>
    <row r="51" spans="10:13" ht="12.75" customHeight="1">
      <c r="J51">
        <v>400</v>
      </c>
      <c r="K51">
        <v>500</v>
      </c>
      <c r="L51">
        <v>-6.8000000000000005E-2</v>
      </c>
      <c r="M51">
        <v>-0.318</v>
      </c>
    </row>
    <row r="52" spans="10:13" ht="12.75" customHeight="1"/>
    <row r="53" spans="10:13" ht="12.75" customHeight="1"/>
    <row r="54" spans="10:13" ht="12.75" customHeight="1"/>
    <row r="55" spans="10:13" ht="12.75" customHeight="1"/>
    <row r="56" spans="10:13" ht="12.75" customHeight="1"/>
    <row r="57" spans="10:13" ht="12.75" customHeight="1"/>
    <row r="58" spans="10:13" ht="12.75" customHeight="1"/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C817D-3694-4D87-B9DC-56FEF7559274}">
  <sheetPr codeName="Sheet11"/>
  <dimension ref="A1:B29"/>
  <sheetViews>
    <sheetView workbookViewId="0">
      <selection sqref="A1:B29"/>
    </sheetView>
  </sheetViews>
  <sheetFormatPr defaultRowHeight="13.2"/>
  <cols>
    <col min="1" max="1" width="11.88671875" bestFit="1" customWidth="1"/>
    <col min="2" max="2" width="19.109375" bestFit="1" customWidth="1"/>
  </cols>
  <sheetData>
    <row r="1" spans="1:2">
      <c r="A1" t="s">
        <v>199</v>
      </c>
      <c r="B1" t="s">
        <v>200</v>
      </c>
    </row>
    <row r="2" spans="1:2">
      <c r="A2">
        <v>940663</v>
      </c>
      <c r="B2">
        <v>959056</v>
      </c>
    </row>
    <row r="3" spans="1:2">
      <c r="A3">
        <v>940664</v>
      </c>
      <c r="B3">
        <v>959057</v>
      </c>
    </row>
    <row r="4" spans="1:2">
      <c r="A4">
        <v>940706</v>
      </c>
      <c r="B4">
        <v>959065</v>
      </c>
    </row>
    <row r="5" spans="1:2">
      <c r="A5">
        <v>940707</v>
      </c>
      <c r="B5">
        <v>959066</v>
      </c>
    </row>
    <row r="6" spans="1:2">
      <c r="A6">
        <v>957773</v>
      </c>
      <c r="B6">
        <v>958050</v>
      </c>
    </row>
    <row r="7" spans="1:2">
      <c r="A7">
        <v>957774</v>
      </c>
      <c r="B7">
        <v>959064</v>
      </c>
    </row>
    <row r="8" spans="1:2">
      <c r="A8">
        <v>941084</v>
      </c>
      <c r="B8">
        <v>959063</v>
      </c>
    </row>
    <row r="9" spans="1:2">
      <c r="A9">
        <v>940783</v>
      </c>
      <c r="B9">
        <v>959059</v>
      </c>
    </row>
    <row r="10" spans="1:2">
      <c r="A10">
        <v>940683</v>
      </c>
      <c r="B10">
        <v>958045</v>
      </c>
    </row>
    <row r="11" spans="1:2">
      <c r="A11">
        <v>941355</v>
      </c>
      <c r="B11">
        <v>958046</v>
      </c>
    </row>
    <row r="12" spans="1:2">
      <c r="A12">
        <v>940626</v>
      </c>
      <c r="B12">
        <v>958044</v>
      </c>
    </row>
    <row r="13" spans="1:2">
      <c r="A13">
        <v>940790</v>
      </c>
      <c r="B13">
        <v>958048</v>
      </c>
    </row>
    <row r="14" spans="1:2">
      <c r="A14">
        <v>940661</v>
      </c>
      <c r="B14">
        <v>959062</v>
      </c>
    </row>
    <row r="15" spans="1:2">
      <c r="A15">
        <v>940874</v>
      </c>
      <c r="B15">
        <v>959067</v>
      </c>
    </row>
    <row r="16" spans="1:2">
      <c r="A16">
        <v>941290</v>
      </c>
      <c r="B16">
        <v>958058</v>
      </c>
    </row>
    <row r="17" spans="1:2">
      <c r="A17">
        <v>941292</v>
      </c>
      <c r="B17">
        <v>958059</v>
      </c>
    </row>
    <row r="18" spans="1:2">
      <c r="A18">
        <v>941293</v>
      </c>
      <c r="B18">
        <v>958060</v>
      </c>
    </row>
    <row r="19" spans="1:2">
      <c r="A19">
        <v>941291</v>
      </c>
      <c r="B19">
        <v>958876</v>
      </c>
    </row>
    <row r="20" spans="1:2">
      <c r="A20">
        <v>940643</v>
      </c>
      <c r="B20">
        <v>958068</v>
      </c>
    </row>
    <row r="21" spans="1:2">
      <c r="A21">
        <v>941294</v>
      </c>
      <c r="B21">
        <v>958064</v>
      </c>
    </row>
    <row r="22" spans="1:2">
      <c r="A22">
        <v>940670</v>
      </c>
      <c r="B22">
        <v>958061</v>
      </c>
    </row>
    <row r="23" spans="1:2">
      <c r="A23">
        <v>940721</v>
      </c>
      <c r="B23">
        <v>958064</v>
      </c>
    </row>
    <row r="24" spans="1:2">
      <c r="A24">
        <v>940973</v>
      </c>
      <c r="B24">
        <v>958073</v>
      </c>
    </row>
    <row r="25" spans="1:2">
      <c r="A25">
        <v>940682</v>
      </c>
      <c r="B25">
        <v>958061</v>
      </c>
    </row>
    <row r="26" spans="1:2">
      <c r="A26">
        <v>958329</v>
      </c>
      <c r="B26">
        <v>958050</v>
      </c>
    </row>
    <row r="27" spans="1:2">
      <c r="A27">
        <v>957453</v>
      </c>
      <c r="B27">
        <v>958051</v>
      </c>
    </row>
    <row r="28" spans="1:2">
      <c r="A28">
        <v>940680</v>
      </c>
      <c r="B28">
        <v>958072</v>
      </c>
    </row>
    <row r="29" spans="1:2">
      <c r="A29">
        <v>940858</v>
      </c>
      <c r="B29">
        <v>970091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9E59C-2E3C-4541-87FF-52EE3CD020E4}">
  <sheetPr codeName="Sheet15"/>
  <dimension ref="A1:S17"/>
  <sheetViews>
    <sheetView topLeftCell="I1" workbookViewId="0">
      <selection activeCell="S3" sqref="S3"/>
    </sheetView>
  </sheetViews>
  <sheetFormatPr defaultRowHeight="13.2"/>
  <cols>
    <col min="3" max="3" width="34.88671875" customWidth="1"/>
    <col min="6" max="6" width="24.44140625" customWidth="1"/>
    <col min="10" max="10" width="31" customWidth="1"/>
  </cols>
  <sheetData>
    <row r="1" spans="1:19" ht="12.6" customHeight="1">
      <c r="A1" t="s">
        <v>210</v>
      </c>
      <c r="B1" t="s">
        <v>211</v>
      </c>
      <c r="C1" s="201"/>
      <c r="D1" s="174" t="s">
        <v>190</v>
      </c>
      <c r="E1" s="202" t="s">
        <v>226</v>
      </c>
      <c r="F1" s="202"/>
      <c r="G1" s="202" t="s">
        <v>238</v>
      </c>
      <c r="H1" s="202"/>
      <c r="I1" s="202" t="s">
        <v>240</v>
      </c>
      <c r="J1" s="201"/>
      <c r="K1" s="202" t="s">
        <v>244</v>
      </c>
      <c r="L1" s="174" t="s">
        <v>247</v>
      </c>
      <c r="M1" s="174"/>
      <c r="N1" s="174" t="s">
        <v>264</v>
      </c>
      <c r="O1" s="174" t="s">
        <v>322</v>
      </c>
      <c r="Q1">
        <v>8000</v>
      </c>
      <c r="S1" s="245" t="s">
        <v>357</v>
      </c>
    </row>
    <row r="2" spans="1:19">
      <c r="A2" t="s">
        <v>212</v>
      </c>
      <c r="B2" t="s">
        <v>213</v>
      </c>
      <c r="C2" s="201"/>
      <c r="D2" s="202" t="s">
        <v>191</v>
      </c>
      <c r="E2" s="202" t="s">
        <v>227</v>
      </c>
      <c r="F2" s="202"/>
      <c r="G2" s="202" t="s">
        <v>239</v>
      </c>
      <c r="H2" s="202"/>
      <c r="I2" s="202" t="s">
        <v>261</v>
      </c>
      <c r="J2" s="201"/>
      <c r="K2" s="202" t="s">
        <v>245</v>
      </c>
      <c r="L2" s="174" t="s">
        <v>247</v>
      </c>
      <c r="M2" s="174"/>
      <c r="N2" s="174" t="s">
        <v>329</v>
      </c>
      <c r="O2" s="174" t="s">
        <v>323</v>
      </c>
      <c r="Q2">
        <v>9000</v>
      </c>
      <c r="S2" t="s">
        <v>358</v>
      </c>
    </row>
    <row r="3" spans="1:19">
      <c r="A3" t="s">
        <v>214</v>
      </c>
      <c r="B3" t="s">
        <v>215</v>
      </c>
      <c r="C3" s="201"/>
      <c r="D3" s="202" t="s">
        <v>228</v>
      </c>
      <c r="E3" s="202" t="s">
        <v>229</v>
      </c>
      <c r="F3" s="202"/>
      <c r="G3" s="202"/>
      <c r="H3" s="202"/>
      <c r="I3" s="202" t="s">
        <v>241</v>
      </c>
      <c r="J3" s="201"/>
      <c r="K3" s="202" t="s">
        <v>246</v>
      </c>
      <c r="L3" s="174" t="s">
        <v>247</v>
      </c>
      <c r="M3" s="174"/>
      <c r="N3" s="174" t="s">
        <v>330</v>
      </c>
      <c r="O3" s="174" t="s">
        <v>324</v>
      </c>
    </row>
    <row r="4" spans="1:19">
      <c r="A4" t="s">
        <v>216</v>
      </c>
      <c r="B4" t="s">
        <v>217</v>
      </c>
      <c r="C4" s="201"/>
      <c r="D4" t="s">
        <v>230</v>
      </c>
      <c r="E4" s="202" t="s">
        <v>231</v>
      </c>
      <c r="F4" s="202"/>
      <c r="G4" s="202"/>
      <c r="H4" s="202"/>
      <c r="I4" s="202" t="s">
        <v>260</v>
      </c>
      <c r="J4" s="201"/>
      <c r="K4" s="202" t="s">
        <v>248</v>
      </c>
      <c r="L4" s="174" t="s">
        <v>251</v>
      </c>
      <c r="M4" s="174"/>
      <c r="N4" s="174" t="s">
        <v>131</v>
      </c>
      <c r="O4" s="174" t="s">
        <v>325</v>
      </c>
    </row>
    <row r="5" spans="1:19">
      <c r="A5" t="s">
        <v>218</v>
      </c>
      <c r="B5" t="s">
        <v>219</v>
      </c>
      <c r="D5" s="174" t="s">
        <v>232</v>
      </c>
      <c r="E5" s="174" t="s">
        <v>233</v>
      </c>
      <c r="F5" s="174"/>
      <c r="G5" s="174"/>
      <c r="H5" s="174"/>
      <c r="I5" s="202" t="s">
        <v>263</v>
      </c>
      <c r="K5" s="174" t="s">
        <v>249</v>
      </c>
      <c r="L5" s="174" t="s">
        <v>251</v>
      </c>
      <c r="M5" s="174"/>
      <c r="N5" s="174" t="s">
        <v>331</v>
      </c>
      <c r="O5" s="174" t="s">
        <v>326</v>
      </c>
    </row>
    <row r="6" spans="1:19">
      <c r="A6" t="s">
        <v>224</v>
      </c>
      <c r="B6" t="s">
        <v>222</v>
      </c>
      <c r="D6" s="174" t="s">
        <v>235</v>
      </c>
      <c r="E6" s="174" t="s">
        <v>235</v>
      </c>
      <c r="F6" s="174"/>
      <c r="G6" s="174"/>
      <c r="H6" s="174"/>
      <c r="I6" s="202" t="s">
        <v>243</v>
      </c>
      <c r="K6" s="174" t="s">
        <v>250</v>
      </c>
      <c r="L6" s="174" t="s">
        <v>251</v>
      </c>
      <c r="M6" s="174"/>
      <c r="N6" s="174" t="s">
        <v>265</v>
      </c>
      <c r="O6" s="174" t="s">
        <v>327</v>
      </c>
    </row>
    <row r="7" spans="1:19">
      <c r="A7" t="s">
        <v>225</v>
      </c>
      <c r="B7" t="s">
        <v>223</v>
      </c>
      <c r="D7" s="174" t="s">
        <v>234</v>
      </c>
      <c r="E7" s="174" t="s">
        <v>234</v>
      </c>
      <c r="F7" s="174"/>
      <c r="G7" s="174"/>
      <c r="H7" s="174"/>
      <c r="I7" s="202" t="s">
        <v>242</v>
      </c>
      <c r="K7" s="174" t="s">
        <v>252</v>
      </c>
      <c r="L7" s="174" t="s">
        <v>255</v>
      </c>
      <c r="M7" s="174"/>
      <c r="N7" s="174" t="s">
        <v>332</v>
      </c>
      <c r="O7" s="174" t="s">
        <v>328</v>
      </c>
    </row>
    <row r="8" spans="1:19">
      <c r="A8" t="s">
        <v>221</v>
      </c>
      <c r="D8" s="174" t="s">
        <v>236</v>
      </c>
      <c r="E8" s="174" t="s">
        <v>236</v>
      </c>
      <c r="F8" s="174"/>
      <c r="G8" s="174"/>
      <c r="H8" s="174"/>
      <c r="I8" s="202" t="s">
        <v>221</v>
      </c>
      <c r="K8" s="174" t="s">
        <v>253</v>
      </c>
      <c r="L8" s="174" t="s">
        <v>255</v>
      </c>
      <c r="M8" s="174"/>
      <c r="N8" s="174"/>
      <c r="O8" s="174"/>
    </row>
    <row r="9" spans="1:19">
      <c r="D9" s="174" t="s">
        <v>237</v>
      </c>
      <c r="E9" s="174" t="s">
        <v>237</v>
      </c>
      <c r="K9" s="174" t="s">
        <v>254</v>
      </c>
      <c r="L9" s="174" t="s">
        <v>255</v>
      </c>
      <c r="M9" s="174"/>
      <c r="N9" s="174"/>
      <c r="O9" s="174"/>
    </row>
    <row r="10" spans="1:19">
      <c r="D10" s="174" t="s">
        <v>221</v>
      </c>
      <c r="E10" t="s">
        <v>220</v>
      </c>
      <c r="K10" s="174" t="s">
        <v>256</v>
      </c>
      <c r="L10" s="174" t="s">
        <v>259</v>
      </c>
      <c r="M10" s="174"/>
      <c r="N10" s="174"/>
      <c r="O10" s="174"/>
    </row>
    <row r="11" spans="1:19">
      <c r="K11" s="174" t="s">
        <v>257</v>
      </c>
      <c r="L11" s="174" t="s">
        <v>259</v>
      </c>
      <c r="M11" s="174"/>
      <c r="N11" s="174"/>
      <c r="O11" s="174"/>
    </row>
    <row r="12" spans="1:19">
      <c r="K12" s="174" t="s">
        <v>258</v>
      </c>
      <c r="L12" s="174" t="s">
        <v>259</v>
      </c>
      <c r="M12" s="174"/>
      <c r="N12" s="174"/>
      <c r="O12" s="174"/>
    </row>
    <row r="17" spans="4:4">
      <c r="D17" s="202"/>
    </row>
  </sheetData>
  <phoneticPr fontId="38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3CCD-AFF9-4F23-8A44-3059C40997C3}">
  <sheetPr codeName="Sheet14"/>
  <dimension ref="L92:L287"/>
  <sheetViews>
    <sheetView workbookViewId="0">
      <selection activeCell="B46" sqref="B46"/>
    </sheetView>
  </sheetViews>
  <sheetFormatPr defaultRowHeight="13.2"/>
  <sheetData>
    <row r="92" spans="12:12">
      <c r="L92" s="200"/>
    </row>
    <row r="287" spans="12:12">
      <c r="L287" s="200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5C8B6-9613-4C63-A7C7-0B0C19D45211}">
  <sheetPr codeName="Sheet17"/>
  <dimension ref="A1"/>
  <sheetViews>
    <sheetView workbookViewId="0">
      <selection activeCell="G7" sqref="G7"/>
    </sheetView>
  </sheetViews>
  <sheetFormatPr defaultRowHeight="13.2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91C1-AE74-4FFC-B9D9-50E80C71A2B5}">
  <sheetPr codeName="Sheet19">
    <pageSetUpPr fitToPage="1"/>
  </sheetPr>
  <dimension ref="A1:L68"/>
  <sheetViews>
    <sheetView view="pageBreakPreview" zoomScale="115" zoomScaleNormal="100" zoomScaleSheetLayoutView="115" workbookViewId="0">
      <selection activeCell="F38" sqref="F38"/>
    </sheetView>
  </sheetViews>
  <sheetFormatPr defaultRowHeight="13.2"/>
  <cols>
    <col min="1" max="1" width="7.5546875" customWidth="1"/>
    <col min="7" max="7" width="7.5546875" customWidth="1"/>
  </cols>
  <sheetData>
    <row r="1" spans="1:12" ht="12.9" customHeight="1" thickBot="1">
      <c r="A1" s="492" t="s">
        <v>343</v>
      </c>
      <c r="B1" s="493"/>
      <c r="C1" s="493"/>
      <c r="D1" s="493"/>
      <c r="E1" s="493"/>
      <c r="F1" s="493"/>
      <c r="G1" s="493"/>
      <c r="H1" s="493"/>
      <c r="I1" s="493"/>
      <c r="J1" s="494"/>
      <c r="K1" s="495"/>
      <c r="L1" s="496"/>
    </row>
    <row r="2" spans="1:12">
      <c r="A2" s="482" t="s">
        <v>344</v>
      </c>
      <c r="B2" s="483"/>
      <c r="C2" s="512" t="s">
        <v>51</v>
      </c>
      <c r="D2" s="513"/>
      <c r="E2" s="234" t="s">
        <v>345</v>
      </c>
      <c r="F2" s="512" t="s">
        <v>42</v>
      </c>
      <c r="G2" s="513"/>
      <c r="H2" s="501" t="s">
        <v>347</v>
      </c>
      <c r="I2" s="504" t="s">
        <v>226</v>
      </c>
      <c r="J2" s="505"/>
      <c r="K2" s="497"/>
      <c r="L2" s="498"/>
    </row>
    <row r="3" spans="1:12">
      <c r="A3" s="502" t="str">
        <f>POMOC!B10</f>
        <v>137T000339P1001</v>
      </c>
      <c r="B3" s="507"/>
      <c r="C3" s="502" t="str">
        <f>POMOC!B13</f>
        <v>A888888</v>
      </c>
      <c r="D3" s="507"/>
      <c r="E3" s="510" t="str">
        <f>POMOC!B9</f>
        <v>ST12T</v>
      </c>
      <c r="F3" s="482"/>
      <c r="G3" s="514"/>
      <c r="H3" s="502"/>
      <c r="I3" s="506"/>
      <c r="J3" s="507"/>
      <c r="K3" s="497"/>
      <c r="L3" s="498"/>
    </row>
    <row r="4" spans="1:12" ht="13.8" thickBot="1">
      <c r="A4" s="503"/>
      <c r="B4" s="509"/>
      <c r="C4" s="503"/>
      <c r="D4" s="509"/>
      <c r="E4" s="511"/>
      <c r="F4" s="484"/>
      <c r="G4" s="515"/>
      <c r="H4" s="503"/>
      <c r="I4" s="508"/>
      <c r="J4" s="509"/>
      <c r="K4" s="499"/>
      <c r="L4" s="500"/>
    </row>
    <row r="5" spans="1:12">
      <c r="A5" s="236" t="s">
        <v>346</v>
      </c>
      <c r="B5" s="490"/>
      <c r="C5" s="490"/>
      <c r="D5" s="237" t="s">
        <v>346</v>
      </c>
      <c r="E5" s="490"/>
      <c r="F5" s="491"/>
      <c r="G5" s="236" t="s">
        <v>346</v>
      </c>
      <c r="H5" s="490"/>
      <c r="I5" s="490"/>
      <c r="J5" s="237" t="s">
        <v>346</v>
      </c>
      <c r="K5" s="490"/>
      <c r="L5" s="491"/>
    </row>
    <row r="6" spans="1:12">
      <c r="A6" s="226" t="s">
        <v>336</v>
      </c>
      <c r="B6" s="232" t="s">
        <v>72</v>
      </c>
      <c r="C6" s="232" t="s">
        <v>73</v>
      </c>
      <c r="D6" s="222" t="s">
        <v>162</v>
      </c>
      <c r="E6" s="232" t="s">
        <v>72</v>
      </c>
      <c r="F6" s="235" t="s">
        <v>73</v>
      </c>
      <c r="G6" s="226" t="s">
        <v>336</v>
      </c>
      <c r="H6" s="232" t="s">
        <v>72</v>
      </c>
      <c r="I6" s="232" t="s">
        <v>73</v>
      </c>
      <c r="J6" s="222" t="s">
        <v>162</v>
      </c>
      <c r="K6" s="232" t="s">
        <v>72</v>
      </c>
      <c r="L6" s="235" t="s">
        <v>73</v>
      </c>
    </row>
    <row r="7" spans="1:12">
      <c r="A7" s="226" t="s">
        <v>156</v>
      </c>
      <c r="B7" s="222"/>
      <c r="C7" s="222"/>
      <c r="D7" s="222" t="s">
        <v>156</v>
      </c>
      <c r="E7" s="222"/>
      <c r="F7" s="227"/>
      <c r="G7" s="226" t="s">
        <v>156</v>
      </c>
      <c r="H7" s="222"/>
      <c r="I7" s="222"/>
      <c r="J7" s="222" t="s">
        <v>156</v>
      </c>
      <c r="K7" s="222"/>
      <c r="L7" s="227"/>
    </row>
    <row r="8" spans="1:12">
      <c r="A8" s="226" t="s">
        <v>157</v>
      </c>
      <c r="B8" s="222"/>
      <c r="C8" s="222"/>
      <c r="D8" s="222" t="s">
        <v>157</v>
      </c>
      <c r="E8" s="222"/>
      <c r="F8" s="227"/>
      <c r="G8" s="226" t="s">
        <v>157</v>
      </c>
      <c r="H8" s="222"/>
      <c r="I8" s="222"/>
      <c r="J8" s="222" t="s">
        <v>157</v>
      </c>
      <c r="K8" s="222"/>
      <c r="L8" s="227"/>
    </row>
    <row r="9" spans="1:12">
      <c r="A9" s="226" t="s">
        <v>134</v>
      </c>
      <c r="B9" s="222"/>
      <c r="C9" s="222"/>
      <c r="D9" s="222" t="s">
        <v>134</v>
      </c>
      <c r="E9" s="222"/>
      <c r="F9" s="227"/>
      <c r="G9" s="226" t="s">
        <v>134</v>
      </c>
      <c r="H9" s="222"/>
      <c r="I9" s="222"/>
      <c r="J9" s="222" t="s">
        <v>134</v>
      </c>
      <c r="K9" s="222"/>
      <c r="L9" s="227"/>
    </row>
    <row r="10" spans="1:12">
      <c r="A10" s="226" t="s">
        <v>137</v>
      </c>
      <c r="B10" s="222"/>
      <c r="C10" s="222"/>
      <c r="D10" s="222" t="s">
        <v>137</v>
      </c>
      <c r="E10" s="222"/>
      <c r="F10" s="227"/>
      <c r="G10" s="226" t="s">
        <v>137</v>
      </c>
      <c r="H10" s="222"/>
      <c r="I10" s="222"/>
      <c r="J10" s="222" t="s">
        <v>137</v>
      </c>
      <c r="K10" s="222"/>
      <c r="L10" s="227"/>
    </row>
    <row r="11" spans="1:12">
      <c r="A11" s="226" t="s">
        <v>135</v>
      </c>
      <c r="B11" s="222"/>
      <c r="C11" s="222"/>
      <c r="D11" s="474"/>
      <c r="E11" s="475"/>
      <c r="F11" s="476"/>
      <c r="G11" s="226" t="s">
        <v>135</v>
      </c>
      <c r="H11" s="222"/>
      <c r="I11" s="222"/>
      <c r="J11" s="474"/>
      <c r="K11" s="475"/>
      <c r="L11" s="476"/>
    </row>
    <row r="12" spans="1:12">
      <c r="A12" s="226" t="s">
        <v>337</v>
      </c>
      <c r="B12" s="222"/>
      <c r="C12" s="222"/>
      <c r="D12" s="231" t="s">
        <v>346</v>
      </c>
      <c r="E12" s="488"/>
      <c r="F12" s="489"/>
      <c r="G12" s="226" t="s">
        <v>337</v>
      </c>
      <c r="H12" s="222"/>
      <c r="I12" s="222"/>
      <c r="J12" s="231" t="s">
        <v>346</v>
      </c>
      <c r="K12" s="488"/>
      <c r="L12" s="489"/>
    </row>
    <row r="13" spans="1:12">
      <c r="A13" s="226" t="s">
        <v>338</v>
      </c>
      <c r="B13" s="222"/>
      <c r="C13" s="222"/>
      <c r="D13" s="222" t="s">
        <v>318</v>
      </c>
      <c r="E13" s="232" t="s">
        <v>72</v>
      </c>
      <c r="F13" s="235" t="s">
        <v>73</v>
      </c>
      <c r="G13" s="226" t="s">
        <v>338</v>
      </c>
      <c r="H13" s="222"/>
      <c r="I13" s="222"/>
      <c r="J13" s="222" t="s">
        <v>318</v>
      </c>
      <c r="K13" s="232" t="s">
        <v>72</v>
      </c>
      <c r="L13" s="235" t="s">
        <v>73</v>
      </c>
    </row>
    <row r="14" spans="1:12">
      <c r="A14" s="226" t="s">
        <v>339</v>
      </c>
      <c r="B14" s="222"/>
      <c r="C14" s="222"/>
      <c r="D14" s="222" t="s">
        <v>156</v>
      </c>
      <c r="E14" s="222"/>
      <c r="F14" s="227"/>
      <c r="G14" s="226" t="s">
        <v>337</v>
      </c>
      <c r="H14" s="222"/>
      <c r="I14" s="222"/>
      <c r="J14" s="222" t="s">
        <v>348</v>
      </c>
      <c r="K14" s="222"/>
      <c r="L14" s="227"/>
    </row>
    <row r="15" spans="1:12">
      <c r="A15" s="226" t="s">
        <v>341</v>
      </c>
      <c r="B15" s="222"/>
      <c r="C15" s="222"/>
      <c r="D15" s="477"/>
      <c r="E15" s="478"/>
      <c r="F15" s="479"/>
      <c r="G15" s="226" t="s">
        <v>341</v>
      </c>
      <c r="H15" s="222"/>
      <c r="I15" s="222"/>
      <c r="J15" s="477"/>
      <c r="K15" s="478"/>
      <c r="L15" s="479"/>
    </row>
    <row r="16" spans="1:12">
      <c r="A16" s="226" t="s">
        <v>342</v>
      </c>
      <c r="B16" s="222"/>
      <c r="C16" s="233"/>
      <c r="D16" s="231" t="s">
        <v>346</v>
      </c>
      <c r="E16" s="488"/>
      <c r="F16" s="489"/>
      <c r="G16" s="226" t="s">
        <v>342</v>
      </c>
      <c r="H16" s="222"/>
      <c r="I16" s="233"/>
      <c r="J16" s="231" t="s">
        <v>346</v>
      </c>
      <c r="K16" s="488"/>
      <c r="L16" s="489"/>
    </row>
    <row r="17" spans="1:12">
      <c r="A17" s="480"/>
      <c r="B17" s="481"/>
      <c r="C17" s="481"/>
      <c r="D17" s="222" t="s">
        <v>340</v>
      </c>
      <c r="E17" s="232" t="s">
        <v>72</v>
      </c>
      <c r="F17" s="235" t="s">
        <v>73</v>
      </c>
      <c r="G17" s="480"/>
      <c r="H17" s="481"/>
      <c r="I17" s="481"/>
      <c r="J17" s="222" t="s">
        <v>340</v>
      </c>
      <c r="K17" s="232" t="s">
        <v>72</v>
      </c>
      <c r="L17" s="235" t="s">
        <v>73</v>
      </c>
    </row>
    <row r="18" spans="1:12">
      <c r="A18" s="482"/>
      <c r="B18" s="483"/>
      <c r="C18" s="483"/>
      <c r="D18" s="222" t="s">
        <v>156</v>
      </c>
      <c r="E18" s="222"/>
      <c r="F18" s="227"/>
      <c r="G18" s="482"/>
      <c r="H18" s="483"/>
      <c r="I18" s="483"/>
      <c r="J18" s="222" t="s">
        <v>156</v>
      </c>
      <c r="K18" s="222"/>
      <c r="L18" s="227"/>
    </row>
    <row r="19" spans="1:12">
      <c r="A19" s="482"/>
      <c r="B19" s="483"/>
      <c r="C19" s="483"/>
      <c r="D19" s="222" t="s">
        <v>157</v>
      </c>
      <c r="E19" s="222"/>
      <c r="F19" s="227"/>
      <c r="G19" s="482"/>
      <c r="H19" s="483"/>
      <c r="I19" s="483"/>
      <c r="J19" s="222" t="s">
        <v>157</v>
      </c>
      <c r="K19" s="222"/>
      <c r="L19" s="227"/>
    </row>
    <row r="20" spans="1:12" ht="13.8" thickBot="1">
      <c r="A20" s="484"/>
      <c r="B20" s="485"/>
      <c r="C20" s="485"/>
      <c r="D20" s="486"/>
      <c r="E20" s="486"/>
      <c r="F20" s="487"/>
      <c r="G20" s="484"/>
      <c r="H20" s="485"/>
      <c r="I20" s="485"/>
      <c r="J20" s="486"/>
      <c r="K20" s="486"/>
      <c r="L20" s="487"/>
    </row>
    <row r="21" spans="1:12">
      <c r="A21" s="236" t="s">
        <v>346</v>
      </c>
      <c r="B21" s="490"/>
      <c r="C21" s="490"/>
      <c r="D21" s="237" t="s">
        <v>346</v>
      </c>
      <c r="E21" s="490"/>
      <c r="F21" s="491"/>
      <c r="G21" s="236" t="s">
        <v>346</v>
      </c>
      <c r="H21" s="490"/>
      <c r="I21" s="490"/>
      <c r="J21" s="237" t="s">
        <v>346</v>
      </c>
      <c r="K21" s="490"/>
      <c r="L21" s="491"/>
    </row>
    <row r="22" spans="1:12">
      <c r="A22" s="226" t="s">
        <v>336</v>
      </c>
      <c r="B22" s="232" t="s">
        <v>72</v>
      </c>
      <c r="C22" s="232" t="s">
        <v>73</v>
      </c>
      <c r="D22" s="222" t="s">
        <v>162</v>
      </c>
      <c r="E22" s="232" t="s">
        <v>72</v>
      </c>
      <c r="F22" s="235" t="s">
        <v>73</v>
      </c>
      <c r="G22" s="226" t="s">
        <v>336</v>
      </c>
      <c r="H22" s="232" t="s">
        <v>72</v>
      </c>
      <c r="I22" s="232" t="s">
        <v>73</v>
      </c>
      <c r="J22" s="222" t="s">
        <v>162</v>
      </c>
      <c r="K22" s="232" t="s">
        <v>72</v>
      </c>
      <c r="L22" s="235" t="s">
        <v>73</v>
      </c>
    </row>
    <row r="23" spans="1:12">
      <c r="A23" s="226" t="s">
        <v>156</v>
      </c>
      <c r="B23" s="222"/>
      <c r="C23" s="222"/>
      <c r="D23" s="222" t="s">
        <v>156</v>
      </c>
      <c r="E23" s="222"/>
      <c r="F23" s="227"/>
      <c r="G23" s="226" t="s">
        <v>156</v>
      </c>
      <c r="H23" s="222"/>
      <c r="I23" s="222"/>
      <c r="J23" s="222" t="s">
        <v>156</v>
      </c>
      <c r="K23" s="222"/>
      <c r="L23" s="227"/>
    </row>
    <row r="24" spans="1:12">
      <c r="A24" s="226" t="s">
        <v>157</v>
      </c>
      <c r="B24" s="222"/>
      <c r="C24" s="222"/>
      <c r="D24" s="222" t="s">
        <v>157</v>
      </c>
      <c r="E24" s="222"/>
      <c r="F24" s="227"/>
      <c r="G24" s="226" t="s">
        <v>157</v>
      </c>
      <c r="H24" s="222"/>
      <c r="I24" s="222"/>
      <c r="J24" s="222" t="s">
        <v>157</v>
      </c>
      <c r="K24" s="222"/>
      <c r="L24" s="227"/>
    </row>
    <row r="25" spans="1:12">
      <c r="A25" s="226" t="s">
        <v>134</v>
      </c>
      <c r="B25" s="222"/>
      <c r="C25" s="222"/>
      <c r="D25" s="222" t="s">
        <v>134</v>
      </c>
      <c r="E25" s="222"/>
      <c r="F25" s="227"/>
      <c r="G25" s="226" t="s">
        <v>134</v>
      </c>
      <c r="H25" s="222"/>
      <c r="I25" s="222"/>
      <c r="J25" s="222" t="s">
        <v>134</v>
      </c>
      <c r="K25" s="222"/>
      <c r="L25" s="227"/>
    </row>
    <row r="26" spans="1:12">
      <c r="A26" s="226" t="s">
        <v>137</v>
      </c>
      <c r="B26" s="222"/>
      <c r="C26" s="222"/>
      <c r="D26" s="222" t="s">
        <v>137</v>
      </c>
      <c r="E26" s="222"/>
      <c r="F26" s="227"/>
      <c r="G26" s="226" t="s">
        <v>137</v>
      </c>
      <c r="H26" s="222"/>
      <c r="I26" s="222"/>
      <c r="J26" s="222" t="s">
        <v>137</v>
      </c>
      <c r="K26" s="222"/>
      <c r="L26" s="227"/>
    </row>
    <row r="27" spans="1:12">
      <c r="A27" s="226" t="s">
        <v>135</v>
      </c>
      <c r="B27" s="222"/>
      <c r="C27" s="222"/>
      <c r="D27" s="474"/>
      <c r="E27" s="475"/>
      <c r="F27" s="476"/>
      <c r="G27" s="226" t="s">
        <v>135</v>
      </c>
      <c r="H27" s="222"/>
      <c r="I27" s="222"/>
      <c r="J27" s="474"/>
      <c r="K27" s="475"/>
      <c r="L27" s="476"/>
    </row>
    <row r="28" spans="1:12">
      <c r="A28" s="226" t="s">
        <v>337</v>
      </c>
      <c r="B28" s="222"/>
      <c r="C28" s="222"/>
      <c r="D28" s="231" t="s">
        <v>346</v>
      </c>
      <c r="E28" s="488"/>
      <c r="F28" s="489"/>
      <c r="G28" s="226" t="s">
        <v>337</v>
      </c>
      <c r="H28" s="222"/>
      <c r="I28" s="222"/>
      <c r="J28" s="231" t="s">
        <v>346</v>
      </c>
      <c r="K28" s="488"/>
      <c r="L28" s="489"/>
    </row>
    <row r="29" spans="1:12">
      <c r="A29" s="226" t="s">
        <v>338</v>
      </c>
      <c r="B29" s="222"/>
      <c r="C29" s="222"/>
      <c r="D29" s="222" t="s">
        <v>318</v>
      </c>
      <c r="E29" s="232" t="s">
        <v>72</v>
      </c>
      <c r="F29" s="235" t="s">
        <v>73</v>
      </c>
      <c r="G29" s="226" t="s">
        <v>338</v>
      </c>
      <c r="H29" s="222"/>
      <c r="I29" s="222"/>
      <c r="J29" s="222" t="s">
        <v>318</v>
      </c>
      <c r="K29" s="232" t="s">
        <v>72</v>
      </c>
      <c r="L29" s="235" t="s">
        <v>73</v>
      </c>
    </row>
    <row r="30" spans="1:12">
      <c r="A30" s="226" t="s">
        <v>339</v>
      </c>
      <c r="B30" s="222"/>
      <c r="C30" s="222"/>
      <c r="D30" s="222" t="s">
        <v>156</v>
      </c>
      <c r="E30" s="222"/>
      <c r="F30" s="227"/>
      <c r="G30" s="226" t="s">
        <v>337</v>
      </c>
      <c r="H30" s="222"/>
      <c r="I30" s="222"/>
      <c r="J30" s="222" t="s">
        <v>348</v>
      </c>
      <c r="K30" s="222"/>
      <c r="L30" s="227"/>
    </row>
    <row r="31" spans="1:12">
      <c r="A31" s="226" t="s">
        <v>341</v>
      </c>
      <c r="B31" s="222"/>
      <c r="C31" s="222"/>
      <c r="D31" s="477"/>
      <c r="E31" s="478"/>
      <c r="F31" s="479"/>
      <c r="G31" s="226" t="s">
        <v>341</v>
      </c>
      <c r="H31" s="222"/>
      <c r="I31" s="222"/>
      <c r="J31" s="477"/>
      <c r="K31" s="478"/>
      <c r="L31" s="479"/>
    </row>
    <row r="32" spans="1:12">
      <c r="A32" s="226" t="s">
        <v>342</v>
      </c>
      <c r="B32" s="222"/>
      <c r="C32" s="233"/>
      <c r="D32" s="231" t="s">
        <v>346</v>
      </c>
      <c r="E32" s="488"/>
      <c r="F32" s="489"/>
      <c r="G32" s="226" t="s">
        <v>342</v>
      </c>
      <c r="H32" s="222"/>
      <c r="I32" s="233"/>
      <c r="J32" s="231" t="s">
        <v>346</v>
      </c>
      <c r="K32" s="488"/>
      <c r="L32" s="489"/>
    </row>
    <row r="33" spans="1:12">
      <c r="A33" s="480"/>
      <c r="B33" s="481"/>
      <c r="C33" s="481"/>
      <c r="D33" s="222" t="s">
        <v>340</v>
      </c>
      <c r="E33" s="232" t="s">
        <v>72</v>
      </c>
      <c r="F33" s="235" t="s">
        <v>73</v>
      </c>
      <c r="G33" s="480"/>
      <c r="H33" s="481"/>
      <c r="I33" s="481"/>
      <c r="J33" s="222" t="s">
        <v>340</v>
      </c>
      <c r="K33" s="232" t="s">
        <v>72</v>
      </c>
      <c r="L33" s="235" t="s">
        <v>73</v>
      </c>
    </row>
    <row r="34" spans="1:12">
      <c r="A34" s="482"/>
      <c r="B34" s="483"/>
      <c r="C34" s="483"/>
      <c r="D34" s="222" t="s">
        <v>156</v>
      </c>
      <c r="E34" s="222"/>
      <c r="F34" s="227"/>
      <c r="G34" s="482"/>
      <c r="H34" s="483"/>
      <c r="I34" s="483"/>
      <c r="J34" s="222" t="s">
        <v>156</v>
      </c>
      <c r="K34" s="222"/>
      <c r="L34" s="227"/>
    </row>
    <row r="35" spans="1:12">
      <c r="A35" s="482"/>
      <c r="B35" s="483"/>
      <c r="C35" s="483"/>
      <c r="D35" s="222" t="s">
        <v>157</v>
      </c>
      <c r="E35" s="222"/>
      <c r="F35" s="227"/>
      <c r="G35" s="482"/>
      <c r="H35" s="483"/>
      <c r="I35" s="483"/>
      <c r="J35" s="222" t="s">
        <v>157</v>
      </c>
      <c r="K35" s="222"/>
      <c r="L35" s="227"/>
    </row>
    <row r="36" spans="1:12" ht="13.8" thickBot="1">
      <c r="A36" s="484"/>
      <c r="B36" s="485"/>
      <c r="C36" s="485"/>
      <c r="D36" s="486"/>
      <c r="E36" s="486"/>
      <c r="F36" s="487"/>
      <c r="G36" s="484"/>
      <c r="H36" s="485"/>
      <c r="I36" s="485"/>
      <c r="J36" s="486"/>
      <c r="K36" s="486"/>
      <c r="L36" s="487"/>
    </row>
    <row r="37" spans="1:12">
      <c r="A37" s="236" t="s">
        <v>346</v>
      </c>
      <c r="B37" s="490"/>
      <c r="C37" s="490"/>
      <c r="D37" s="237" t="s">
        <v>346</v>
      </c>
      <c r="E37" s="490"/>
      <c r="F37" s="491"/>
      <c r="G37" s="236" t="s">
        <v>346</v>
      </c>
      <c r="H37" s="490"/>
      <c r="I37" s="490"/>
      <c r="J37" s="237" t="s">
        <v>346</v>
      </c>
      <c r="K37" s="490"/>
      <c r="L37" s="491"/>
    </row>
    <row r="38" spans="1:12">
      <c r="A38" s="226" t="s">
        <v>336</v>
      </c>
      <c r="B38" s="232" t="s">
        <v>72</v>
      </c>
      <c r="C38" s="232" t="s">
        <v>73</v>
      </c>
      <c r="D38" s="222" t="s">
        <v>162</v>
      </c>
      <c r="E38" s="232" t="s">
        <v>72</v>
      </c>
      <c r="F38" s="235" t="s">
        <v>73</v>
      </c>
      <c r="G38" s="226" t="s">
        <v>336</v>
      </c>
      <c r="H38" s="232" t="s">
        <v>72</v>
      </c>
      <c r="I38" s="232" t="s">
        <v>73</v>
      </c>
      <c r="J38" s="222" t="s">
        <v>162</v>
      </c>
      <c r="K38" s="232" t="s">
        <v>72</v>
      </c>
      <c r="L38" s="235" t="s">
        <v>73</v>
      </c>
    </row>
    <row r="39" spans="1:12">
      <c r="A39" s="226" t="s">
        <v>156</v>
      </c>
      <c r="B39" s="222"/>
      <c r="C39" s="222"/>
      <c r="D39" s="222" t="s">
        <v>156</v>
      </c>
      <c r="E39" s="222"/>
      <c r="F39" s="227"/>
      <c r="G39" s="226" t="s">
        <v>156</v>
      </c>
      <c r="H39" s="222"/>
      <c r="I39" s="222"/>
      <c r="J39" s="222" t="s">
        <v>156</v>
      </c>
      <c r="K39" s="222"/>
      <c r="L39" s="227"/>
    </row>
    <row r="40" spans="1:12">
      <c r="A40" s="226" t="s">
        <v>157</v>
      </c>
      <c r="B40" s="222"/>
      <c r="C40" s="222"/>
      <c r="D40" s="222" t="s">
        <v>157</v>
      </c>
      <c r="E40" s="222"/>
      <c r="F40" s="227"/>
      <c r="G40" s="226" t="s">
        <v>157</v>
      </c>
      <c r="H40" s="222"/>
      <c r="I40" s="222"/>
      <c r="J40" s="222" t="s">
        <v>157</v>
      </c>
      <c r="K40" s="222"/>
      <c r="L40" s="227"/>
    </row>
    <row r="41" spans="1:12">
      <c r="A41" s="226" t="s">
        <v>134</v>
      </c>
      <c r="B41" s="222"/>
      <c r="C41" s="222"/>
      <c r="D41" s="222" t="s">
        <v>134</v>
      </c>
      <c r="E41" s="222"/>
      <c r="F41" s="227"/>
      <c r="G41" s="226" t="s">
        <v>134</v>
      </c>
      <c r="H41" s="222"/>
      <c r="I41" s="222"/>
      <c r="J41" s="222" t="s">
        <v>134</v>
      </c>
      <c r="K41" s="222"/>
      <c r="L41" s="227"/>
    </row>
    <row r="42" spans="1:12">
      <c r="A42" s="226" t="s">
        <v>137</v>
      </c>
      <c r="B42" s="222"/>
      <c r="C42" s="222"/>
      <c r="D42" s="222" t="s">
        <v>137</v>
      </c>
      <c r="E42" s="222"/>
      <c r="F42" s="227"/>
      <c r="G42" s="226" t="s">
        <v>137</v>
      </c>
      <c r="H42" s="222"/>
      <c r="I42" s="222"/>
      <c r="J42" s="222" t="s">
        <v>137</v>
      </c>
      <c r="K42" s="222"/>
      <c r="L42" s="227"/>
    </row>
    <row r="43" spans="1:12">
      <c r="A43" s="226" t="s">
        <v>135</v>
      </c>
      <c r="B43" s="222"/>
      <c r="C43" s="222"/>
      <c r="D43" s="474"/>
      <c r="E43" s="475"/>
      <c r="F43" s="476"/>
      <c r="G43" s="226" t="s">
        <v>135</v>
      </c>
      <c r="H43" s="222"/>
      <c r="I43" s="222"/>
      <c r="J43" s="474"/>
      <c r="K43" s="475"/>
      <c r="L43" s="476"/>
    </row>
    <row r="44" spans="1:12">
      <c r="A44" s="226" t="s">
        <v>337</v>
      </c>
      <c r="B44" s="222"/>
      <c r="C44" s="222"/>
      <c r="D44" s="231" t="s">
        <v>346</v>
      </c>
      <c r="E44" s="488"/>
      <c r="F44" s="489"/>
      <c r="G44" s="226" t="s">
        <v>337</v>
      </c>
      <c r="H44" s="222"/>
      <c r="I44" s="222"/>
      <c r="J44" s="231" t="s">
        <v>346</v>
      </c>
      <c r="K44" s="488"/>
      <c r="L44" s="489"/>
    </row>
    <row r="45" spans="1:12">
      <c r="A45" s="226" t="s">
        <v>338</v>
      </c>
      <c r="B45" s="222"/>
      <c r="C45" s="222"/>
      <c r="D45" s="222" t="s">
        <v>318</v>
      </c>
      <c r="E45" s="232" t="s">
        <v>72</v>
      </c>
      <c r="F45" s="235" t="s">
        <v>73</v>
      </c>
      <c r="G45" s="226" t="s">
        <v>338</v>
      </c>
      <c r="H45" s="222"/>
      <c r="I45" s="222"/>
      <c r="J45" s="222" t="s">
        <v>318</v>
      </c>
      <c r="K45" s="232" t="s">
        <v>72</v>
      </c>
      <c r="L45" s="235" t="s">
        <v>73</v>
      </c>
    </row>
    <row r="46" spans="1:12">
      <c r="A46" s="226" t="s">
        <v>339</v>
      </c>
      <c r="B46" s="222"/>
      <c r="C46" s="222"/>
      <c r="D46" s="222" t="s">
        <v>156</v>
      </c>
      <c r="E46" s="222"/>
      <c r="F46" s="227"/>
      <c r="G46" s="226" t="s">
        <v>337</v>
      </c>
      <c r="H46" s="222"/>
      <c r="I46" s="222"/>
      <c r="J46" s="222" t="s">
        <v>348</v>
      </c>
      <c r="K46" s="222"/>
      <c r="L46" s="227"/>
    </row>
    <row r="47" spans="1:12">
      <c r="A47" s="226" t="s">
        <v>341</v>
      </c>
      <c r="B47" s="222"/>
      <c r="C47" s="222"/>
      <c r="D47" s="477"/>
      <c r="E47" s="478"/>
      <c r="F47" s="479"/>
      <c r="G47" s="226" t="s">
        <v>341</v>
      </c>
      <c r="H47" s="222"/>
      <c r="I47" s="222"/>
      <c r="J47" s="477"/>
      <c r="K47" s="478"/>
      <c r="L47" s="479"/>
    </row>
    <row r="48" spans="1:12">
      <c r="A48" s="226" t="s">
        <v>342</v>
      </c>
      <c r="B48" s="222"/>
      <c r="C48" s="233"/>
      <c r="D48" s="231" t="s">
        <v>346</v>
      </c>
      <c r="E48" s="488"/>
      <c r="F48" s="489"/>
      <c r="G48" s="226" t="s">
        <v>342</v>
      </c>
      <c r="H48" s="222"/>
      <c r="I48" s="233"/>
      <c r="J48" s="231" t="s">
        <v>346</v>
      </c>
      <c r="K48" s="488"/>
      <c r="L48" s="489"/>
    </row>
    <row r="49" spans="1:12">
      <c r="A49" s="480"/>
      <c r="B49" s="481"/>
      <c r="C49" s="481"/>
      <c r="D49" s="222" t="s">
        <v>340</v>
      </c>
      <c r="E49" s="232" t="s">
        <v>72</v>
      </c>
      <c r="F49" s="235" t="s">
        <v>73</v>
      </c>
      <c r="G49" s="480"/>
      <c r="H49" s="481"/>
      <c r="I49" s="481"/>
      <c r="J49" s="222" t="s">
        <v>340</v>
      </c>
      <c r="K49" s="232" t="s">
        <v>72</v>
      </c>
      <c r="L49" s="235" t="s">
        <v>73</v>
      </c>
    </row>
    <row r="50" spans="1:12">
      <c r="A50" s="482"/>
      <c r="B50" s="483"/>
      <c r="C50" s="483"/>
      <c r="D50" s="222" t="s">
        <v>156</v>
      </c>
      <c r="E50" s="222"/>
      <c r="F50" s="227"/>
      <c r="G50" s="482"/>
      <c r="H50" s="483"/>
      <c r="I50" s="483"/>
      <c r="J50" s="222" t="s">
        <v>156</v>
      </c>
      <c r="K50" s="222"/>
      <c r="L50" s="227"/>
    </row>
    <row r="51" spans="1:12">
      <c r="A51" s="482"/>
      <c r="B51" s="483"/>
      <c r="C51" s="483"/>
      <c r="D51" s="222" t="s">
        <v>157</v>
      </c>
      <c r="E51" s="222"/>
      <c r="F51" s="227"/>
      <c r="G51" s="482"/>
      <c r="H51" s="483"/>
      <c r="I51" s="483"/>
      <c r="J51" s="222" t="s">
        <v>157</v>
      </c>
      <c r="K51" s="222"/>
      <c r="L51" s="227"/>
    </row>
    <row r="52" spans="1:12" ht="13.8" thickBot="1">
      <c r="A52" s="484"/>
      <c r="B52" s="485"/>
      <c r="C52" s="485"/>
      <c r="D52" s="486"/>
      <c r="E52" s="486"/>
      <c r="F52" s="487"/>
      <c r="G52" s="484"/>
      <c r="H52" s="485"/>
      <c r="I52" s="485"/>
      <c r="J52" s="486"/>
      <c r="K52" s="486"/>
      <c r="L52" s="487"/>
    </row>
    <row r="53" spans="1:12">
      <c r="A53" s="236" t="s">
        <v>346</v>
      </c>
      <c r="B53" s="490"/>
      <c r="C53" s="490"/>
      <c r="D53" s="237" t="s">
        <v>346</v>
      </c>
      <c r="E53" s="490"/>
      <c r="F53" s="491"/>
      <c r="G53" s="236" t="s">
        <v>346</v>
      </c>
      <c r="H53" s="490"/>
      <c r="I53" s="490"/>
      <c r="J53" s="237" t="s">
        <v>346</v>
      </c>
      <c r="K53" s="490"/>
      <c r="L53" s="491"/>
    </row>
    <row r="54" spans="1:12">
      <c r="A54" s="226" t="s">
        <v>336</v>
      </c>
      <c r="B54" s="232" t="s">
        <v>72</v>
      </c>
      <c r="C54" s="232" t="s">
        <v>73</v>
      </c>
      <c r="D54" s="222" t="s">
        <v>162</v>
      </c>
      <c r="E54" s="232" t="s">
        <v>72</v>
      </c>
      <c r="F54" s="235" t="s">
        <v>73</v>
      </c>
      <c r="G54" s="226" t="s">
        <v>336</v>
      </c>
      <c r="H54" s="232" t="s">
        <v>72</v>
      </c>
      <c r="I54" s="232" t="s">
        <v>73</v>
      </c>
      <c r="J54" s="222" t="s">
        <v>162</v>
      </c>
      <c r="K54" s="232" t="s">
        <v>72</v>
      </c>
      <c r="L54" s="235" t="s">
        <v>73</v>
      </c>
    </row>
    <row r="55" spans="1:12">
      <c r="A55" s="226" t="s">
        <v>156</v>
      </c>
      <c r="B55" s="222"/>
      <c r="C55" s="222"/>
      <c r="D55" s="222" t="s">
        <v>156</v>
      </c>
      <c r="E55" s="222"/>
      <c r="F55" s="227"/>
      <c r="G55" s="226" t="s">
        <v>156</v>
      </c>
      <c r="H55" s="222"/>
      <c r="I55" s="222"/>
      <c r="J55" s="222" t="s">
        <v>156</v>
      </c>
      <c r="K55" s="222"/>
      <c r="L55" s="227"/>
    </row>
    <row r="56" spans="1:12">
      <c r="A56" s="226" t="s">
        <v>157</v>
      </c>
      <c r="B56" s="222"/>
      <c r="C56" s="222"/>
      <c r="D56" s="222" t="s">
        <v>157</v>
      </c>
      <c r="E56" s="222"/>
      <c r="F56" s="227"/>
      <c r="G56" s="226" t="s">
        <v>157</v>
      </c>
      <c r="H56" s="222"/>
      <c r="I56" s="222"/>
      <c r="J56" s="222" t="s">
        <v>157</v>
      </c>
      <c r="K56" s="222"/>
      <c r="L56" s="227"/>
    </row>
    <row r="57" spans="1:12">
      <c r="A57" s="226" t="s">
        <v>134</v>
      </c>
      <c r="B57" s="222"/>
      <c r="C57" s="222"/>
      <c r="D57" s="222" t="s">
        <v>134</v>
      </c>
      <c r="E57" s="222"/>
      <c r="F57" s="227"/>
      <c r="G57" s="226" t="s">
        <v>134</v>
      </c>
      <c r="H57" s="222"/>
      <c r="I57" s="222"/>
      <c r="J57" s="222" t="s">
        <v>134</v>
      </c>
      <c r="K57" s="222"/>
      <c r="L57" s="227"/>
    </row>
    <row r="58" spans="1:12">
      <c r="A58" s="226" t="s">
        <v>137</v>
      </c>
      <c r="B58" s="222"/>
      <c r="C58" s="222"/>
      <c r="D58" s="222" t="s">
        <v>137</v>
      </c>
      <c r="E58" s="222"/>
      <c r="F58" s="227"/>
      <c r="G58" s="226" t="s">
        <v>137</v>
      </c>
      <c r="H58" s="222"/>
      <c r="I58" s="222"/>
      <c r="J58" s="222" t="s">
        <v>137</v>
      </c>
      <c r="K58" s="222"/>
      <c r="L58" s="227"/>
    </row>
    <row r="59" spans="1:12">
      <c r="A59" s="226" t="s">
        <v>135</v>
      </c>
      <c r="B59" s="222"/>
      <c r="C59" s="222"/>
      <c r="D59" s="474"/>
      <c r="E59" s="475"/>
      <c r="F59" s="476"/>
      <c r="G59" s="226" t="s">
        <v>135</v>
      </c>
      <c r="H59" s="222"/>
      <c r="I59" s="222"/>
      <c r="J59" s="474"/>
      <c r="K59" s="475"/>
      <c r="L59" s="476"/>
    </row>
    <row r="60" spans="1:12">
      <c r="A60" s="226" t="s">
        <v>337</v>
      </c>
      <c r="B60" s="222"/>
      <c r="C60" s="222"/>
      <c r="D60" s="231" t="s">
        <v>346</v>
      </c>
      <c r="E60" s="488"/>
      <c r="F60" s="489"/>
      <c r="G60" s="226" t="s">
        <v>337</v>
      </c>
      <c r="H60" s="222"/>
      <c r="I60" s="222"/>
      <c r="J60" s="231" t="s">
        <v>346</v>
      </c>
      <c r="K60" s="488"/>
      <c r="L60" s="489"/>
    </row>
    <row r="61" spans="1:12">
      <c r="A61" s="226" t="s">
        <v>338</v>
      </c>
      <c r="B61" s="222"/>
      <c r="C61" s="222"/>
      <c r="D61" s="222" t="s">
        <v>318</v>
      </c>
      <c r="E61" s="232" t="s">
        <v>72</v>
      </c>
      <c r="F61" s="235" t="s">
        <v>73</v>
      </c>
      <c r="G61" s="226" t="s">
        <v>338</v>
      </c>
      <c r="H61" s="222"/>
      <c r="I61" s="222"/>
      <c r="J61" s="222" t="s">
        <v>318</v>
      </c>
      <c r="K61" s="232" t="s">
        <v>72</v>
      </c>
      <c r="L61" s="235" t="s">
        <v>73</v>
      </c>
    </row>
    <row r="62" spans="1:12">
      <c r="A62" s="226" t="s">
        <v>339</v>
      </c>
      <c r="B62" s="222"/>
      <c r="C62" s="222"/>
      <c r="D62" s="222" t="s">
        <v>156</v>
      </c>
      <c r="E62" s="222"/>
      <c r="F62" s="227"/>
      <c r="G62" s="226" t="s">
        <v>337</v>
      </c>
      <c r="H62" s="222"/>
      <c r="I62" s="222"/>
      <c r="J62" s="222" t="s">
        <v>348</v>
      </c>
      <c r="K62" s="222"/>
      <c r="L62" s="227"/>
    </row>
    <row r="63" spans="1:12">
      <c r="A63" s="226" t="s">
        <v>341</v>
      </c>
      <c r="B63" s="222"/>
      <c r="C63" s="222"/>
      <c r="D63" s="477"/>
      <c r="E63" s="478"/>
      <c r="F63" s="479"/>
      <c r="G63" s="226" t="s">
        <v>341</v>
      </c>
      <c r="H63" s="222"/>
      <c r="I63" s="222"/>
      <c r="J63" s="477"/>
      <c r="K63" s="478"/>
      <c r="L63" s="479"/>
    </row>
    <row r="64" spans="1:12">
      <c r="A64" s="226" t="s">
        <v>342</v>
      </c>
      <c r="B64" s="222"/>
      <c r="C64" s="233"/>
      <c r="D64" s="231" t="s">
        <v>346</v>
      </c>
      <c r="E64" s="488"/>
      <c r="F64" s="489"/>
      <c r="G64" s="226" t="s">
        <v>342</v>
      </c>
      <c r="H64" s="222"/>
      <c r="I64" s="233"/>
      <c r="J64" s="231" t="s">
        <v>346</v>
      </c>
      <c r="K64" s="488"/>
      <c r="L64" s="489"/>
    </row>
    <row r="65" spans="1:12">
      <c r="A65" s="480"/>
      <c r="B65" s="481"/>
      <c r="C65" s="481"/>
      <c r="D65" s="222" t="s">
        <v>340</v>
      </c>
      <c r="E65" s="232" t="s">
        <v>72</v>
      </c>
      <c r="F65" s="235" t="s">
        <v>73</v>
      </c>
      <c r="G65" s="480"/>
      <c r="H65" s="481"/>
      <c r="I65" s="481"/>
      <c r="J65" s="222" t="s">
        <v>340</v>
      </c>
      <c r="K65" s="232" t="s">
        <v>72</v>
      </c>
      <c r="L65" s="235" t="s">
        <v>73</v>
      </c>
    </row>
    <row r="66" spans="1:12">
      <c r="A66" s="482"/>
      <c r="B66" s="483"/>
      <c r="C66" s="483"/>
      <c r="D66" s="222" t="s">
        <v>156</v>
      </c>
      <c r="E66" s="222"/>
      <c r="F66" s="227"/>
      <c r="G66" s="482"/>
      <c r="H66" s="483"/>
      <c r="I66" s="483"/>
      <c r="J66" s="222" t="s">
        <v>156</v>
      </c>
      <c r="K66" s="222"/>
      <c r="L66" s="227"/>
    </row>
    <row r="67" spans="1:12">
      <c r="A67" s="482"/>
      <c r="B67" s="483"/>
      <c r="C67" s="483"/>
      <c r="D67" s="222" t="s">
        <v>157</v>
      </c>
      <c r="E67" s="222"/>
      <c r="F67" s="227"/>
      <c r="G67" s="482"/>
      <c r="H67" s="483"/>
      <c r="I67" s="483"/>
      <c r="J67" s="222" t="s">
        <v>157</v>
      </c>
      <c r="K67" s="222"/>
      <c r="L67" s="227"/>
    </row>
    <row r="68" spans="1:12" ht="13.8" thickBot="1">
      <c r="A68" s="484"/>
      <c r="B68" s="485"/>
      <c r="C68" s="485"/>
      <c r="D68" s="486"/>
      <c r="E68" s="486"/>
      <c r="F68" s="487"/>
      <c r="G68" s="484"/>
      <c r="H68" s="485"/>
      <c r="I68" s="485"/>
      <c r="J68" s="486"/>
      <c r="K68" s="486"/>
      <c r="L68" s="487"/>
    </row>
  </sheetData>
  <mergeCells count="75">
    <mergeCell ref="A1:J1"/>
    <mergeCell ref="A2:B2"/>
    <mergeCell ref="K1:L4"/>
    <mergeCell ref="H2:H4"/>
    <mergeCell ref="K5:L5"/>
    <mergeCell ref="I2:J4"/>
    <mergeCell ref="E3:E4"/>
    <mergeCell ref="C3:D4"/>
    <mergeCell ref="A3:B4"/>
    <mergeCell ref="F2:G2"/>
    <mergeCell ref="F3:G4"/>
    <mergeCell ref="C2:D2"/>
    <mergeCell ref="K12:L12"/>
    <mergeCell ref="H5:I5"/>
    <mergeCell ref="B5:C5"/>
    <mergeCell ref="E5:F5"/>
    <mergeCell ref="E12:F12"/>
    <mergeCell ref="D11:F11"/>
    <mergeCell ref="J11:L11"/>
    <mergeCell ref="B53:C53"/>
    <mergeCell ref="E53:F53"/>
    <mergeCell ref="H53:I53"/>
    <mergeCell ref="K53:L53"/>
    <mergeCell ref="E28:F28"/>
    <mergeCell ref="K28:L28"/>
    <mergeCell ref="E32:F32"/>
    <mergeCell ref="K32:L32"/>
    <mergeCell ref="B37:C37"/>
    <mergeCell ref="E37:F37"/>
    <mergeCell ref="H37:I37"/>
    <mergeCell ref="K37:L37"/>
    <mergeCell ref="J31:L31"/>
    <mergeCell ref="A49:C52"/>
    <mergeCell ref="G49:I52"/>
    <mergeCell ref="D52:F52"/>
    <mergeCell ref="J52:L52"/>
    <mergeCell ref="A17:C20"/>
    <mergeCell ref="D20:F20"/>
    <mergeCell ref="A33:C36"/>
    <mergeCell ref="G33:I36"/>
    <mergeCell ref="D36:F36"/>
    <mergeCell ref="B21:C21"/>
    <mergeCell ref="E21:F21"/>
    <mergeCell ref="H21:I21"/>
    <mergeCell ref="D31:F31"/>
    <mergeCell ref="J36:L36"/>
    <mergeCell ref="E44:F44"/>
    <mergeCell ref="K44:L44"/>
    <mergeCell ref="E48:F48"/>
    <mergeCell ref="K48:L48"/>
    <mergeCell ref="D43:F43"/>
    <mergeCell ref="J43:L43"/>
    <mergeCell ref="D47:F47"/>
    <mergeCell ref="J47:L47"/>
    <mergeCell ref="J15:L15"/>
    <mergeCell ref="G17:I20"/>
    <mergeCell ref="J20:L20"/>
    <mergeCell ref="D27:F27"/>
    <mergeCell ref="J27:L27"/>
    <mergeCell ref="E16:F16"/>
    <mergeCell ref="K16:L16"/>
    <mergeCell ref="K21:L21"/>
    <mergeCell ref="D15:F15"/>
    <mergeCell ref="D59:F59"/>
    <mergeCell ref="J59:L59"/>
    <mergeCell ref="D63:F63"/>
    <mergeCell ref="J63:L63"/>
    <mergeCell ref="A65:C68"/>
    <mergeCell ref="G65:I68"/>
    <mergeCell ref="D68:F68"/>
    <mergeCell ref="J68:L68"/>
    <mergeCell ref="E60:F60"/>
    <mergeCell ref="K60:L60"/>
    <mergeCell ref="E64:F64"/>
    <mergeCell ref="K64:L64"/>
  </mergeCells>
  <phoneticPr fontId="38" type="noConversion"/>
  <pageMargins left="0.7" right="0.7" top="0.75" bottom="0.75" header="0.3" footer="0.3"/>
  <pageSetup paperSize="9" scale="8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EF19-54FB-421F-9DA7-9068DA3B7230}">
  <sheetPr codeName="Sheet18">
    <pageSetUpPr fitToPage="1"/>
  </sheetPr>
  <dimension ref="A1:L80"/>
  <sheetViews>
    <sheetView view="pageBreakPreview" zoomScale="115" zoomScaleNormal="100" zoomScaleSheetLayoutView="115" workbookViewId="0">
      <selection activeCell="I9" sqref="I9"/>
    </sheetView>
  </sheetViews>
  <sheetFormatPr defaultRowHeight="13.2"/>
  <cols>
    <col min="1" max="1" width="7.5546875" customWidth="1"/>
    <col min="7" max="7" width="7.5546875" customWidth="1"/>
  </cols>
  <sheetData>
    <row r="1" spans="1:12" ht="12.9" customHeight="1" thickBot="1">
      <c r="A1" s="492" t="s">
        <v>343</v>
      </c>
      <c r="B1" s="493"/>
      <c r="C1" s="493"/>
      <c r="D1" s="493"/>
      <c r="E1" s="493"/>
      <c r="F1" s="493"/>
      <c r="G1" s="493"/>
      <c r="H1" s="493"/>
      <c r="I1" s="493"/>
      <c r="J1" s="494"/>
      <c r="K1" s="495"/>
      <c r="L1" s="496"/>
    </row>
    <row r="2" spans="1:12">
      <c r="A2" s="482" t="s">
        <v>344</v>
      </c>
      <c r="B2" s="483"/>
      <c r="C2" s="512" t="s">
        <v>51</v>
      </c>
      <c r="D2" s="513"/>
      <c r="E2" s="234" t="s">
        <v>345</v>
      </c>
      <c r="F2" s="512" t="s">
        <v>42</v>
      </c>
      <c r="G2" s="513"/>
      <c r="H2" s="501" t="s">
        <v>347</v>
      </c>
      <c r="I2" s="504" t="s">
        <v>227</v>
      </c>
      <c r="J2" s="505"/>
      <c r="K2" s="497"/>
      <c r="L2" s="498"/>
    </row>
    <row r="3" spans="1:12">
      <c r="A3" s="502" t="str">
        <f>POMOC!B10</f>
        <v>137T000339P1001</v>
      </c>
      <c r="B3" s="507"/>
      <c r="C3" s="502" t="str">
        <f>POMOC!B13</f>
        <v>A888888</v>
      </c>
      <c r="D3" s="507"/>
      <c r="E3" s="510" t="str">
        <f>POMOC!B9</f>
        <v>ST12T</v>
      </c>
      <c r="F3" s="482"/>
      <c r="G3" s="514"/>
      <c r="H3" s="502"/>
      <c r="I3" s="506"/>
      <c r="J3" s="507"/>
      <c r="K3" s="497"/>
      <c r="L3" s="498"/>
    </row>
    <row r="4" spans="1:12" ht="13.8" thickBot="1">
      <c r="A4" s="502"/>
      <c r="B4" s="507"/>
      <c r="C4" s="502"/>
      <c r="D4" s="507"/>
      <c r="E4" s="510"/>
      <c r="F4" s="482"/>
      <c r="G4" s="515"/>
      <c r="H4" s="503"/>
      <c r="I4" s="508"/>
      <c r="J4" s="509"/>
      <c r="K4" s="499"/>
      <c r="L4" s="500"/>
    </row>
    <row r="5" spans="1:12">
      <c r="A5" s="236" t="s">
        <v>346</v>
      </c>
      <c r="B5" s="490"/>
      <c r="C5" s="490"/>
      <c r="D5" s="237" t="s">
        <v>346</v>
      </c>
      <c r="E5" s="490"/>
      <c r="F5" s="491"/>
      <c r="G5" s="236" t="s">
        <v>346</v>
      </c>
      <c r="H5" s="490"/>
      <c r="I5" s="490"/>
      <c r="J5" s="237" t="s">
        <v>346</v>
      </c>
      <c r="K5" s="490"/>
      <c r="L5" s="491"/>
    </row>
    <row r="6" spans="1:12">
      <c r="A6" s="226" t="s">
        <v>336</v>
      </c>
      <c r="B6" s="232" t="s">
        <v>72</v>
      </c>
      <c r="C6" s="232" t="s">
        <v>73</v>
      </c>
      <c r="D6" s="222" t="s">
        <v>162</v>
      </c>
      <c r="E6" s="232" t="s">
        <v>72</v>
      </c>
      <c r="F6" s="235" t="s">
        <v>73</v>
      </c>
      <c r="G6" s="226" t="s">
        <v>336</v>
      </c>
      <c r="H6" s="232" t="s">
        <v>72</v>
      </c>
      <c r="I6" s="232" t="s">
        <v>73</v>
      </c>
      <c r="J6" s="222" t="s">
        <v>162</v>
      </c>
      <c r="K6" s="232" t="s">
        <v>72</v>
      </c>
      <c r="L6" s="235" t="s">
        <v>73</v>
      </c>
    </row>
    <row r="7" spans="1:12">
      <c r="A7" s="226" t="s">
        <v>156</v>
      </c>
      <c r="B7" s="222"/>
      <c r="C7" s="222"/>
      <c r="D7" s="222" t="s">
        <v>156</v>
      </c>
      <c r="E7" s="222"/>
      <c r="F7" s="227"/>
      <c r="G7" s="226" t="s">
        <v>156</v>
      </c>
      <c r="H7" s="222"/>
      <c r="I7" s="222"/>
      <c r="J7" s="222" t="s">
        <v>156</v>
      </c>
      <c r="K7" s="222"/>
      <c r="L7" s="227"/>
    </row>
    <row r="8" spans="1:12">
      <c r="A8" s="226" t="s">
        <v>157</v>
      </c>
      <c r="B8" s="222"/>
      <c r="C8" s="222"/>
      <c r="D8" s="222" t="s">
        <v>157</v>
      </c>
      <c r="E8" s="222"/>
      <c r="F8" s="227"/>
      <c r="G8" s="226" t="s">
        <v>157</v>
      </c>
      <c r="H8" s="222"/>
      <c r="I8" s="222"/>
      <c r="J8" s="222" t="s">
        <v>157</v>
      </c>
      <c r="K8" s="222"/>
      <c r="L8" s="227"/>
    </row>
    <row r="9" spans="1:12">
      <c r="A9" s="226" t="s">
        <v>134</v>
      </c>
      <c r="B9" s="222"/>
      <c r="C9" s="222"/>
      <c r="D9" s="222" t="s">
        <v>134</v>
      </c>
      <c r="E9" s="222"/>
      <c r="F9" s="227"/>
      <c r="G9" s="226" t="s">
        <v>134</v>
      </c>
      <c r="H9" s="222"/>
      <c r="I9" s="222"/>
      <c r="J9" s="222" t="s">
        <v>134</v>
      </c>
      <c r="K9" s="222"/>
      <c r="L9" s="227"/>
    </row>
    <row r="10" spans="1:12">
      <c r="A10" s="226" t="s">
        <v>137</v>
      </c>
      <c r="B10" s="222"/>
      <c r="C10" s="222"/>
      <c r="D10" s="222" t="s">
        <v>137</v>
      </c>
      <c r="E10" s="222"/>
      <c r="F10" s="227"/>
      <c r="G10" s="226" t="s">
        <v>137</v>
      </c>
      <c r="H10" s="222"/>
      <c r="I10" s="222"/>
      <c r="J10" s="222" t="s">
        <v>137</v>
      </c>
      <c r="K10" s="222"/>
      <c r="L10" s="227"/>
    </row>
    <row r="11" spans="1:12">
      <c r="A11" s="226" t="s">
        <v>135</v>
      </c>
      <c r="B11" s="222"/>
      <c r="C11" s="222"/>
      <c r="D11" s="519"/>
      <c r="E11" s="519"/>
      <c r="F11" s="520"/>
      <c r="G11" s="226" t="s">
        <v>135</v>
      </c>
      <c r="H11" s="222"/>
      <c r="I11" s="222"/>
      <c r="J11" s="519"/>
      <c r="K11" s="519"/>
      <c r="L11" s="520"/>
    </row>
    <row r="12" spans="1:12">
      <c r="A12" s="226" t="s">
        <v>337</v>
      </c>
      <c r="B12" s="222"/>
      <c r="C12" s="222"/>
      <c r="D12" s="231" t="s">
        <v>346</v>
      </c>
      <c r="E12" s="488"/>
      <c r="F12" s="489"/>
      <c r="G12" s="226" t="s">
        <v>337</v>
      </c>
      <c r="H12" s="222"/>
      <c r="I12" s="222"/>
      <c r="J12" s="231" t="s">
        <v>346</v>
      </c>
      <c r="K12" s="488"/>
      <c r="L12" s="489"/>
    </row>
    <row r="13" spans="1:12">
      <c r="A13" s="226" t="s">
        <v>338</v>
      </c>
      <c r="B13" s="222"/>
      <c r="C13" s="222"/>
      <c r="D13" s="222" t="s">
        <v>318</v>
      </c>
      <c r="E13" s="232" t="s">
        <v>72</v>
      </c>
      <c r="F13" s="235" t="s">
        <v>73</v>
      </c>
      <c r="G13" s="226" t="s">
        <v>338</v>
      </c>
      <c r="H13" s="222"/>
      <c r="I13" s="222"/>
      <c r="J13" s="222" t="s">
        <v>318</v>
      </c>
      <c r="K13" s="232" t="s">
        <v>72</v>
      </c>
      <c r="L13" s="235" t="s">
        <v>73</v>
      </c>
    </row>
    <row r="14" spans="1:12">
      <c r="A14" s="226" t="s">
        <v>339</v>
      </c>
      <c r="B14" s="222"/>
      <c r="C14" s="222"/>
      <c r="D14" s="222" t="s">
        <v>156</v>
      </c>
      <c r="E14" s="222"/>
      <c r="F14" s="227"/>
      <c r="G14" s="226" t="s">
        <v>339</v>
      </c>
      <c r="H14" s="222"/>
      <c r="I14" s="222"/>
      <c r="J14" s="222" t="s">
        <v>156</v>
      </c>
      <c r="K14" s="222"/>
      <c r="L14" s="227"/>
    </row>
    <row r="15" spans="1:12">
      <c r="A15" s="226" t="s">
        <v>341</v>
      </c>
      <c r="B15" s="222"/>
      <c r="C15" s="222"/>
      <c r="D15" s="488"/>
      <c r="E15" s="488"/>
      <c r="F15" s="489"/>
      <c r="G15" s="226" t="s">
        <v>341</v>
      </c>
      <c r="H15" s="222"/>
      <c r="I15" s="222"/>
      <c r="J15" s="488"/>
      <c r="K15" s="488"/>
      <c r="L15" s="489"/>
    </row>
    <row r="16" spans="1:12">
      <c r="A16" s="226" t="s">
        <v>342</v>
      </c>
      <c r="B16" s="222"/>
      <c r="C16" s="222"/>
      <c r="D16" s="231" t="s">
        <v>346</v>
      </c>
      <c r="E16" s="488"/>
      <c r="F16" s="489"/>
      <c r="G16" s="226" t="s">
        <v>342</v>
      </c>
      <c r="H16" s="222"/>
      <c r="I16" s="222"/>
      <c r="J16" s="231" t="s">
        <v>346</v>
      </c>
      <c r="K16" s="488"/>
      <c r="L16" s="489"/>
    </row>
    <row r="17" spans="1:12">
      <c r="A17" s="518"/>
      <c r="B17" s="488"/>
      <c r="C17" s="488"/>
      <c r="D17" s="222" t="s">
        <v>340</v>
      </c>
      <c r="E17" s="232" t="s">
        <v>72</v>
      </c>
      <c r="F17" s="235" t="s">
        <v>73</v>
      </c>
      <c r="G17" s="518"/>
      <c r="H17" s="488"/>
      <c r="I17" s="488"/>
      <c r="J17" s="222" t="s">
        <v>340</v>
      </c>
      <c r="K17" s="232" t="s">
        <v>72</v>
      </c>
      <c r="L17" s="235" t="s">
        <v>73</v>
      </c>
    </row>
    <row r="18" spans="1:12">
      <c r="A18" s="239" t="s">
        <v>346</v>
      </c>
      <c r="B18" s="488"/>
      <c r="C18" s="488"/>
      <c r="D18" s="222" t="s">
        <v>156</v>
      </c>
      <c r="E18" s="222"/>
      <c r="F18" s="227"/>
      <c r="G18" s="239" t="s">
        <v>346</v>
      </c>
      <c r="H18" s="488"/>
      <c r="I18" s="488"/>
      <c r="J18" s="222" t="s">
        <v>156</v>
      </c>
      <c r="K18" s="222"/>
      <c r="L18" s="227"/>
    </row>
    <row r="19" spans="1:12">
      <c r="A19" s="239" t="s">
        <v>349</v>
      </c>
      <c r="B19" s="119" t="s">
        <v>72</v>
      </c>
      <c r="C19" s="119" t="s">
        <v>73</v>
      </c>
      <c r="D19" s="222" t="s">
        <v>157</v>
      </c>
      <c r="E19" s="222"/>
      <c r="F19" s="227"/>
      <c r="G19" s="239" t="s">
        <v>349</v>
      </c>
      <c r="H19" s="119" t="s">
        <v>72</v>
      </c>
      <c r="I19" s="119" t="s">
        <v>73</v>
      </c>
      <c r="J19" s="222" t="s">
        <v>157</v>
      </c>
      <c r="K19" s="222"/>
      <c r="L19" s="227"/>
    </row>
    <row r="20" spans="1:12">
      <c r="A20" s="239" t="s">
        <v>156</v>
      </c>
      <c r="B20" s="238"/>
      <c r="C20" s="238"/>
      <c r="D20" s="488"/>
      <c r="E20" s="488"/>
      <c r="F20" s="489"/>
      <c r="G20" s="239" t="s">
        <v>156</v>
      </c>
      <c r="H20" s="238"/>
      <c r="I20" s="238"/>
      <c r="J20" s="488"/>
      <c r="K20" s="488"/>
      <c r="L20" s="489"/>
    </row>
    <row r="21" spans="1:12">
      <c r="A21" s="239" t="s">
        <v>157</v>
      </c>
      <c r="B21" s="238"/>
      <c r="C21" s="238"/>
      <c r="D21" s="488"/>
      <c r="E21" s="488"/>
      <c r="F21" s="489"/>
      <c r="G21" s="239" t="s">
        <v>157</v>
      </c>
      <c r="H21" s="238"/>
      <c r="I21" s="238"/>
      <c r="J21" s="488"/>
      <c r="K21" s="488"/>
      <c r="L21" s="489"/>
    </row>
    <row r="22" spans="1:12">
      <c r="A22" s="240" t="s">
        <v>134</v>
      </c>
      <c r="B22" s="222"/>
      <c r="C22" s="222"/>
      <c r="D22" s="488"/>
      <c r="E22" s="488"/>
      <c r="F22" s="489"/>
      <c r="G22" s="240" t="s">
        <v>134</v>
      </c>
      <c r="H22" s="222"/>
      <c r="I22" s="222"/>
      <c r="J22" s="488"/>
      <c r="K22" s="488"/>
      <c r="L22" s="489"/>
    </row>
    <row r="23" spans="1:12" ht="13.8" thickBot="1">
      <c r="A23" s="241" t="s">
        <v>137</v>
      </c>
      <c r="B23" s="229"/>
      <c r="C23" s="229"/>
      <c r="D23" s="516"/>
      <c r="E23" s="516"/>
      <c r="F23" s="517"/>
      <c r="G23" s="241" t="s">
        <v>137</v>
      </c>
      <c r="H23" s="229"/>
      <c r="I23" s="229"/>
      <c r="J23" s="516"/>
      <c r="K23" s="516"/>
      <c r="L23" s="517"/>
    </row>
    <row r="24" spans="1:12">
      <c r="A24" s="236" t="s">
        <v>346</v>
      </c>
      <c r="B24" s="490"/>
      <c r="C24" s="490"/>
      <c r="D24" s="237" t="s">
        <v>346</v>
      </c>
      <c r="E24" s="490"/>
      <c r="F24" s="491"/>
      <c r="G24" s="236" t="s">
        <v>346</v>
      </c>
      <c r="H24" s="490"/>
      <c r="I24" s="490"/>
      <c r="J24" s="237" t="s">
        <v>346</v>
      </c>
      <c r="K24" s="490"/>
      <c r="L24" s="491"/>
    </row>
    <row r="25" spans="1:12">
      <c r="A25" s="226" t="s">
        <v>336</v>
      </c>
      <c r="B25" s="232" t="s">
        <v>72</v>
      </c>
      <c r="C25" s="232" t="s">
        <v>73</v>
      </c>
      <c r="D25" s="222" t="s">
        <v>162</v>
      </c>
      <c r="E25" s="232" t="s">
        <v>72</v>
      </c>
      <c r="F25" s="235" t="s">
        <v>73</v>
      </c>
      <c r="G25" s="226" t="s">
        <v>336</v>
      </c>
      <c r="H25" s="232" t="s">
        <v>72</v>
      </c>
      <c r="I25" s="232" t="s">
        <v>73</v>
      </c>
      <c r="J25" s="222" t="s">
        <v>162</v>
      </c>
      <c r="K25" s="232" t="s">
        <v>72</v>
      </c>
      <c r="L25" s="235" t="s">
        <v>73</v>
      </c>
    </row>
    <row r="26" spans="1:12">
      <c r="A26" s="226" t="s">
        <v>156</v>
      </c>
      <c r="B26" s="222"/>
      <c r="C26" s="222"/>
      <c r="D26" s="222" t="s">
        <v>156</v>
      </c>
      <c r="E26" s="222"/>
      <c r="F26" s="227"/>
      <c r="G26" s="226" t="s">
        <v>156</v>
      </c>
      <c r="H26" s="222"/>
      <c r="I26" s="222"/>
      <c r="J26" s="222" t="s">
        <v>156</v>
      </c>
      <c r="K26" s="222"/>
      <c r="L26" s="227"/>
    </row>
    <row r="27" spans="1:12">
      <c r="A27" s="226" t="s">
        <v>157</v>
      </c>
      <c r="B27" s="222"/>
      <c r="C27" s="222"/>
      <c r="D27" s="222" t="s">
        <v>157</v>
      </c>
      <c r="E27" s="222"/>
      <c r="F27" s="227"/>
      <c r="G27" s="226" t="s">
        <v>157</v>
      </c>
      <c r="H27" s="222"/>
      <c r="I27" s="222"/>
      <c r="J27" s="222" t="s">
        <v>157</v>
      </c>
      <c r="K27" s="222"/>
      <c r="L27" s="227"/>
    </row>
    <row r="28" spans="1:12">
      <c r="A28" s="226" t="s">
        <v>134</v>
      </c>
      <c r="B28" s="222"/>
      <c r="C28" s="222"/>
      <c r="D28" s="222" t="s">
        <v>134</v>
      </c>
      <c r="E28" s="222"/>
      <c r="F28" s="227"/>
      <c r="G28" s="226" t="s">
        <v>134</v>
      </c>
      <c r="H28" s="222"/>
      <c r="I28" s="222"/>
      <c r="J28" s="222" t="s">
        <v>134</v>
      </c>
      <c r="K28" s="222"/>
      <c r="L28" s="227"/>
    </row>
    <row r="29" spans="1:12">
      <c r="A29" s="226" t="s">
        <v>137</v>
      </c>
      <c r="B29" s="222"/>
      <c r="C29" s="222"/>
      <c r="D29" s="222" t="s">
        <v>137</v>
      </c>
      <c r="E29" s="222"/>
      <c r="F29" s="227"/>
      <c r="G29" s="226" t="s">
        <v>137</v>
      </c>
      <c r="H29" s="222"/>
      <c r="I29" s="222"/>
      <c r="J29" s="222" t="s">
        <v>137</v>
      </c>
      <c r="K29" s="222"/>
      <c r="L29" s="227"/>
    </row>
    <row r="30" spans="1:12">
      <c r="A30" s="226" t="s">
        <v>135</v>
      </c>
      <c r="B30" s="222"/>
      <c r="C30" s="222"/>
      <c r="D30" s="519"/>
      <c r="E30" s="519"/>
      <c r="F30" s="520"/>
      <c r="G30" s="226" t="s">
        <v>135</v>
      </c>
      <c r="H30" s="222"/>
      <c r="I30" s="222"/>
      <c r="J30" s="519"/>
      <c r="K30" s="519"/>
      <c r="L30" s="520"/>
    </row>
    <row r="31" spans="1:12">
      <c r="A31" s="226" t="s">
        <v>337</v>
      </c>
      <c r="B31" s="222"/>
      <c r="C31" s="222"/>
      <c r="D31" s="231" t="s">
        <v>346</v>
      </c>
      <c r="E31" s="488"/>
      <c r="F31" s="489"/>
      <c r="G31" s="226" t="s">
        <v>337</v>
      </c>
      <c r="H31" s="222"/>
      <c r="I31" s="222"/>
      <c r="J31" s="231" t="s">
        <v>346</v>
      </c>
      <c r="K31" s="488"/>
      <c r="L31" s="489"/>
    </row>
    <row r="32" spans="1:12">
      <c r="A32" s="226" t="s">
        <v>338</v>
      </c>
      <c r="B32" s="222"/>
      <c r="C32" s="222"/>
      <c r="D32" s="222" t="s">
        <v>318</v>
      </c>
      <c r="E32" s="232" t="s">
        <v>72</v>
      </c>
      <c r="F32" s="235" t="s">
        <v>73</v>
      </c>
      <c r="G32" s="226" t="s">
        <v>338</v>
      </c>
      <c r="H32" s="222"/>
      <c r="I32" s="222"/>
      <c r="J32" s="222" t="s">
        <v>318</v>
      </c>
      <c r="K32" s="232" t="s">
        <v>72</v>
      </c>
      <c r="L32" s="235" t="s">
        <v>73</v>
      </c>
    </row>
    <row r="33" spans="1:12">
      <c r="A33" s="226" t="s">
        <v>339</v>
      </c>
      <c r="B33" s="222"/>
      <c r="C33" s="222"/>
      <c r="D33" s="222" t="s">
        <v>156</v>
      </c>
      <c r="E33" s="222"/>
      <c r="F33" s="227"/>
      <c r="G33" s="226" t="s">
        <v>339</v>
      </c>
      <c r="H33" s="222"/>
      <c r="I33" s="222"/>
      <c r="J33" s="222" t="s">
        <v>156</v>
      </c>
      <c r="K33" s="222"/>
      <c r="L33" s="227"/>
    </row>
    <row r="34" spans="1:12">
      <c r="A34" s="226" t="s">
        <v>341</v>
      </c>
      <c r="B34" s="222"/>
      <c r="C34" s="222"/>
      <c r="D34" s="488"/>
      <c r="E34" s="488"/>
      <c r="F34" s="489"/>
      <c r="G34" s="226" t="s">
        <v>341</v>
      </c>
      <c r="H34" s="222"/>
      <c r="I34" s="222"/>
      <c r="J34" s="488"/>
      <c r="K34" s="488"/>
      <c r="L34" s="489"/>
    </row>
    <row r="35" spans="1:12">
      <c r="A35" s="226" t="s">
        <v>342</v>
      </c>
      <c r="B35" s="222"/>
      <c r="C35" s="222"/>
      <c r="D35" s="231" t="s">
        <v>346</v>
      </c>
      <c r="E35" s="488"/>
      <c r="F35" s="489"/>
      <c r="G35" s="226" t="s">
        <v>342</v>
      </c>
      <c r="H35" s="222"/>
      <c r="I35" s="222"/>
      <c r="J35" s="231" t="s">
        <v>346</v>
      </c>
      <c r="K35" s="488"/>
      <c r="L35" s="489"/>
    </row>
    <row r="36" spans="1:12">
      <c r="A36" s="518"/>
      <c r="B36" s="488"/>
      <c r="C36" s="488"/>
      <c r="D36" s="222" t="s">
        <v>340</v>
      </c>
      <c r="E36" s="232" t="s">
        <v>72</v>
      </c>
      <c r="F36" s="235" t="s">
        <v>73</v>
      </c>
      <c r="G36" s="518"/>
      <c r="H36" s="488"/>
      <c r="I36" s="488"/>
      <c r="J36" s="222" t="s">
        <v>340</v>
      </c>
      <c r="K36" s="232" t="s">
        <v>72</v>
      </c>
      <c r="L36" s="235" t="s">
        <v>73</v>
      </c>
    </row>
    <row r="37" spans="1:12">
      <c r="A37" s="239" t="s">
        <v>346</v>
      </c>
      <c r="B37" s="488"/>
      <c r="C37" s="488"/>
      <c r="D37" s="222" t="s">
        <v>156</v>
      </c>
      <c r="E37" s="222"/>
      <c r="F37" s="227"/>
      <c r="G37" s="239" t="s">
        <v>346</v>
      </c>
      <c r="H37" s="488"/>
      <c r="I37" s="488"/>
      <c r="J37" s="222" t="s">
        <v>156</v>
      </c>
      <c r="K37" s="222"/>
      <c r="L37" s="227"/>
    </row>
    <row r="38" spans="1:12">
      <c r="A38" s="239" t="s">
        <v>349</v>
      </c>
      <c r="B38" s="119" t="s">
        <v>72</v>
      </c>
      <c r="C38" s="119" t="s">
        <v>73</v>
      </c>
      <c r="D38" s="222" t="s">
        <v>157</v>
      </c>
      <c r="E38" s="222"/>
      <c r="F38" s="227"/>
      <c r="G38" s="239" t="s">
        <v>349</v>
      </c>
      <c r="H38" s="119" t="s">
        <v>72</v>
      </c>
      <c r="I38" s="119" t="s">
        <v>73</v>
      </c>
      <c r="J38" s="222" t="s">
        <v>157</v>
      </c>
      <c r="K38" s="222"/>
      <c r="L38" s="227"/>
    </row>
    <row r="39" spans="1:12">
      <c r="A39" s="239" t="s">
        <v>156</v>
      </c>
      <c r="B39" s="238"/>
      <c r="C39" s="238"/>
      <c r="D39" s="488"/>
      <c r="E39" s="488"/>
      <c r="F39" s="489"/>
      <c r="G39" s="239" t="s">
        <v>156</v>
      </c>
      <c r="H39" s="238"/>
      <c r="I39" s="238"/>
      <c r="J39" s="488"/>
      <c r="K39" s="488"/>
      <c r="L39" s="489"/>
    </row>
    <row r="40" spans="1:12">
      <c r="A40" s="239" t="s">
        <v>157</v>
      </c>
      <c r="B40" s="238"/>
      <c r="C40" s="238"/>
      <c r="D40" s="488"/>
      <c r="E40" s="488"/>
      <c r="F40" s="489"/>
      <c r="G40" s="239" t="s">
        <v>157</v>
      </c>
      <c r="H40" s="238"/>
      <c r="I40" s="238"/>
      <c r="J40" s="488"/>
      <c r="K40" s="488"/>
      <c r="L40" s="489"/>
    </row>
    <row r="41" spans="1:12">
      <c r="A41" s="240" t="s">
        <v>134</v>
      </c>
      <c r="B41" s="222"/>
      <c r="C41" s="222"/>
      <c r="D41" s="488"/>
      <c r="E41" s="488"/>
      <c r="F41" s="489"/>
      <c r="G41" s="240" t="s">
        <v>134</v>
      </c>
      <c r="H41" s="222"/>
      <c r="I41" s="222"/>
      <c r="J41" s="488"/>
      <c r="K41" s="488"/>
      <c r="L41" s="489"/>
    </row>
    <row r="42" spans="1:12" ht="13.8" thickBot="1">
      <c r="A42" s="241" t="s">
        <v>137</v>
      </c>
      <c r="B42" s="229"/>
      <c r="C42" s="229"/>
      <c r="D42" s="516"/>
      <c r="E42" s="516"/>
      <c r="F42" s="517"/>
      <c r="G42" s="241" t="s">
        <v>137</v>
      </c>
      <c r="H42" s="229"/>
      <c r="I42" s="229"/>
      <c r="J42" s="516"/>
      <c r="K42" s="516"/>
      <c r="L42" s="517"/>
    </row>
    <row r="43" spans="1:12">
      <c r="A43" s="236" t="s">
        <v>346</v>
      </c>
      <c r="B43" s="490"/>
      <c r="C43" s="490"/>
      <c r="D43" s="237" t="s">
        <v>346</v>
      </c>
      <c r="E43" s="490"/>
      <c r="F43" s="491"/>
      <c r="G43" s="236" t="s">
        <v>346</v>
      </c>
      <c r="H43" s="490"/>
      <c r="I43" s="490"/>
      <c r="J43" s="237" t="s">
        <v>346</v>
      </c>
      <c r="K43" s="490"/>
      <c r="L43" s="491"/>
    </row>
    <row r="44" spans="1:12">
      <c r="A44" s="226" t="s">
        <v>336</v>
      </c>
      <c r="B44" s="232" t="s">
        <v>72</v>
      </c>
      <c r="C44" s="232" t="s">
        <v>73</v>
      </c>
      <c r="D44" s="222" t="s">
        <v>162</v>
      </c>
      <c r="E44" s="232" t="s">
        <v>72</v>
      </c>
      <c r="F44" s="235" t="s">
        <v>73</v>
      </c>
      <c r="G44" s="226" t="s">
        <v>336</v>
      </c>
      <c r="H44" s="232" t="s">
        <v>72</v>
      </c>
      <c r="I44" s="232" t="s">
        <v>73</v>
      </c>
      <c r="J44" s="222" t="s">
        <v>162</v>
      </c>
      <c r="K44" s="232" t="s">
        <v>72</v>
      </c>
      <c r="L44" s="235" t="s">
        <v>73</v>
      </c>
    </row>
    <row r="45" spans="1:12">
      <c r="A45" s="226" t="s">
        <v>156</v>
      </c>
      <c r="B45" s="222"/>
      <c r="C45" s="222"/>
      <c r="D45" s="222" t="s">
        <v>156</v>
      </c>
      <c r="E45" s="222"/>
      <c r="F45" s="227"/>
      <c r="G45" s="226" t="s">
        <v>156</v>
      </c>
      <c r="H45" s="222"/>
      <c r="I45" s="222"/>
      <c r="J45" s="222" t="s">
        <v>156</v>
      </c>
      <c r="K45" s="222"/>
      <c r="L45" s="227"/>
    </row>
    <row r="46" spans="1:12">
      <c r="A46" s="226" t="s">
        <v>157</v>
      </c>
      <c r="B46" s="222"/>
      <c r="C46" s="222"/>
      <c r="D46" s="222" t="s">
        <v>157</v>
      </c>
      <c r="E46" s="222"/>
      <c r="F46" s="227"/>
      <c r="G46" s="226" t="s">
        <v>157</v>
      </c>
      <c r="H46" s="222"/>
      <c r="I46" s="222"/>
      <c r="J46" s="222" t="s">
        <v>157</v>
      </c>
      <c r="K46" s="222"/>
      <c r="L46" s="227"/>
    </row>
    <row r="47" spans="1:12">
      <c r="A47" s="226" t="s">
        <v>134</v>
      </c>
      <c r="B47" s="222"/>
      <c r="C47" s="222"/>
      <c r="D47" s="222" t="s">
        <v>134</v>
      </c>
      <c r="E47" s="222"/>
      <c r="F47" s="227"/>
      <c r="G47" s="226" t="s">
        <v>134</v>
      </c>
      <c r="H47" s="222"/>
      <c r="I47" s="222"/>
      <c r="J47" s="222" t="s">
        <v>134</v>
      </c>
      <c r="K47" s="222"/>
      <c r="L47" s="227"/>
    </row>
    <row r="48" spans="1:12">
      <c r="A48" s="226" t="s">
        <v>137</v>
      </c>
      <c r="B48" s="222"/>
      <c r="C48" s="222"/>
      <c r="D48" s="222" t="s">
        <v>137</v>
      </c>
      <c r="E48" s="222"/>
      <c r="F48" s="227"/>
      <c r="G48" s="226" t="s">
        <v>137</v>
      </c>
      <c r="H48" s="222"/>
      <c r="I48" s="222"/>
      <c r="J48" s="222" t="s">
        <v>137</v>
      </c>
      <c r="K48" s="222"/>
      <c r="L48" s="227"/>
    </row>
    <row r="49" spans="1:12">
      <c r="A49" s="226" t="s">
        <v>135</v>
      </c>
      <c r="B49" s="222"/>
      <c r="C49" s="222"/>
      <c r="D49" s="519"/>
      <c r="E49" s="519"/>
      <c r="F49" s="520"/>
      <c r="G49" s="226" t="s">
        <v>135</v>
      </c>
      <c r="H49" s="222"/>
      <c r="I49" s="222"/>
      <c r="J49" s="519"/>
      <c r="K49" s="519"/>
      <c r="L49" s="520"/>
    </row>
    <row r="50" spans="1:12">
      <c r="A50" s="226" t="s">
        <v>337</v>
      </c>
      <c r="B50" s="222"/>
      <c r="C50" s="222"/>
      <c r="D50" s="231" t="s">
        <v>346</v>
      </c>
      <c r="E50" s="488"/>
      <c r="F50" s="489"/>
      <c r="G50" s="226" t="s">
        <v>337</v>
      </c>
      <c r="H50" s="222"/>
      <c r="I50" s="222"/>
      <c r="J50" s="231" t="s">
        <v>346</v>
      </c>
      <c r="K50" s="488"/>
      <c r="L50" s="489"/>
    </row>
    <row r="51" spans="1:12">
      <c r="A51" s="226" t="s">
        <v>338</v>
      </c>
      <c r="B51" s="222"/>
      <c r="C51" s="222"/>
      <c r="D51" s="222" t="s">
        <v>318</v>
      </c>
      <c r="E51" s="232" t="s">
        <v>72</v>
      </c>
      <c r="F51" s="235" t="s">
        <v>73</v>
      </c>
      <c r="G51" s="226" t="s">
        <v>338</v>
      </c>
      <c r="H51" s="222"/>
      <c r="I51" s="222"/>
      <c r="J51" s="222" t="s">
        <v>318</v>
      </c>
      <c r="K51" s="232" t="s">
        <v>72</v>
      </c>
      <c r="L51" s="235" t="s">
        <v>73</v>
      </c>
    </row>
    <row r="52" spans="1:12">
      <c r="A52" s="226" t="s">
        <v>339</v>
      </c>
      <c r="B52" s="222"/>
      <c r="C52" s="222"/>
      <c r="D52" s="222" t="s">
        <v>156</v>
      </c>
      <c r="E52" s="222"/>
      <c r="F52" s="227"/>
      <c r="G52" s="226" t="s">
        <v>339</v>
      </c>
      <c r="H52" s="222"/>
      <c r="I52" s="222"/>
      <c r="J52" s="222" t="s">
        <v>156</v>
      </c>
      <c r="K52" s="222"/>
      <c r="L52" s="227"/>
    </row>
    <row r="53" spans="1:12">
      <c r="A53" s="226" t="s">
        <v>341</v>
      </c>
      <c r="B53" s="222"/>
      <c r="C53" s="222"/>
      <c r="D53" s="488"/>
      <c r="E53" s="488"/>
      <c r="F53" s="489"/>
      <c r="G53" s="226" t="s">
        <v>341</v>
      </c>
      <c r="H53" s="222"/>
      <c r="I53" s="222"/>
      <c r="J53" s="488"/>
      <c r="K53" s="488"/>
      <c r="L53" s="489"/>
    </row>
    <row r="54" spans="1:12">
      <c r="A54" s="226" t="s">
        <v>342</v>
      </c>
      <c r="B54" s="222"/>
      <c r="C54" s="222"/>
      <c r="D54" s="231" t="s">
        <v>346</v>
      </c>
      <c r="E54" s="488"/>
      <c r="F54" s="489"/>
      <c r="G54" s="226" t="s">
        <v>342</v>
      </c>
      <c r="H54" s="222"/>
      <c r="I54" s="222"/>
      <c r="J54" s="231" t="s">
        <v>346</v>
      </c>
      <c r="K54" s="488"/>
      <c r="L54" s="489"/>
    </row>
    <row r="55" spans="1:12">
      <c r="A55" s="518"/>
      <c r="B55" s="488"/>
      <c r="C55" s="488"/>
      <c r="D55" s="222" t="s">
        <v>340</v>
      </c>
      <c r="E55" s="232" t="s">
        <v>72</v>
      </c>
      <c r="F55" s="235" t="s">
        <v>73</v>
      </c>
      <c r="G55" s="518"/>
      <c r="H55" s="488"/>
      <c r="I55" s="488"/>
      <c r="J55" s="222" t="s">
        <v>340</v>
      </c>
      <c r="K55" s="232" t="s">
        <v>72</v>
      </c>
      <c r="L55" s="235" t="s">
        <v>73</v>
      </c>
    </row>
    <row r="56" spans="1:12">
      <c r="A56" s="239" t="s">
        <v>346</v>
      </c>
      <c r="B56" s="488"/>
      <c r="C56" s="488"/>
      <c r="D56" s="222" t="s">
        <v>156</v>
      </c>
      <c r="E56" s="222"/>
      <c r="F56" s="227"/>
      <c r="G56" s="239" t="s">
        <v>346</v>
      </c>
      <c r="H56" s="488"/>
      <c r="I56" s="488"/>
      <c r="J56" s="222" t="s">
        <v>156</v>
      </c>
      <c r="K56" s="222"/>
      <c r="L56" s="227"/>
    </row>
    <row r="57" spans="1:12">
      <c r="A57" s="239" t="s">
        <v>349</v>
      </c>
      <c r="B57" s="119" t="s">
        <v>72</v>
      </c>
      <c r="C57" s="119" t="s">
        <v>73</v>
      </c>
      <c r="D57" s="222" t="s">
        <v>157</v>
      </c>
      <c r="E57" s="222"/>
      <c r="F57" s="227"/>
      <c r="G57" s="239" t="s">
        <v>349</v>
      </c>
      <c r="H57" s="119" t="s">
        <v>72</v>
      </c>
      <c r="I57" s="119" t="s">
        <v>73</v>
      </c>
      <c r="J57" s="222" t="s">
        <v>157</v>
      </c>
      <c r="K57" s="222"/>
      <c r="L57" s="227"/>
    </row>
    <row r="58" spans="1:12">
      <c r="A58" s="239" t="s">
        <v>156</v>
      </c>
      <c r="B58" s="238"/>
      <c r="C58" s="238"/>
      <c r="D58" s="488"/>
      <c r="E58" s="488"/>
      <c r="F58" s="489"/>
      <c r="G58" s="239" t="s">
        <v>156</v>
      </c>
      <c r="H58" s="238"/>
      <c r="I58" s="238"/>
      <c r="J58" s="488"/>
      <c r="K58" s="488"/>
      <c r="L58" s="489"/>
    </row>
    <row r="59" spans="1:12">
      <c r="A59" s="239" t="s">
        <v>157</v>
      </c>
      <c r="B59" s="238"/>
      <c r="C59" s="238"/>
      <c r="D59" s="488"/>
      <c r="E59" s="488"/>
      <c r="F59" s="489"/>
      <c r="G59" s="239" t="s">
        <v>157</v>
      </c>
      <c r="H59" s="238"/>
      <c r="I59" s="238"/>
      <c r="J59" s="488"/>
      <c r="K59" s="488"/>
      <c r="L59" s="489"/>
    </row>
    <row r="60" spans="1:12">
      <c r="A60" s="240" t="s">
        <v>134</v>
      </c>
      <c r="B60" s="222"/>
      <c r="C60" s="222"/>
      <c r="D60" s="488"/>
      <c r="E60" s="488"/>
      <c r="F60" s="489"/>
      <c r="G60" s="240" t="s">
        <v>134</v>
      </c>
      <c r="H60" s="222"/>
      <c r="I60" s="222"/>
      <c r="J60" s="488"/>
      <c r="K60" s="488"/>
      <c r="L60" s="489"/>
    </row>
    <row r="61" spans="1:12" ht="13.8" thickBot="1">
      <c r="A61" s="241" t="s">
        <v>137</v>
      </c>
      <c r="B61" s="229"/>
      <c r="C61" s="229"/>
      <c r="D61" s="516"/>
      <c r="E61" s="516"/>
      <c r="F61" s="517"/>
      <c r="G61" s="241" t="s">
        <v>137</v>
      </c>
      <c r="H61" s="229"/>
      <c r="I61" s="229"/>
      <c r="J61" s="516"/>
      <c r="K61" s="516"/>
      <c r="L61" s="517"/>
    </row>
    <row r="62" spans="1:12">
      <c r="A62" s="236" t="s">
        <v>346</v>
      </c>
      <c r="B62" s="490"/>
      <c r="C62" s="490"/>
      <c r="D62" s="237" t="s">
        <v>346</v>
      </c>
      <c r="E62" s="490"/>
      <c r="F62" s="491"/>
      <c r="G62" s="236" t="s">
        <v>346</v>
      </c>
      <c r="H62" s="490"/>
      <c r="I62" s="490"/>
      <c r="J62" s="237" t="s">
        <v>346</v>
      </c>
      <c r="K62" s="490"/>
      <c r="L62" s="491"/>
    </row>
    <row r="63" spans="1:12">
      <c r="A63" s="226" t="s">
        <v>336</v>
      </c>
      <c r="B63" s="232" t="s">
        <v>72</v>
      </c>
      <c r="C63" s="232" t="s">
        <v>73</v>
      </c>
      <c r="D63" s="222" t="s">
        <v>162</v>
      </c>
      <c r="E63" s="232" t="s">
        <v>72</v>
      </c>
      <c r="F63" s="235" t="s">
        <v>73</v>
      </c>
      <c r="G63" s="226" t="s">
        <v>336</v>
      </c>
      <c r="H63" s="232" t="s">
        <v>72</v>
      </c>
      <c r="I63" s="232" t="s">
        <v>73</v>
      </c>
      <c r="J63" s="222" t="s">
        <v>162</v>
      </c>
      <c r="K63" s="232" t="s">
        <v>72</v>
      </c>
      <c r="L63" s="235" t="s">
        <v>73</v>
      </c>
    </row>
    <row r="64" spans="1:12">
      <c r="A64" s="226" t="s">
        <v>156</v>
      </c>
      <c r="B64" s="222"/>
      <c r="C64" s="222"/>
      <c r="D64" s="222" t="s">
        <v>156</v>
      </c>
      <c r="E64" s="222"/>
      <c r="F64" s="227"/>
      <c r="G64" s="226" t="s">
        <v>156</v>
      </c>
      <c r="H64" s="222"/>
      <c r="I64" s="222"/>
      <c r="J64" s="222" t="s">
        <v>156</v>
      </c>
      <c r="K64" s="222"/>
      <c r="L64" s="227"/>
    </row>
    <row r="65" spans="1:12">
      <c r="A65" s="226" t="s">
        <v>157</v>
      </c>
      <c r="B65" s="222"/>
      <c r="C65" s="222"/>
      <c r="D65" s="222" t="s">
        <v>157</v>
      </c>
      <c r="E65" s="222"/>
      <c r="F65" s="227"/>
      <c r="G65" s="226" t="s">
        <v>157</v>
      </c>
      <c r="H65" s="222"/>
      <c r="I65" s="222"/>
      <c r="J65" s="222" t="s">
        <v>157</v>
      </c>
      <c r="K65" s="222"/>
      <c r="L65" s="227"/>
    </row>
    <row r="66" spans="1:12">
      <c r="A66" s="226" t="s">
        <v>134</v>
      </c>
      <c r="B66" s="222"/>
      <c r="C66" s="222"/>
      <c r="D66" s="222" t="s">
        <v>134</v>
      </c>
      <c r="E66" s="222"/>
      <c r="F66" s="227"/>
      <c r="G66" s="226" t="s">
        <v>134</v>
      </c>
      <c r="H66" s="222"/>
      <c r="I66" s="222"/>
      <c r="J66" s="222" t="s">
        <v>134</v>
      </c>
      <c r="K66" s="222"/>
      <c r="L66" s="227"/>
    </row>
    <row r="67" spans="1:12">
      <c r="A67" s="226" t="s">
        <v>137</v>
      </c>
      <c r="B67" s="222"/>
      <c r="C67" s="222"/>
      <c r="D67" s="222" t="s">
        <v>137</v>
      </c>
      <c r="E67" s="222"/>
      <c r="F67" s="227"/>
      <c r="G67" s="226" t="s">
        <v>137</v>
      </c>
      <c r="H67" s="222"/>
      <c r="I67" s="222"/>
      <c r="J67" s="222" t="s">
        <v>137</v>
      </c>
      <c r="K67" s="222"/>
      <c r="L67" s="227"/>
    </row>
    <row r="68" spans="1:12">
      <c r="A68" s="226" t="s">
        <v>135</v>
      </c>
      <c r="B68" s="222"/>
      <c r="C68" s="222"/>
      <c r="D68" s="519"/>
      <c r="E68" s="519"/>
      <c r="F68" s="520"/>
      <c r="G68" s="226" t="s">
        <v>135</v>
      </c>
      <c r="H68" s="222"/>
      <c r="I68" s="222"/>
      <c r="J68" s="519"/>
      <c r="K68" s="519"/>
      <c r="L68" s="520"/>
    </row>
    <row r="69" spans="1:12">
      <c r="A69" s="226" t="s">
        <v>337</v>
      </c>
      <c r="B69" s="222"/>
      <c r="C69" s="222"/>
      <c r="D69" s="231" t="s">
        <v>346</v>
      </c>
      <c r="E69" s="488"/>
      <c r="F69" s="489"/>
      <c r="G69" s="226" t="s">
        <v>337</v>
      </c>
      <c r="H69" s="222"/>
      <c r="I69" s="222"/>
      <c r="J69" s="231" t="s">
        <v>346</v>
      </c>
      <c r="K69" s="488"/>
      <c r="L69" s="489"/>
    </row>
    <row r="70" spans="1:12">
      <c r="A70" s="226" t="s">
        <v>338</v>
      </c>
      <c r="B70" s="222"/>
      <c r="C70" s="222"/>
      <c r="D70" s="222" t="s">
        <v>318</v>
      </c>
      <c r="E70" s="232" t="s">
        <v>72</v>
      </c>
      <c r="F70" s="235" t="s">
        <v>73</v>
      </c>
      <c r="G70" s="226" t="s">
        <v>338</v>
      </c>
      <c r="H70" s="222"/>
      <c r="I70" s="222"/>
      <c r="J70" s="222" t="s">
        <v>318</v>
      </c>
      <c r="K70" s="232" t="s">
        <v>72</v>
      </c>
      <c r="L70" s="235" t="s">
        <v>73</v>
      </c>
    </row>
    <row r="71" spans="1:12">
      <c r="A71" s="226" t="s">
        <v>339</v>
      </c>
      <c r="B71" s="222"/>
      <c r="C71" s="222"/>
      <c r="D71" s="222" t="s">
        <v>156</v>
      </c>
      <c r="E71" s="222"/>
      <c r="F71" s="227"/>
      <c r="G71" s="226" t="s">
        <v>339</v>
      </c>
      <c r="H71" s="222"/>
      <c r="I71" s="222"/>
      <c r="J71" s="222" t="s">
        <v>156</v>
      </c>
      <c r="K71" s="222"/>
      <c r="L71" s="227"/>
    </row>
    <row r="72" spans="1:12">
      <c r="A72" s="226" t="s">
        <v>341</v>
      </c>
      <c r="B72" s="222"/>
      <c r="C72" s="222"/>
      <c r="D72" s="488"/>
      <c r="E72" s="488"/>
      <c r="F72" s="489"/>
      <c r="G72" s="226" t="s">
        <v>341</v>
      </c>
      <c r="H72" s="222"/>
      <c r="I72" s="222"/>
      <c r="J72" s="488"/>
      <c r="K72" s="488"/>
      <c r="L72" s="489"/>
    </row>
    <row r="73" spans="1:12">
      <c r="A73" s="226" t="s">
        <v>342</v>
      </c>
      <c r="B73" s="222"/>
      <c r="C73" s="222"/>
      <c r="D73" s="231" t="s">
        <v>346</v>
      </c>
      <c r="E73" s="488"/>
      <c r="F73" s="489"/>
      <c r="G73" s="226" t="s">
        <v>342</v>
      </c>
      <c r="H73" s="222"/>
      <c r="I73" s="222"/>
      <c r="J73" s="231" t="s">
        <v>346</v>
      </c>
      <c r="K73" s="488"/>
      <c r="L73" s="489"/>
    </row>
    <row r="74" spans="1:12">
      <c r="A74" s="518"/>
      <c r="B74" s="488"/>
      <c r="C74" s="488"/>
      <c r="D74" s="222" t="s">
        <v>340</v>
      </c>
      <c r="E74" s="232" t="s">
        <v>72</v>
      </c>
      <c r="F74" s="235" t="s">
        <v>73</v>
      </c>
      <c r="G74" s="518"/>
      <c r="H74" s="488"/>
      <c r="I74" s="488"/>
      <c r="J74" s="222" t="s">
        <v>340</v>
      </c>
      <c r="K74" s="232" t="s">
        <v>72</v>
      </c>
      <c r="L74" s="235" t="s">
        <v>73</v>
      </c>
    </row>
    <row r="75" spans="1:12">
      <c r="A75" s="239" t="s">
        <v>346</v>
      </c>
      <c r="B75" s="488"/>
      <c r="C75" s="488"/>
      <c r="D75" s="222" t="s">
        <v>156</v>
      </c>
      <c r="E75" s="222"/>
      <c r="F75" s="227"/>
      <c r="G75" s="239" t="s">
        <v>346</v>
      </c>
      <c r="H75" s="488"/>
      <c r="I75" s="488"/>
      <c r="J75" s="222" t="s">
        <v>156</v>
      </c>
      <c r="K75" s="222"/>
      <c r="L75" s="227"/>
    </row>
    <row r="76" spans="1:12">
      <c r="A76" s="239" t="s">
        <v>349</v>
      </c>
      <c r="B76" s="119" t="s">
        <v>72</v>
      </c>
      <c r="C76" s="119" t="s">
        <v>73</v>
      </c>
      <c r="D76" s="222" t="s">
        <v>157</v>
      </c>
      <c r="E76" s="222"/>
      <c r="F76" s="227"/>
      <c r="G76" s="239" t="s">
        <v>349</v>
      </c>
      <c r="H76" s="119" t="s">
        <v>72</v>
      </c>
      <c r="I76" s="119" t="s">
        <v>73</v>
      </c>
      <c r="J76" s="222" t="s">
        <v>157</v>
      </c>
      <c r="K76" s="222"/>
      <c r="L76" s="227"/>
    </row>
    <row r="77" spans="1:12">
      <c r="A77" s="239" t="s">
        <v>156</v>
      </c>
      <c r="B77" s="238"/>
      <c r="C77" s="238"/>
      <c r="D77" s="488"/>
      <c r="E77" s="488"/>
      <c r="F77" s="489"/>
      <c r="G77" s="239" t="s">
        <v>156</v>
      </c>
      <c r="H77" s="238"/>
      <c r="I77" s="238"/>
      <c r="J77" s="488"/>
      <c r="K77" s="488"/>
      <c r="L77" s="489"/>
    </row>
    <row r="78" spans="1:12">
      <c r="A78" s="239" t="s">
        <v>157</v>
      </c>
      <c r="B78" s="238"/>
      <c r="C78" s="238"/>
      <c r="D78" s="488"/>
      <c r="E78" s="488"/>
      <c r="F78" s="489"/>
      <c r="G78" s="239" t="s">
        <v>157</v>
      </c>
      <c r="H78" s="238"/>
      <c r="I78" s="238"/>
      <c r="J78" s="488"/>
      <c r="K78" s="488"/>
      <c r="L78" s="489"/>
    </row>
    <row r="79" spans="1:12">
      <c r="A79" s="240" t="s">
        <v>134</v>
      </c>
      <c r="B79" s="222"/>
      <c r="C79" s="222"/>
      <c r="D79" s="488"/>
      <c r="E79" s="488"/>
      <c r="F79" s="489"/>
      <c r="G79" s="240" t="s">
        <v>134</v>
      </c>
      <c r="H79" s="222"/>
      <c r="I79" s="222"/>
      <c r="J79" s="488"/>
      <c r="K79" s="488"/>
      <c r="L79" s="489"/>
    </row>
    <row r="80" spans="1:12" ht="13.8" thickBot="1">
      <c r="A80" s="241" t="s">
        <v>137</v>
      </c>
      <c r="B80" s="229"/>
      <c r="C80" s="229"/>
      <c r="D80" s="516"/>
      <c r="E80" s="516"/>
      <c r="F80" s="517"/>
      <c r="G80" s="241" t="s">
        <v>137</v>
      </c>
      <c r="H80" s="229"/>
      <c r="I80" s="229"/>
      <c r="J80" s="516"/>
      <c r="K80" s="516"/>
      <c r="L80" s="517"/>
    </row>
  </sheetData>
  <mergeCells count="83">
    <mergeCell ref="K1:L4"/>
    <mergeCell ref="A2:B2"/>
    <mergeCell ref="C2:D2"/>
    <mergeCell ref="F2:G2"/>
    <mergeCell ref="H2:H4"/>
    <mergeCell ref="I2:J4"/>
    <mergeCell ref="A3:B4"/>
    <mergeCell ref="C3:D4"/>
    <mergeCell ref="E3:E4"/>
    <mergeCell ref="F3:G4"/>
    <mergeCell ref="B5:C5"/>
    <mergeCell ref="E5:F5"/>
    <mergeCell ref="D11:F11"/>
    <mergeCell ref="A1:J1"/>
    <mergeCell ref="E31:F31"/>
    <mergeCell ref="H5:I5"/>
    <mergeCell ref="K31:L31"/>
    <mergeCell ref="B18:C18"/>
    <mergeCell ref="E12:F12"/>
    <mergeCell ref="D15:F15"/>
    <mergeCell ref="E16:F16"/>
    <mergeCell ref="D30:F30"/>
    <mergeCell ref="J30:L30"/>
    <mergeCell ref="A17:C17"/>
    <mergeCell ref="D20:F23"/>
    <mergeCell ref="G17:I17"/>
    <mergeCell ref="H18:I18"/>
    <mergeCell ref="J20:L23"/>
    <mergeCell ref="B24:C24"/>
    <mergeCell ref="E24:F24"/>
    <mergeCell ref="H24:I24"/>
    <mergeCell ref="K24:L24"/>
    <mergeCell ref="D49:F49"/>
    <mergeCell ref="J49:L49"/>
    <mergeCell ref="B37:C37"/>
    <mergeCell ref="H37:I37"/>
    <mergeCell ref="D34:F34"/>
    <mergeCell ref="J34:L34"/>
    <mergeCell ref="E35:F35"/>
    <mergeCell ref="K35:L35"/>
    <mergeCell ref="A36:C36"/>
    <mergeCell ref="G36:I36"/>
    <mergeCell ref="D39:F42"/>
    <mergeCell ref="J39:L42"/>
    <mergeCell ref="B43:C43"/>
    <mergeCell ref="E43:F43"/>
    <mergeCell ref="H43:I43"/>
    <mergeCell ref="K43:L43"/>
    <mergeCell ref="K5:L5"/>
    <mergeCell ref="J11:L11"/>
    <mergeCell ref="K12:L12"/>
    <mergeCell ref="J15:L15"/>
    <mergeCell ref="K16:L16"/>
    <mergeCell ref="J58:L61"/>
    <mergeCell ref="E50:F50"/>
    <mergeCell ref="K50:L50"/>
    <mergeCell ref="D53:F53"/>
    <mergeCell ref="J53:L53"/>
    <mergeCell ref="E54:F54"/>
    <mergeCell ref="K54:L54"/>
    <mergeCell ref="A55:C55"/>
    <mergeCell ref="G55:I55"/>
    <mergeCell ref="B56:C56"/>
    <mergeCell ref="H56:I56"/>
    <mergeCell ref="D58:F61"/>
    <mergeCell ref="B62:C62"/>
    <mergeCell ref="E62:F62"/>
    <mergeCell ref="H62:I62"/>
    <mergeCell ref="K62:L62"/>
    <mergeCell ref="E69:F69"/>
    <mergeCell ref="K69:L69"/>
    <mergeCell ref="D68:F68"/>
    <mergeCell ref="J68:L68"/>
    <mergeCell ref="B75:C75"/>
    <mergeCell ref="H75:I75"/>
    <mergeCell ref="D77:F80"/>
    <mergeCell ref="J77:L80"/>
    <mergeCell ref="D72:F72"/>
    <mergeCell ref="J72:L72"/>
    <mergeCell ref="E73:F73"/>
    <mergeCell ref="K73:L73"/>
    <mergeCell ref="A74:C74"/>
    <mergeCell ref="G74:I74"/>
  </mergeCells>
  <pageMargins left="0.7" right="0.7" top="0.75" bottom="0.75" header="0.3" footer="0.3"/>
  <pageSetup paperSize="9" scale="74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I52"/>
  <sheetViews>
    <sheetView zoomScale="70" zoomScaleNormal="70" workbookViewId="0">
      <selection sqref="A1:B3"/>
    </sheetView>
  </sheetViews>
  <sheetFormatPr defaultRowHeight="13.2"/>
  <cols>
    <col min="2" max="2" width="10.109375" bestFit="1" customWidth="1"/>
    <col min="3" max="3" width="12.88671875" customWidth="1"/>
    <col min="6" max="6" width="10.109375" customWidth="1"/>
    <col min="7" max="7" width="10.109375" bestFit="1" customWidth="1"/>
    <col min="9" max="9" width="19" customWidth="1"/>
  </cols>
  <sheetData>
    <row r="1" spans="1:9" ht="13.8" thickTop="1">
      <c r="A1" s="547"/>
      <c r="B1" s="548"/>
      <c r="C1" s="551" t="s">
        <v>41</v>
      </c>
      <c r="D1" s="552"/>
      <c r="E1" s="553"/>
      <c r="F1" s="37" t="s">
        <v>42</v>
      </c>
      <c r="G1" s="113" t="s">
        <v>43</v>
      </c>
      <c r="H1" s="38" t="s">
        <v>44</v>
      </c>
      <c r="I1" s="39" t="s">
        <v>45</v>
      </c>
    </row>
    <row r="2" spans="1:9">
      <c r="A2" s="549"/>
      <c r="B2" s="293"/>
      <c r="C2" s="554"/>
      <c r="D2" s="555"/>
      <c r="E2" s="556"/>
      <c r="F2" s="111"/>
      <c r="G2" s="112"/>
      <c r="H2" s="303" t="s">
        <v>46</v>
      </c>
      <c r="I2" s="560" t="s">
        <v>47</v>
      </c>
    </row>
    <row r="3" spans="1:9" ht="13.8" thickBot="1">
      <c r="A3" s="550"/>
      <c r="B3" s="295"/>
      <c r="C3" s="557"/>
      <c r="D3" s="558"/>
      <c r="E3" s="559"/>
      <c r="F3" s="41" t="s">
        <v>77</v>
      </c>
      <c r="G3" s="102" t="s">
        <v>76</v>
      </c>
      <c r="H3" s="304"/>
      <c r="I3" s="561"/>
    </row>
    <row r="4" spans="1:9">
      <c r="A4" s="521" t="s">
        <v>48</v>
      </c>
      <c r="B4" s="522"/>
      <c r="C4" s="523"/>
      <c r="D4" s="530" t="s">
        <v>49</v>
      </c>
      <c r="E4" s="522"/>
      <c r="F4" s="523"/>
      <c r="G4" s="42" t="s">
        <v>50</v>
      </c>
      <c r="H4" s="530" t="s">
        <v>51</v>
      </c>
      <c r="I4" s="531"/>
    </row>
    <row r="5" spans="1:9">
      <c r="A5" s="562" t="str">
        <f>POMOC!B10</f>
        <v>137T000339P1001</v>
      </c>
      <c r="B5" s="306"/>
      <c r="C5" s="307"/>
      <c r="D5" s="305" t="str">
        <f>POMOC!B1</f>
        <v>COCKBURN</v>
      </c>
      <c r="E5" s="306"/>
      <c r="F5" s="307"/>
      <c r="G5" s="299" t="str">
        <f>POMOC!B9</f>
        <v>ST12T</v>
      </c>
      <c r="H5" s="305" t="str">
        <f>POMOC!B13</f>
        <v>A888888</v>
      </c>
      <c r="I5" s="564"/>
    </row>
    <row r="6" spans="1:9" ht="13.8" thickBot="1">
      <c r="A6" s="563"/>
      <c r="B6" s="309"/>
      <c r="C6" s="310"/>
      <c r="D6" s="308"/>
      <c r="E6" s="309"/>
      <c r="F6" s="310"/>
      <c r="G6" s="300"/>
      <c r="H6" s="308"/>
      <c r="I6" s="565"/>
    </row>
    <row r="7" spans="1:9">
      <c r="A7" s="57" t="s">
        <v>52</v>
      </c>
      <c r="B7" s="43"/>
      <c r="C7" s="44"/>
      <c r="D7" s="59" t="s">
        <v>60</v>
      </c>
      <c r="E7" s="43" t="s">
        <v>61</v>
      </c>
      <c r="F7" s="44"/>
      <c r="G7" s="530" t="s">
        <v>53</v>
      </c>
      <c r="H7" s="522"/>
      <c r="I7" s="531"/>
    </row>
    <row r="8" spans="1:9">
      <c r="A8" s="58"/>
      <c r="B8" s="50"/>
      <c r="C8" s="51"/>
      <c r="D8" s="60"/>
      <c r="E8" s="50"/>
      <c r="F8" s="51"/>
      <c r="G8" s="284" t="str">
        <f>IF(POMOC!B14="Dovetail&amp;Pin","Jaskółka + Frezowany nit",IF(POMOC!B14="Dovetail&amp;Pin&amp;CenterBox","Jaskółka + Frezowany nit
(środek półfabrykatu)",IF(POMOC!B14="Dovetail&amp;PinWelding","Jaskółka + Zgrzewany nit",IF(POMOC!B14="Grip&amp;Pin","Grip + Frezowany nit",IF(POMOC!B14="Grip&amp;PinWelding","Grip + Zgrzewany nit","Niestandardowe")))))</f>
        <v>Grip + Zgrzewany nit</v>
      </c>
      <c r="H8" s="285"/>
      <c r="I8" s="542"/>
    </row>
    <row r="9" spans="1:9" ht="18" thickBot="1">
      <c r="A9" s="544" t="str">
        <f>IF(POMOC!B12="RTBFixedBlade","RTB Kierownicza",IF(POMOC!B12="RTBMovingBlade","RTB Wirnikowa",IF(POMOC!B12="ITBMovingBlade","ITB Wirnikowa","ITB Kierownicza")))&amp;" "&amp;POMOC!B15</f>
        <v>RTB Wirnikowa 8000</v>
      </c>
      <c r="B9" s="545"/>
      <c r="C9" s="546"/>
      <c r="D9" s="61">
        <f>POMOC!B3</f>
        <v>1</v>
      </c>
      <c r="E9" s="52" t="str">
        <f>IF(POMOC!B2="LEFT","Lewa","Prawa")</f>
        <v>Prawa</v>
      </c>
      <c r="F9" s="53"/>
      <c r="G9" s="287"/>
      <c r="H9" s="288"/>
      <c r="I9" s="543"/>
    </row>
    <row r="10" spans="1:9">
      <c r="A10" s="521"/>
      <c r="B10" s="522"/>
      <c r="C10" s="522"/>
      <c r="D10" s="522"/>
      <c r="E10" s="522"/>
      <c r="F10" s="523"/>
      <c r="G10" s="530" t="s">
        <v>54</v>
      </c>
      <c r="H10" s="522"/>
      <c r="I10" s="531"/>
    </row>
    <row r="11" spans="1:9">
      <c r="A11" s="524"/>
      <c r="B11" s="525"/>
      <c r="C11" s="525"/>
      <c r="D11" s="525"/>
      <c r="E11" s="525"/>
      <c r="F11" s="526"/>
      <c r="G11" s="278" t="str">
        <f>POMOC!B4</f>
        <v>IMR-006591-STRH151141</v>
      </c>
      <c r="H11" s="279"/>
      <c r="I11" s="532"/>
    </row>
    <row r="12" spans="1:9" ht="13.8" thickBot="1">
      <c r="A12" s="527"/>
      <c r="B12" s="528"/>
      <c r="C12" s="528"/>
      <c r="D12" s="528"/>
      <c r="E12" s="528"/>
      <c r="F12" s="529"/>
      <c r="G12" s="281"/>
      <c r="H12" s="282"/>
      <c r="I12" s="533"/>
    </row>
    <row r="13" spans="1:9">
      <c r="A13" s="534" t="s">
        <v>55</v>
      </c>
      <c r="B13" s="535"/>
      <c r="C13" s="535"/>
      <c r="D13" s="535"/>
      <c r="E13" s="535"/>
      <c r="F13" s="535"/>
      <c r="G13" s="535"/>
      <c r="H13" s="535"/>
      <c r="I13" s="536"/>
    </row>
    <row r="14" spans="1:9" ht="13.8" thickBot="1">
      <c r="A14" s="537"/>
      <c r="B14" s="538"/>
      <c r="C14" s="538"/>
      <c r="D14" s="538"/>
      <c r="E14" s="538"/>
      <c r="F14" s="538"/>
      <c r="G14" s="538"/>
      <c r="H14" s="538"/>
      <c r="I14" s="539"/>
    </row>
    <row r="15" spans="1:9" ht="22.8">
      <c r="A15" s="93"/>
      <c r="B15" s="94"/>
      <c r="C15" s="95"/>
      <c r="D15" s="333" t="str">
        <f>IF(POMOC!B12="RTBFixedBlade","UWAGA! Dla poniższych narzedzi wpisać Rp-Rn, gdzie Rp-promien pomierzony, Rn promien nominalny","")</f>
        <v/>
      </c>
      <c r="E15" s="334"/>
      <c r="F15" s="334"/>
      <c r="G15" s="335"/>
      <c r="H15" s="522" t="s">
        <v>59</v>
      </c>
      <c r="I15" s="531"/>
    </row>
    <row r="16" spans="1:9" ht="21" thickBot="1">
      <c r="A16" s="96"/>
      <c r="B16" s="91"/>
      <c r="C16" s="97"/>
      <c r="D16" s="336"/>
      <c r="E16" s="337"/>
      <c r="F16" s="337"/>
      <c r="G16" s="338"/>
      <c r="H16" s="540">
        <f>POMOC!B11</f>
        <v>0</v>
      </c>
      <c r="I16" s="541"/>
    </row>
    <row r="17" spans="1:9" ht="20.399999999999999">
      <c r="A17" s="96"/>
      <c r="B17" s="91"/>
      <c r="C17" s="97"/>
      <c r="D17" s="336"/>
      <c r="E17" s="337"/>
      <c r="F17" s="337"/>
      <c r="G17" s="338"/>
      <c r="H17" s="55"/>
      <c r="I17" s="56"/>
    </row>
    <row r="18" spans="1:9" ht="21" thickBot="1">
      <c r="A18" s="96"/>
      <c r="B18" s="91"/>
      <c r="C18" s="97"/>
      <c r="D18" s="339"/>
      <c r="E18" s="340"/>
      <c r="F18" s="340"/>
      <c r="G18" s="341"/>
      <c r="H18" s="55"/>
      <c r="I18" s="56"/>
    </row>
    <row r="19" spans="1:9" ht="23.4" thickBot="1">
      <c r="A19" s="98"/>
      <c r="B19" s="99"/>
      <c r="C19" s="100"/>
      <c r="D19" s="90">
        <v>941253</v>
      </c>
      <c r="E19" s="90">
        <v>941059</v>
      </c>
      <c r="F19" s="90">
        <v>940959</v>
      </c>
      <c r="G19" s="101">
        <v>941254</v>
      </c>
      <c r="H19" s="46"/>
      <c r="I19" s="47"/>
    </row>
    <row r="20" spans="1:9" ht="22.5" customHeight="1" thickBot="1">
      <c r="A20" s="96"/>
      <c r="B20" s="91"/>
      <c r="C20" s="97"/>
      <c r="D20" s="90">
        <v>941057</v>
      </c>
      <c r="E20" s="90">
        <v>941058</v>
      </c>
      <c r="F20" s="90">
        <v>941059</v>
      </c>
      <c r="G20" s="101"/>
      <c r="H20" s="46"/>
      <c r="I20" s="47"/>
    </row>
    <row r="21" spans="1:9" ht="20.399999999999999">
      <c r="A21" s="96"/>
      <c r="B21" s="91"/>
      <c r="C21" s="91"/>
      <c r="D21" s="91"/>
      <c r="E21" s="92"/>
      <c r="F21" s="92"/>
      <c r="G21" s="92"/>
      <c r="H21" s="46"/>
      <c r="I21" s="47"/>
    </row>
    <row r="22" spans="1:9" ht="20.399999999999999">
      <c r="A22" s="96"/>
      <c r="B22" s="91"/>
      <c r="C22" s="91"/>
      <c r="D22" s="91"/>
      <c r="E22" s="92"/>
      <c r="F22" s="92"/>
      <c r="G22" s="92"/>
      <c r="H22" s="46"/>
      <c r="I22" s="47"/>
    </row>
    <row r="23" spans="1:9">
      <c r="A23" s="45"/>
      <c r="B23" s="46"/>
      <c r="C23" s="46"/>
      <c r="D23" s="46"/>
      <c r="E23" s="46"/>
      <c r="F23" s="46"/>
      <c r="G23" s="46"/>
      <c r="H23" s="46"/>
      <c r="I23" s="47"/>
    </row>
    <row r="24" spans="1:9">
      <c r="A24" s="45"/>
      <c r="B24" s="46"/>
      <c r="C24" s="46"/>
      <c r="D24" s="46"/>
      <c r="E24" s="46"/>
      <c r="F24" s="46"/>
      <c r="G24" s="46"/>
      <c r="H24" s="46"/>
      <c r="I24" s="47"/>
    </row>
    <row r="25" spans="1:9">
      <c r="A25" s="45"/>
      <c r="B25" s="46"/>
      <c r="C25" s="46"/>
      <c r="D25" s="46"/>
      <c r="E25" s="46"/>
      <c r="F25" s="46"/>
      <c r="G25" s="46"/>
      <c r="H25" s="46"/>
      <c r="I25" s="47"/>
    </row>
    <row r="26" spans="1:9">
      <c r="A26" s="45"/>
      <c r="B26" s="46"/>
      <c r="C26" s="46"/>
      <c r="D26" s="46"/>
      <c r="E26" s="46"/>
      <c r="F26" s="46"/>
      <c r="G26" s="46"/>
      <c r="H26" s="46"/>
      <c r="I26" s="47"/>
    </row>
    <row r="27" spans="1:9">
      <c r="A27" s="45"/>
      <c r="B27" s="46"/>
      <c r="C27" s="46"/>
      <c r="D27" s="46"/>
      <c r="E27" s="46"/>
      <c r="F27" s="46"/>
      <c r="G27" s="46"/>
      <c r="H27" s="46"/>
      <c r="I27" s="47"/>
    </row>
    <row r="28" spans="1:9">
      <c r="A28" s="45"/>
      <c r="B28" s="46"/>
      <c r="C28" s="46"/>
      <c r="D28" s="46"/>
      <c r="E28" s="46"/>
      <c r="F28" s="46"/>
      <c r="G28" s="46"/>
      <c r="H28" s="46"/>
      <c r="I28" s="47"/>
    </row>
    <row r="29" spans="1:9">
      <c r="A29" s="45"/>
      <c r="B29" s="46"/>
      <c r="C29" s="46"/>
      <c r="D29" s="46"/>
      <c r="E29" s="46"/>
      <c r="F29" s="46"/>
      <c r="G29" s="46"/>
      <c r="H29" s="46"/>
      <c r="I29" s="47"/>
    </row>
    <row r="30" spans="1:9">
      <c r="A30" s="45"/>
      <c r="B30" s="46"/>
      <c r="C30" s="46"/>
      <c r="D30" s="46"/>
      <c r="E30" s="46"/>
      <c r="F30" s="46"/>
      <c r="G30" s="46"/>
      <c r="H30" s="46"/>
      <c r="I30" s="47"/>
    </row>
    <row r="31" spans="1:9">
      <c r="A31" s="45"/>
      <c r="B31" s="46"/>
      <c r="C31" s="46"/>
      <c r="D31" s="46"/>
      <c r="E31" s="46"/>
      <c r="F31" s="46"/>
      <c r="G31" s="46"/>
      <c r="H31" s="46"/>
      <c r="I31" s="47"/>
    </row>
    <row r="32" spans="1:9">
      <c r="A32" s="45"/>
      <c r="B32" s="46"/>
      <c r="C32" s="46"/>
      <c r="D32" s="46"/>
      <c r="E32" s="46"/>
      <c r="F32" s="46"/>
      <c r="G32" s="46"/>
      <c r="H32" s="46"/>
      <c r="I32" s="47"/>
    </row>
    <row r="33" spans="1:9">
      <c r="A33" s="45"/>
      <c r="B33" s="46"/>
      <c r="C33" s="46"/>
      <c r="D33" s="46"/>
      <c r="E33" s="46"/>
      <c r="F33" s="46"/>
      <c r="G33" s="46"/>
      <c r="H33" s="46"/>
      <c r="I33" s="47"/>
    </row>
    <row r="34" spans="1:9">
      <c r="A34" s="45"/>
      <c r="B34" s="46"/>
      <c r="C34" s="46"/>
      <c r="D34" s="46"/>
      <c r="E34" s="46"/>
      <c r="F34" s="46"/>
      <c r="G34" s="46"/>
      <c r="H34" s="46"/>
      <c r="I34" s="47"/>
    </row>
    <row r="35" spans="1:9">
      <c r="A35" s="45"/>
      <c r="B35" s="46"/>
      <c r="C35" s="46"/>
      <c r="D35" s="46"/>
      <c r="E35" s="46"/>
      <c r="F35" s="46"/>
      <c r="G35" s="46"/>
      <c r="H35" s="46"/>
      <c r="I35" s="47"/>
    </row>
    <row r="36" spans="1:9">
      <c r="A36" s="45"/>
      <c r="B36" s="46"/>
      <c r="C36" s="46"/>
      <c r="D36" s="46"/>
      <c r="E36" s="46"/>
      <c r="F36" s="46"/>
      <c r="G36" s="46"/>
      <c r="H36" s="46"/>
      <c r="I36" s="47"/>
    </row>
    <row r="37" spans="1:9">
      <c r="A37" s="45"/>
      <c r="B37" s="46"/>
      <c r="C37" s="46"/>
      <c r="D37" s="46"/>
      <c r="E37" s="46"/>
      <c r="F37" s="46"/>
      <c r="G37" s="46"/>
      <c r="H37" s="46"/>
      <c r="I37" s="47"/>
    </row>
    <row r="38" spans="1:9">
      <c r="A38" s="45"/>
      <c r="B38" s="46"/>
      <c r="C38" s="46"/>
      <c r="D38" s="46"/>
      <c r="E38" s="46"/>
      <c r="F38" s="46"/>
      <c r="G38" s="46"/>
      <c r="H38" s="46"/>
      <c r="I38" s="47"/>
    </row>
    <row r="39" spans="1:9">
      <c r="A39" s="45"/>
      <c r="B39" s="46"/>
      <c r="C39" s="46"/>
      <c r="D39" s="46"/>
      <c r="E39" s="46"/>
      <c r="F39" s="46"/>
      <c r="G39" s="46"/>
      <c r="H39" s="46"/>
      <c r="I39" s="47"/>
    </row>
    <row r="40" spans="1:9">
      <c r="A40" s="45"/>
      <c r="B40" s="46"/>
      <c r="C40" s="46"/>
      <c r="D40" s="46"/>
      <c r="E40" s="46"/>
      <c r="F40" s="46"/>
      <c r="G40" s="46"/>
      <c r="H40" s="46"/>
      <c r="I40" s="47"/>
    </row>
    <row r="41" spans="1:9">
      <c r="A41" s="45"/>
      <c r="B41" s="46"/>
      <c r="C41" s="46"/>
      <c r="D41" s="46"/>
      <c r="E41" s="46"/>
      <c r="F41" s="46"/>
      <c r="G41" s="46"/>
      <c r="H41" s="46"/>
      <c r="I41" s="47"/>
    </row>
    <row r="42" spans="1:9">
      <c r="A42" s="45"/>
      <c r="B42" s="46"/>
      <c r="C42" s="46"/>
      <c r="D42" s="46"/>
      <c r="E42" s="46"/>
      <c r="F42" s="46"/>
      <c r="G42" s="46"/>
      <c r="H42" s="46"/>
      <c r="I42" s="47"/>
    </row>
    <row r="43" spans="1:9">
      <c r="A43" s="45"/>
      <c r="B43" s="46"/>
      <c r="C43" s="46"/>
      <c r="D43" s="46"/>
      <c r="E43" s="46"/>
      <c r="F43" s="46"/>
      <c r="G43" s="46"/>
      <c r="H43" s="46"/>
      <c r="I43" s="47"/>
    </row>
    <row r="44" spans="1:9">
      <c r="A44" s="45"/>
      <c r="B44" s="46"/>
      <c r="C44" s="46"/>
      <c r="D44" s="46"/>
      <c r="E44" s="46"/>
      <c r="F44" s="46"/>
      <c r="G44" s="46"/>
      <c r="H44" s="46"/>
      <c r="I44" s="47"/>
    </row>
    <row r="45" spans="1:9">
      <c r="A45" s="45"/>
      <c r="B45" s="46"/>
      <c r="C45" s="46"/>
      <c r="D45" s="46"/>
      <c r="E45" s="46"/>
      <c r="F45" s="46"/>
      <c r="G45" s="46"/>
      <c r="H45" s="46"/>
      <c r="I45" s="47"/>
    </row>
    <row r="46" spans="1:9">
      <c r="A46" s="45"/>
      <c r="B46" s="46"/>
      <c r="C46" s="46"/>
      <c r="D46" s="46"/>
      <c r="E46" s="46"/>
      <c r="F46" s="46"/>
      <c r="G46" s="46"/>
      <c r="H46" s="46"/>
      <c r="I46" s="47"/>
    </row>
    <row r="47" spans="1:9">
      <c r="A47" s="45"/>
      <c r="B47" s="46"/>
      <c r="C47" s="46"/>
      <c r="D47" s="46"/>
      <c r="E47" s="46"/>
      <c r="F47" s="46"/>
      <c r="G47" s="46"/>
      <c r="H47" s="46"/>
      <c r="I47" s="47"/>
    </row>
    <row r="48" spans="1:9">
      <c r="A48" s="45"/>
      <c r="B48" s="46"/>
      <c r="C48" s="46"/>
      <c r="D48" s="46"/>
      <c r="E48" s="46"/>
      <c r="F48" s="46"/>
      <c r="G48" s="46"/>
      <c r="H48" s="46"/>
      <c r="I48" s="47"/>
    </row>
    <row r="49" spans="1:9" ht="13.8" thickBot="1">
      <c r="A49" s="45"/>
      <c r="B49" s="46"/>
      <c r="C49" s="46"/>
      <c r="D49" s="46"/>
      <c r="E49" s="46"/>
      <c r="F49" s="46"/>
      <c r="G49" s="46"/>
      <c r="H49" s="46"/>
      <c r="I49" s="47"/>
    </row>
    <row r="50" spans="1:9">
      <c r="A50" s="70" t="s">
        <v>56</v>
      </c>
      <c r="B50" s="62" t="str">
        <f>POMOC!B6</f>
        <v>Mariusz Malec</v>
      </c>
      <c r="C50" s="62"/>
      <c r="D50" s="62"/>
      <c r="E50" s="66"/>
      <c r="F50" s="71" t="s">
        <v>57</v>
      </c>
      <c r="G50" s="62" t="str">
        <f>POMOC!B7</f>
        <v>Mariusz Malec</v>
      </c>
      <c r="H50" s="62"/>
      <c r="I50" s="67"/>
    </row>
    <row r="51" spans="1:9">
      <c r="A51" s="72"/>
      <c r="B51" s="50"/>
      <c r="C51" s="50"/>
      <c r="D51" s="50"/>
      <c r="E51" s="51"/>
      <c r="F51" s="25"/>
      <c r="G51" s="50"/>
      <c r="H51" s="50"/>
      <c r="I51" s="68"/>
    </row>
    <row r="52" spans="1:9" ht="13.8" thickBot="1">
      <c r="A52" s="69" t="s">
        <v>0</v>
      </c>
      <c r="B52" s="63">
        <f ca="1">POMOC!B8</f>
        <v>44742</v>
      </c>
      <c r="C52" s="29" t="s">
        <v>58</v>
      </c>
      <c r="D52" s="64"/>
      <c r="E52" s="53"/>
      <c r="F52" s="29" t="s">
        <v>0</v>
      </c>
      <c r="G52" s="63">
        <f ca="1">POMOC!B8</f>
        <v>44742</v>
      </c>
      <c r="H52" s="29" t="s">
        <v>58</v>
      </c>
      <c r="I52" s="65"/>
    </row>
  </sheetData>
  <customSheetViews>
    <customSheetView guid="{41C149A7-898D-4942-9D39-7B19CD58B51D}" scale="70" state="hidden">
      <selection sqref="A1:B3"/>
    </customSheetView>
  </customSheetViews>
  <mergeCells count="21">
    <mergeCell ref="G8:I9"/>
    <mergeCell ref="A9:C9"/>
    <mergeCell ref="A1:B3"/>
    <mergeCell ref="C1:E3"/>
    <mergeCell ref="H2:H3"/>
    <mergeCell ref="I2:I3"/>
    <mergeCell ref="A4:C4"/>
    <mergeCell ref="D4:F4"/>
    <mergeCell ref="H4:I4"/>
    <mergeCell ref="A5:C6"/>
    <mergeCell ref="D5:F6"/>
    <mergeCell ref="G5:G6"/>
    <mergeCell ref="H5:I6"/>
    <mergeCell ref="G7:I7"/>
    <mergeCell ref="A10:F12"/>
    <mergeCell ref="G10:I10"/>
    <mergeCell ref="G11:I12"/>
    <mergeCell ref="A13:I14"/>
    <mergeCell ref="D15:G18"/>
    <mergeCell ref="H15:I15"/>
    <mergeCell ref="H16:I16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52"/>
  <sheetViews>
    <sheetView zoomScale="70" zoomScaleNormal="70" workbookViewId="0">
      <selection sqref="A1:B3"/>
    </sheetView>
  </sheetViews>
  <sheetFormatPr defaultRowHeight="13.2"/>
  <cols>
    <col min="2" max="2" width="10.109375" bestFit="1" customWidth="1"/>
    <col min="3" max="3" width="12.88671875" customWidth="1"/>
    <col min="6" max="6" width="10.109375" customWidth="1"/>
    <col min="7" max="7" width="10.109375" bestFit="1" customWidth="1"/>
    <col min="9" max="9" width="19" customWidth="1"/>
  </cols>
  <sheetData>
    <row r="1" spans="1:9" ht="13.8" thickTop="1">
      <c r="A1" s="547"/>
      <c r="B1" s="548"/>
      <c r="C1" s="551" t="s">
        <v>41</v>
      </c>
      <c r="D1" s="552"/>
      <c r="E1" s="553"/>
      <c r="F1" s="37" t="s">
        <v>42</v>
      </c>
      <c r="G1" s="89" t="s">
        <v>43</v>
      </c>
      <c r="H1" s="38" t="s">
        <v>44</v>
      </c>
      <c r="I1" s="39" t="s">
        <v>45</v>
      </c>
    </row>
    <row r="2" spans="1:9">
      <c r="A2" s="549"/>
      <c r="B2" s="293"/>
      <c r="C2" s="554"/>
      <c r="D2" s="555"/>
      <c r="E2" s="556"/>
      <c r="F2" s="87"/>
      <c r="G2" s="88"/>
      <c r="H2" s="303" t="s">
        <v>46</v>
      </c>
      <c r="I2" s="560" t="s">
        <v>47</v>
      </c>
    </row>
    <row r="3" spans="1:9" ht="13.8" thickBot="1">
      <c r="A3" s="550"/>
      <c r="B3" s="295"/>
      <c r="C3" s="557"/>
      <c r="D3" s="558"/>
      <c r="E3" s="559"/>
      <c r="F3" s="41" t="s">
        <v>77</v>
      </c>
      <c r="G3" s="102" t="s">
        <v>76</v>
      </c>
      <c r="H3" s="304"/>
      <c r="I3" s="561"/>
    </row>
    <row r="4" spans="1:9">
      <c r="A4" s="521" t="s">
        <v>48</v>
      </c>
      <c r="B4" s="522"/>
      <c r="C4" s="523"/>
      <c r="D4" s="530" t="s">
        <v>49</v>
      </c>
      <c r="E4" s="522"/>
      <c r="F4" s="523"/>
      <c r="G4" s="42" t="s">
        <v>50</v>
      </c>
      <c r="H4" s="530" t="s">
        <v>51</v>
      </c>
      <c r="I4" s="531"/>
    </row>
    <row r="5" spans="1:9">
      <c r="A5" s="562" t="str">
        <f>POMOC!B10</f>
        <v>137T000339P1001</v>
      </c>
      <c r="B5" s="306"/>
      <c r="C5" s="307"/>
      <c r="D5" s="305" t="str">
        <f>POMOC!B1</f>
        <v>COCKBURN</v>
      </c>
      <c r="E5" s="306"/>
      <c r="F5" s="307"/>
      <c r="G5" s="299" t="str">
        <f>POMOC!B9</f>
        <v>ST12T</v>
      </c>
      <c r="H5" s="305" t="str">
        <f>POMOC!B13</f>
        <v>A888888</v>
      </c>
      <c r="I5" s="564"/>
    </row>
    <row r="6" spans="1:9" ht="13.8" thickBot="1">
      <c r="A6" s="563"/>
      <c r="B6" s="309"/>
      <c r="C6" s="310"/>
      <c r="D6" s="308"/>
      <c r="E6" s="309"/>
      <c r="F6" s="310"/>
      <c r="G6" s="300"/>
      <c r="H6" s="308"/>
      <c r="I6" s="565"/>
    </row>
    <row r="7" spans="1:9">
      <c r="A7" s="57" t="s">
        <v>52</v>
      </c>
      <c r="B7" s="43"/>
      <c r="C7" s="44"/>
      <c r="D7" s="59" t="s">
        <v>60</v>
      </c>
      <c r="E7" s="43" t="s">
        <v>61</v>
      </c>
      <c r="F7" s="44"/>
      <c r="G7" s="530" t="s">
        <v>53</v>
      </c>
      <c r="H7" s="522"/>
      <c r="I7" s="531"/>
    </row>
    <row r="8" spans="1:9">
      <c r="A8" s="58"/>
      <c r="B8" s="50"/>
      <c r="C8" s="51"/>
      <c r="D8" s="60"/>
      <c r="E8" s="50"/>
      <c r="F8" s="51"/>
      <c r="G8" s="284" t="str">
        <f>IF(POMOC!B14="Dovetail&amp;Pin","Jaskółka + Frezowany nit",IF(POMOC!B14="Dovetail&amp;Pin&amp;CenterBox","Jaskółka + Frezowany nit
(środek półfabrykatu)",IF(POMOC!B14="Dovetail&amp;PinWelding","Jaskółka + Zgrzewany nit",IF(POMOC!B14="Grip&amp;Pin","Grip + Frezowany nit",IF(POMOC!B14="Grip&amp;PinWelding","Grip + Zgrzewany nit","Niestandardowe")))))</f>
        <v>Grip + Zgrzewany nit</v>
      </c>
      <c r="H8" s="285"/>
      <c r="I8" s="542"/>
    </row>
    <row r="9" spans="1:9" ht="18" thickBot="1">
      <c r="A9" s="544" t="str">
        <f>IF(POMOC!B12="RTBFixedBlade","RTB Kierownicza",IF(POMOC!B12="RTBMovingBlade","RTB Wirnikowa",IF(POMOC!B12="ITBMovingBlade","ITB Wirnikowa","ITB Kierownicza")))&amp;" "&amp;POMOC!B15</f>
        <v>RTB Wirnikowa 8000</v>
      </c>
      <c r="B9" s="545"/>
      <c r="C9" s="546"/>
      <c r="D9" s="61">
        <f>POMOC!B3</f>
        <v>1</v>
      </c>
      <c r="E9" s="52" t="str">
        <f>IF(POMOC!B2="LEFT","Lewa","Prawa")</f>
        <v>Prawa</v>
      </c>
      <c r="F9" s="53"/>
      <c r="G9" s="287"/>
      <c r="H9" s="288"/>
      <c r="I9" s="543"/>
    </row>
    <row r="10" spans="1:9">
      <c r="A10" s="521"/>
      <c r="B10" s="522"/>
      <c r="C10" s="522"/>
      <c r="D10" s="522"/>
      <c r="E10" s="522"/>
      <c r="F10" s="523"/>
      <c r="G10" s="530" t="s">
        <v>54</v>
      </c>
      <c r="H10" s="522"/>
      <c r="I10" s="531"/>
    </row>
    <row r="11" spans="1:9">
      <c r="A11" s="524"/>
      <c r="B11" s="525"/>
      <c r="C11" s="525"/>
      <c r="D11" s="525"/>
      <c r="E11" s="525"/>
      <c r="F11" s="526"/>
      <c r="G11" s="278" t="str">
        <f>POMOC!B4</f>
        <v>IMR-006591-STRH151141</v>
      </c>
      <c r="H11" s="279"/>
      <c r="I11" s="532"/>
    </row>
    <row r="12" spans="1:9" ht="13.8" thickBot="1">
      <c r="A12" s="527"/>
      <c r="B12" s="528"/>
      <c r="C12" s="528"/>
      <c r="D12" s="528"/>
      <c r="E12" s="528"/>
      <c r="F12" s="529"/>
      <c r="G12" s="281"/>
      <c r="H12" s="282"/>
      <c r="I12" s="533"/>
    </row>
    <row r="13" spans="1:9">
      <c r="A13" s="534" t="s">
        <v>55</v>
      </c>
      <c r="B13" s="535"/>
      <c r="C13" s="535"/>
      <c r="D13" s="535"/>
      <c r="E13" s="535"/>
      <c r="F13" s="535"/>
      <c r="G13" s="535"/>
      <c r="H13" s="535"/>
      <c r="I13" s="536"/>
    </row>
    <row r="14" spans="1:9" ht="13.8" thickBot="1">
      <c r="A14" s="537"/>
      <c r="B14" s="538"/>
      <c r="C14" s="538"/>
      <c r="D14" s="538"/>
      <c r="E14" s="538"/>
      <c r="F14" s="538"/>
      <c r="G14" s="538"/>
      <c r="H14" s="538"/>
      <c r="I14" s="539"/>
    </row>
    <row r="15" spans="1:9" ht="22.8">
      <c r="A15" s="93"/>
      <c r="B15" s="94"/>
      <c r="C15" s="95"/>
      <c r="D15" s="333" t="str">
        <f>IF(POMOC!B12="RTBFixedBlade","UWAGA! Dla poniższych narzedzi wpisać Rp-Rn, gdzie Rp-promien pomierzony, Rn promien nominalny","")</f>
        <v/>
      </c>
      <c r="E15" s="334"/>
      <c r="F15" s="334"/>
      <c r="G15" s="335"/>
      <c r="H15" s="522" t="s">
        <v>59</v>
      </c>
      <c r="I15" s="531"/>
    </row>
    <row r="16" spans="1:9" ht="21" thickBot="1">
      <c r="A16" s="96"/>
      <c r="B16" s="91"/>
      <c r="C16" s="97"/>
      <c r="D16" s="336"/>
      <c r="E16" s="337"/>
      <c r="F16" s="337"/>
      <c r="G16" s="338"/>
      <c r="H16" s="540">
        <f>POMOC!B11</f>
        <v>0</v>
      </c>
      <c r="I16" s="541"/>
    </row>
    <row r="17" spans="1:9" ht="20.399999999999999">
      <c r="A17" s="96"/>
      <c r="B17" s="91"/>
      <c r="C17" s="97"/>
      <c r="D17" s="336"/>
      <c r="E17" s="337"/>
      <c r="F17" s="337"/>
      <c r="G17" s="338"/>
      <c r="H17" s="55"/>
      <c r="I17" s="56"/>
    </row>
    <row r="18" spans="1:9" ht="21" thickBot="1">
      <c r="A18" s="96"/>
      <c r="B18" s="91"/>
      <c r="C18" s="97"/>
      <c r="D18" s="339"/>
      <c r="E18" s="340"/>
      <c r="F18" s="340"/>
      <c r="G18" s="341"/>
      <c r="H18" s="55"/>
      <c r="I18" s="56"/>
    </row>
    <row r="19" spans="1:9" ht="23.4" thickBot="1">
      <c r="A19" s="98"/>
      <c r="B19" s="99"/>
      <c r="C19" s="100"/>
      <c r="D19" s="90">
        <v>941253</v>
      </c>
      <c r="E19" s="90">
        <v>941059</v>
      </c>
      <c r="F19" s="90">
        <v>940959</v>
      </c>
      <c r="G19" s="101">
        <v>941254</v>
      </c>
      <c r="H19" s="46"/>
      <c r="I19" s="47"/>
    </row>
    <row r="20" spans="1:9" ht="22.5" customHeight="1" thickBot="1">
      <c r="A20" s="96"/>
      <c r="B20" s="91"/>
      <c r="C20" s="97"/>
      <c r="D20" s="90">
        <v>941057</v>
      </c>
      <c r="E20" s="90">
        <v>941058</v>
      </c>
      <c r="F20" s="90">
        <v>941059</v>
      </c>
      <c r="G20" s="101"/>
      <c r="H20" s="46"/>
      <c r="I20" s="47"/>
    </row>
    <row r="21" spans="1:9" ht="20.399999999999999">
      <c r="A21" s="96"/>
      <c r="B21" s="91"/>
      <c r="C21" s="91"/>
      <c r="D21" s="91"/>
      <c r="E21" s="92"/>
      <c r="F21" s="92"/>
      <c r="G21" s="92"/>
      <c r="H21" s="46"/>
      <c r="I21" s="47"/>
    </row>
    <row r="22" spans="1:9" ht="20.399999999999999">
      <c r="A22" s="96"/>
      <c r="B22" s="91"/>
      <c r="C22" s="91"/>
      <c r="D22" s="91"/>
      <c r="E22" s="92"/>
      <c r="F22" s="92"/>
      <c r="G22" s="92"/>
      <c r="H22" s="46"/>
      <c r="I22" s="47"/>
    </row>
    <row r="23" spans="1:9">
      <c r="A23" s="45"/>
      <c r="B23" s="46"/>
      <c r="C23" s="46"/>
      <c r="D23" s="46"/>
      <c r="E23" s="46"/>
      <c r="F23" s="46"/>
      <c r="G23" s="46"/>
      <c r="H23" s="46"/>
      <c r="I23" s="47"/>
    </row>
    <row r="24" spans="1:9">
      <c r="A24" s="45"/>
      <c r="B24" s="46"/>
      <c r="C24" s="46"/>
      <c r="D24" s="46"/>
      <c r="E24" s="46"/>
      <c r="F24" s="46"/>
      <c r="G24" s="46"/>
      <c r="H24" s="46"/>
      <c r="I24" s="47"/>
    </row>
    <row r="25" spans="1:9">
      <c r="A25" s="45"/>
      <c r="B25" s="46"/>
      <c r="C25" s="46"/>
      <c r="D25" s="46"/>
      <c r="E25" s="46"/>
      <c r="F25" s="46"/>
      <c r="G25" s="46"/>
      <c r="H25" s="46"/>
      <c r="I25" s="47"/>
    </row>
    <row r="26" spans="1:9">
      <c r="A26" s="45"/>
      <c r="B26" s="46"/>
      <c r="C26" s="46"/>
      <c r="D26" s="46"/>
      <c r="E26" s="46"/>
      <c r="F26" s="46"/>
      <c r="G26" s="46"/>
      <c r="H26" s="46"/>
      <c r="I26" s="47"/>
    </row>
    <row r="27" spans="1:9">
      <c r="A27" s="45"/>
      <c r="B27" s="46"/>
      <c r="C27" s="46"/>
      <c r="D27" s="46"/>
      <c r="E27" s="46"/>
      <c r="F27" s="46"/>
      <c r="G27" s="46"/>
      <c r="H27" s="46"/>
      <c r="I27" s="47"/>
    </row>
    <row r="28" spans="1:9">
      <c r="A28" s="45"/>
      <c r="B28" s="46"/>
      <c r="C28" s="46"/>
      <c r="D28" s="46"/>
      <c r="E28" s="46"/>
      <c r="F28" s="46"/>
      <c r="G28" s="46"/>
      <c r="H28" s="46"/>
      <c r="I28" s="47"/>
    </row>
    <row r="29" spans="1:9">
      <c r="A29" s="45"/>
      <c r="B29" s="46"/>
      <c r="C29" s="46"/>
      <c r="D29" s="46"/>
      <c r="E29" s="46"/>
      <c r="F29" s="46"/>
      <c r="G29" s="46"/>
      <c r="H29" s="46"/>
      <c r="I29" s="47"/>
    </row>
    <row r="30" spans="1:9">
      <c r="A30" s="45"/>
      <c r="B30" s="46"/>
      <c r="C30" s="46"/>
      <c r="D30" s="46"/>
      <c r="E30" s="46"/>
      <c r="F30" s="46"/>
      <c r="G30" s="46"/>
      <c r="H30" s="46"/>
      <c r="I30" s="47"/>
    </row>
    <row r="31" spans="1:9">
      <c r="A31" s="45"/>
      <c r="B31" s="46"/>
      <c r="C31" s="46"/>
      <c r="D31" s="46"/>
      <c r="E31" s="46"/>
      <c r="F31" s="46"/>
      <c r="G31" s="46"/>
      <c r="H31" s="46"/>
      <c r="I31" s="47"/>
    </row>
    <row r="32" spans="1:9">
      <c r="A32" s="45"/>
      <c r="B32" s="46"/>
      <c r="C32" s="46"/>
      <c r="D32" s="46"/>
      <c r="E32" s="46"/>
      <c r="F32" s="46"/>
      <c r="G32" s="46"/>
      <c r="H32" s="46"/>
      <c r="I32" s="47"/>
    </row>
    <row r="33" spans="1:9">
      <c r="A33" s="45"/>
      <c r="B33" s="46"/>
      <c r="C33" s="46"/>
      <c r="D33" s="46"/>
      <c r="E33" s="46"/>
      <c r="F33" s="46"/>
      <c r="G33" s="46"/>
      <c r="H33" s="46"/>
      <c r="I33" s="47"/>
    </row>
    <row r="34" spans="1:9">
      <c r="A34" s="45"/>
      <c r="B34" s="46"/>
      <c r="C34" s="46"/>
      <c r="D34" s="46"/>
      <c r="E34" s="46"/>
      <c r="F34" s="46"/>
      <c r="G34" s="46"/>
      <c r="H34" s="46"/>
      <c r="I34" s="47"/>
    </row>
    <row r="35" spans="1:9">
      <c r="A35" s="45"/>
      <c r="B35" s="46"/>
      <c r="C35" s="46"/>
      <c r="D35" s="46"/>
      <c r="E35" s="46"/>
      <c r="F35" s="46"/>
      <c r="G35" s="46"/>
      <c r="H35" s="46"/>
      <c r="I35" s="47"/>
    </row>
    <row r="36" spans="1:9">
      <c r="A36" s="45"/>
      <c r="B36" s="46"/>
      <c r="C36" s="46"/>
      <c r="D36" s="46"/>
      <c r="E36" s="46"/>
      <c r="F36" s="46"/>
      <c r="G36" s="46"/>
      <c r="H36" s="46"/>
      <c r="I36" s="47"/>
    </row>
    <row r="37" spans="1:9">
      <c r="A37" s="45"/>
      <c r="B37" s="46"/>
      <c r="C37" s="46"/>
      <c r="D37" s="46"/>
      <c r="E37" s="46"/>
      <c r="F37" s="46"/>
      <c r="G37" s="46"/>
      <c r="H37" s="46"/>
      <c r="I37" s="47"/>
    </row>
    <row r="38" spans="1:9">
      <c r="A38" s="45"/>
      <c r="B38" s="46"/>
      <c r="C38" s="46"/>
      <c r="D38" s="46"/>
      <c r="E38" s="46"/>
      <c r="F38" s="46"/>
      <c r="G38" s="46"/>
      <c r="H38" s="46"/>
      <c r="I38" s="47"/>
    </row>
    <row r="39" spans="1:9">
      <c r="A39" s="45"/>
      <c r="B39" s="46"/>
      <c r="C39" s="46"/>
      <c r="D39" s="46"/>
      <c r="E39" s="46"/>
      <c r="F39" s="46"/>
      <c r="G39" s="46"/>
      <c r="H39" s="46"/>
      <c r="I39" s="47"/>
    </row>
    <row r="40" spans="1:9">
      <c r="A40" s="45"/>
      <c r="B40" s="46"/>
      <c r="C40" s="46"/>
      <c r="D40" s="46"/>
      <c r="E40" s="46"/>
      <c r="F40" s="46"/>
      <c r="G40" s="46"/>
      <c r="H40" s="46"/>
      <c r="I40" s="47"/>
    </row>
    <row r="41" spans="1:9">
      <c r="A41" s="45"/>
      <c r="B41" s="46"/>
      <c r="C41" s="46"/>
      <c r="D41" s="46"/>
      <c r="E41" s="46"/>
      <c r="F41" s="46"/>
      <c r="G41" s="46"/>
      <c r="H41" s="46"/>
      <c r="I41" s="47"/>
    </row>
    <row r="42" spans="1:9">
      <c r="A42" s="45"/>
      <c r="B42" s="46"/>
      <c r="C42" s="46"/>
      <c r="D42" s="46"/>
      <c r="E42" s="46"/>
      <c r="F42" s="46"/>
      <c r="G42" s="46"/>
      <c r="H42" s="46"/>
      <c r="I42" s="47"/>
    </row>
    <row r="43" spans="1:9">
      <c r="A43" s="45"/>
      <c r="B43" s="46"/>
      <c r="C43" s="46"/>
      <c r="D43" s="46"/>
      <c r="E43" s="46"/>
      <c r="F43" s="46"/>
      <c r="G43" s="46"/>
      <c r="H43" s="46"/>
      <c r="I43" s="47"/>
    </row>
    <row r="44" spans="1:9">
      <c r="A44" s="45"/>
      <c r="B44" s="46"/>
      <c r="C44" s="46"/>
      <c r="D44" s="46"/>
      <c r="E44" s="46"/>
      <c r="F44" s="46"/>
      <c r="G44" s="46"/>
      <c r="H44" s="46"/>
      <c r="I44" s="47"/>
    </row>
    <row r="45" spans="1:9">
      <c r="A45" s="45"/>
      <c r="B45" s="46"/>
      <c r="C45" s="46"/>
      <c r="D45" s="46"/>
      <c r="E45" s="46"/>
      <c r="F45" s="46"/>
      <c r="G45" s="46"/>
      <c r="H45" s="46"/>
      <c r="I45" s="47"/>
    </row>
    <row r="46" spans="1:9">
      <c r="A46" s="45"/>
      <c r="B46" s="46"/>
      <c r="C46" s="46"/>
      <c r="D46" s="46"/>
      <c r="E46" s="46"/>
      <c r="F46" s="46"/>
      <c r="G46" s="46"/>
      <c r="H46" s="46"/>
      <c r="I46" s="47"/>
    </row>
    <row r="47" spans="1:9">
      <c r="A47" s="45"/>
      <c r="B47" s="46"/>
      <c r="C47" s="46"/>
      <c r="D47" s="46"/>
      <c r="E47" s="46"/>
      <c r="F47" s="46"/>
      <c r="G47" s="46"/>
      <c r="H47" s="46"/>
      <c r="I47" s="47"/>
    </row>
    <row r="48" spans="1:9">
      <c r="A48" s="45"/>
      <c r="B48" s="46"/>
      <c r="C48" s="46"/>
      <c r="D48" s="46"/>
      <c r="E48" s="46"/>
      <c r="F48" s="46"/>
      <c r="G48" s="46"/>
      <c r="H48" s="46"/>
      <c r="I48" s="47"/>
    </row>
    <row r="49" spans="1:9" ht="13.8" thickBot="1">
      <c r="A49" s="45"/>
      <c r="B49" s="46"/>
      <c r="C49" s="46"/>
      <c r="D49" s="46"/>
      <c r="E49" s="46"/>
      <c r="F49" s="46"/>
      <c r="G49" s="46"/>
      <c r="H49" s="46"/>
      <c r="I49" s="47"/>
    </row>
    <row r="50" spans="1:9">
      <c r="A50" s="70" t="s">
        <v>56</v>
      </c>
      <c r="B50" s="62" t="str">
        <f>POMOC!B6</f>
        <v>Mariusz Malec</v>
      </c>
      <c r="C50" s="62"/>
      <c r="D50" s="62"/>
      <c r="E50" s="66"/>
      <c r="F50" s="71" t="s">
        <v>57</v>
      </c>
      <c r="G50" s="62" t="str">
        <f>POMOC!B7</f>
        <v>Mariusz Malec</v>
      </c>
      <c r="H50" s="62"/>
      <c r="I50" s="67"/>
    </row>
    <row r="51" spans="1:9">
      <c r="A51" s="72"/>
      <c r="B51" s="50"/>
      <c r="C51" s="50"/>
      <c r="D51" s="50"/>
      <c r="E51" s="51"/>
      <c r="F51" s="25"/>
      <c r="G51" s="50"/>
      <c r="H51" s="50"/>
      <c r="I51" s="68"/>
    </row>
    <row r="52" spans="1:9" ht="13.8" thickBot="1">
      <c r="A52" s="69" t="s">
        <v>0</v>
      </c>
      <c r="B52" s="63">
        <f ca="1">POMOC!B8</f>
        <v>44742</v>
      </c>
      <c r="C52" s="29" t="s">
        <v>58</v>
      </c>
      <c r="D52" s="64"/>
      <c r="E52" s="53"/>
      <c r="F52" s="29" t="s">
        <v>0</v>
      </c>
      <c r="G52" s="63">
        <f ca="1">POMOC!B8</f>
        <v>44742</v>
      </c>
      <c r="H52" s="29" t="s">
        <v>58</v>
      </c>
      <c r="I52" s="65"/>
    </row>
  </sheetData>
  <customSheetViews>
    <customSheetView guid="{41C149A7-898D-4942-9D39-7B19CD58B51D}" scale="70" state="hidden">
      <selection sqref="A1:B3"/>
    </customSheetView>
  </customSheetViews>
  <mergeCells count="21">
    <mergeCell ref="D5:F6"/>
    <mergeCell ref="G5:G6"/>
    <mergeCell ref="H5:I6"/>
    <mergeCell ref="G7:I7"/>
    <mergeCell ref="A1:B3"/>
    <mergeCell ref="C1:E3"/>
    <mergeCell ref="H2:H3"/>
    <mergeCell ref="I2:I3"/>
    <mergeCell ref="A4:C4"/>
    <mergeCell ref="D4:F4"/>
    <mergeCell ref="H4:I4"/>
    <mergeCell ref="A5:C6"/>
    <mergeCell ref="A13:I14"/>
    <mergeCell ref="D15:G18"/>
    <mergeCell ref="H15:I15"/>
    <mergeCell ref="H16:I16"/>
    <mergeCell ref="G8:I9"/>
    <mergeCell ref="A9:C9"/>
    <mergeCell ref="A10:F12"/>
    <mergeCell ref="G10:I10"/>
    <mergeCell ref="G11:I12"/>
  </mergeCells>
  <pageMargins left="0.25" right="0.25" top="0.25" bottom="0.2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I50"/>
  <sheetViews>
    <sheetView zoomScale="70" zoomScaleNormal="70" workbookViewId="0">
      <selection sqref="A1:B3"/>
    </sheetView>
  </sheetViews>
  <sheetFormatPr defaultRowHeight="13.2"/>
  <cols>
    <col min="2" max="2" width="10.109375" bestFit="1" customWidth="1"/>
    <col min="3" max="3" width="12.88671875" customWidth="1"/>
    <col min="6" max="6" width="10.109375" customWidth="1"/>
    <col min="7" max="7" width="10.109375" bestFit="1" customWidth="1"/>
    <col min="9" max="9" width="19" customWidth="1"/>
  </cols>
  <sheetData>
    <row r="1" spans="1:9" ht="13.8" thickTop="1">
      <c r="A1" s="547"/>
      <c r="B1" s="548"/>
      <c r="C1" s="551" t="s">
        <v>41</v>
      </c>
      <c r="D1" s="552"/>
      <c r="E1" s="553"/>
      <c r="F1" s="37" t="s">
        <v>42</v>
      </c>
      <c r="G1" s="73" t="s">
        <v>43</v>
      </c>
      <c r="H1" s="38" t="s">
        <v>44</v>
      </c>
      <c r="I1" s="39" t="s">
        <v>45</v>
      </c>
    </row>
    <row r="2" spans="1:9">
      <c r="A2" s="549"/>
      <c r="B2" s="293"/>
      <c r="C2" s="554"/>
      <c r="D2" s="555"/>
      <c r="E2" s="556"/>
      <c r="F2" s="40"/>
      <c r="G2" s="74"/>
      <c r="H2" s="303" t="s">
        <v>46</v>
      </c>
      <c r="I2" s="560" t="s">
        <v>47</v>
      </c>
    </row>
    <row r="3" spans="1:9" ht="13.8" thickBot="1">
      <c r="A3" s="550"/>
      <c r="B3" s="295"/>
      <c r="C3" s="557"/>
      <c r="D3" s="558"/>
      <c r="E3" s="559"/>
      <c r="F3" s="41" t="s">
        <v>78</v>
      </c>
      <c r="G3" s="54" t="s">
        <v>79</v>
      </c>
      <c r="H3" s="304"/>
      <c r="I3" s="561"/>
    </row>
    <row r="4" spans="1:9">
      <c r="A4" s="521" t="s">
        <v>48</v>
      </c>
      <c r="B4" s="522"/>
      <c r="C4" s="523"/>
      <c r="D4" s="530" t="s">
        <v>49</v>
      </c>
      <c r="E4" s="522"/>
      <c r="F4" s="523"/>
      <c r="G4" s="42" t="s">
        <v>50</v>
      </c>
      <c r="H4" s="530" t="s">
        <v>51</v>
      </c>
      <c r="I4" s="531"/>
    </row>
    <row r="5" spans="1:9">
      <c r="A5" s="562" t="str">
        <f>POMOC!B10</f>
        <v>137T000339P1001</v>
      </c>
      <c r="B5" s="306"/>
      <c r="C5" s="307"/>
      <c r="D5" s="305" t="str">
        <f>POMOC!B1</f>
        <v>COCKBURN</v>
      </c>
      <c r="E5" s="306"/>
      <c r="F5" s="307"/>
      <c r="G5" s="299" t="str">
        <f>POMOC!B9</f>
        <v>ST12T</v>
      </c>
      <c r="H5" s="305" t="str">
        <f>POMOC!B13</f>
        <v>A888888</v>
      </c>
      <c r="I5" s="564"/>
    </row>
    <row r="6" spans="1:9" ht="13.8" thickBot="1">
      <c r="A6" s="563"/>
      <c r="B6" s="309"/>
      <c r="C6" s="310"/>
      <c r="D6" s="308"/>
      <c r="E6" s="309"/>
      <c r="F6" s="310"/>
      <c r="G6" s="300"/>
      <c r="H6" s="308"/>
      <c r="I6" s="565"/>
    </row>
    <row r="7" spans="1:9">
      <c r="A7" s="57" t="s">
        <v>52</v>
      </c>
      <c r="B7" s="43"/>
      <c r="C7" s="44"/>
      <c r="D7" s="59" t="s">
        <v>60</v>
      </c>
      <c r="E7" s="43" t="s">
        <v>61</v>
      </c>
      <c r="F7" s="44"/>
      <c r="G7" s="530" t="s">
        <v>53</v>
      </c>
      <c r="H7" s="522"/>
      <c r="I7" s="531"/>
    </row>
    <row r="8" spans="1:9">
      <c r="A8" s="58"/>
      <c r="B8" s="50"/>
      <c r="C8" s="51"/>
      <c r="D8" s="60"/>
      <c r="E8" s="50"/>
      <c r="F8" s="51"/>
      <c r="G8" s="284" t="str">
        <f>IF(POMOC!B14="Dovetail&amp;Pin","Jaskółka + Frezowany nit",IF(POMOC!B14="Dovetail&amp;Pin&amp;CenterBox","Jaskółka + Frezowany nit
(środek półfabrykatu)",IF(POMOC!B14="Dovetail&amp;PinWelding","Jaskółka + Zgrzewany nit",IF(POMOC!B14="Grip&amp;Pin","Grip + Frezowany nit",IF(POMOC!B14="Grip&amp;PinWelding","Grip + Zgrzewany nit","Niestandardowe")))))</f>
        <v>Grip + Zgrzewany nit</v>
      </c>
      <c r="H8" s="285"/>
      <c r="I8" s="542"/>
    </row>
    <row r="9" spans="1:9" ht="24.75" customHeight="1" thickBot="1">
      <c r="A9" s="544" t="str">
        <f>IF(POMOC!B12="RTBFixedBlade","RTB Kierownicza",IF(POMOC!B12="RTBMovingBlade","RTB Wirnikowa",IF(POMOC!B12="ITBMovingBlade","ITB Wirnikowa","ITB Kierownicza")))&amp;" "&amp;POMOC!B15</f>
        <v>RTB Wirnikowa 8000</v>
      </c>
      <c r="B9" s="545"/>
      <c r="C9" s="546"/>
      <c r="D9" s="61">
        <f>POMOC!B3</f>
        <v>1</v>
      </c>
      <c r="E9" s="52" t="str">
        <f>IF(POMOC!B2="LEFT","Lewa","Prawa")</f>
        <v>Prawa</v>
      </c>
      <c r="F9" s="53"/>
      <c r="G9" s="287"/>
      <c r="H9" s="288"/>
      <c r="I9" s="543"/>
    </row>
    <row r="10" spans="1:9">
      <c r="A10" s="521"/>
      <c r="B10" s="522"/>
      <c r="C10" s="522"/>
      <c r="D10" s="522"/>
      <c r="E10" s="522"/>
      <c r="F10" s="523"/>
      <c r="G10" s="530" t="s">
        <v>54</v>
      </c>
      <c r="H10" s="522"/>
      <c r="I10" s="531"/>
    </row>
    <row r="11" spans="1:9" ht="14.25" customHeight="1">
      <c r="A11" s="524"/>
      <c r="B11" s="525"/>
      <c r="C11" s="525"/>
      <c r="D11" s="525"/>
      <c r="E11" s="525"/>
      <c r="F11" s="526"/>
      <c r="G11" s="278" t="str">
        <f>POMOC!B4</f>
        <v>IMR-006591-STRH151141</v>
      </c>
      <c r="H11" s="279"/>
      <c r="I11" s="532"/>
    </row>
    <row r="12" spans="1:9" ht="13.8" thickBot="1">
      <c r="A12" s="527"/>
      <c r="B12" s="528"/>
      <c r="C12" s="528"/>
      <c r="D12" s="528"/>
      <c r="E12" s="528"/>
      <c r="F12" s="529"/>
      <c r="G12" s="281"/>
      <c r="H12" s="282"/>
      <c r="I12" s="533"/>
    </row>
    <row r="13" spans="1:9">
      <c r="A13" s="569" t="s">
        <v>55</v>
      </c>
      <c r="B13" s="535"/>
      <c r="C13" s="535"/>
      <c r="D13" s="535"/>
      <c r="E13" s="535"/>
      <c r="F13" s="535"/>
      <c r="G13" s="535"/>
      <c r="H13" s="535"/>
      <c r="I13" s="570"/>
    </row>
    <row r="14" spans="1:9" ht="13.8" thickBot="1">
      <c r="A14" s="571"/>
      <c r="B14" s="538"/>
      <c r="C14" s="538"/>
      <c r="D14" s="538"/>
      <c r="E14" s="538"/>
      <c r="F14" s="538"/>
      <c r="G14" s="538"/>
      <c r="H14" s="538"/>
      <c r="I14" s="572"/>
    </row>
    <row r="15" spans="1:9" ht="14.25" customHeight="1">
      <c r="A15" s="108" t="s">
        <v>64</v>
      </c>
      <c r="B15" s="49"/>
      <c r="C15" s="49"/>
      <c r="D15" s="109" t="str">
        <f>IF(A9="RTB Kierownicza","Łopatka poczatkowa Pxxxx75 
dla T=940661 D3=-0.2
Łopatka końcowa Pxxxx85  
dla  T=940661 D4=-0.2","")</f>
        <v/>
      </c>
      <c r="E15" s="109"/>
      <c r="F15" s="109"/>
      <c r="G15" s="110"/>
      <c r="H15" s="573" t="s">
        <v>59</v>
      </c>
      <c r="I15" s="526"/>
    </row>
    <row r="16" spans="1:9" ht="18" thickBot="1">
      <c r="A16" s="579" t="str">
        <f>IF(POMOC!B14="Grip&amp;PinWelding","Pierwszą łopatkę do sprawdzenia na HX-a przekazać w GRIPIE!!",IF(POMOC!B14="Grip&amp;Pin","Pierwszą łopatkę do sprawdzenia na HX-a przekazać w GRIPIE!!",""))</f>
        <v>Pierwszą łopatkę do sprawdzenia na HX-a przekazać w GRIPIE!!</v>
      </c>
      <c r="B16" s="580"/>
      <c r="C16" s="580"/>
      <c r="D16" s="580"/>
      <c r="E16" s="580"/>
      <c r="F16" s="580"/>
      <c r="G16" s="581"/>
      <c r="H16" s="574">
        <f>POMOC!B11</f>
        <v>0</v>
      </c>
      <c r="I16" s="575"/>
    </row>
    <row r="17" spans="1:9" ht="18" thickBot="1">
      <c r="A17" s="48"/>
      <c r="B17" s="46"/>
      <c r="C17" s="46"/>
      <c r="D17" s="75"/>
      <c r="E17" s="75"/>
      <c r="F17" s="75"/>
      <c r="G17" s="75"/>
      <c r="H17" s="55"/>
      <c r="I17" s="56"/>
    </row>
    <row r="18" spans="1:9" ht="23.4" thickBot="1">
      <c r="A18" s="48"/>
      <c r="B18" s="576" t="s">
        <v>69</v>
      </c>
      <c r="C18" s="577"/>
      <c r="D18" s="577"/>
      <c r="E18" s="577"/>
      <c r="F18" s="577"/>
      <c r="G18" s="577"/>
      <c r="H18" s="578"/>
      <c r="I18" s="56"/>
    </row>
    <row r="19" spans="1:9" ht="27.75" customHeight="1">
      <c r="A19" s="45"/>
      <c r="B19" s="83" t="s">
        <v>68</v>
      </c>
      <c r="C19" s="566" t="s">
        <v>17</v>
      </c>
      <c r="D19" s="566"/>
      <c r="E19" s="566"/>
      <c r="F19" s="84" t="s">
        <v>73</v>
      </c>
      <c r="G19" s="85" t="s">
        <v>71</v>
      </c>
      <c r="H19" s="86" t="s">
        <v>72</v>
      </c>
      <c r="I19" s="47"/>
    </row>
    <row r="20" spans="1:9" ht="27.75" customHeight="1">
      <c r="A20" s="45"/>
      <c r="B20" s="78" t="s">
        <v>46</v>
      </c>
      <c r="C20" s="567"/>
      <c r="D20" s="567"/>
      <c r="E20" s="567"/>
      <c r="F20" s="77" t="str">
        <f>IF(C20="ZTGW956016T0045",6,IF(C20="ZTGW956059T0045",5,""))</f>
        <v/>
      </c>
      <c r="G20" s="77" t="str">
        <f>IF(C20="ZTGW956016T0045",40,IF(C20="ZTGW956059T0045",32,""))</f>
        <v/>
      </c>
      <c r="H20" s="79" t="str">
        <f>IF(C20="ZTGW956016T0045",95,IF(C20="ZTGW956059T0045",105,""))</f>
        <v/>
      </c>
      <c r="I20" s="47"/>
    </row>
    <row r="21" spans="1:9" ht="27.75" customHeight="1" thickBot="1">
      <c r="A21" s="45"/>
      <c r="B21" s="80" t="s">
        <v>70</v>
      </c>
      <c r="C21" s="568"/>
      <c r="D21" s="568"/>
      <c r="E21" s="568"/>
      <c r="F21" s="81" t="str">
        <f>IF(C21="ZTGW956016T0045",6,IF(C21="ZTGW956059T0045",5,""))</f>
        <v/>
      </c>
      <c r="G21" s="81" t="str">
        <f>IF(C21="ZTGW956016T0045",40,IF(C21="ZTGW956059T0045",32,""))</f>
        <v/>
      </c>
      <c r="H21" s="82" t="str">
        <f>IF(C21="ZTGW956016T0045",95,IF(C21="ZTGW956059T0045",105,""))</f>
        <v/>
      </c>
      <c r="I21" s="47"/>
    </row>
    <row r="22" spans="1:9">
      <c r="A22" s="45"/>
      <c r="B22" s="46"/>
      <c r="C22" s="46"/>
      <c r="D22" s="46"/>
      <c r="E22" s="46"/>
      <c r="F22" s="46"/>
      <c r="G22" s="46"/>
      <c r="H22" s="46"/>
      <c r="I22" s="47"/>
    </row>
    <row r="23" spans="1:9">
      <c r="A23" s="45"/>
      <c r="B23" s="46"/>
      <c r="C23" s="46"/>
      <c r="D23" s="46"/>
      <c r="E23" s="46"/>
      <c r="F23" s="46"/>
      <c r="G23" s="46"/>
      <c r="H23" s="46"/>
      <c r="I23" s="47"/>
    </row>
    <row r="24" spans="1:9">
      <c r="A24" s="45"/>
      <c r="B24" s="46"/>
      <c r="C24" s="46"/>
      <c r="D24" s="46"/>
      <c r="E24" s="46"/>
      <c r="F24" s="46"/>
      <c r="G24" s="46"/>
      <c r="H24" s="46"/>
      <c r="I24" s="47"/>
    </row>
    <row r="25" spans="1:9">
      <c r="A25" s="45"/>
      <c r="B25" s="46"/>
      <c r="C25" s="46"/>
      <c r="D25" s="46"/>
      <c r="E25" s="46"/>
      <c r="F25" s="46"/>
      <c r="G25" s="46"/>
      <c r="H25" s="46"/>
      <c r="I25" s="47"/>
    </row>
    <row r="26" spans="1:9">
      <c r="A26" s="45"/>
      <c r="B26" s="46"/>
      <c r="C26" s="46"/>
      <c r="D26" s="46"/>
      <c r="E26" s="46"/>
      <c r="F26" s="46"/>
      <c r="G26" s="46"/>
      <c r="H26" s="46"/>
      <c r="I26" s="47"/>
    </row>
    <row r="27" spans="1:9">
      <c r="A27" s="45"/>
      <c r="B27" s="46"/>
      <c r="C27" s="46"/>
      <c r="D27" s="46"/>
      <c r="E27" s="46"/>
      <c r="F27" s="46"/>
      <c r="G27" s="46"/>
      <c r="H27" s="46"/>
      <c r="I27" s="47"/>
    </row>
    <row r="28" spans="1:9">
      <c r="A28" s="45"/>
      <c r="B28" s="46"/>
      <c r="C28" s="46"/>
      <c r="D28" s="46"/>
      <c r="E28" s="46"/>
      <c r="F28" s="46"/>
      <c r="G28" s="46"/>
      <c r="H28" s="46"/>
      <c r="I28" s="47"/>
    </row>
    <row r="29" spans="1:9">
      <c r="A29" s="45"/>
      <c r="B29" s="46"/>
      <c r="C29" s="46"/>
      <c r="D29" s="46"/>
      <c r="E29" s="46"/>
      <c r="F29" s="46"/>
      <c r="G29" s="46"/>
      <c r="H29" s="46"/>
      <c r="I29" s="47"/>
    </row>
    <row r="30" spans="1:9">
      <c r="A30" s="45"/>
      <c r="B30" s="46"/>
      <c r="C30" s="46"/>
      <c r="D30" s="46"/>
      <c r="E30" s="46"/>
      <c r="F30" s="46"/>
      <c r="G30" s="46"/>
      <c r="H30" s="46"/>
      <c r="I30" s="47"/>
    </row>
    <row r="31" spans="1:9">
      <c r="A31" s="45"/>
      <c r="B31" s="46"/>
      <c r="C31" s="46"/>
      <c r="D31" s="46"/>
      <c r="E31" s="46"/>
      <c r="F31" s="46"/>
      <c r="G31" s="46"/>
      <c r="H31" s="46"/>
      <c r="I31" s="47"/>
    </row>
    <row r="32" spans="1:9">
      <c r="A32" s="45"/>
      <c r="B32" s="46"/>
      <c r="C32" s="46"/>
      <c r="D32" s="46"/>
      <c r="E32" s="46"/>
      <c r="F32" s="46"/>
      <c r="G32" s="46"/>
      <c r="H32" s="46"/>
      <c r="I32" s="47"/>
    </row>
    <row r="33" spans="1:9">
      <c r="A33" s="45"/>
      <c r="B33" s="46"/>
      <c r="C33" s="46"/>
      <c r="D33" s="46"/>
      <c r="E33" s="46"/>
      <c r="F33" s="46"/>
      <c r="G33" s="46"/>
      <c r="H33" s="46"/>
      <c r="I33" s="47"/>
    </row>
    <row r="34" spans="1:9">
      <c r="A34" s="45"/>
      <c r="B34" s="46"/>
      <c r="C34" s="46"/>
      <c r="D34" s="46"/>
      <c r="E34" s="46"/>
      <c r="F34" s="46"/>
      <c r="G34" s="46"/>
      <c r="H34" s="46"/>
      <c r="I34" s="47"/>
    </row>
    <row r="35" spans="1:9">
      <c r="A35" s="45"/>
      <c r="B35" s="46"/>
      <c r="C35" s="46"/>
      <c r="D35" s="46"/>
      <c r="E35" s="46"/>
      <c r="F35" s="46"/>
      <c r="G35" s="46"/>
      <c r="H35" s="46"/>
      <c r="I35" s="47"/>
    </row>
    <row r="36" spans="1:9">
      <c r="A36" s="45"/>
      <c r="B36" s="46"/>
      <c r="C36" s="46"/>
      <c r="D36" s="46"/>
      <c r="E36" s="46"/>
      <c r="F36" s="46"/>
      <c r="G36" s="46"/>
      <c r="H36" s="46"/>
      <c r="I36" s="47"/>
    </row>
    <row r="37" spans="1:9">
      <c r="A37" s="45"/>
      <c r="B37" s="46"/>
      <c r="C37" s="46"/>
      <c r="D37" s="46"/>
      <c r="E37" s="46"/>
      <c r="F37" s="46"/>
      <c r="G37" s="46"/>
      <c r="H37" s="46"/>
      <c r="I37" s="47"/>
    </row>
    <row r="38" spans="1:9">
      <c r="A38" s="45"/>
      <c r="B38" s="46"/>
      <c r="C38" s="46"/>
      <c r="D38" s="46"/>
      <c r="E38" s="46"/>
      <c r="F38" s="46"/>
      <c r="G38" s="46"/>
      <c r="H38" s="46"/>
      <c r="I38" s="47"/>
    </row>
    <row r="39" spans="1:9">
      <c r="A39" s="45"/>
      <c r="B39" s="46"/>
      <c r="C39" s="46"/>
      <c r="D39" s="46"/>
      <c r="E39" s="46"/>
      <c r="F39" s="46"/>
      <c r="G39" s="46"/>
      <c r="H39" s="46"/>
      <c r="I39" s="47"/>
    </row>
    <row r="40" spans="1:9">
      <c r="A40" s="45"/>
      <c r="B40" s="46"/>
      <c r="C40" s="46"/>
      <c r="D40" s="46"/>
      <c r="E40" s="46"/>
      <c r="F40" s="46"/>
      <c r="G40" s="46"/>
      <c r="H40" s="46"/>
      <c r="I40" s="47"/>
    </row>
    <row r="41" spans="1:9">
      <c r="A41" s="45"/>
      <c r="B41" s="46"/>
      <c r="C41" s="46"/>
      <c r="D41" s="46"/>
      <c r="E41" s="46"/>
      <c r="F41" s="46"/>
      <c r="G41" s="46"/>
      <c r="H41" s="46"/>
      <c r="I41" s="47"/>
    </row>
    <row r="42" spans="1:9">
      <c r="A42" s="45"/>
      <c r="B42" s="46"/>
      <c r="C42" s="46"/>
      <c r="D42" s="46"/>
      <c r="E42" s="46"/>
      <c r="F42" s="46"/>
      <c r="G42" s="46"/>
      <c r="H42" s="46"/>
      <c r="I42" s="47"/>
    </row>
    <row r="43" spans="1:9">
      <c r="A43" s="45"/>
      <c r="B43" s="46"/>
      <c r="C43" s="46"/>
      <c r="D43" s="46"/>
      <c r="E43" s="46"/>
      <c r="F43" s="46"/>
      <c r="G43" s="46"/>
      <c r="H43" s="46"/>
      <c r="I43" s="47"/>
    </row>
    <row r="44" spans="1:9">
      <c r="A44" s="45"/>
      <c r="B44" s="46"/>
      <c r="C44" s="46"/>
      <c r="D44" s="46"/>
      <c r="E44" s="46"/>
      <c r="F44" s="46"/>
      <c r="G44" s="46"/>
      <c r="H44" s="46"/>
      <c r="I44" s="47"/>
    </row>
    <row r="45" spans="1:9">
      <c r="A45" s="45"/>
      <c r="B45" s="46"/>
      <c r="C45" s="46"/>
      <c r="D45" s="46"/>
      <c r="E45" s="46"/>
      <c r="F45" s="46"/>
      <c r="G45" s="46"/>
      <c r="H45" s="46"/>
      <c r="I45" s="47"/>
    </row>
    <row r="46" spans="1:9">
      <c r="A46" s="45"/>
      <c r="B46" s="46"/>
      <c r="C46" s="46"/>
      <c r="D46" s="46"/>
      <c r="E46" s="46"/>
      <c r="F46" s="46"/>
      <c r="G46" s="46"/>
      <c r="H46" s="46"/>
      <c r="I46" s="47"/>
    </row>
    <row r="47" spans="1:9" ht="13.8" thickBot="1">
      <c r="A47" s="45"/>
      <c r="B47" s="46"/>
      <c r="C47" s="46"/>
      <c r="D47" s="46"/>
      <c r="E47" s="46"/>
      <c r="F47" s="46"/>
      <c r="G47" s="46"/>
      <c r="H47" s="46"/>
      <c r="I47" s="47"/>
    </row>
    <row r="48" spans="1:9">
      <c r="A48" s="70" t="s">
        <v>56</v>
      </c>
      <c r="B48" s="62" t="str">
        <f>POMOC!B6</f>
        <v>Mariusz Malec</v>
      </c>
      <c r="C48" s="62"/>
      <c r="D48" s="62"/>
      <c r="E48" s="66"/>
      <c r="F48" s="71" t="s">
        <v>57</v>
      </c>
      <c r="G48" s="62" t="str">
        <f>POMOC!B7</f>
        <v>Mariusz Malec</v>
      </c>
      <c r="H48" s="62"/>
      <c r="I48" s="67"/>
    </row>
    <row r="49" spans="1:9">
      <c r="A49" s="72"/>
      <c r="B49" s="50"/>
      <c r="C49" s="50"/>
      <c r="D49" s="50"/>
      <c r="E49" s="51"/>
      <c r="F49" s="25"/>
      <c r="G49" s="50"/>
      <c r="H49" s="50"/>
      <c r="I49" s="68"/>
    </row>
    <row r="50" spans="1:9" ht="13.8" thickBot="1">
      <c r="A50" s="69" t="s">
        <v>0</v>
      </c>
      <c r="B50" s="106">
        <f ca="1">POMOC!B8</f>
        <v>44742</v>
      </c>
      <c r="C50" s="29" t="s">
        <v>58</v>
      </c>
      <c r="D50" s="64"/>
      <c r="E50" s="53"/>
      <c r="F50" s="29" t="s">
        <v>0</v>
      </c>
      <c r="G50" s="106">
        <f ca="1">POMOC!B8</f>
        <v>44742</v>
      </c>
      <c r="H50" s="29" t="s">
        <v>58</v>
      </c>
      <c r="I50" s="65"/>
    </row>
  </sheetData>
  <customSheetViews>
    <customSheetView guid="{41C149A7-898D-4942-9D39-7B19CD58B51D}" scale="70" state="hidden">
      <selection sqref="A1:B3"/>
    </customSheetView>
  </customSheetViews>
  <mergeCells count="25">
    <mergeCell ref="C19:E19"/>
    <mergeCell ref="C20:E20"/>
    <mergeCell ref="C21:E21"/>
    <mergeCell ref="A10:F12"/>
    <mergeCell ref="G10:I10"/>
    <mergeCell ref="G11:I12"/>
    <mergeCell ref="A13:I14"/>
    <mergeCell ref="H15:I15"/>
    <mergeCell ref="H16:I16"/>
    <mergeCell ref="B18:H18"/>
    <mergeCell ref="A16:G16"/>
    <mergeCell ref="G8:I9"/>
    <mergeCell ref="A9:C9"/>
    <mergeCell ref="A1:B3"/>
    <mergeCell ref="C1:E3"/>
    <mergeCell ref="H2:H3"/>
    <mergeCell ref="I2:I3"/>
    <mergeCell ref="A4:C4"/>
    <mergeCell ref="D4:F4"/>
    <mergeCell ref="H4:I4"/>
    <mergeCell ref="A5:C6"/>
    <mergeCell ref="D5:F6"/>
    <mergeCell ref="G5:G6"/>
    <mergeCell ref="H5:I6"/>
    <mergeCell ref="G7:I7"/>
  </mergeCells>
  <dataValidations count="1">
    <dataValidation type="list" allowBlank="1" showInputMessage="1" showErrorMessage="1" sqref="C20:E21" xr:uid="{00000000-0002-0000-0700-000000000000}">
      <formula1>ToolsNX</formula1>
    </dataValidation>
  </dataValidations>
  <pageMargins left="0.25" right="0.25" top="0.25" bottom="0.2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POMOC!D15:D16</xm:f>
          </x14:formula1>
          <xm:sqref>C20:E21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6E8F2F25029D4DAB95297EA92E784C" ma:contentTypeVersion="9" ma:contentTypeDescription="Create a new document." ma:contentTypeScope="" ma:versionID="0457ad4bff032b141c62864190368a54">
  <xsd:schema xmlns:xsd="http://www.w3.org/2001/XMLSchema" xmlns:xs="http://www.w3.org/2001/XMLSchema" xmlns:p="http://schemas.microsoft.com/office/2006/metadata/properties" xmlns:ns2="79e5fcdd-efe7-45a3-885d-e6720f5d8a9a" xmlns:ns3="ae798826-fe7b-4f21-b84f-732e47191bd8" targetNamespace="http://schemas.microsoft.com/office/2006/metadata/properties" ma:root="true" ma:fieldsID="3ae728cbc7a2d74b578a48741effc465" ns2:_="" ns3:_="">
    <xsd:import namespace="79e5fcdd-efe7-45a3-885d-e6720f5d8a9a"/>
    <xsd:import namespace="ae798826-fe7b-4f21-b84f-732e47191b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e5fcdd-efe7-45a3-885d-e6720f5d8a9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798826-fe7b-4f21-b84f-732e47191bd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BD9A039-19F7-41A8-A9EE-CEE10B90BA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e5fcdd-efe7-45a3-885d-e6720f5d8a9a"/>
    <ds:schemaRef ds:uri="ae798826-fe7b-4f21-b84f-732e47191b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3C12E31-A020-42FE-9BB3-369EDC0456C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BBA6C2B-FC52-4FB9-A9A4-9FC8355E142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KARTA USTAWCZA</vt:lpstr>
      <vt:lpstr>KARTA NARZEDZI OBROBCZYCH</vt:lpstr>
      <vt:lpstr>KARTA UWAG PROGRAMU NC</vt:lpstr>
      <vt:lpstr>TESTY</vt:lpstr>
      <vt:lpstr>POMOC</vt:lpstr>
      <vt:lpstr>BANDAZ_WIRNIK</vt:lpstr>
      <vt:lpstr>BANDAZ_KIEROWNICA</vt:lpstr>
      <vt:lpstr>NOZKA_F2A</vt:lpstr>
      <vt:lpstr>DFA</vt:lpstr>
      <vt:lpstr>TOL</vt:lpstr>
      <vt:lpstr>AUSTENIT_TOOL</vt:lpstr>
      <vt:lpstr>LISTY WYBORU</vt:lpstr>
      <vt:lpstr>SHAPES</vt:lpstr>
      <vt:lpstr>PODPISY</vt:lpstr>
      <vt:lpstr>ARCHIW_KOR_KIER</vt:lpstr>
      <vt:lpstr>ARCHIW_KOR_WIR</vt:lpstr>
      <vt:lpstr>KARTA USTAWCZA DMU(GRIP)</vt:lpstr>
      <vt:lpstr>KARTA USTAWCZA DMU</vt:lpstr>
      <vt:lpstr>KARTA USTAWCZA NX</vt:lpstr>
      <vt:lpstr>ARCHIW_KOR_KIER!Print_Area</vt:lpstr>
      <vt:lpstr>ARCHIW_KOR_WIR!Print_Area</vt:lpstr>
      <vt:lpstr>BANDAZ_KIEROWNICA!Print_Area</vt:lpstr>
      <vt:lpstr>BANDAZ_WIRNIK!Print_Area</vt:lpstr>
      <vt:lpstr>'KARTA NARZEDZI OBROBCZYCH'!Print_Area</vt:lpstr>
      <vt:lpstr>'KARTA USTAWCZA'!Print_Area</vt:lpstr>
      <vt:lpstr>ToolsNX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Malec, Mariusz (GE Gas Power)</cp:lastModifiedBy>
  <cp:lastPrinted>2021-04-28T16:59:09Z</cp:lastPrinted>
  <dcterms:created xsi:type="dcterms:W3CDTF">1997-02-26T13:46:56Z</dcterms:created>
  <dcterms:modified xsi:type="dcterms:W3CDTF">2022-06-30T05:35:34Z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0x010100A56E8F2F25029D4DAB95297EA92E784C</vt:lpwstr>
  </property>
</Properties>
</file>