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8D4064B6-5137-487A-8457-84E08F1EF92F}" xr6:coauthVersionLast="47" xr6:coauthVersionMax="47" xr10:uidLastSave="{00000000-0000-0000-0000-000000000000}"/>
  <bookViews>
    <workbookView xWindow="7770" yWindow="5205" windowWidth="27780" windowHeight="15180" xr2:uid="{3198D461-2FE0-4A45-9FCC-8902EF8C03F2}"/>
  </bookViews>
  <sheets>
    <sheet name="RGB" sheetId="1" r:id="rId1"/>
    <sheet name="RGBW" sheetId="2" r:id="rId2"/>
    <sheet name="SampleTime" sheetId="9" r:id="rId3"/>
    <sheet name="RGB calcs" sheetId="6" r:id="rId4"/>
    <sheet name="RGBW calcs" sheetId="10" r:id="rId5"/>
    <sheet name="DemoReel100.ino" sheetId="5" r:id="rId6"/>
    <sheet name="FastLED" sheetId="3" r:id="rId7"/>
    <sheet name="iCE40_UP" sheetId="4" r:id="rId8"/>
  </sheets>
  <definedNames>
    <definedName name="ESP32_RGB">RGB!$V$33</definedName>
    <definedName name="ESP32_RGB_bit_rate">RGB!$U$33</definedName>
    <definedName name="FPGA_bit_rate">RGBW!$L$14</definedName>
    <definedName name="FPGA_RGBW">RGBW!$N$14</definedName>
    <definedName name="inp_guardrail">'RGB calcs'!$A$48</definedName>
    <definedName name="PLL_clockrate">RGBW!$L$29</definedName>
    <definedName name="PLL_period">RGBW!$L$31</definedName>
    <definedName name="RBG_bit_rate_fastest">RGB!$L$3</definedName>
    <definedName name="RGB_0_code_max">RGB!$J$3</definedName>
    <definedName name="RGB_0_code_min">RGB!$I$3</definedName>
    <definedName name="RGB_1_code_max">RGB!$J$5</definedName>
    <definedName name="RGB_1_code_min">RGB!$I$5</definedName>
    <definedName name="RGB_bit_rate_slowest">RGB!$M$3</definedName>
    <definedName name="RGB_fastest">RGB!$N$3</definedName>
    <definedName name="RGB_rst">RGB!$L$7</definedName>
    <definedName name="RGB_slowest">RGB!$O$3</definedName>
    <definedName name="RGBW_bit_rate_fastest">RGBW!$L$3</definedName>
    <definedName name="RGBW_bit_rate_slowest">RGBW!$M$3</definedName>
    <definedName name="RGBW_fastest">RGBW!$N$3</definedName>
    <definedName name="RGBW_rst">RGBW!$L$7</definedName>
    <definedName name="RGBW_slowest">RGBW!$O$3</definedName>
    <definedName name="RGBW_T0H_max">'RGBW calcs'!$F$8</definedName>
    <definedName name="RGBW_T0H_min">'RGBW calcs'!$F$3</definedName>
    <definedName name="RGBW_T0L_max">'RGBW calcs'!$F$10</definedName>
    <definedName name="RGBW_T0L_min">'RGBW calcs'!$F$5</definedName>
    <definedName name="RGBW_T1H_max">'RGBW calcs'!$F$9</definedName>
    <definedName name="RGBW_T1H_min">'RGBW calcs'!$F$4</definedName>
    <definedName name="RGBW_T1L_max">'RGBW calcs'!$F$11</definedName>
    <definedName name="RGBW_T1L_min">'RGBW calcs'!$F$6</definedName>
    <definedName name="RGBW_TBL">RGBW!$B$3:$G$7</definedName>
    <definedName name="RGBW_Trst">'RGBW calcs'!$F$14</definedName>
    <definedName name="T_1">FastLED!$C$13</definedName>
    <definedName name="T_2">FastLED!$C$14</definedName>
    <definedName name="T_3">FastLED!$C$15</definedName>
    <definedName name="T0H_max">RGB!$G$3</definedName>
    <definedName name="T0H_min">RGB!$F$3</definedName>
    <definedName name="T0L_max">RGB!$G$5</definedName>
    <definedName name="T0L_min">RGB!$F$5</definedName>
    <definedName name="T1H_max">RGB!$G$4</definedName>
    <definedName name="T1H_min">RGB!$F$4</definedName>
    <definedName name="T1L_max">RGB!$G$6</definedName>
    <definedName name="T1L_min">RGB!$F$6</definedName>
    <definedName name="x">FastLED!$P$12</definedName>
    <definedName name="y">FastLED!$P$13</definedName>
    <definedName name="z">FastLED!$P$14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6" l="1"/>
  <c r="E14" i="6"/>
  <c r="E13" i="6"/>
  <c r="E12" i="6"/>
  <c r="E8" i="6"/>
  <c r="E7" i="6"/>
  <c r="E6" i="6"/>
  <c r="E5" i="6"/>
  <c r="I5" i="6"/>
  <c r="J15" i="10"/>
  <c r="I15" i="10"/>
  <c r="F14" i="10"/>
  <c r="G14" i="10" s="1"/>
  <c r="M6" i="10"/>
  <c r="M5" i="10"/>
  <c r="M4" i="10"/>
  <c r="M3" i="10"/>
  <c r="H11" i="10"/>
  <c r="H10" i="10"/>
  <c r="H9" i="10"/>
  <c r="H8" i="10"/>
  <c r="H6" i="10"/>
  <c r="H5" i="10"/>
  <c r="H4" i="10"/>
  <c r="H3" i="10"/>
  <c r="C11" i="10"/>
  <c r="C10" i="10"/>
  <c r="C9" i="10"/>
  <c r="C8" i="10"/>
  <c r="C14" i="10"/>
  <c r="C6" i="10"/>
  <c r="C5" i="10"/>
  <c r="C4" i="10"/>
  <c r="C3" i="10"/>
  <c r="F11" i="10"/>
  <c r="G11" i="10" s="1"/>
  <c r="F10" i="10"/>
  <c r="F9" i="10"/>
  <c r="F8" i="10"/>
  <c r="F6" i="10"/>
  <c r="G6" i="10" s="1"/>
  <c r="F5" i="10"/>
  <c r="G5" i="10" s="1"/>
  <c r="I5" i="10" s="1"/>
  <c r="F4" i="10"/>
  <c r="G4" i="10" s="1"/>
  <c r="F3" i="10"/>
  <c r="G3" i="10" s="1"/>
  <c r="D18" i="2"/>
  <c r="D17" i="2"/>
  <c r="D16" i="2"/>
  <c r="D15" i="2"/>
  <c r="D14" i="2"/>
  <c r="I42" i="6"/>
  <c r="I41" i="6"/>
  <c r="I37" i="6"/>
  <c r="I36" i="6"/>
  <c r="I35" i="6"/>
  <c r="I34" i="6"/>
  <c r="I32" i="6"/>
  <c r="I31" i="6"/>
  <c r="I30" i="6"/>
  <c r="I29" i="6"/>
  <c r="A46" i="6"/>
  <c r="F42" i="6"/>
  <c r="E42" i="6"/>
  <c r="F41" i="6"/>
  <c r="E41" i="6"/>
  <c r="F39" i="6"/>
  <c r="E39" i="6"/>
  <c r="F37" i="6"/>
  <c r="E37" i="6"/>
  <c r="F36" i="6"/>
  <c r="E36" i="6"/>
  <c r="F35" i="6"/>
  <c r="E35" i="6"/>
  <c r="F34" i="6"/>
  <c r="E34" i="6"/>
  <c r="F32" i="6"/>
  <c r="E32" i="6"/>
  <c r="F31" i="6"/>
  <c r="E31" i="6"/>
  <c r="F30" i="6"/>
  <c r="E30" i="6"/>
  <c r="F29" i="6"/>
  <c r="E29" i="6"/>
  <c r="U40" i="1"/>
  <c r="L31" i="2"/>
  <c r="D15" i="6"/>
  <c r="W34" i="6"/>
  <c r="V34" i="6"/>
  <c r="U34" i="6"/>
  <c r="T34" i="6"/>
  <c r="S34" i="6"/>
  <c r="R34" i="6"/>
  <c r="Q34" i="6"/>
  <c r="P34" i="6"/>
  <c r="D8" i="6"/>
  <c r="A48" i="6"/>
  <c r="A45" i="6"/>
  <c r="U39" i="1"/>
  <c r="A35" i="6"/>
  <c r="A34" i="6"/>
  <c r="A37" i="6"/>
  <c r="A36" i="6"/>
  <c r="A32" i="6"/>
  <c r="A31" i="6"/>
  <c r="A30" i="6"/>
  <c r="A29" i="6"/>
  <c r="A24" i="6"/>
  <c r="A23" i="6"/>
  <c r="A20" i="6"/>
  <c r="A19" i="6"/>
  <c r="O3" i="1"/>
  <c r="N3" i="1"/>
  <c r="M3" i="1"/>
  <c r="L3" i="1"/>
  <c r="L7" i="2"/>
  <c r="L7" i="1"/>
  <c r="D12" i="6"/>
  <c r="I12" i="6" s="1"/>
  <c r="A12" i="6"/>
  <c r="D14" i="6"/>
  <c r="L14" i="6" s="1"/>
  <c r="D6" i="6"/>
  <c r="K6" i="6" s="1"/>
  <c r="A14" i="6"/>
  <c r="A6" i="6"/>
  <c r="X33" i="1"/>
  <c r="P14" i="2"/>
  <c r="B18" i="5"/>
  <c r="B16" i="5"/>
  <c r="O29" i="2"/>
  <c r="C17" i="2"/>
  <c r="C16" i="2"/>
  <c r="C15" i="2"/>
  <c r="C13" i="2"/>
  <c r="C14" i="2"/>
  <c r="L25" i="2"/>
  <c r="L22" i="2"/>
  <c r="V33" i="1"/>
  <c r="U33" i="1"/>
  <c r="L76" i="3"/>
  <c r="L77" i="3" s="1"/>
  <c r="L80" i="3" s="1"/>
  <c r="L83" i="3" s="1"/>
  <c r="L74" i="3"/>
  <c r="L78" i="3" s="1"/>
  <c r="L82" i="3" s="1"/>
  <c r="Y37" i="3"/>
  <c r="Y36" i="3"/>
  <c r="Y35" i="3"/>
  <c r="Y34" i="3"/>
  <c r="Y32" i="3"/>
  <c r="Y33" i="3" s="1"/>
  <c r="D51" i="3"/>
  <c r="C16" i="3"/>
  <c r="O3" i="2"/>
  <c r="N3" i="2"/>
  <c r="J5" i="2"/>
  <c r="I5" i="2"/>
  <c r="J3" i="2"/>
  <c r="I3" i="2"/>
  <c r="L3" i="2" s="1"/>
  <c r="G6" i="2"/>
  <c r="G5" i="2"/>
  <c r="G4" i="2"/>
  <c r="G3" i="2"/>
  <c r="F6" i="2"/>
  <c r="F5" i="2"/>
  <c r="F4" i="2"/>
  <c r="F3" i="2"/>
  <c r="M3" i="2"/>
  <c r="E8" i="10" l="1"/>
  <c r="D8" i="10" s="1"/>
  <c r="E9" i="10"/>
  <c r="D9" i="10" s="1"/>
  <c r="G8" i="10"/>
  <c r="G9" i="10"/>
  <c r="E3" i="10"/>
  <c r="D3" i="10" s="1"/>
  <c r="I6" i="10"/>
  <c r="E4" i="10"/>
  <c r="D4" i="10" s="1"/>
  <c r="G10" i="10"/>
  <c r="I10" i="10" s="1"/>
  <c r="I11" i="10"/>
  <c r="I4" i="10"/>
  <c r="H14" i="10"/>
  <c r="I8" i="10"/>
  <c r="I9" i="10"/>
  <c r="I3" i="10"/>
  <c r="J3" i="10" s="1"/>
  <c r="K3" i="10" s="1"/>
  <c r="W57" i="6"/>
  <c r="R105" i="6"/>
  <c r="R90" i="6"/>
  <c r="Q38" i="6"/>
  <c r="G41" i="6"/>
  <c r="P97" i="6"/>
  <c r="G42" i="6"/>
  <c r="R198" i="6"/>
  <c r="T81" i="6"/>
  <c r="V35" i="6"/>
  <c r="T41" i="6"/>
  <c r="T83" i="6"/>
  <c r="U107" i="6"/>
  <c r="U80" i="6"/>
  <c r="V96" i="6"/>
  <c r="W105" i="6"/>
  <c r="W41" i="6"/>
  <c r="Q42" i="6"/>
  <c r="L6" i="6"/>
  <c r="T52" i="6"/>
  <c r="T84" i="6"/>
  <c r="U106" i="6"/>
  <c r="V95" i="6"/>
  <c r="W97" i="6"/>
  <c r="P49" i="6"/>
  <c r="R48" i="6"/>
  <c r="W42" i="6"/>
  <c r="G36" i="6"/>
  <c r="H14" i="6"/>
  <c r="T53" i="6"/>
  <c r="T94" i="6"/>
  <c r="U105" i="6"/>
  <c r="V72" i="6"/>
  <c r="W96" i="6"/>
  <c r="P48" i="6"/>
  <c r="I14" i="6"/>
  <c r="T55" i="6"/>
  <c r="T95" i="6"/>
  <c r="U66" i="6"/>
  <c r="V71" i="6"/>
  <c r="P47" i="6"/>
  <c r="U81" i="6"/>
  <c r="U189" i="6"/>
  <c r="J14" i="6"/>
  <c r="T67" i="6"/>
  <c r="U35" i="6"/>
  <c r="U95" i="6"/>
  <c r="V62" i="6"/>
  <c r="W74" i="6"/>
  <c r="Q86" i="6"/>
  <c r="T69" i="6"/>
  <c r="U91" i="6"/>
  <c r="U56" i="6"/>
  <c r="V37" i="6"/>
  <c r="W73" i="6"/>
  <c r="Q66" i="6"/>
  <c r="T38" i="6"/>
  <c r="T70" i="6"/>
  <c r="U82" i="6"/>
  <c r="U51" i="6"/>
  <c r="W43" i="6"/>
  <c r="Q64" i="6"/>
  <c r="P193" i="6"/>
  <c r="P129" i="6"/>
  <c r="P81" i="6"/>
  <c r="P65" i="6"/>
  <c r="Q168" i="6"/>
  <c r="Q152" i="6"/>
  <c r="Q112" i="6"/>
  <c r="Q90" i="6"/>
  <c r="Q70" i="6"/>
  <c r="R190" i="6"/>
  <c r="R153" i="6"/>
  <c r="R55" i="6"/>
  <c r="J12" i="6"/>
  <c r="P128" i="6"/>
  <c r="R199" i="6"/>
  <c r="L12" i="6"/>
  <c r="P95" i="6"/>
  <c r="Q182" i="6"/>
  <c r="Q150" i="6"/>
  <c r="R98" i="6"/>
  <c r="R41" i="6"/>
  <c r="K14" i="6"/>
  <c r="T43" i="6"/>
  <c r="T59" i="6"/>
  <c r="T71" i="6"/>
  <c r="T85" i="6"/>
  <c r="U114" i="6"/>
  <c r="U104" i="6"/>
  <c r="U79" i="6"/>
  <c r="U65" i="6"/>
  <c r="U49" i="6"/>
  <c r="V94" i="6"/>
  <c r="V56" i="6"/>
  <c r="W121" i="6"/>
  <c r="W91" i="6"/>
  <c r="P203" i="6"/>
  <c r="P187" i="6"/>
  <c r="P171" i="6"/>
  <c r="P123" i="6"/>
  <c r="P107" i="6"/>
  <c r="P75" i="6"/>
  <c r="P59" i="6"/>
  <c r="P43" i="6"/>
  <c r="Q162" i="6"/>
  <c r="Q146" i="6"/>
  <c r="Q104" i="6"/>
  <c r="Q82" i="6"/>
  <c r="Q62" i="6"/>
  <c r="R179" i="6"/>
  <c r="R137" i="6"/>
  <c r="K12" i="6"/>
  <c r="P160" i="6"/>
  <c r="Q199" i="6"/>
  <c r="Q130" i="6"/>
  <c r="Q198" i="6"/>
  <c r="R36" i="6"/>
  <c r="R42" i="6"/>
  <c r="R50" i="6"/>
  <c r="R57" i="6"/>
  <c r="R64" i="6"/>
  <c r="R85" i="6"/>
  <c r="R92" i="6"/>
  <c r="R106" i="6"/>
  <c r="R112" i="6"/>
  <c r="R117" i="6"/>
  <c r="R133" i="6"/>
  <c r="R138" i="6"/>
  <c r="R149" i="6"/>
  <c r="R154" i="6"/>
  <c r="R160" i="6"/>
  <c r="R176" i="6"/>
  <c r="R180" i="6"/>
  <c r="R188" i="6"/>
  <c r="R43" i="6"/>
  <c r="R51" i="6"/>
  <c r="R79" i="6"/>
  <c r="R86" i="6"/>
  <c r="R107" i="6"/>
  <c r="R123" i="6"/>
  <c r="R139" i="6"/>
  <c r="R35" i="6"/>
  <c r="P44" i="6"/>
  <c r="P52" i="6"/>
  <c r="P60" i="6"/>
  <c r="P68" i="6"/>
  <c r="P76" i="6"/>
  <c r="P100" i="6"/>
  <c r="P108" i="6"/>
  <c r="P124" i="6"/>
  <c r="P132" i="6"/>
  <c r="P140" i="6"/>
  <c r="P164" i="6"/>
  <c r="P172" i="6"/>
  <c r="P188" i="6"/>
  <c r="P196" i="6"/>
  <c r="P36" i="6"/>
  <c r="R37" i="6"/>
  <c r="R44" i="6"/>
  <c r="R52" i="6"/>
  <c r="R58" i="6"/>
  <c r="R73" i="6"/>
  <c r="R80" i="6"/>
  <c r="R87" i="6"/>
  <c r="R108" i="6"/>
  <c r="R113" i="6"/>
  <c r="R124" i="6"/>
  <c r="R129" i="6"/>
  <c r="R134" i="6"/>
  <c r="R150" i="6"/>
  <c r="R156" i="6"/>
  <c r="R166" i="6"/>
  <c r="R172" i="6"/>
  <c r="R177" i="6"/>
  <c r="R185" i="6"/>
  <c r="R189" i="6"/>
  <c r="R193" i="6"/>
  <c r="R201" i="6"/>
  <c r="P37" i="6"/>
  <c r="P45" i="6"/>
  <c r="P53" i="6"/>
  <c r="P69" i="6"/>
  <c r="P77" i="6"/>
  <c r="P93" i="6"/>
  <c r="P101" i="6"/>
  <c r="P109" i="6"/>
  <c r="P133" i="6"/>
  <c r="P141" i="6"/>
  <c r="P157" i="6"/>
  <c r="P165" i="6"/>
  <c r="P173" i="6"/>
  <c r="P197" i="6"/>
  <c r="P35" i="6"/>
  <c r="R38" i="6"/>
  <c r="R45" i="6"/>
  <c r="R59" i="6"/>
  <c r="R67" i="6"/>
  <c r="R88" i="6"/>
  <c r="R95" i="6"/>
  <c r="R102" i="6"/>
  <c r="R135" i="6"/>
  <c r="R151" i="6"/>
  <c r="R167" i="6"/>
  <c r="P38" i="6"/>
  <c r="P46" i="6"/>
  <c r="P54" i="6"/>
  <c r="P62" i="6"/>
  <c r="P78" i="6"/>
  <c r="P86" i="6"/>
  <c r="P94" i="6"/>
  <c r="P118" i="6"/>
  <c r="P126" i="6"/>
  <c r="P142" i="6"/>
  <c r="P150" i="6"/>
  <c r="P158" i="6"/>
  <c r="P174" i="6"/>
  <c r="P182" i="6"/>
  <c r="P190" i="6"/>
  <c r="R39" i="6"/>
  <c r="R46" i="6"/>
  <c r="R53" i="6"/>
  <c r="R68" i="6"/>
  <c r="R74" i="6"/>
  <c r="R82" i="6"/>
  <c r="R96" i="6"/>
  <c r="R103" i="6"/>
  <c r="R109" i="6"/>
  <c r="R120" i="6"/>
  <c r="R125" i="6"/>
  <c r="R130" i="6"/>
  <c r="R141" i="6"/>
  <c r="R146" i="6"/>
  <c r="R152" i="6"/>
  <c r="R157" i="6"/>
  <c r="R162" i="6"/>
  <c r="R168" i="6"/>
  <c r="R173" i="6"/>
  <c r="R178" i="6"/>
  <c r="R182" i="6"/>
  <c r="R186" i="6"/>
  <c r="R40" i="6"/>
  <c r="R47" i="6"/>
  <c r="R54" i="6"/>
  <c r="R61" i="6"/>
  <c r="R75" i="6"/>
  <c r="R83" i="6"/>
  <c r="R97" i="6"/>
  <c r="R104" i="6"/>
  <c r="R115" i="6"/>
  <c r="R131" i="6"/>
  <c r="R147" i="6"/>
  <c r="R163" i="6"/>
  <c r="R49" i="6"/>
  <c r="R56" i="6"/>
  <c r="R63" i="6"/>
  <c r="R70" i="6"/>
  <c r="R77" i="6"/>
  <c r="R91" i="6"/>
  <c r="R99" i="6"/>
  <c r="R111" i="6"/>
  <c r="R127" i="6"/>
  <c r="R143" i="6"/>
  <c r="R159" i="6"/>
  <c r="R175" i="6"/>
  <c r="P42" i="6"/>
  <c r="P50" i="6"/>
  <c r="P58" i="6"/>
  <c r="P66" i="6"/>
  <c r="P74" i="6"/>
  <c r="P90" i="6"/>
  <c r="P98" i="6"/>
  <c r="P106" i="6"/>
  <c r="P122" i="6"/>
  <c r="P130" i="6"/>
  <c r="P138" i="6"/>
  <c r="P154" i="6"/>
  <c r="P162" i="6"/>
  <c r="P170" i="6"/>
  <c r="P186" i="6"/>
  <c r="P194" i="6"/>
  <c r="P202" i="6"/>
  <c r="H6" i="6"/>
  <c r="T45" i="6"/>
  <c r="T60" i="6"/>
  <c r="T73" i="6"/>
  <c r="T87" i="6"/>
  <c r="U123" i="6"/>
  <c r="U113" i="6"/>
  <c r="U103" i="6"/>
  <c r="U89" i="6"/>
  <c r="U75" i="6"/>
  <c r="U64" i="6"/>
  <c r="U48" i="6"/>
  <c r="V89" i="6"/>
  <c r="V55" i="6"/>
  <c r="W113" i="6"/>
  <c r="W90" i="6"/>
  <c r="W59" i="6"/>
  <c r="P201" i="6"/>
  <c r="P185" i="6"/>
  <c r="P169" i="6"/>
  <c r="P153" i="6"/>
  <c r="P137" i="6"/>
  <c r="P121" i="6"/>
  <c r="P105" i="6"/>
  <c r="P89" i="6"/>
  <c r="P73" i="6"/>
  <c r="P57" i="6"/>
  <c r="P41" i="6"/>
  <c r="Q192" i="6"/>
  <c r="Q176" i="6"/>
  <c r="Q160" i="6"/>
  <c r="Q144" i="6"/>
  <c r="Q122" i="6"/>
  <c r="Q102" i="6"/>
  <c r="Q80" i="6"/>
  <c r="Q58" i="6"/>
  <c r="R195" i="6"/>
  <c r="R174" i="6"/>
  <c r="R132" i="6"/>
  <c r="R84" i="6"/>
  <c r="P64" i="6"/>
  <c r="R187" i="6"/>
  <c r="P143" i="6"/>
  <c r="R142" i="6"/>
  <c r="S38" i="6"/>
  <c r="S36" i="6"/>
  <c r="S57" i="6"/>
  <c r="S100" i="6"/>
  <c r="S112" i="6"/>
  <c r="S117" i="6"/>
  <c r="S128" i="6"/>
  <c r="S133" i="6"/>
  <c r="S144" i="6"/>
  <c r="S149" i="6"/>
  <c r="S160" i="6"/>
  <c r="S165" i="6"/>
  <c r="S176" i="6"/>
  <c r="S180" i="6"/>
  <c r="S184" i="6"/>
  <c r="S188" i="6"/>
  <c r="S192" i="6"/>
  <c r="S196" i="6"/>
  <c r="S200" i="6"/>
  <c r="Q43" i="6"/>
  <c r="Q51" i="6"/>
  <c r="Q59" i="6"/>
  <c r="Q67" i="6"/>
  <c r="Q75" i="6"/>
  <c r="Q83" i="6"/>
  <c r="Q91" i="6"/>
  <c r="Q99" i="6"/>
  <c r="Q107" i="6"/>
  <c r="Q115" i="6"/>
  <c r="Q123" i="6"/>
  <c r="Q131" i="6"/>
  <c r="Q139" i="6"/>
  <c r="Q147" i="6"/>
  <c r="Q155" i="6"/>
  <c r="Q163" i="6"/>
  <c r="Q171" i="6"/>
  <c r="Q179" i="6"/>
  <c r="Q187" i="6"/>
  <c r="Q195" i="6"/>
  <c r="Q203" i="6"/>
  <c r="Q35" i="6"/>
  <c r="Q36" i="6"/>
  <c r="Q44" i="6"/>
  <c r="Q52" i="6"/>
  <c r="Q60" i="6"/>
  <c r="Q68" i="6"/>
  <c r="Q76" i="6"/>
  <c r="Q84" i="6"/>
  <c r="Q92" i="6"/>
  <c r="Q100" i="6"/>
  <c r="Q108" i="6"/>
  <c r="Q116" i="6"/>
  <c r="Q124" i="6"/>
  <c r="Q132" i="6"/>
  <c r="Q140" i="6"/>
  <c r="Q148" i="6"/>
  <c r="Q156" i="6"/>
  <c r="Q164" i="6"/>
  <c r="Q172" i="6"/>
  <c r="Q180" i="6"/>
  <c r="Q188" i="6"/>
  <c r="Q196" i="6"/>
  <c r="S52" i="6"/>
  <c r="S73" i="6"/>
  <c r="S108" i="6"/>
  <c r="S113" i="6"/>
  <c r="S124" i="6"/>
  <c r="S129" i="6"/>
  <c r="S140" i="6"/>
  <c r="S145" i="6"/>
  <c r="S156" i="6"/>
  <c r="S161" i="6"/>
  <c r="S172" i="6"/>
  <c r="S177" i="6"/>
  <c r="S181" i="6"/>
  <c r="S185" i="6"/>
  <c r="S189" i="6"/>
  <c r="S193" i="6"/>
  <c r="S197" i="6"/>
  <c r="S201" i="6"/>
  <c r="Q37" i="6"/>
  <c r="Q45" i="6"/>
  <c r="Q53" i="6"/>
  <c r="Q61" i="6"/>
  <c r="Q69" i="6"/>
  <c r="Q77" i="6"/>
  <c r="Q85" i="6"/>
  <c r="Q93" i="6"/>
  <c r="Q101" i="6"/>
  <c r="Q109" i="6"/>
  <c r="Q117" i="6"/>
  <c r="Q125" i="6"/>
  <c r="Q133" i="6"/>
  <c r="Q141" i="6"/>
  <c r="Q149" i="6"/>
  <c r="Q157" i="6"/>
  <c r="Q165" i="6"/>
  <c r="Q173" i="6"/>
  <c r="Q181" i="6"/>
  <c r="Q189" i="6"/>
  <c r="Q197" i="6"/>
  <c r="S68" i="6"/>
  <c r="S89" i="6"/>
  <c r="S109" i="6"/>
  <c r="S120" i="6"/>
  <c r="S125" i="6"/>
  <c r="S136" i="6"/>
  <c r="S141" i="6"/>
  <c r="S152" i="6"/>
  <c r="S157" i="6"/>
  <c r="S168" i="6"/>
  <c r="S173" i="6"/>
  <c r="S178" i="6"/>
  <c r="S182" i="6"/>
  <c r="S186" i="6"/>
  <c r="S190" i="6"/>
  <c r="S194" i="6"/>
  <c r="S198" i="6"/>
  <c r="S202" i="6"/>
  <c r="Q39" i="6"/>
  <c r="Q47" i="6"/>
  <c r="Q55" i="6"/>
  <c r="Q63" i="6"/>
  <c r="Q71" i="6"/>
  <c r="Q79" i="6"/>
  <c r="Q87" i="6"/>
  <c r="Q95" i="6"/>
  <c r="Q103" i="6"/>
  <c r="Q111" i="6"/>
  <c r="Q119" i="6"/>
  <c r="Q127" i="6"/>
  <c r="Q135" i="6"/>
  <c r="Q143" i="6"/>
  <c r="S41" i="6"/>
  <c r="S84" i="6"/>
  <c r="S105" i="6"/>
  <c r="S116" i="6"/>
  <c r="S121" i="6"/>
  <c r="S132" i="6"/>
  <c r="S137" i="6"/>
  <c r="S148" i="6"/>
  <c r="S153" i="6"/>
  <c r="S164" i="6"/>
  <c r="S169" i="6"/>
  <c r="S179" i="6"/>
  <c r="S183" i="6"/>
  <c r="S187" i="6"/>
  <c r="S191" i="6"/>
  <c r="S195" i="6"/>
  <c r="S199" i="6"/>
  <c r="S203" i="6"/>
  <c r="Q41" i="6"/>
  <c r="Q49" i="6"/>
  <c r="Q57" i="6"/>
  <c r="Q65" i="6"/>
  <c r="Q73" i="6"/>
  <c r="Q81" i="6"/>
  <c r="Q89" i="6"/>
  <c r="Q97" i="6"/>
  <c r="Q105" i="6"/>
  <c r="Q113" i="6"/>
  <c r="Q121" i="6"/>
  <c r="Q129" i="6"/>
  <c r="Q137" i="6"/>
  <c r="Q145" i="6"/>
  <c r="Q153" i="6"/>
  <c r="Q161" i="6"/>
  <c r="Q169" i="6"/>
  <c r="Q177" i="6"/>
  <c r="Q185" i="6"/>
  <c r="Q193" i="6"/>
  <c r="Q201" i="6"/>
  <c r="I6" i="6"/>
  <c r="T47" i="6"/>
  <c r="T61" i="6"/>
  <c r="T75" i="6"/>
  <c r="T91" i="6"/>
  <c r="U122" i="6"/>
  <c r="U112" i="6"/>
  <c r="U99" i="6"/>
  <c r="U88" i="6"/>
  <c r="U74" i="6"/>
  <c r="U63" i="6"/>
  <c r="U47" i="6"/>
  <c r="V81" i="6"/>
  <c r="W112" i="6"/>
  <c r="W89" i="6"/>
  <c r="W58" i="6"/>
  <c r="P200" i="6"/>
  <c r="P184" i="6"/>
  <c r="P168" i="6"/>
  <c r="P152" i="6"/>
  <c r="P136" i="6"/>
  <c r="P120" i="6"/>
  <c r="P104" i="6"/>
  <c r="P88" i="6"/>
  <c r="P72" i="6"/>
  <c r="P56" i="6"/>
  <c r="P40" i="6"/>
  <c r="Q191" i="6"/>
  <c r="Q175" i="6"/>
  <c r="Q159" i="6"/>
  <c r="Q142" i="6"/>
  <c r="Q120" i="6"/>
  <c r="Q98" i="6"/>
  <c r="Q78" i="6"/>
  <c r="Q56" i="6"/>
  <c r="S35" i="6"/>
  <c r="R194" i="6"/>
  <c r="R169" i="6"/>
  <c r="R126" i="6"/>
  <c r="R76" i="6"/>
  <c r="P176" i="6"/>
  <c r="P112" i="6"/>
  <c r="Q151" i="6"/>
  <c r="Q88" i="6"/>
  <c r="P191" i="6"/>
  <c r="P79" i="6"/>
  <c r="V39" i="6"/>
  <c r="G31" i="6"/>
  <c r="V40" i="6"/>
  <c r="V64" i="6"/>
  <c r="V85" i="6"/>
  <c r="V46" i="6"/>
  <c r="V69" i="6"/>
  <c r="V86" i="6"/>
  <c r="V48" i="6"/>
  <c r="V70" i="6"/>
  <c r="V87" i="6"/>
  <c r="J6" i="6"/>
  <c r="H12" i="6"/>
  <c r="T35" i="6"/>
  <c r="T49" i="6"/>
  <c r="T62" i="6"/>
  <c r="T77" i="6"/>
  <c r="T92" i="6"/>
  <c r="U121" i="6"/>
  <c r="U111" i="6"/>
  <c r="U98" i="6"/>
  <c r="U87" i="6"/>
  <c r="U73" i="6"/>
  <c r="U59" i="6"/>
  <c r="U43" i="6"/>
  <c r="V80" i="6"/>
  <c r="V53" i="6"/>
  <c r="W107" i="6"/>
  <c r="W81" i="6"/>
  <c r="P199" i="6"/>
  <c r="P183" i="6"/>
  <c r="P167" i="6"/>
  <c r="P151" i="6"/>
  <c r="P135" i="6"/>
  <c r="P119" i="6"/>
  <c r="P103" i="6"/>
  <c r="P87" i="6"/>
  <c r="P71" i="6"/>
  <c r="P55" i="6"/>
  <c r="P39" i="6"/>
  <c r="Q190" i="6"/>
  <c r="Q174" i="6"/>
  <c r="Q158" i="6"/>
  <c r="Q138" i="6"/>
  <c r="Q118" i="6"/>
  <c r="Q96" i="6"/>
  <c r="Q74" i="6"/>
  <c r="Q54" i="6"/>
  <c r="R203" i="6"/>
  <c r="R192" i="6"/>
  <c r="R164" i="6"/>
  <c r="R121" i="6"/>
  <c r="R69" i="6"/>
  <c r="P192" i="6"/>
  <c r="P144" i="6"/>
  <c r="P80" i="6"/>
  <c r="Q183" i="6"/>
  <c r="Q110" i="6"/>
  <c r="R148" i="6"/>
  <c r="P175" i="6"/>
  <c r="P111" i="6"/>
  <c r="P63" i="6"/>
  <c r="Q166" i="6"/>
  <c r="Q128" i="6"/>
  <c r="W50" i="6"/>
  <c r="W66" i="6"/>
  <c r="W82" i="6"/>
  <c r="W98" i="6"/>
  <c r="W114" i="6"/>
  <c r="U39" i="6"/>
  <c r="U50" i="6"/>
  <c r="W51" i="6"/>
  <c r="W67" i="6"/>
  <c r="W83" i="6"/>
  <c r="W99" i="6"/>
  <c r="W115" i="6"/>
  <c r="U40" i="6"/>
  <c r="W40" i="6"/>
  <c r="W56" i="6"/>
  <c r="W72" i="6"/>
  <c r="W88" i="6"/>
  <c r="W104" i="6"/>
  <c r="W120" i="6"/>
  <c r="U41" i="6"/>
  <c r="U55" i="6"/>
  <c r="W48" i="6"/>
  <c r="W64" i="6"/>
  <c r="T37" i="6"/>
  <c r="T51" i="6"/>
  <c r="T63" i="6"/>
  <c r="T79" i="6"/>
  <c r="T93" i="6"/>
  <c r="U120" i="6"/>
  <c r="U109" i="6"/>
  <c r="U97" i="6"/>
  <c r="U83" i="6"/>
  <c r="U72" i="6"/>
  <c r="U58" i="6"/>
  <c r="U42" i="6"/>
  <c r="V78" i="6"/>
  <c r="V38" i="6"/>
  <c r="W106" i="6"/>
  <c r="W80" i="6"/>
  <c r="W49" i="6"/>
  <c r="P195" i="6"/>
  <c r="P179" i="6"/>
  <c r="P163" i="6"/>
  <c r="P147" i="6"/>
  <c r="P131" i="6"/>
  <c r="P115" i="6"/>
  <c r="P99" i="6"/>
  <c r="P83" i="6"/>
  <c r="P67" i="6"/>
  <c r="P51" i="6"/>
  <c r="Q202" i="6"/>
  <c r="Q186" i="6"/>
  <c r="Q170" i="6"/>
  <c r="Q154" i="6"/>
  <c r="Q136" i="6"/>
  <c r="Q114" i="6"/>
  <c r="Q94" i="6"/>
  <c r="Q72" i="6"/>
  <c r="Q50" i="6"/>
  <c r="R202" i="6"/>
  <c r="R191" i="6"/>
  <c r="R158" i="6"/>
  <c r="R116" i="6"/>
  <c r="R62" i="6"/>
  <c r="T139" i="6"/>
  <c r="U165" i="6"/>
  <c r="T131" i="6"/>
  <c r="U173" i="6"/>
  <c r="U157" i="6"/>
  <c r="T147" i="6"/>
  <c r="T163" i="6"/>
  <c r="U149" i="6"/>
  <c r="S104" i="6"/>
  <c r="S93" i="6"/>
  <c r="S88" i="6"/>
  <c r="S77" i="6"/>
  <c r="S72" i="6"/>
  <c r="S61" i="6"/>
  <c r="S56" i="6"/>
  <c r="S45" i="6"/>
  <c r="S40" i="6"/>
  <c r="T179" i="6"/>
  <c r="U141" i="6"/>
  <c r="T195" i="6"/>
  <c r="S97" i="6"/>
  <c r="S92" i="6"/>
  <c r="S81" i="6"/>
  <c r="S76" i="6"/>
  <c r="S65" i="6"/>
  <c r="S60" i="6"/>
  <c r="S49" i="6"/>
  <c r="S44" i="6"/>
  <c r="U132" i="6"/>
  <c r="T115" i="6"/>
  <c r="S101" i="6"/>
  <c r="S96" i="6"/>
  <c r="S85" i="6"/>
  <c r="S80" i="6"/>
  <c r="S69" i="6"/>
  <c r="S64" i="6"/>
  <c r="S53" i="6"/>
  <c r="S48" i="6"/>
  <c r="S37" i="6"/>
  <c r="W36" i="6"/>
  <c r="W44" i="6"/>
  <c r="W52" i="6"/>
  <c r="W60" i="6"/>
  <c r="W68" i="6"/>
  <c r="W76" i="6"/>
  <c r="W84" i="6"/>
  <c r="W92" i="6"/>
  <c r="W100" i="6"/>
  <c r="W108" i="6"/>
  <c r="W116" i="6"/>
  <c r="W124" i="6"/>
  <c r="W37" i="6"/>
  <c r="W45" i="6"/>
  <c r="W53" i="6"/>
  <c r="W61" i="6"/>
  <c r="W69" i="6"/>
  <c r="W77" i="6"/>
  <c r="W85" i="6"/>
  <c r="W93" i="6"/>
  <c r="W101" i="6"/>
  <c r="W109" i="6"/>
  <c r="W117" i="6"/>
  <c r="W125" i="6"/>
  <c r="U36" i="6"/>
  <c r="U44" i="6"/>
  <c r="U52" i="6"/>
  <c r="U60" i="6"/>
  <c r="U68" i="6"/>
  <c r="U76" i="6"/>
  <c r="U84" i="6"/>
  <c r="U92" i="6"/>
  <c r="U100" i="6"/>
  <c r="U108" i="6"/>
  <c r="U116" i="6"/>
  <c r="U124" i="6"/>
  <c r="U181" i="6"/>
  <c r="W94" i="6"/>
  <c r="U45" i="6"/>
  <c r="U61" i="6"/>
  <c r="U69" i="6"/>
  <c r="U85" i="6"/>
  <c r="U93" i="6"/>
  <c r="W38" i="6"/>
  <c r="W46" i="6"/>
  <c r="W54" i="6"/>
  <c r="W62" i="6"/>
  <c r="W70" i="6"/>
  <c r="W78" i="6"/>
  <c r="W86" i="6"/>
  <c r="W102" i="6"/>
  <c r="W110" i="6"/>
  <c r="W118" i="6"/>
  <c r="W35" i="6"/>
  <c r="U37" i="6"/>
  <c r="U53" i="6"/>
  <c r="U77" i="6"/>
  <c r="U101" i="6"/>
  <c r="W39" i="6"/>
  <c r="W47" i="6"/>
  <c r="W55" i="6"/>
  <c r="W63" i="6"/>
  <c r="W71" i="6"/>
  <c r="W79" i="6"/>
  <c r="W87" i="6"/>
  <c r="W95" i="6"/>
  <c r="W103" i="6"/>
  <c r="W111" i="6"/>
  <c r="W119" i="6"/>
  <c r="U38" i="6"/>
  <c r="U46" i="6"/>
  <c r="U54" i="6"/>
  <c r="U62" i="6"/>
  <c r="U70" i="6"/>
  <c r="U78" i="6"/>
  <c r="U86" i="6"/>
  <c r="U94" i="6"/>
  <c r="U102" i="6"/>
  <c r="U110" i="6"/>
  <c r="U118" i="6"/>
  <c r="U133" i="6"/>
  <c r="U197" i="6"/>
  <c r="T44" i="6"/>
  <c r="T54" i="6"/>
  <c r="T65" i="6"/>
  <c r="T76" i="6"/>
  <c r="T86" i="6"/>
  <c r="T99" i="6"/>
  <c r="T187" i="6"/>
  <c r="V93" i="6"/>
  <c r="V79" i="6"/>
  <c r="V63" i="6"/>
  <c r="V47" i="6"/>
  <c r="T36" i="6"/>
  <c r="T46" i="6"/>
  <c r="T57" i="6"/>
  <c r="T68" i="6"/>
  <c r="T78" i="6"/>
  <c r="T89" i="6"/>
  <c r="T123" i="6"/>
  <c r="T203" i="6"/>
  <c r="V88" i="6"/>
  <c r="V77" i="6"/>
  <c r="V61" i="6"/>
  <c r="V45" i="6"/>
  <c r="V41" i="6"/>
  <c r="V49" i="6"/>
  <c r="V57" i="6"/>
  <c r="V65" i="6"/>
  <c r="V73" i="6"/>
  <c r="V42" i="6"/>
  <c r="V50" i="6"/>
  <c r="V58" i="6"/>
  <c r="V66" i="6"/>
  <c r="V74" i="6"/>
  <c r="V82" i="6"/>
  <c r="V90" i="6"/>
  <c r="T171" i="6"/>
  <c r="T107" i="6"/>
  <c r="T90" i="6"/>
  <c r="T82" i="6"/>
  <c r="T74" i="6"/>
  <c r="T66" i="6"/>
  <c r="T58" i="6"/>
  <c r="T50" i="6"/>
  <c r="T42" i="6"/>
  <c r="V59" i="6"/>
  <c r="V75" i="6"/>
  <c r="V91" i="6"/>
  <c r="V43" i="6"/>
  <c r="V51" i="6"/>
  <c r="V67" i="6"/>
  <c r="V83" i="6"/>
  <c r="V36" i="6"/>
  <c r="V44" i="6"/>
  <c r="V52" i="6"/>
  <c r="V60" i="6"/>
  <c r="V68" i="6"/>
  <c r="V76" i="6"/>
  <c r="V84" i="6"/>
  <c r="V92" i="6"/>
  <c r="T155" i="6"/>
  <c r="T96" i="6"/>
  <c r="T88" i="6"/>
  <c r="T80" i="6"/>
  <c r="T72" i="6"/>
  <c r="T64" i="6"/>
  <c r="T56" i="6"/>
  <c r="T48" i="6"/>
  <c r="T40" i="6"/>
  <c r="W126" i="6"/>
  <c r="S175" i="6"/>
  <c r="S171" i="6"/>
  <c r="S167" i="6"/>
  <c r="S163" i="6"/>
  <c r="S159" i="6"/>
  <c r="S155" i="6"/>
  <c r="S151" i="6"/>
  <c r="S147" i="6"/>
  <c r="S143" i="6"/>
  <c r="S139" i="6"/>
  <c r="S135" i="6"/>
  <c r="S131" i="6"/>
  <c r="S127" i="6"/>
  <c r="S123" i="6"/>
  <c r="S119" i="6"/>
  <c r="S115" i="6"/>
  <c r="S111" i="6"/>
  <c r="S107" i="6"/>
  <c r="S103" i="6"/>
  <c r="S99" i="6"/>
  <c r="S95" i="6"/>
  <c r="S91" i="6"/>
  <c r="S87" i="6"/>
  <c r="S83" i="6"/>
  <c r="S79" i="6"/>
  <c r="S75" i="6"/>
  <c r="S71" i="6"/>
  <c r="S67" i="6"/>
  <c r="S63" i="6"/>
  <c r="S59" i="6"/>
  <c r="S55" i="6"/>
  <c r="S51" i="6"/>
  <c r="S47" i="6"/>
  <c r="S43" i="6"/>
  <c r="S39" i="6"/>
  <c r="S174" i="6"/>
  <c r="S170" i="6"/>
  <c r="S166" i="6"/>
  <c r="S162" i="6"/>
  <c r="S158" i="6"/>
  <c r="S154" i="6"/>
  <c r="S150" i="6"/>
  <c r="S146" i="6"/>
  <c r="S142" i="6"/>
  <c r="S138" i="6"/>
  <c r="S134" i="6"/>
  <c r="S130" i="6"/>
  <c r="S126" i="6"/>
  <c r="S122" i="6"/>
  <c r="S118" i="6"/>
  <c r="S114" i="6"/>
  <c r="S110" i="6"/>
  <c r="S106" i="6"/>
  <c r="S102" i="6"/>
  <c r="S98" i="6"/>
  <c r="S94" i="6"/>
  <c r="S90" i="6"/>
  <c r="S86" i="6"/>
  <c r="S82" i="6"/>
  <c r="S78" i="6"/>
  <c r="S74" i="6"/>
  <c r="S70" i="6"/>
  <c r="S66" i="6"/>
  <c r="S62" i="6"/>
  <c r="S58" i="6"/>
  <c r="S54" i="6"/>
  <c r="S50" i="6"/>
  <c r="S46" i="6"/>
  <c r="S42" i="6"/>
  <c r="V164" i="6"/>
  <c r="V156" i="6"/>
  <c r="V148" i="6"/>
  <c r="V140" i="6"/>
  <c r="V132" i="6"/>
  <c r="V124" i="6"/>
  <c r="V116" i="6"/>
  <c r="V108" i="6"/>
  <c r="V100" i="6"/>
  <c r="W197" i="6"/>
  <c r="W189" i="6"/>
  <c r="W181" i="6"/>
  <c r="W173" i="6"/>
  <c r="W165" i="6"/>
  <c r="W157" i="6"/>
  <c r="W149" i="6"/>
  <c r="W141" i="6"/>
  <c r="W133" i="6"/>
  <c r="V198" i="6"/>
  <c r="T101" i="6"/>
  <c r="T133" i="6"/>
  <c r="T149" i="6"/>
  <c r="T173" i="6"/>
  <c r="T197" i="6"/>
  <c r="U187" i="6"/>
  <c r="U171" i="6"/>
  <c r="U147" i="6"/>
  <c r="U139" i="6"/>
  <c r="V196" i="6"/>
  <c r="V188" i="6"/>
  <c r="V172" i="6"/>
  <c r="T102" i="6"/>
  <c r="T110" i="6"/>
  <c r="T118" i="6"/>
  <c r="T126" i="6"/>
  <c r="T134" i="6"/>
  <c r="T142" i="6"/>
  <c r="T150" i="6"/>
  <c r="T158" i="6"/>
  <c r="T166" i="6"/>
  <c r="T174" i="6"/>
  <c r="T182" i="6"/>
  <c r="T190" i="6"/>
  <c r="T198" i="6"/>
  <c r="U202" i="6"/>
  <c r="U194" i="6"/>
  <c r="U186" i="6"/>
  <c r="U178" i="6"/>
  <c r="U170" i="6"/>
  <c r="U162" i="6"/>
  <c r="U154" i="6"/>
  <c r="U146" i="6"/>
  <c r="U138" i="6"/>
  <c r="U130" i="6"/>
  <c r="V203" i="6"/>
  <c r="V195" i="6"/>
  <c r="V187" i="6"/>
  <c r="V179" i="6"/>
  <c r="V171" i="6"/>
  <c r="V163" i="6"/>
  <c r="V155" i="6"/>
  <c r="V147" i="6"/>
  <c r="V139" i="6"/>
  <c r="V131" i="6"/>
  <c r="V123" i="6"/>
  <c r="V115" i="6"/>
  <c r="V107" i="6"/>
  <c r="V99" i="6"/>
  <c r="W196" i="6"/>
  <c r="W188" i="6"/>
  <c r="W180" i="6"/>
  <c r="W172" i="6"/>
  <c r="W164" i="6"/>
  <c r="W156" i="6"/>
  <c r="W148" i="6"/>
  <c r="W140" i="6"/>
  <c r="W132" i="6"/>
  <c r="V190" i="6"/>
  <c r="T125" i="6"/>
  <c r="T157" i="6"/>
  <c r="T181" i="6"/>
  <c r="U203" i="6"/>
  <c r="U163" i="6"/>
  <c r="V180" i="6"/>
  <c r="T103" i="6"/>
  <c r="T111" i="6"/>
  <c r="T119" i="6"/>
  <c r="T127" i="6"/>
  <c r="T135" i="6"/>
  <c r="T143" i="6"/>
  <c r="T151" i="6"/>
  <c r="T159" i="6"/>
  <c r="T167" i="6"/>
  <c r="T175" i="6"/>
  <c r="T183" i="6"/>
  <c r="T191" i="6"/>
  <c r="T199" i="6"/>
  <c r="U201" i="6"/>
  <c r="U193" i="6"/>
  <c r="U185" i="6"/>
  <c r="U177" i="6"/>
  <c r="U169" i="6"/>
  <c r="U161" i="6"/>
  <c r="U153" i="6"/>
  <c r="U145" i="6"/>
  <c r="U137" i="6"/>
  <c r="U129" i="6"/>
  <c r="V202" i="6"/>
  <c r="V194" i="6"/>
  <c r="V186" i="6"/>
  <c r="V178" i="6"/>
  <c r="V170" i="6"/>
  <c r="V162" i="6"/>
  <c r="V154" i="6"/>
  <c r="V146" i="6"/>
  <c r="V138" i="6"/>
  <c r="V130" i="6"/>
  <c r="V122" i="6"/>
  <c r="V114" i="6"/>
  <c r="V106" i="6"/>
  <c r="V98" i="6"/>
  <c r="W203" i="6"/>
  <c r="W195" i="6"/>
  <c r="W187" i="6"/>
  <c r="W179" i="6"/>
  <c r="W171" i="6"/>
  <c r="W163" i="6"/>
  <c r="W155" i="6"/>
  <c r="W147" i="6"/>
  <c r="W139" i="6"/>
  <c r="W131" i="6"/>
  <c r="T109" i="6"/>
  <c r="T141" i="6"/>
  <c r="T189" i="6"/>
  <c r="U195" i="6"/>
  <c r="U155" i="6"/>
  <c r="U131" i="6"/>
  <c r="T104" i="6"/>
  <c r="T112" i="6"/>
  <c r="T120" i="6"/>
  <c r="T128" i="6"/>
  <c r="T136" i="6"/>
  <c r="T144" i="6"/>
  <c r="T152" i="6"/>
  <c r="T160" i="6"/>
  <c r="T168" i="6"/>
  <c r="T176" i="6"/>
  <c r="T184" i="6"/>
  <c r="T192" i="6"/>
  <c r="T200" i="6"/>
  <c r="U200" i="6"/>
  <c r="U192" i="6"/>
  <c r="U184" i="6"/>
  <c r="U176" i="6"/>
  <c r="U168" i="6"/>
  <c r="U160" i="6"/>
  <c r="U152" i="6"/>
  <c r="U144" i="6"/>
  <c r="U136" i="6"/>
  <c r="U128" i="6"/>
  <c r="V201" i="6"/>
  <c r="V193" i="6"/>
  <c r="V185" i="6"/>
  <c r="V177" i="6"/>
  <c r="V169" i="6"/>
  <c r="V161" i="6"/>
  <c r="V153" i="6"/>
  <c r="V145" i="6"/>
  <c r="V137" i="6"/>
  <c r="V129" i="6"/>
  <c r="V121" i="6"/>
  <c r="V113" i="6"/>
  <c r="V105" i="6"/>
  <c r="V97" i="6"/>
  <c r="W202" i="6"/>
  <c r="W194" i="6"/>
  <c r="W186" i="6"/>
  <c r="W178" i="6"/>
  <c r="W170" i="6"/>
  <c r="W162" i="6"/>
  <c r="W154" i="6"/>
  <c r="W146" i="6"/>
  <c r="W138" i="6"/>
  <c r="W130" i="6"/>
  <c r="T117" i="6"/>
  <c r="T165" i="6"/>
  <c r="U179" i="6"/>
  <c r="T97" i="6"/>
  <c r="T105" i="6"/>
  <c r="T113" i="6"/>
  <c r="T121" i="6"/>
  <c r="T129" i="6"/>
  <c r="T137" i="6"/>
  <c r="T145" i="6"/>
  <c r="T153" i="6"/>
  <c r="T161" i="6"/>
  <c r="T169" i="6"/>
  <c r="T177" i="6"/>
  <c r="T185" i="6"/>
  <c r="T193" i="6"/>
  <c r="T201" i="6"/>
  <c r="U199" i="6"/>
  <c r="U191" i="6"/>
  <c r="U183" i="6"/>
  <c r="U175" i="6"/>
  <c r="U167" i="6"/>
  <c r="U159" i="6"/>
  <c r="U151" i="6"/>
  <c r="U143" i="6"/>
  <c r="U135" i="6"/>
  <c r="U127" i="6"/>
  <c r="V200" i="6"/>
  <c r="V192" i="6"/>
  <c r="V184" i="6"/>
  <c r="V176" i="6"/>
  <c r="V168" i="6"/>
  <c r="V160" i="6"/>
  <c r="V152" i="6"/>
  <c r="V144" i="6"/>
  <c r="V136" i="6"/>
  <c r="V128" i="6"/>
  <c r="V120" i="6"/>
  <c r="V112" i="6"/>
  <c r="V104" i="6"/>
  <c r="W201" i="6"/>
  <c r="W193" i="6"/>
  <c r="W185" i="6"/>
  <c r="W177" i="6"/>
  <c r="W169" i="6"/>
  <c r="W161" i="6"/>
  <c r="W153" i="6"/>
  <c r="W145" i="6"/>
  <c r="W137" i="6"/>
  <c r="W129" i="6"/>
  <c r="T98" i="6"/>
  <c r="T106" i="6"/>
  <c r="T114" i="6"/>
  <c r="T122" i="6"/>
  <c r="T130" i="6"/>
  <c r="T138" i="6"/>
  <c r="T146" i="6"/>
  <c r="T154" i="6"/>
  <c r="T162" i="6"/>
  <c r="T170" i="6"/>
  <c r="T178" i="6"/>
  <c r="T186" i="6"/>
  <c r="T194" i="6"/>
  <c r="T202" i="6"/>
  <c r="U198" i="6"/>
  <c r="U190" i="6"/>
  <c r="U182" i="6"/>
  <c r="U174" i="6"/>
  <c r="U166" i="6"/>
  <c r="U158" i="6"/>
  <c r="U150" i="6"/>
  <c r="U142" i="6"/>
  <c r="U134" i="6"/>
  <c r="U126" i="6"/>
  <c r="V199" i="6"/>
  <c r="V191" i="6"/>
  <c r="V183" i="6"/>
  <c r="V175" i="6"/>
  <c r="V167" i="6"/>
  <c r="V159" i="6"/>
  <c r="V151" i="6"/>
  <c r="V143" i="6"/>
  <c r="V135" i="6"/>
  <c r="V127" i="6"/>
  <c r="V119" i="6"/>
  <c r="V111" i="6"/>
  <c r="V103" i="6"/>
  <c r="W200" i="6"/>
  <c r="W192" i="6"/>
  <c r="W184" i="6"/>
  <c r="W176" i="6"/>
  <c r="W168" i="6"/>
  <c r="W160" i="6"/>
  <c r="W152" i="6"/>
  <c r="W144" i="6"/>
  <c r="W136" i="6"/>
  <c r="W128" i="6"/>
  <c r="V182" i="6"/>
  <c r="V166" i="6"/>
  <c r="V158" i="6"/>
  <c r="V142" i="6"/>
  <c r="V126" i="6"/>
  <c r="V118" i="6"/>
  <c r="V102" i="6"/>
  <c r="W199" i="6"/>
  <c r="W191" i="6"/>
  <c r="W183" i="6"/>
  <c r="W175" i="6"/>
  <c r="W159" i="6"/>
  <c r="W151" i="6"/>
  <c r="W143" i="6"/>
  <c r="W135" i="6"/>
  <c r="W127" i="6"/>
  <c r="V174" i="6"/>
  <c r="V150" i="6"/>
  <c r="V134" i="6"/>
  <c r="V110" i="6"/>
  <c r="W167" i="6"/>
  <c r="T100" i="6"/>
  <c r="T108" i="6"/>
  <c r="T116" i="6"/>
  <c r="T124" i="6"/>
  <c r="T132" i="6"/>
  <c r="T140" i="6"/>
  <c r="T148" i="6"/>
  <c r="T156" i="6"/>
  <c r="T164" i="6"/>
  <c r="T172" i="6"/>
  <c r="T180" i="6"/>
  <c r="T188" i="6"/>
  <c r="T196" i="6"/>
  <c r="U196" i="6"/>
  <c r="U188" i="6"/>
  <c r="U180" i="6"/>
  <c r="U172" i="6"/>
  <c r="U164" i="6"/>
  <c r="U156" i="6"/>
  <c r="U148" i="6"/>
  <c r="U140" i="6"/>
  <c r="V197" i="6"/>
  <c r="V189" i="6"/>
  <c r="V181" i="6"/>
  <c r="V173" i="6"/>
  <c r="V165" i="6"/>
  <c r="V157" i="6"/>
  <c r="V149" i="6"/>
  <c r="V141" i="6"/>
  <c r="V133" i="6"/>
  <c r="V125" i="6"/>
  <c r="V117" i="6"/>
  <c r="V109" i="6"/>
  <c r="V101" i="6"/>
  <c r="W198" i="6"/>
  <c r="W190" i="6"/>
  <c r="W182" i="6"/>
  <c r="W174" i="6"/>
  <c r="W166" i="6"/>
  <c r="W158" i="6"/>
  <c r="W150" i="6"/>
  <c r="W142" i="6"/>
  <c r="W134" i="6"/>
  <c r="V37" i="1"/>
  <c r="E18" i="2"/>
  <c r="F18" i="2" s="1"/>
  <c r="E17" i="2"/>
  <c r="F17" i="2" s="1"/>
  <c r="E15" i="2"/>
  <c r="F15" i="2" s="1"/>
  <c r="E16" i="2"/>
  <c r="F16" i="2" s="1"/>
  <c r="E14" i="2"/>
  <c r="F14" i="2" s="1"/>
  <c r="U35" i="1"/>
  <c r="V35" i="1"/>
  <c r="U36" i="1"/>
  <c r="V36" i="1"/>
  <c r="U37" i="1"/>
  <c r="I14" i="10" l="1"/>
  <c r="M14" i="10"/>
  <c r="J4" i="10"/>
  <c r="K4" i="10" s="1"/>
  <c r="J9" i="10"/>
  <c r="J8" i="10"/>
  <c r="K8" i="10" s="1"/>
  <c r="P146" i="6"/>
  <c r="P82" i="6"/>
  <c r="R136" i="6"/>
  <c r="R89" i="6"/>
  <c r="P198" i="6"/>
  <c r="P134" i="6"/>
  <c r="P70" i="6"/>
  <c r="R119" i="6"/>
  <c r="P149" i="6"/>
  <c r="P85" i="6"/>
  <c r="R197" i="6"/>
  <c r="R161" i="6"/>
  <c r="R118" i="6"/>
  <c r="R66" i="6"/>
  <c r="P180" i="6"/>
  <c r="P116" i="6"/>
  <c r="R93" i="6"/>
  <c r="R184" i="6"/>
  <c r="R144" i="6"/>
  <c r="R100" i="6"/>
  <c r="Q126" i="6"/>
  <c r="P91" i="6"/>
  <c r="W65" i="6"/>
  <c r="U90" i="6"/>
  <c r="P159" i="6"/>
  <c r="R110" i="6"/>
  <c r="Q134" i="6"/>
  <c r="P113" i="6"/>
  <c r="W123" i="6"/>
  <c r="U57" i="6"/>
  <c r="W75" i="6"/>
  <c r="W122" i="6"/>
  <c r="U71" i="6"/>
  <c r="P145" i="6"/>
  <c r="P110" i="6"/>
  <c r="P189" i="6"/>
  <c r="P125" i="6"/>
  <c r="P61" i="6"/>
  <c r="R145" i="6"/>
  <c r="R101" i="6"/>
  <c r="P156" i="6"/>
  <c r="P92" i="6"/>
  <c r="R171" i="6"/>
  <c r="R72" i="6"/>
  <c r="R170" i="6"/>
  <c r="R128" i="6"/>
  <c r="R78" i="6"/>
  <c r="P127" i="6"/>
  <c r="R196" i="6"/>
  <c r="Q178" i="6"/>
  <c r="P139" i="6"/>
  <c r="U125" i="6"/>
  <c r="R183" i="6"/>
  <c r="Q167" i="6"/>
  <c r="R200" i="6"/>
  <c r="Q184" i="6"/>
  <c r="P161" i="6"/>
  <c r="U117" i="6"/>
  <c r="U119" i="6"/>
  <c r="U96" i="6"/>
  <c r="U115" i="6"/>
  <c r="V54" i="6"/>
  <c r="T39" i="6"/>
  <c r="P178" i="6"/>
  <c r="P114" i="6"/>
  <c r="R114" i="6"/>
  <c r="R60" i="6"/>
  <c r="P166" i="6"/>
  <c r="P102" i="6"/>
  <c r="R81" i="6"/>
  <c r="P181" i="6"/>
  <c r="P117" i="6"/>
  <c r="R181" i="6"/>
  <c r="R140" i="6"/>
  <c r="R94" i="6"/>
  <c r="P148" i="6"/>
  <c r="P84" i="6"/>
  <c r="R155" i="6"/>
  <c r="R65" i="6"/>
  <c r="R165" i="6"/>
  <c r="R122" i="6"/>
  <c r="R71" i="6"/>
  <c r="Q40" i="6"/>
  <c r="Q194" i="6"/>
  <c r="P155" i="6"/>
  <c r="Q106" i="6"/>
  <c r="P96" i="6"/>
  <c r="Q48" i="6"/>
  <c r="Q200" i="6"/>
  <c r="P177" i="6"/>
  <c r="U67" i="6"/>
  <c r="Q46" i="6"/>
  <c r="I16" i="2"/>
  <c r="I14" i="2"/>
  <c r="L14" i="2" s="1"/>
  <c r="N14" i="2" s="1"/>
  <c r="D13" i="6" l="1"/>
  <c r="A13" i="6"/>
  <c r="R3" i="1"/>
  <c r="J5" i="1"/>
  <c r="I5" i="1"/>
  <c r="J3" i="1"/>
  <c r="I3" i="1"/>
  <c r="G6" i="1"/>
  <c r="F6" i="1"/>
  <c r="G5" i="1"/>
  <c r="F5" i="1"/>
  <c r="G4" i="1"/>
  <c r="F4" i="1"/>
  <c r="G3" i="1"/>
  <c r="F3" i="1"/>
  <c r="C20" i="3"/>
  <c r="E51" i="3"/>
  <c r="E50" i="3"/>
  <c r="E52" i="3" s="1"/>
  <c r="D50" i="3"/>
  <c r="D52" i="3" s="1"/>
  <c r="C22" i="3"/>
  <c r="D22" i="3" s="1"/>
  <c r="C21" i="3"/>
  <c r="D21" i="3" s="1"/>
  <c r="L13" i="6" l="1"/>
  <c r="K13" i="6"/>
  <c r="J13" i="6"/>
  <c r="I13" i="6"/>
  <c r="H13" i="6"/>
  <c r="D5" i="6"/>
  <c r="A5" i="6"/>
  <c r="A7" i="6"/>
  <c r="D7" i="6"/>
  <c r="C23" i="3"/>
  <c r="H5" i="6" l="1"/>
  <c r="K5" i="6"/>
  <c r="J5" i="6"/>
  <c r="L5" i="6"/>
  <c r="H7" i="6"/>
  <c r="L7" i="6"/>
  <c r="K7" i="6"/>
  <c r="I7" i="6"/>
  <c r="J7" i="6"/>
  <c r="D23" i="3"/>
  <c r="C24" i="3"/>
  <c r="E24" i="3" l="1"/>
  <c r="D24" i="3"/>
  <c r="C25" i="3"/>
  <c r="C26" i="3" l="1"/>
  <c r="D25" i="3"/>
  <c r="D26" i="3" l="1"/>
  <c r="C27" i="3"/>
  <c r="E27" i="3" l="1"/>
  <c r="D27" i="3"/>
  <c r="C28" i="3"/>
  <c r="D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247F6E07-A278-49F6-B9FD-39038C407D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+/- 300ns</t>
        </r>
      </text>
    </comment>
  </commentList>
</comments>
</file>

<file path=xl/sharedStrings.xml><?xml version="1.0" encoding="utf-8"?>
<sst xmlns="http://schemas.openxmlformats.org/spreadsheetml/2006/main" count="297" uniqueCount="215">
  <si>
    <t>T0H 0 code ,high voltage time 0.4us ±150ns</t>
  </si>
  <si>
    <t>T1H 1 code ,high voltage time 0.8us ±150ns</t>
  </si>
  <si>
    <t>T0L 0 code , low voltage time 0.85us ±150ns</t>
  </si>
  <si>
    <t>T1L 1 code ,low voltage time 0.45us ±150ns</t>
  </si>
  <si>
    <t>RES low voltage time Above 50µs</t>
  </si>
  <si>
    <t>T0H</t>
  </si>
  <si>
    <t>T1H</t>
  </si>
  <si>
    <t>T0L</t>
  </si>
  <si>
    <t>T1L</t>
  </si>
  <si>
    <t>RES</t>
  </si>
  <si>
    <t>0 code ,high voltage time</t>
  </si>
  <si>
    <t>1 code ,high voltage time</t>
  </si>
  <si>
    <t>0 code , low voltage time</t>
  </si>
  <si>
    <t>1 code ,low voltage time</t>
  </si>
  <si>
    <t>low voltage time</t>
  </si>
  <si>
    <t>Above 50µs</t>
  </si>
  <si>
    <t>min (ns)</t>
  </si>
  <si>
    <t>max (ns)</t>
  </si>
  <si>
    <t>0.4us ±150ns</t>
  </si>
  <si>
    <t>0.8us ±150ns</t>
  </si>
  <si>
    <t>0.85us ±150ns</t>
  </si>
  <si>
    <t>0.45us ±150ns</t>
  </si>
  <si>
    <t>0 code min</t>
  </si>
  <si>
    <t>0 code max</t>
  </si>
  <si>
    <t>1 code min</t>
  </si>
  <si>
    <t>1 code max</t>
  </si>
  <si>
    <t>12 MHz clock time (ns)</t>
  </si>
  <si>
    <t>WS2812B</t>
  </si>
  <si>
    <t>https://cdn-shop.adafruit.com/datasheets/WS2812B.pdf</t>
  </si>
  <si>
    <t>SK6812 RGBW</t>
  </si>
  <si>
    <t>https://cdn-shop.adafruit.com/product-files/2757/p2757_SK6812RGBW_REV01.pdf</t>
  </si>
  <si>
    <t>The data transmission time (TH+TL=1.25µs±600ns)</t>
  </si>
  <si>
    <t>0 code</t>
  </si>
  <si>
    <t xml:space="preserve">high level time </t>
  </si>
  <si>
    <t>0.3µs ±0.15µs</t>
  </si>
  <si>
    <t>1 code</t>
  </si>
  <si>
    <t>0.6µs ±0.15µs</t>
  </si>
  <si>
    <t xml:space="preserve">low level time </t>
  </si>
  <si>
    <t>0.9µs ±0.15µs</t>
  </si>
  <si>
    <t>Trst</t>
  </si>
  <si>
    <t>Reset code</t>
  </si>
  <si>
    <t>80µs</t>
  </si>
  <si>
    <r>
      <t>Data transfer time( TH+TL=1.25µs±</t>
    </r>
    <r>
      <rPr>
        <sz val="11"/>
        <color rgb="FFFF000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ns)</t>
    </r>
  </si>
  <si>
    <t>/d/GitHub-Mark-MDO47/FastLED/src</t>
  </si>
  <si>
    <t>chipsets.h</t>
  </si>
  <si>
    <t>// WS2812 - 250ns, 625ns, 375ns</t>
  </si>
  <si>
    <t>template &lt;uint8_t DATA_PIN, EOrder RGB_ORDER = RGB&gt;</t>
  </si>
  <si>
    <t>class WS2812Controller800Khz : public ClocklessController&lt;DATA_PIN, NS(250), NS(625), NS(375), RGB_ORDER&gt; {};</t>
  </si>
  <si>
    <t>/d/GitHub-Mark-MDO47/FastLED/src/platforms/esp/32/</t>
  </si>
  <si>
    <t>T_1</t>
  </si>
  <si>
    <t>T_2</t>
  </si>
  <si>
    <t>T_3</t>
  </si>
  <si>
    <t>delta</t>
  </si>
  <si>
    <t>/d/GitHub-Mark-MDO47/FastLED/src/platforms/esp/32/clockless_rmt_esp32.cpp</t>
  </si>
  <si>
    <t xml:space="preserve">    // -- Precompute rmt items corresponding to a zero bit and a one bit</t>
  </si>
  <si>
    <t xml:space="preserve">    //    according to the timing values given in the template instantiation</t>
  </si>
  <si>
    <t xml:space="preserve">    // T1H</t>
  </si>
  <si>
    <t xml:space="preserve">    mOne.level0 = 1;</t>
  </si>
  <si>
    <t xml:space="preserve">    mOne.duration0 = ESP_TO_RMT_CYCLES(T1+T2); // TO_RMT_CYCLES(T1+T2);</t>
  </si>
  <si>
    <t xml:space="preserve">    // T1L</t>
  </si>
  <si>
    <t xml:space="preserve">    mOne.level1 = 0;</t>
  </si>
  <si>
    <t xml:space="preserve">    mOne.duration1 = ESP_TO_RMT_CYCLES(T3); // TO_RMT_CYCLES(T3);</t>
  </si>
  <si>
    <t xml:space="preserve">    // T0H</t>
  </si>
  <si>
    <t xml:space="preserve">    mZero.level0 = 1;</t>
  </si>
  <si>
    <t xml:space="preserve">    mZero.duration0 = ESP_TO_RMT_CYCLES(T1); // TO_RMT_CYCLES(T1);</t>
  </si>
  <si>
    <t xml:space="preserve">    // T0L</t>
  </si>
  <si>
    <t xml:space="preserve">    mZero.level1 = 0;</t>
  </si>
  <si>
    <t xml:space="preserve">    mZero.duration1 = ESP_TO_RMT_CYCLES(T2+T3); // TO_RMT_CYCLES(T2 + T3);</t>
  </si>
  <si>
    <t>one</t>
  </si>
  <si>
    <t>zero</t>
  </si>
  <si>
    <t>timeHigh</t>
  </si>
  <si>
    <t>timeLow</t>
  </si>
  <si>
    <t>total</t>
  </si>
  <si>
    <t>This is still for FastLED use of RMT (Remote Control) driver</t>
  </si>
  <si>
    <t>/d/GitHub-Mark-MDO47/FastLED/src/platforms/esp/32/clockless_rmt_esp32.h</t>
  </si>
  <si>
    <t>// -- Configuration constants</t>
  </si>
  <si>
    <t>#define DIVIDER       2 /* 4, 8 still seem to work, but timings become marginal */</t>
  </si>
  <si>
    <t>// -- RMT memory configuration</t>
  </si>
  <si>
    <t>//    By default we use two memory blocks for each RMT channel instead of 1. The</t>
  </si>
  <si>
    <t>//    reason is that one memory block is only 64 bits, which causes the refill</t>
  </si>
  <si>
    <t>//    interrupt to fire too often. When combined with WiFi, this leads to conflicts</t>
  </si>
  <si>
    <t>//    between interrupts and weird flashy effects on the LEDs. Special thanks to</t>
  </si>
  <si>
    <t>//    Brian Bulkowski for finding this problem and developing a fix.</t>
  </si>
  <si>
    <t>#ifndef FASTLED_RMT_MEM_BLOCKS</t>
  </si>
  <si>
    <t>#define FASTLED_RMT_MEM_BLOCKS 2</t>
  </si>
  <si>
    <t>#endif</t>
  </si>
  <si>
    <t>// 64 for ESP32, ESP32S2</t>
  </si>
  <si>
    <t>// 48 for ESP32S3, ESP32C3, ESP32H2</t>
  </si>
  <si>
    <t>#ifndef FASTLED_RMT_MEM_WORDS_PER_CHANNEL</t>
  </si>
  <si>
    <t>#if ESP_IDF_VERSION &gt;= ESP_IDF_VERSION_VAL(4, 4, 0)</t>
  </si>
  <si>
    <t>#define FASTLED_RMT_MEM_WORDS_PER_CHANNEL SOC_RMT_MEM_WORDS_PER_CHANNEL</t>
  </si>
  <si>
    <t>#else</t>
  </si>
  <si>
    <t>// ESP32 value (only chip variant supported on older IDF)</t>
  </si>
  <si>
    <t xml:space="preserve">#define FASTLED_RMT_MEM_WORDS_PER_CHANNEL 64 </t>
  </si>
  <si>
    <t xml:space="preserve">#endif </t>
  </si>
  <si>
    <t>#define MAX_PULSES (FASTLED_RMT_MEM_WORDS_PER_CHANNEL * FASTLED_RMT_MEM_BLOCKS)</t>
  </si>
  <si>
    <t>#define PULSES_PER_FILL    (MAX_PULSES / 2)              /* Half of the channel buffer */</t>
  </si>
  <si>
    <t>// -- Convert ESP32 CPU cycles to RMT device cycles, taking into account the divider</t>
  </si>
  <si>
    <t>// RMT Clock is typically APB CLK, which is 80MHz on most devices, but 40MHz on ESP32-H2</t>
  </si>
  <si>
    <t>#define F_CPU_RMT                   (  APB_CLK_FREQ )</t>
  </si>
  <si>
    <t>#define RMT_CYCLES_PER_SEC          (F_CPU_RMT/DIVIDER)</t>
  </si>
  <si>
    <t>#define RMT_CYCLES_PER_ESP_CYCLE    (F_CPU / RMT_CYCLES_PER_SEC)</t>
  </si>
  <si>
    <t>#define ESP_TO_RMT_CYCLES(n)        ((n) / (RMT_CYCLES_PER_ESP_CYCLE))</t>
  </si>
  <si>
    <t>// -- Number of cycles to signal the strip to latch</t>
  </si>
  <si>
    <t>#define NS_PER_CYCLE                ( 1000000000L / RMT_CYCLES_PER_SEC )</t>
  </si>
  <si>
    <t>#define NS_TO_CYCLES(n)             ( (n) / NS_PER_CYCLE )</t>
  </si>
  <si>
    <t>#define RMT_RESET_DURATION          NS_TO_CYCLES(50000)</t>
  </si>
  <si>
    <t>need 80,000</t>
  </si>
  <si>
    <t>F_CPU</t>
  </si>
  <si>
    <t>DIVIDER</t>
  </si>
  <si>
    <t>F_CPU_RMT</t>
  </si>
  <si>
    <t>RMT_CYCLES_PER_SEC</t>
  </si>
  <si>
    <t>RMT_CYCLES_PER_ESP_CYCLE</t>
  </si>
  <si>
    <t>NS_PER_CYCLE</t>
  </si>
  <si>
    <t>ESP_TO_RMT_CYCLES(n)</t>
  </si>
  <si>
    <t>NS_TO_CYCLES(n)</t>
  </si>
  <si>
    <t>ESP32</t>
  </si>
  <si>
    <t>nanosec</t>
  </si>
  <si>
    <t>approx clock time desired</t>
  </si>
  <si>
    <t>Hz</t>
  </si>
  <si>
    <t>internal clock</t>
  </si>
  <si>
    <t>$ apio raw "icepll -i 12 -o 96"</t>
  </si>
  <si>
    <t>F_PLLIN:    12.000 MHz (given)</t>
  </si>
  <si>
    <t>F_PLLOUT:   96.000 MHz (requested)</t>
  </si>
  <si>
    <t>F_PLLOUT:   96.000 MHz (achieved)</t>
  </si>
  <si>
    <t>FEEDBACK: SIMPLE</t>
  </si>
  <si>
    <t>F_PFD:   12.000 MHz</t>
  </si>
  <si>
    <t>F_VCO:  768.000 MHz</t>
  </si>
  <si>
    <t>DIVR:  0 (4'b0000)</t>
  </si>
  <si>
    <t>DIVF: 63 (7'b0111111)</t>
  </si>
  <si>
    <t>DIVQ:  3 (3'b011)</t>
  </si>
  <si>
    <t>FILTER_RANGE: 1 (3'b001)</t>
  </si>
  <si>
    <t>ICE40UP5K-B-EVN</t>
  </si>
  <si>
    <t>https://www.latticesemi.com/products/developmentboardsandkits/ice40ultraplusbreakoutboard</t>
  </si>
  <si>
    <t>iCE40 UltraPlus (iCE40UP5K) device in a 48-pin QFN package</t>
  </si>
  <si>
    <t>Ordering Part Number: iCE40UP5K-B-EVN</t>
  </si>
  <si>
    <t>https://www.latticesemi.com/Products/FPGAandCPLD/iCE40UltraPlus</t>
  </si>
  <si>
    <t>counts</t>
  </si>
  <si>
    <t>time(ns)</t>
  </si>
  <si>
    <t>0 code FPGA</t>
  </si>
  <si>
    <t>1 code FPGA</t>
  </si>
  <si>
    <t>#define FRAMES_PER_SECOND 120</t>
  </si>
  <si>
    <t>https://github.com/FastLED/FastLED/blob/master/examples/DemoReel100/DemoReel100.ino</t>
  </si>
  <si>
    <t>// send the 'leds' array out to the actual LED strip</t>
  </si>
  <si>
    <t>FastLED.show();</t>
  </si>
  <si>
    <t>// insert a delay to keep the framerate modest</t>
  </si>
  <si>
    <t>FastLED.delay(1000/FRAMES_PER_SECOND);</t>
  </si>
  <si>
    <t>millisecond per loop</t>
  </si>
  <si>
    <t>RGB ESP32 LEDs per second</t>
  </si>
  <si>
    <t>leds per loop</t>
  </si>
  <si>
    <t>RGBW_fastest</t>
  </si>
  <si>
    <t>RGB_bit_rate_slowest</t>
  </si>
  <si>
    <t>RGB_fastest</t>
  </si>
  <si>
    <t>RGB_slowest</t>
  </si>
  <si>
    <t>ESP32_RGB</t>
  </si>
  <si>
    <t>ESP32_RGB_bit_rate</t>
  </si>
  <si>
    <t>FPGA_bit_rate</t>
  </si>
  <si>
    <t>FPGA_RGBW</t>
  </si>
  <si>
    <t>RGBW_bit_rate_fastest</t>
  </si>
  <si>
    <t>RGBW_slowest</t>
  </si>
  <si>
    <t>RGBW_bit_rate_slowest</t>
  </si>
  <si>
    <t>per LED</t>
  </si>
  <si>
    <t>Nanoseconds</t>
  </si>
  <si>
    <t>LED/Sec</t>
  </si>
  <si>
    <t>nanosec spent on serial line</t>
  </si>
  <si>
    <t>RGB_bit_rate_fastest</t>
  </si>
  <si>
    <t>RGB_0_code_min</t>
  </si>
  <si>
    <t>RGB_0_code_max</t>
  </si>
  <si>
    <t>RGB_1_code_min</t>
  </si>
  <si>
    <t>RGB_1_code_max</t>
  </si>
  <si>
    <t>T0H_max</t>
  </si>
  <si>
    <t>T0L_max</t>
  </si>
  <si>
    <t>T1H_max</t>
  </si>
  <si>
    <t>T1L_max</t>
  </si>
  <si>
    <t>T0H_min</t>
  </si>
  <si>
    <t>T0L_min</t>
  </si>
  <si>
    <t>T1H_min</t>
  </si>
  <si>
    <t>T1L_min</t>
  </si>
  <si>
    <t>RGB</t>
  </si>
  <si>
    <t>possible choices</t>
  </si>
  <si>
    <t>PLL_clockrate</t>
  </si>
  <si>
    <t>ns</t>
  </si>
  <si>
    <t>inp_guardrail</t>
  </si>
  <si>
    <t>clocks</t>
  </si>
  <si>
    <t>RGB_rst</t>
  </si>
  <si>
    <t>Question: should I do out-of-band communication to report status (RGB_rst or input overflow) to the other side? Or just use four bytes per RGB</t>
  </si>
  <si>
    <t>RGBW_rst</t>
  </si>
  <si>
    <t>margin</t>
  </si>
  <si>
    <t>https://forum.digikey.com/t/debounce-logic-circuit-vhdl/12573</t>
  </si>
  <si>
    <t>0-min-min</t>
  </si>
  <si>
    <t>0-max-min</t>
  </si>
  <si>
    <t>0-min-max</t>
  </si>
  <si>
    <t>0-max-max</t>
  </si>
  <si>
    <t>ticks</t>
  </si>
  <si>
    <t>1-min-min</t>
  </si>
  <si>
    <t>1-max-min</t>
  </si>
  <si>
    <t>1-min-max</t>
  </si>
  <si>
    <t>1-max-max</t>
  </si>
  <si>
    <t>code_max</t>
  </si>
  <si>
    <t>numbits</t>
  </si>
  <si>
    <t>count</t>
  </si>
  <si>
    <t>val</t>
  </si>
  <si>
    <t>&lt;96</t>
  </si>
  <si>
    <t>any</t>
  </si>
  <si>
    <t>rst</t>
  </si>
  <si>
    <t>&gt;4750</t>
  </si>
  <si>
    <t>stop count</t>
  </si>
  <si>
    <t>sample</t>
  </si>
  <si>
    <t>PLL_period</t>
  </si>
  <si>
    <t>rnd-up</t>
  </si>
  <si>
    <t>word</t>
  </si>
  <si>
    <t>wd/sec</t>
  </si>
  <si>
    <t>LEFT(C3,FIND("_min",C3))</t>
  </si>
  <si>
    <t>words</t>
  </si>
  <si>
    <t>clk/LED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</si>
</sst>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5" fillId="0" borderId="0" xfId="0" applyFont="1"/>
    <xf numFmtId="0" fontId="2" fillId="3" borderId="0" xfId="2"/>
    <xf numFmtId="0" fontId="8" fillId="0" borderId="0" xfId="0" applyFont="1"/>
    <xf numFmtId="0" fontId="4" fillId="0" borderId="0" xfId="0" applyFont="1"/>
    <xf numFmtId="0" fontId="1" fillId="2" borderId="0" xfId="1"/>
    <xf numFmtId="0" fontId="3" fillId="4" borderId="1" xfId="3"/>
    <xf numFmtId="0" fontId="9" fillId="0" borderId="0" xfId="4"/>
    <xf numFmtId="3" fontId="1" fillId="2" borderId="0" xfId="1" applyNumberFormat="1"/>
    <xf numFmtId="3" fontId="11" fillId="6" borderId="1" xfId="6" applyNumberFormat="1"/>
    <xf numFmtId="0" fontId="12" fillId="7" borderId="2" xfId="7"/>
    <xf numFmtId="0" fontId="12" fillId="7" borderId="2" xfId="7" applyAlignment="1">
      <alignment horizontal="center"/>
    </xf>
    <xf numFmtId="0" fontId="11" fillId="6" borderId="1" xfId="6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10" fillId="5" borderId="0" xfId="5"/>
    <xf numFmtId="4" fontId="0" fillId="0" borderId="0" xfId="0" applyNumberFormat="1"/>
    <xf numFmtId="0" fontId="12" fillId="7" borderId="7" xfId="7" applyBorder="1"/>
    <xf numFmtId="3" fontId="0" fillId="0" borderId="5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12" fillId="7" borderId="2" xfId="7" applyAlignment="1">
      <alignment horizontal="center"/>
    </xf>
    <xf numFmtId="0" fontId="12" fillId="7" borderId="3" xfId="7" applyBorder="1" applyAlignment="1">
      <alignment horizontal="center"/>
    </xf>
    <xf numFmtId="0" fontId="12" fillId="7" borderId="4" xfId="7" applyBorder="1" applyAlignment="1">
      <alignment horizontal="center"/>
    </xf>
    <xf numFmtId="0" fontId="12" fillId="7" borderId="6" xfId="7" applyBorder="1" applyAlignment="1">
      <alignment horizontal="center" vertical="center"/>
    </xf>
  </cellXfs>
  <cellStyles count="8">
    <cellStyle name="Bad" xfId="2" builtinId="27"/>
    <cellStyle name="Calculation" xfId="6" builtinId="22"/>
    <cellStyle name="Check Cell" xfId="7" builtinId="23"/>
    <cellStyle name="Good" xfId="1" builtinId="26"/>
    <cellStyle name="Hyperlink" xfId="4" builtinId="8"/>
    <cellStyle name="Input" xfId="3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SampleTime (96 Mhz Clks) WS2812B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 calcs'!$P$33</c:f>
              <c:strCache>
                <c:ptCount val="1"/>
                <c:pt idx="0">
                  <c:v>0-min-min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'RGB calcs'!$P$34:$P$203</c:f>
              <c:numCache>
                <c:formatCode>General</c:formatCode>
                <c:ptCount val="170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1-4722-807A-EAC470D98C70}"/>
            </c:ext>
          </c:extLst>
        </c:ser>
        <c:ser>
          <c:idx val="1"/>
          <c:order val="1"/>
          <c:tx>
            <c:strRef>
              <c:f>'RGB calcs'!$Q$33</c:f>
              <c:strCache>
                <c:ptCount val="1"/>
                <c:pt idx="0">
                  <c:v>0-max-min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'RGB calcs'!$Q$34:$Q$203</c:f>
              <c:numCache>
                <c:formatCode>General</c:formatCode>
                <c:ptCount val="170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1-4722-807A-EAC470D98C70}"/>
            </c:ext>
          </c:extLst>
        </c:ser>
        <c:ser>
          <c:idx val="2"/>
          <c:order val="2"/>
          <c:tx>
            <c:strRef>
              <c:f>'RGB calcs'!$R$33</c:f>
              <c:strCache>
                <c:ptCount val="1"/>
                <c:pt idx="0">
                  <c:v>0-min-max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'RGB calcs'!$R$34:$R$203</c:f>
              <c:numCache>
                <c:formatCode>General</c:formatCode>
                <c:ptCount val="170"/>
                <c:pt idx="0">
                  <c:v>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1-4722-807A-EAC470D98C70}"/>
            </c:ext>
          </c:extLst>
        </c:ser>
        <c:ser>
          <c:idx val="3"/>
          <c:order val="3"/>
          <c:tx>
            <c:strRef>
              <c:f>'RGB calcs'!$S$33</c:f>
              <c:strCache>
                <c:ptCount val="1"/>
                <c:pt idx="0">
                  <c:v>0-max-max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'RGB calcs'!$S$34:$S$203</c:f>
              <c:numCache>
                <c:formatCode>General</c:formatCode>
                <c:ptCount val="170"/>
                <c:pt idx="0">
                  <c:v>7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1-4722-807A-EAC470D98C70}"/>
            </c:ext>
          </c:extLst>
        </c:ser>
        <c:ser>
          <c:idx val="4"/>
          <c:order val="4"/>
          <c:tx>
            <c:strRef>
              <c:f>'RGB calcs'!$T$33</c:f>
              <c:strCache>
                <c:ptCount val="1"/>
                <c:pt idx="0">
                  <c:v>1-min-min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'RGB calcs'!$T$34:$T$203</c:f>
              <c:numCache>
                <c:formatCode>General</c:formatCode>
                <c:ptCount val="170"/>
                <c:pt idx="0">
                  <c:v>9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61-4722-807A-EAC470D98C70}"/>
            </c:ext>
          </c:extLst>
        </c:ser>
        <c:ser>
          <c:idx val="5"/>
          <c:order val="5"/>
          <c:tx>
            <c:strRef>
              <c:f>'RGB calcs'!$U$33</c:f>
              <c:strCache>
                <c:ptCount val="1"/>
                <c:pt idx="0">
                  <c:v>1-max-min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'RGB calcs'!$U$34:$U$203</c:f>
              <c:numCache>
                <c:formatCode>General</c:formatCode>
                <c:ptCount val="170"/>
                <c:pt idx="0">
                  <c:v>11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11.5</c:v>
                </c:pt>
                <c:pt idx="85">
                  <c:v>11.5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11.5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11.5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11.5</c:v>
                </c:pt>
                <c:pt idx="161">
                  <c:v>11.5</c:v>
                </c:pt>
                <c:pt idx="162">
                  <c:v>11.5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61-4722-807A-EAC470D98C70}"/>
            </c:ext>
          </c:extLst>
        </c:ser>
        <c:ser>
          <c:idx val="6"/>
          <c:order val="6"/>
          <c:tx>
            <c:strRef>
              <c:f>'RGB calcs'!$V$33</c:f>
              <c:strCache>
                <c:ptCount val="1"/>
                <c:pt idx="0">
                  <c:v>1-min-max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'RGB calcs'!$V$34:$V$203</c:f>
              <c:numCache>
                <c:formatCode>General</c:formatCode>
                <c:ptCount val="170"/>
                <c:pt idx="0">
                  <c:v>13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13.5</c:v>
                </c:pt>
                <c:pt idx="33">
                  <c:v>13.5</c:v>
                </c:pt>
                <c:pt idx="34">
                  <c:v>13.5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13.5</c:v>
                </c:pt>
                <c:pt idx="131">
                  <c:v>13.5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13.5</c:v>
                </c:pt>
                <c:pt idx="139">
                  <c:v>13.5</c:v>
                </c:pt>
                <c:pt idx="140">
                  <c:v>13.5</c:v>
                </c:pt>
                <c:pt idx="141">
                  <c:v>13.5</c:v>
                </c:pt>
                <c:pt idx="142">
                  <c:v>13.5</c:v>
                </c:pt>
                <c:pt idx="143">
                  <c:v>13.5</c:v>
                </c:pt>
                <c:pt idx="144">
                  <c:v>13.5</c:v>
                </c:pt>
                <c:pt idx="145">
                  <c:v>13.5</c:v>
                </c:pt>
                <c:pt idx="146">
                  <c:v>13.5</c:v>
                </c:pt>
                <c:pt idx="147">
                  <c:v>13.5</c:v>
                </c:pt>
                <c:pt idx="148">
                  <c:v>13.5</c:v>
                </c:pt>
                <c:pt idx="149">
                  <c:v>13.5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13.5</c:v>
                </c:pt>
                <c:pt idx="161">
                  <c:v>13.5</c:v>
                </c:pt>
                <c:pt idx="162">
                  <c:v>13.5</c:v>
                </c:pt>
                <c:pt idx="163">
                  <c:v>13.5</c:v>
                </c:pt>
                <c:pt idx="164">
                  <c:v>13.5</c:v>
                </c:pt>
                <c:pt idx="165">
                  <c:v>13.5</c:v>
                </c:pt>
                <c:pt idx="166">
                  <c:v>13.5</c:v>
                </c:pt>
                <c:pt idx="167">
                  <c:v>13.5</c:v>
                </c:pt>
                <c:pt idx="168">
                  <c:v>13.5</c:v>
                </c:pt>
                <c:pt idx="16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1-4722-807A-EAC470D98C70}"/>
            </c:ext>
          </c:extLst>
        </c:ser>
        <c:ser>
          <c:idx val="7"/>
          <c:order val="7"/>
          <c:tx>
            <c:strRef>
              <c:f>'RGB calcs'!$W$33</c:f>
              <c:strCache>
                <c:ptCount val="1"/>
                <c:pt idx="0">
                  <c:v>1-max-max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'RGB calcs'!$W$34:$W$203</c:f>
              <c:numCache>
                <c:formatCode>General</c:formatCode>
                <c:ptCount val="170"/>
                <c:pt idx="0">
                  <c:v>15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15.5</c:v>
                </c:pt>
                <c:pt idx="26">
                  <c:v>15.5</c:v>
                </c:pt>
                <c:pt idx="27">
                  <c:v>15.5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15.5</c:v>
                </c:pt>
                <c:pt idx="80">
                  <c:v>15.5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14.5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14.5</c:v>
                </c:pt>
                <c:pt idx="108">
                  <c:v>14.5</c:v>
                </c:pt>
                <c:pt idx="109">
                  <c:v>14.5</c:v>
                </c:pt>
                <c:pt idx="110">
                  <c:v>14.5</c:v>
                </c:pt>
                <c:pt idx="111">
                  <c:v>14.5</c:v>
                </c:pt>
                <c:pt idx="112">
                  <c:v>14.5</c:v>
                </c:pt>
                <c:pt idx="113">
                  <c:v>14.5</c:v>
                </c:pt>
                <c:pt idx="114">
                  <c:v>14.5</c:v>
                </c:pt>
                <c:pt idx="115">
                  <c:v>14.5</c:v>
                </c:pt>
                <c:pt idx="116">
                  <c:v>14.5</c:v>
                </c:pt>
                <c:pt idx="117">
                  <c:v>14.5</c:v>
                </c:pt>
                <c:pt idx="118">
                  <c:v>14.5</c:v>
                </c:pt>
                <c:pt idx="119">
                  <c:v>14.5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14.5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14.5</c:v>
                </c:pt>
                <c:pt idx="128">
                  <c:v>14.5</c:v>
                </c:pt>
                <c:pt idx="129">
                  <c:v>14.5</c:v>
                </c:pt>
                <c:pt idx="130">
                  <c:v>14.5</c:v>
                </c:pt>
                <c:pt idx="131">
                  <c:v>14.5</c:v>
                </c:pt>
                <c:pt idx="132">
                  <c:v>14.5</c:v>
                </c:pt>
                <c:pt idx="133">
                  <c:v>14.5</c:v>
                </c:pt>
                <c:pt idx="134">
                  <c:v>14.5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</c:v>
                </c:pt>
                <c:pt idx="140">
                  <c:v>14.5</c:v>
                </c:pt>
                <c:pt idx="141">
                  <c:v>14.5</c:v>
                </c:pt>
                <c:pt idx="142">
                  <c:v>14.5</c:v>
                </c:pt>
                <c:pt idx="143">
                  <c:v>14.5</c:v>
                </c:pt>
                <c:pt idx="144">
                  <c:v>14.5</c:v>
                </c:pt>
                <c:pt idx="145">
                  <c:v>14.5</c:v>
                </c:pt>
                <c:pt idx="146">
                  <c:v>14.5</c:v>
                </c:pt>
                <c:pt idx="147">
                  <c:v>14.5</c:v>
                </c:pt>
                <c:pt idx="148">
                  <c:v>14.5</c:v>
                </c:pt>
                <c:pt idx="149">
                  <c:v>15.5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15.5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15.5</c:v>
                </c:pt>
                <c:pt idx="166">
                  <c:v>15.5</c:v>
                </c:pt>
                <c:pt idx="167">
                  <c:v>15.5</c:v>
                </c:pt>
                <c:pt idx="168">
                  <c:v>15.5</c:v>
                </c:pt>
                <c:pt idx="16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61-4722-807A-EAC470D98C70}"/>
            </c:ext>
          </c:extLst>
        </c:ser>
        <c:ser>
          <c:idx val="8"/>
          <c:order val="8"/>
          <c:tx>
            <c:strRef>
              <c:f>'RGB calcs'!$X$33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'RGB calcs'!$X$34:$X$203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61-4722-807A-EAC470D9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08048"/>
        <c:axId val="2065010128"/>
      </c:lineChart>
      <c:catAx>
        <c:axId val="20650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10128"/>
        <c:crosses val="autoZero"/>
        <c:auto val="1"/>
        <c:lblAlgn val="ctr"/>
        <c:lblOffset val="100"/>
        <c:noMultiLvlLbl val="0"/>
      </c:catAx>
      <c:valAx>
        <c:axId val="20650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C45808-1A74-43F3-9C84-BBA4ECD4E81B}">
  <sheetPr/>
  <sheetViews>
    <sheetView zoomScale="10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12</xdr:col>
      <xdr:colOff>590550</xdr:colOff>
      <xdr:row>51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D1EC6-3979-E4B9-A382-F27D889D2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906375" cy="815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24</xdr:col>
      <xdr:colOff>400050</xdr:colOff>
      <xdr:row>30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B7FDE2-D25B-4000-BD05-591DD54E7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714500"/>
          <a:ext cx="559117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2F7F-6FFC-C08A-929B-8D86CE030E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n-shop.adafruit.com/datasheets/WS2812B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shop.adafruit.com/product-files/2757/p2757_SK6812RGBW_REV0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newark.com/55AJ2586?CMP=e-email-sys-invoice-NA-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D958-6671-4455-9BE9-F24EADC20B80}">
  <dimension ref="A1:X40"/>
  <sheetViews>
    <sheetView tabSelected="1" workbookViewId="0">
      <selection activeCell="J8" sqref="J8"/>
    </sheetView>
  </sheetViews>
  <sheetFormatPr defaultRowHeight="15" x14ac:dyDescent="0.25"/>
  <cols>
    <col min="1" max="1" width="39.7109375" bestFit="1" customWidth="1"/>
    <col min="4" max="4" width="23.5703125" bestFit="1" customWidth="1"/>
    <col min="5" max="5" width="13.5703125" bestFit="1" customWidth="1"/>
    <col min="9" max="9" width="16.42578125" bestFit="1" customWidth="1"/>
    <col min="10" max="10" width="16.7109375" bestFit="1" customWidth="1"/>
    <col min="12" max="12" width="19.85546875" bestFit="1" customWidth="1"/>
    <col min="13" max="13" width="20.7109375" bestFit="1" customWidth="1"/>
    <col min="14" max="14" width="11.5703125" bestFit="1" customWidth="1"/>
    <col min="15" max="15" width="12.42578125" bestFit="1" customWidth="1"/>
    <col min="16" max="16" width="12" bestFit="1" customWidth="1"/>
    <col min="21" max="21" width="13.85546875" customWidth="1"/>
  </cols>
  <sheetData>
    <row r="1" spans="1:18" ht="21" x14ac:dyDescent="0.35">
      <c r="A1" s="3" t="s">
        <v>27</v>
      </c>
      <c r="B1" s="9" t="s">
        <v>28</v>
      </c>
    </row>
    <row r="2" spans="1:18" x14ac:dyDescent="0.25">
      <c r="A2" t="s">
        <v>42</v>
      </c>
      <c r="C2" t="s">
        <v>42</v>
      </c>
      <c r="F2" t="s">
        <v>16</v>
      </c>
      <c r="G2" t="s">
        <v>17</v>
      </c>
      <c r="I2" t="s">
        <v>166</v>
      </c>
      <c r="J2" t="s">
        <v>167</v>
      </c>
      <c r="L2" t="s">
        <v>165</v>
      </c>
      <c r="M2" t="s">
        <v>151</v>
      </c>
      <c r="N2" t="s">
        <v>152</v>
      </c>
      <c r="O2" t="s">
        <v>153</v>
      </c>
      <c r="R2" t="s">
        <v>26</v>
      </c>
    </row>
    <row r="3" spans="1:18" x14ac:dyDescent="0.25">
      <c r="A3" t="s">
        <v>0</v>
      </c>
      <c r="C3" t="s">
        <v>5</v>
      </c>
      <c r="D3" t="s">
        <v>10</v>
      </c>
      <c r="E3" t="s">
        <v>18</v>
      </c>
      <c r="F3">
        <f>LEFT($E3,FIND("u",$E3)-1)*1000-150</f>
        <v>250</v>
      </c>
      <c r="G3">
        <f>LEFT($E3,FIND("u",$E3)-1)*1000+150</f>
        <v>550</v>
      </c>
      <c r="I3" s="7">
        <f>T0H_min+T0L_min</f>
        <v>950</v>
      </c>
      <c r="J3" s="7">
        <f>T0H_max+T0L_max</f>
        <v>1550</v>
      </c>
      <c r="L3" s="10">
        <f>POWER(10,9)/RGB_0_code_min</f>
        <v>1052631.5789473683</v>
      </c>
      <c r="M3" s="10">
        <f>POWER(10,9)/RGB_0_code_max</f>
        <v>645161.29032258061</v>
      </c>
      <c r="N3" s="10">
        <f>RBG_bit_rate_fastest/24</f>
        <v>43859.649122807015</v>
      </c>
      <c r="O3" s="10">
        <f>RGB_bit_rate_slowest/24</f>
        <v>26881.720430107525</v>
      </c>
      <c r="R3" s="2">
        <f>1/(12*POWER(10,6))*POWER(10,9)</f>
        <v>83.333333333333343</v>
      </c>
    </row>
    <row r="4" spans="1:18" x14ac:dyDescent="0.25">
      <c r="A4" t="s">
        <v>1</v>
      </c>
      <c r="C4" t="s">
        <v>6</v>
      </c>
      <c r="D4" t="s">
        <v>11</v>
      </c>
      <c r="E4" t="s">
        <v>19</v>
      </c>
      <c r="F4">
        <f t="shared" ref="F4:F6" si="0">LEFT($E4,FIND("u",$E4)-1)*1000-150</f>
        <v>650</v>
      </c>
      <c r="G4">
        <f t="shared" ref="G4:G6" si="1">LEFT($E4,FIND("u",$E4)-1)*1000+150</f>
        <v>950</v>
      </c>
      <c r="I4" t="s">
        <v>168</v>
      </c>
      <c r="J4" t="s">
        <v>169</v>
      </c>
    </row>
    <row r="5" spans="1:18" x14ac:dyDescent="0.25">
      <c r="A5" t="s">
        <v>2</v>
      </c>
      <c r="C5" t="s">
        <v>7</v>
      </c>
      <c r="D5" t="s">
        <v>12</v>
      </c>
      <c r="E5" t="s">
        <v>20</v>
      </c>
      <c r="F5">
        <f t="shared" si="0"/>
        <v>700</v>
      </c>
      <c r="G5">
        <f t="shared" si="1"/>
        <v>1000</v>
      </c>
      <c r="I5" s="7">
        <f>T1H_min+T1L_min</f>
        <v>950</v>
      </c>
      <c r="J5" s="7">
        <f>T1H_max+T1L_max</f>
        <v>1550</v>
      </c>
    </row>
    <row r="6" spans="1:18" x14ac:dyDescent="0.25">
      <c r="A6" t="s">
        <v>3</v>
      </c>
      <c r="C6" t="s">
        <v>8</v>
      </c>
      <c r="D6" t="s">
        <v>13</v>
      </c>
      <c r="E6" t="s">
        <v>21</v>
      </c>
      <c r="F6">
        <f t="shared" si="0"/>
        <v>300</v>
      </c>
      <c r="G6">
        <f t="shared" si="1"/>
        <v>600</v>
      </c>
      <c r="L6" t="s">
        <v>184</v>
      </c>
    </row>
    <row r="7" spans="1:18" x14ac:dyDescent="0.25">
      <c r="A7" t="s">
        <v>4</v>
      </c>
      <c r="C7" t="s">
        <v>9</v>
      </c>
      <c r="D7" t="s">
        <v>14</v>
      </c>
      <c r="E7" t="s">
        <v>15</v>
      </c>
      <c r="F7">
        <v>50000</v>
      </c>
      <c r="G7">
        <v>50000</v>
      </c>
      <c r="L7" s="7">
        <f>F7</f>
        <v>50000</v>
      </c>
    </row>
    <row r="32" spans="21:24" x14ac:dyDescent="0.25">
      <c r="U32" t="s">
        <v>155</v>
      </c>
      <c r="V32" t="s">
        <v>154</v>
      </c>
      <c r="X32" t="s">
        <v>150</v>
      </c>
    </row>
    <row r="33" spans="17:24" x14ac:dyDescent="0.25">
      <c r="U33" s="10">
        <f>POWER(10,9)/$R37</f>
        <v>800000</v>
      </c>
      <c r="V33" s="10">
        <f>U33/24</f>
        <v>33333.333333333336</v>
      </c>
      <c r="X33" s="11">
        <f>RGBW_fastest</f>
        <v>34722.222222222219</v>
      </c>
    </row>
    <row r="34" spans="17:24" x14ac:dyDescent="0.25">
      <c r="Q34" t="s">
        <v>116</v>
      </c>
      <c r="R34" t="s">
        <v>68</v>
      </c>
      <c r="S34" t="s">
        <v>69</v>
      </c>
      <c r="U34" t="s">
        <v>68</v>
      </c>
      <c r="V34" t="s">
        <v>69</v>
      </c>
    </row>
    <row r="35" spans="17:24" x14ac:dyDescent="0.25">
      <c r="Q35" t="s">
        <v>70</v>
      </c>
      <c r="R35">
        <v>875</v>
      </c>
      <c r="S35">
        <v>250</v>
      </c>
      <c r="U35" s="2">
        <f>R35/$U$40</f>
        <v>83.999999999999986</v>
      </c>
      <c r="V35" s="2">
        <f>S35/$U$40</f>
        <v>23.999999999999996</v>
      </c>
    </row>
    <row r="36" spans="17:24" x14ac:dyDescent="0.25">
      <c r="Q36" t="s">
        <v>71</v>
      </c>
      <c r="R36">
        <v>375</v>
      </c>
      <c r="S36">
        <v>1000</v>
      </c>
      <c r="U36" s="2">
        <f t="shared" ref="U36:U37" si="2">R36/$U$40</f>
        <v>35.999999999999993</v>
      </c>
      <c r="V36" s="2">
        <f t="shared" ref="V36:V37" si="3">S36/$U$40</f>
        <v>95.999999999999986</v>
      </c>
    </row>
    <row r="37" spans="17:24" x14ac:dyDescent="0.25">
      <c r="Q37" t="s">
        <v>72</v>
      </c>
      <c r="R37">
        <v>1250</v>
      </c>
      <c r="S37">
        <v>1250</v>
      </c>
      <c r="U37" s="2">
        <f t="shared" si="2"/>
        <v>119.99999999999999</v>
      </c>
      <c r="V37" s="2">
        <f t="shared" si="3"/>
        <v>119.99999999999999</v>
      </c>
    </row>
    <row r="39" spans="17:24" x14ac:dyDescent="0.25">
      <c r="U39" s="14">
        <f>PLL_clockrate</f>
        <v>96000000</v>
      </c>
      <c r="V39" t="s">
        <v>119</v>
      </c>
    </row>
    <row r="40" spans="17:24" x14ac:dyDescent="0.25">
      <c r="U40" s="14">
        <f>PLL_period</f>
        <v>10.416666666666668</v>
      </c>
      <c r="V40" t="s">
        <v>117</v>
      </c>
    </row>
  </sheetData>
  <hyperlinks>
    <hyperlink ref="B1" r:id="rId1" xr:uid="{D3BB1D69-BE32-4C87-947F-A76457FE7A1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BF1D-71B6-4A77-8B72-FE08B4C65A5C}">
  <dimension ref="A1:P31"/>
  <sheetViews>
    <sheetView workbookViewId="0">
      <selection activeCell="B3" sqref="B3:G7"/>
    </sheetView>
  </sheetViews>
  <sheetFormatPr defaultRowHeight="15" x14ac:dyDescent="0.25"/>
  <cols>
    <col min="1" max="1" width="19.42578125" customWidth="1"/>
    <col min="12" max="12" width="10" bestFit="1" customWidth="1"/>
    <col min="14" max="15" width="10" bestFit="1" customWidth="1"/>
  </cols>
  <sheetData>
    <row r="1" spans="1:16" ht="21" x14ac:dyDescent="0.35">
      <c r="A1" s="3" t="s">
        <v>29</v>
      </c>
      <c r="D1" s="9" t="s">
        <v>30</v>
      </c>
    </row>
    <row r="2" spans="1:16" x14ac:dyDescent="0.25">
      <c r="A2" t="s">
        <v>31</v>
      </c>
      <c r="F2" t="s">
        <v>16</v>
      </c>
      <c r="G2" t="s">
        <v>17</v>
      </c>
      <c r="I2" t="s">
        <v>22</v>
      </c>
      <c r="J2" t="s">
        <v>23</v>
      </c>
      <c r="L2" t="s">
        <v>158</v>
      </c>
      <c r="M2" t="s">
        <v>160</v>
      </c>
      <c r="N2" t="s">
        <v>150</v>
      </c>
      <c r="O2" t="s">
        <v>159</v>
      </c>
    </row>
    <row r="3" spans="1:16" x14ac:dyDescent="0.25">
      <c r="B3" t="s">
        <v>5</v>
      </c>
      <c r="C3" t="s">
        <v>32</v>
      </c>
      <c r="D3" t="s">
        <v>33</v>
      </c>
      <c r="E3" t="s">
        <v>34</v>
      </c>
      <c r="F3">
        <f>LEFT($E3,FIND("µ",$E3)-1)*1000-150</f>
        <v>150</v>
      </c>
      <c r="G3">
        <f>LEFT($E3,FIND("µ",$E3)-1)*1000+150</f>
        <v>450</v>
      </c>
      <c r="I3">
        <f>F3+F5</f>
        <v>900</v>
      </c>
      <c r="J3">
        <f>G3+G5</f>
        <v>1500</v>
      </c>
      <c r="L3" s="10">
        <f>POWER(10,9)/I3</f>
        <v>1111111.111111111</v>
      </c>
      <c r="M3" s="10">
        <f>POWER(10,9)/J3</f>
        <v>666666.66666666663</v>
      </c>
      <c r="N3" s="10">
        <f>L3/32</f>
        <v>34722.222222222219</v>
      </c>
      <c r="O3" s="10">
        <f>M3/32</f>
        <v>20833.333333333332</v>
      </c>
    </row>
    <row r="4" spans="1:16" x14ac:dyDescent="0.25">
      <c r="B4" t="s">
        <v>6</v>
      </c>
      <c r="C4" t="s">
        <v>35</v>
      </c>
      <c r="D4" t="s">
        <v>33</v>
      </c>
      <c r="E4" t="s">
        <v>36</v>
      </c>
      <c r="F4">
        <f>LEFT($E4,FIND("µ",$E4)-1)*1000-150</f>
        <v>450</v>
      </c>
      <c r="G4">
        <f>LEFT($E4,FIND("µ",$E4)-1)*1000+150</f>
        <v>750</v>
      </c>
      <c r="I4" t="s">
        <v>24</v>
      </c>
      <c r="J4" t="s">
        <v>25</v>
      </c>
    </row>
    <row r="5" spans="1:16" x14ac:dyDescent="0.25">
      <c r="B5" t="s">
        <v>7</v>
      </c>
      <c r="C5" t="s">
        <v>32</v>
      </c>
      <c r="D5" t="s">
        <v>37</v>
      </c>
      <c r="E5" t="s">
        <v>38</v>
      </c>
      <c r="F5">
        <f>LEFT($E5,FIND("µ",$E5)-1)*1000-150</f>
        <v>750</v>
      </c>
      <c r="G5">
        <f>LEFT($E5,FIND("µ",$E5)-1)*1000+150</f>
        <v>1050</v>
      </c>
      <c r="I5">
        <f>F4+F6</f>
        <v>900</v>
      </c>
      <c r="J5">
        <f>G4+G6</f>
        <v>1500</v>
      </c>
    </row>
    <row r="6" spans="1:16" x14ac:dyDescent="0.25">
      <c r="B6" t="s">
        <v>8</v>
      </c>
      <c r="C6" t="s">
        <v>35</v>
      </c>
      <c r="D6" t="s">
        <v>37</v>
      </c>
      <c r="E6" t="s">
        <v>36</v>
      </c>
      <c r="F6">
        <f>LEFT($E6,FIND("µ",$E6)-1)*1000-150</f>
        <v>450</v>
      </c>
      <c r="G6">
        <f>LEFT($E6,FIND("µ",$E6)-1)*1000+150</f>
        <v>750</v>
      </c>
      <c r="L6" t="s">
        <v>186</v>
      </c>
    </row>
    <row r="7" spans="1:16" x14ac:dyDescent="0.25">
      <c r="B7" t="s">
        <v>39</v>
      </c>
      <c r="C7" t="s">
        <v>40</v>
      </c>
      <c r="D7" t="s">
        <v>37</v>
      </c>
      <c r="E7" s="4" t="s">
        <v>41</v>
      </c>
      <c r="F7">
        <v>80000</v>
      </c>
      <c r="G7">
        <v>80000</v>
      </c>
      <c r="L7" s="7">
        <f>F7</f>
        <v>80000</v>
      </c>
    </row>
    <row r="13" spans="1:16" x14ac:dyDescent="0.25">
      <c r="C13" t="str">
        <f>F2</f>
        <v>min (ns)</v>
      </c>
      <c r="E13" t="s">
        <v>137</v>
      </c>
      <c r="F13" t="s">
        <v>138</v>
      </c>
      <c r="I13" t="s">
        <v>139</v>
      </c>
      <c r="L13" t="s">
        <v>156</v>
      </c>
      <c r="N13" t="s">
        <v>157</v>
      </c>
      <c r="P13" t="s">
        <v>154</v>
      </c>
    </row>
    <row r="14" spans="1:16" x14ac:dyDescent="0.25">
      <c r="B14" t="s">
        <v>5</v>
      </c>
      <c r="C14">
        <f>F3</f>
        <v>150</v>
      </c>
      <c r="D14">
        <f>C14/PLL_period</f>
        <v>14.399999999999999</v>
      </c>
      <c r="E14">
        <f>TRUNC(D14+1.5)</f>
        <v>15</v>
      </c>
      <c r="F14">
        <f>E14*PLL_period</f>
        <v>156.25000000000003</v>
      </c>
      <c r="I14">
        <f>F14+F16</f>
        <v>916.66666666666674</v>
      </c>
      <c r="L14" s="10">
        <f>POWER(10,9)/I14</f>
        <v>1090909.0909090908</v>
      </c>
      <c r="N14" s="10">
        <f>L14/32</f>
        <v>34090.909090909088</v>
      </c>
      <c r="P14" s="11">
        <f>ESP32_RGB</f>
        <v>33333.333333333336</v>
      </c>
    </row>
    <row r="15" spans="1:16" x14ac:dyDescent="0.25">
      <c r="B15" t="s">
        <v>6</v>
      </c>
      <c r="C15">
        <f>F4</f>
        <v>450</v>
      </c>
      <c r="D15">
        <f>C15/PLL_period</f>
        <v>43.199999999999996</v>
      </c>
      <c r="E15">
        <f t="shared" ref="E15:E18" si="0">TRUNC(D15+1.5)</f>
        <v>44</v>
      </c>
      <c r="F15">
        <f>E15*PLL_period</f>
        <v>458.33333333333337</v>
      </c>
      <c r="I15" t="s">
        <v>140</v>
      </c>
    </row>
    <row r="16" spans="1:16" x14ac:dyDescent="0.25">
      <c r="B16" t="s">
        <v>7</v>
      </c>
      <c r="C16">
        <f>F5</f>
        <v>750</v>
      </c>
      <c r="D16">
        <f>C16/PLL_period</f>
        <v>71.999999999999986</v>
      </c>
      <c r="E16">
        <f t="shared" si="0"/>
        <v>73</v>
      </c>
      <c r="F16">
        <f>E16*PLL_period</f>
        <v>760.41666666666674</v>
      </c>
      <c r="I16">
        <f>F15+F17</f>
        <v>916.66666666666674</v>
      </c>
    </row>
    <row r="17" spans="2:16" x14ac:dyDescent="0.25">
      <c r="B17" t="s">
        <v>8</v>
      </c>
      <c r="C17">
        <f>F6</f>
        <v>450</v>
      </c>
      <c r="D17">
        <f>C17/PLL_period</f>
        <v>43.199999999999996</v>
      </c>
      <c r="E17">
        <f t="shared" si="0"/>
        <v>44</v>
      </c>
      <c r="F17">
        <f>E17*PLL_period</f>
        <v>458.33333333333337</v>
      </c>
    </row>
    <row r="18" spans="2:16" x14ac:dyDescent="0.25">
      <c r="B18" t="s">
        <v>39</v>
      </c>
      <c r="C18">
        <v>80000</v>
      </c>
      <c r="D18">
        <f>C18/PLL_period</f>
        <v>7679.9999999999991</v>
      </c>
      <c r="E18">
        <f t="shared" si="0"/>
        <v>7681</v>
      </c>
      <c r="F18">
        <f>E18*PLL_period</f>
        <v>80010.416666666672</v>
      </c>
    </row>
    <row r="21" spans="2:16" x14ac:dyDescent="0.25">
      <c r="L21">
        <v>100</v>
      </c>
      <c r="M21" t="s">
        <v>117</v>
      </c>
      <c r="N21" t="s">
        <v>118</v>
      </c>
    </row>
    <row r="22" spans="2:16" x14ac:dyDescent="0.25">
      <c r="L22" s="1">
        <f>POWER(10,9)/L21</f>
        <v>10000000</v>
      </c>
      <c r="M22" t="s">
        <v>119</v>
      </c>
    </row>
    <row r="24" spans="2:16" x14ac:dyDescent="0.25">
      <c r="L24" s="1">
        <v>12000000</v>
      </c>
      <c r="M24" t="s">
        <v>119</v>
      </c>
      <c r="N24" t="s">
        <v>120</v>
      </c>
    </row>
    <row r="25" spans="2:16" x14ac:dyDescent="0.25">
      <c r="L25">
        <f>1/L24*POWER(10,9)</f>
        <v>83.333333333333343</v>
      </c>
      <c r="M25" t="s">
        <v>117</v>
      </c>
    </row>
    <row r="28" spans="2:16" x14ac:dyDescent="0.25">
      <c r="L28" t="s">
        <v>180</v>
      </c>
      <c r="N28" s="22" t="s">
        <v>179</v>
      </c>
      <c r="O28" s="22"/>
      <c r="P28" s="22"/>
    </row>
    <row r="29" spans="2:16" x14ac:dyDescent="0.25">
      <c r="L29" s="10">
        <v>96000000</v>
      </c>
      <c r="M29" t="s">
        <v>119</v>
      </c>
      <c r="N29">
        <v>128000000</v>
      </c>
      <c r="O29">
        <f>3*48*1000000</f>
        <v>144000000</v>
      </c>
      <c r="P29">
        <v>96000000</v>
      </c>
    </row>
    <row r="30" spans="2:16" x14ac:dyDescent="0.25">
      <c r="L30" t="s">
        <v>208</v>
      </c>
    </row>
    <row r="31" spans="2:16" x14ac:dyDescent="0.25">
      <c r="L31" s="7">
        <f>1/PLL_clockrate*POWER(10,9)</f>
        <v>10.416666666666668</v>
      </c>
      <c r="M31" t="s">
        <v>117</v>
      </c>
    </row>
  </sheetData>
  <mergeCells count="1">
    <mergeCell ref="N28:P28"/>
  </mergeCells>
  <hyperlinks>
    <hyperlink ref="D1" r:id="rId1" xr:uid="{A07B265F-5A6C-4736-B539-CABDAA54501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E564-7F11-4B9C-8703-564EFF774D6F}">
  <dimension ref="A1:Z203"/>
  <sheetViews>
    <sheetView workbookViewId="0">
      <selection activeCell="D11" sqref="D11:E11"/>
    </sheetView>
  </sheetViews>
  <sheetFormatPr defaultRowHeight="15" x14ac:dyDescent="0.25"/>
  <cols>
    <col min="1" max="1" width="11.7109375" customWidth="1"/>
    <col min="2" max="2" width="13.7109375" customWidth="1"/>
    <col min="3" max="3" width="12" customWidth="1"/>
    <col min="4" max="4" width="12.85546875" bestFit="1" customWidth="1"/>
  </cols>
  <sheetData>
    <row r="1" spans="1:12" x14ac:dyDescent="0.25">
      <c r="A1" t="s">
        <v>185</v>
      </c>
    </row>
    <row r="2" spans="1:12" ht="15.75" thickBot="1" x14ac:dyDescent="0.3"/>
    <row r="3" spans="1:12" ht="16.5" thickTop="1" thickBot="1" x14ac:dyDescent="0.3">
      <c r="A3" s="12" t="s">
        <v>163</v>
      </c>
      <c r="D3" s="24" t="s">
        <v>162</v>
      </c>
      <c r="E3" s="25"/>
      <c r="G3" s="24" t="s">
        <v>164</v>
      </c>
      <c r="H3" s="25"/>
      <c r="I3" s="25"/>
      <c r="J3" s="25"/>
      <c r="K3" s="25"/>
      <c r="L3" s="25"/>
    </row>
    <row r="4" spans="1:12" ht="16.5" thickTop="1" thickBot="1" x14ac:dyDescent="0.3">
      <c r="D4" s="12" t="s">
        <v>161</v>
      </c>
      <c r="E4" s="12" t="s">
        <v>214</v>
      </c>
      <c r="G4" s="12" t="s">
        <v>213</v>
      </c>
      <c r="H4" s="19">
        <v>100</v>
      </c>
      <c r="I4" s="19">
        <v>125</v>
      </c>
      <c r="J4" s="19">
        <v>150</v>
      </c>
      <c r="K4" s="19">
        <v>175</v>
      </c>
      <c r="L4" s="19">
        <v>200</v>
      </c>
    </row>
    <row r="5" spans="1:12" ht="16.5" thickTop="1" thickBot="1" x14ac:dyDescent="0.3">
      <c r="A5" s="11">
        <f>RGB_slowest</f>
        <v>26881.720430107525</v>
      </c>
      <c r="B5" t="s">
        <v>153</v>
      </c>
      <c r="D5" s="1">
        <f>1/RGB_slowest*POWER(10,9)</f>
        <v>37200</v>
      </c>
      <c r="E5" s="1">
        <f>D5/PLL_period</f>
        <v>3571.2</v>
      </c>
      <c r="G5" s="26" t="s">
        <v>117</v>
      </c>
      <c r="H5" s="20">
        <f t="shared" ref="H5:L7" si="0">H$4*$D5+RGB_rst</f>
        <v>3770000</v>
      </c>
      <c r="I5" s="20">
        <f t="shared" si="0"/>
        <v>4700000</v>
      </c>
      <c r="J5" s="20">
        <f t="shared" si="0"/>
        <v>5630000</v>
      </c>
      <c r="K5" s="20">
        <f t="shared" si="0"/>
        <v>6560000</v>
      </c>
      <c r="L5" s="20">
        <f t="shared" si="0"/>
        <v>7490000</v>
      </c>
    </row>
    <row r="6" spans="1:12" ht="16.5" thickTop="1" thickBot="1" x14ac:dyDescent="0.3">
      <c r="A6" s="11">
        <f>ESP32_RGB</f>
        <v>33333.333333333336</v>
      </c>
      <c r="B6" t="s">
        <v>154</v>
      </c>
      <c r="D6" s="1">
        <f>1/ESP32_RGB*POWER(10,9)</f>
        <v>29999.999999999996</v>
      </c>
      <c r="E6" s="1">
        <f>D6/PLL_period</f>
        <v>2879.9999999999995</v>
      </c>
      <c r="G6" s="26"/>
      <c r="H6" s="20">
        <f t="shared" si="0"/>
        <v>3049999.9999999995</v>
      </c>
      <c r="I6" s="20">
        <f t="shared" si="0"/>
        <v>3799999.9999999995</v>
      </c>
      <c r="J6" s="20">
        <f t="shared" si="0"/>
        <v>4549999.9999999991</v>
      </c>
      <c r="K6" s="20">
        <f t="shared" si="0"/>
        <v>5299999.9999999991</v>
      </c>
      <c r="L6" s="20">
        <f t="shared" si="0"/>
        <v>6049999.9999999991</v>
      </c>
    </row>
    <row r="7" spans="1:12" ht="16.5" thickTop="1" thickBot="1" x14ac:dyDescent="0.3">
      <c r="A7" s="11">
        <f>RGB_fastest</f>
        <v>43859.649122807015</v>
      </c>
      <c r="B7" t="s">
        <v>152</v>
      </c>
      <c r="D7" s="1">
        <f>1/RGB_fastest*POWER(10,9)</f>
        <v>22800.000000000004</v>
      </c>
      <c r="E7" s="1">
        <f>D7/PLL_period</f>
        <v>2188.8000000000002</v>
      </c>
      <c r="G7" s="26"/>
      <c r="H7" s="20">
        <f t="shared" si="0"/>
        <v>2330000.0000000005</v>
      </c>
      <c r="I7" s="20">
        <f t="shared" si="0"/>
        <v>2900000.0000000005</v>
      </c>
      <c r="J7" s="20">
        <f t="shared" si="0"/>
        <v>3470000.0000000005</v>
      </c>
      <c r="K7" s="20">
        <f t="shared" si="0"/>
        <v>4040000.0000000005</v>
      </c>
      <c r="L7" s="20">
        <f t="shared" si="0"/>
        <v>4610000.0000000009</v>
      </c>
    </row>
    <row r="8" spans="1:12" ht="15.75" thickTop="1" x14ac:dyDescent="0.25">
      <c r="C8" t="s">
        <v>184</v>
      </c>
      <c r="D8" s="11">
        <f>RGB_rst</f>
        <v>50000</v>
      </c>
      <c r="E8" s="11">
        <f>D8/PLL_period</f>
        <v>4799.9999999999991</v>
      </c>
    </row>
    <row r="10" spans="1:12" ht="15.75" thickBot="1" x14ac:dyDescent="0.3"/>
    <row r="11" spans="1:12" ht="16.5" thickTop="1" thickBot="1" x14ac:dyDescent="0.3">
      <c r="D11" s="12" t="s">
        <v>161</v>
      </c>
      <c r="E11" s="12" t="s">
        <v>214</v>
      </c>
      <c r="G11" s="12" t="s">
        <v>213</v>
      </c>
      <c r="H11" s="19">
        <v>100</v>
      </c>
      <c r="I11" s="19">
        <v>125</v>
      </c>
      <c r="J11" s="19">
        <v>150</v>
      </c>
      <c r="K11" s="19">
        <v>175</v>
      </c>
      <c r="L11" s="19">
        <v>200</v>
      </c>
    </row>
    <row r="12" spans="1:12" ht="16.5" thickTop="1" thickBot="1" x14ac:dyDescent="0.3">
      <c r="A12" s="11">
        <f>RGBW_slowest</f>
        <v>20833.333333333332</v>
      </c>
      <c r="B12" t="s">
        <v>159</v>
      </c>
      <c r="D12" s="1">
        <f>1/RGBW_slowest*POWER(10,9)</f>
        <v>48000</v>
      </c>
      <c r="E12" s="1">
        <f>D12/PLL_period</f>
        <v>4607.9999999999991</v>
      </c>
      <c r="G12" s="26" t="s">
        <v>117</v>
      </c>
      <c r="H12" s="1">
        <f t="shared" ref="H12:L14" si="1">H$4*$D12+RGBW_rst</f>
        <v>4880000</v>
      </c>
      <c r="I12" s="1">
        <f t="shared" si="1"/>
        <v>6080000</v>
      </c>
      <c r="J12" s="1">
        <f t="shared" si="1"/>
        <v>7280000</v>
      </c>
      <c r="K12" s="1">
        <f t="shared" si="1"/>
        <v>8480000</v>
      </c>
      <c r="L12" s="1">
        <f t="shared" si="1"/>
        <v>9680000</v>
      </c>
    </row>
    <row r="13" spans="1:12" ht="16.5" thickTop="1" thickBot="1" x14ac:dyDescent="0.3">
      <c r="A13" s="11">
        <f>FPGA_RGBW</f>
        <v>34090.909090909088</v>
      </c>
      <c r="B13" t="s">
        <v>157</v>
      </c>
      <c r="D13" s="1">
        <f>1/FPGA_RGBW*POWER(10,9)</f>
        <v>29333.333333333336</v>
      </c>
      <c r="E13" s="1">
        <f>D13/PLL_period</f>
        <v>2816</v>
      </c>
      <c r="G13" s="26"/>
      <c r="H13" s="1">
        <f t="shared" si="1"/>
        <v>3013333.3333333335</v>
      </c>
      <c r="I13" s="1">
        <f t="shared" si="1"/>
        <v>3746666.666666667</v>
      </c>
      <c r="J13" s="1">
        <f t="shared" si="1"/>
        <v>4480000</v>
      </c>
      <c r="K13" s="1">
        <f t="shared" si="1"/>
        <v>5213333.333333334</v>
      </c>
      <c r="L13" s="1">
        <f t="shared" si="1"/>
        <v>5946666.666666667</v>
      </c>
    </row>
    <row r="14" spans="1:12" ht="16.5" thickTop="1" thickBot="1" x14ac:dyDescent="0.3">
      <c r="A14" s="11">
        <f>RGBW_fastest</f>
        <v>34722.222222222219</v>
      </c>
      <c r="B14" t="s">
        <v>150</v>
      </c>
      <c r="D14" s="1">
        <f>1/RGBW_fastest*POWER(10,9)</f>
        <v>28800.000000000004</v>
      </c>
      <c r="E14" s="1">
        <f>D14/PLL_period</f>
        <v>2764.8</v>
      </c>
      <c r="G14" s="26"/>
      <c r="H14" s="1">
        <f t="shared" si="1"/>
        <v>2960000.0000000005</v>
      </c>
      <c r="I14" s="1">
        <f t="shared" si="1"/>
        <v>3680000.0000000005</v>
      </c>
      <c r="J14" s="1">
        <f t="shared" si="1"/>
        <v>4400000.0000000009</v>
      </c>
      <c r="K14" s="1">
        <f t="shared" si="1"/>
        <v>5120000.0000000009</v>
      </c>
      <c r="L14" s="1">
        <f t="shared" si="1"/>
        <v>5840000.0000000009</v>
      </c>
    </row>
    <row r="15" spans="1:12" ht="15.75" thickTop="1" x14ac:dyDescent="0.25">
      <c r="C15" t="s">
        <v>186</v>
      </c>
      <c r="D15" s="11">
        <f>RGBW_rst</f>
        <v>80000</v>
      </c>
      <c r="E15" s="11">
        <f>D15/PLL_period</f>
        <v>7679.9999999999991</v>
      </c>
    </row>
    <row r="19" spans="1:23" x14ac:dyDescent="0.25">
      <c r="A19" s="14">
        <f>RGB_0_code_min</f>
        <v>950</v>
      </c>
      <c r="B19" t="s">
        <v>166</v>
      </c>
    </row>
    <row r="20" spans="1:23" x14ac:dyDescent="0.25">
      <c r="A20" s="14">
        <f>RGB_1_code_min</f>
        <v>950</v>
      </c>
      <c r="B20" t="s">
        <v>168</v>
      </c>
    </row>
    <row r="21" spans="1:23" x14ac:dyDescent="0.25">
      <c r="D21" s="21"/>
    </row>
    <row r="22" spans="1:23" x14ac:dyDescent="0.25">
      <c r="D22" s="21"/>
    </row>
    <row r="23" spans="1:23" x14ac:dyDescent="0.25">
      <c r="A23" s="14">
        <f>RGB_0_code_max</f>
        <v>1550</v>
      </c>
      <c r="B23" t="s">
        <v>167</v>
      </c>
    </row>
    <row r="24" spans="1:23" x14ac:dyDescent="0.25">
      <c r="A24" s="14">
        <f>RGB_1_code_max</f>
        <v>1550</v>
      </c>
      <c r="B24" t="s">
        <v>169</v>
      </c>
    </row>
    <row r="27" spans="1:23" ht="15.75" thickBot="1" x14ac:dyDescent="0.3"/>
    <row r="28" spans="1:23" ht="16.5" thickTop="1" thickBot="1" x14ac:dyDescent="0.3">
      <c r="A28" s="23" t="s">
        <v>178</v>
      </c>
      <c r="B28" s="23"/>
      <c r="E28" t="s">
        <v>137</v>
      </c>
      <c r="G28" t="s">
        <v>187</v>
      </c>
      <c r="H28" t="s">
        <v>187</v>
      </c>
      <c r="L28" t="s">
        <v>188</v>
      </c>
    </row>
    <row r="29" spans="1:23" ht="15.75" thickTop="1" x14ac:dyDescent="0.25">
      <c r="A29" s="14">
        <f>T0H_min</f>
        <v>250</v>
      </c>
      <c r="B29" t="s">
        <v>174</v>
      </c>
      <c r="E29" s="14">
        <f>TRUNC(A29/PLL_period)</f>
        <v>24</v>
      </c>
      <c r="F29">
        <f>TRUNC(2*A29/PLL_period)</f>
        <v>48</v>
      </c>
      <c r="I29" t="str">
        <f>"    localparam "&amp;B29&amp;" = "&amp;E29&amp;";"</f>
        <v xml:space="preserve">    localparam T0H_min = 24;</v>
      </c>
    </row>
    <row r="30" spans="1:23" x14ac:dyDescent="0.25">
      <c r="A30" s="14">
        <f>T0H_max</f>
        <v>550</v>
      </c>
      <c r="B30" t="s">
        <v>170</v>
      </c>
      <c r="E30" s="14">
        <f>TRUNC(A30/PLL_period)</f>
        <v>52</v>
      </c>
      <c r="F30">
        <f>TRUNC(2*A30/PLL_period)</f>
        <v>105</v>
      </c>
      <c r="I30" t="str">
        <f>"    localparam "&amp;B30&amp;" = "&amp;E30&amp;";"</f>
        <v xml:space="preserve">    localparam T0H_max = 52;</v>
      </c>
    </row>
    <row r="31" spans="1:23" x14ac:dyDescent="0.25">
      <c r="A31" s="14">
        <f>T1H_min</f>
        <v>650</v>
      </c>
      <c r="B31" t="s">
        <v>176</v>
      </c>
      <c r="E31" s="14">
        <f>TRUNC(A31/PLL_period)</f>
        <v>62</v>
      </c>
      <c r="F31">
        <f>TRUNC(2*A31/PLL_period)</f>
        <v>124</v>
      </c>
      <c r="G31" s="14">
        <f>E31-E30</f>
        <v>10</v>
      </c>
      <c r="I31" t="str">
        <f>"    localparam "&amp;B31&amp;" = "&amp;E31&amp;";"</f>
        <v xml:space="preserve">    localparam T1H_min = 62;</v>
      </c>
    </row>
    <row r="32" spans="1:23" x14ac:dyDescent="0.25">
      <c r="A32" s="14">
        <f>T1H_max</f>
        <v>950</v>
      </c>
      <c r="B32" t="s">
        <v>172</v>
      </c>
      <c r="E32" s="14">
        <f>TRUNC(A32/PLL_period)</f>
        <v>91</v>
      </c>
      <c r="F32">
        <f>TRUNC(2*A32/PLL_period)</f>
        <v>182</v>
      </c>
      <c r="I32" t="str">
        <f>"    localparam "&amp;B32&amp;" = "&amp;E32&amp;";"</f>
        <v xml:space="preserve">    localparam T1H_max = 91;</v>
      </c>
      <c r="P32">
        <v>0.5</v>
      </c>
      <c r="Q32">
        <v>2.5</v>
      </c>
      <c r="R32">
        <v>4.5</v>
      </c>
      <c r="S32">
        <v>6.5</v>
      </c>
      <c r="T32">
        <v>8.5</v>
      </c>
      <c r="U32">
        <v>10.5</v>
      </c>
      <c r="V32">
        <v>12.5</v>
      </c>
      <c r="W32">
        <v>14.5</v>
      </c>
    </row>
    <row r="33" spans="1:26" x14ac:dyDescent="0.25">
      <c r="O33" t="s">
        <v>193</v>
      </c>
      <c r="P33" t="s">
        <v>189</v>
      </c>
      <c r="Q33" t="s">
        <v>190</v>
      </c>
      <c r="R33" t="s">
        <v>191</v>
      </c>
      <c r="S33" t="s">
        <v>192</v>
      </c>
      <c r="T33" t="s">
        <v>194</v>
      </c>
      <c r="U33" t="s">
        <v>195</v>
      </c>
      <c r="V33" t="s">
        <v>196</v>
      </c>
      <c r="W33" t="s">
        <v>197</v>
      </c>
      <c r="X33" t="s">
        <v>207</v>
      </c>
      <c r="Z33" t="s">
        <v>193</v>
      </c>
    </row>
    <row r="34" spans="1:26" x14ac:dyDescent="0.25">
      <c r="A34" s="14">
        <f>T1L_min</f>
        <v>300</v>
      </c>
      <c r="B34" t="s">
        <v>177</v>
      </c>
      <c r="E34" s="14">
        <f>TRUNC(A34/PLL_period)</f>
        <v>28</v>
      </c>
      <c r="F34">
        <f>TRUNC(2*A34/PLL_period)</f>
        <v>57</v>
      </c>
      <c r="I34" t="str">
        <f>"    localparam "&amp;B34&amp;" = "&amp;E34&amp;";"</f>
        <v xml:space="preserve">    localparam T1L_min = 28;</v>
      </c>
      <c r="O34">
        <v>0</v>
      </c>
      <c r="P34">
        <f>P32+0.5</f>
        <v>1</v>
      </c>
      <c r="Q34">
        <f t="shared" ref="Q34:W34" si="2">Q32+0.5</f>
        <v>3</v>
      </c>
      <c r="R34">
        <f t="shared" si="2"/>
        <v>5</v>
      </c>
      <c r="S34">
        <f t="shared" si="2"/>
        <v>7</v>
      </c>
      <c r="T34">
        <f t="shared" si="2"/>
        <v>9</v>
      </c>
      <c r="U34">
        <f t="shared" si="2"/>
        <v>11</v>
      </c>
      <c r="V34">
        <f t="shared" si="2"/>
        <v>13</v>
      </c>
      <c r="W34">
        <f t="shared" si="2"/>
        <v>15</v>
      </c>
      <c r="X34">
        <v>0</v>
      </c>
      <c r="Z34">
        <v>0</v>
      </c>
    </row>
    <row r="35" spans="1:26" x14ac:dyDescent="0.25">
      <c r="A35" s="14">
        <f>T1L_max</f>
        <v>600</v>
      </c>
      <c r="B35" t="s">
        <v>173</v>
      </c>
      <c r="E35" s="14">
        <f>TRUNC(A35/PLL_period)</f>
        <v>57</v>
      </c>
      <c r="F35">
        <f>TRUNC(2*A35/PLL_period)</f>
        <v>115</v>
      </c>
      <c r="I35" t="str">
        <f>"    localparam "&amp;B35&amp;" = "&amp;E35&amp;";"</f>
        <v xml:space="preserve">    localparam T1L_max = 57;</v>
      </c>
      <c r="O35">
        <v>1</v>
      </c>
      <c r="P35">
        <f>P$32+IF($O35&lt;$O$35+$E$29,1,IF($O35&lt;$O$35+$E$29+$E$36,0,1))</f>
        <v>1.5</v>
      </c>
      <c r="Q35">
        <f>Q$32+IF($O35&lt;$O$35+$E$30,1,IF($O35&lt;$O$35+$E$30+$E$36,0,1))</f>
        <v>3.5</v>
      </c>
      <c r="R35">
        <f>R$32+IF($O35&lt;$O$35+$E$29,1,IF($O35&lt;$O$35+$E$29+$E$37,0,1))</f>
        <v>5.5</v>
      </c>
      <c r="S35">
        <f>S$32+IF($O35&lt;$O$35+$E$30,1,IF($O35&lt;$O$35+$E$30+$E$37,0,1))</f>
        <v>7.5</v>
      </c>
      <c r="T35">
        <f t="shared" ref="T35:T66" si="3">T$32+IF($Z35&lt;$Z$35+$E$31,1,IF($Z35&lt;$Z$35+$E$31+$E$34,0,1))</f>
        <v>9.5</v>
      </c>
      <c r="U35">
        <f t="shared" ref="U35:U66" si="4">U$32+IF($Z35&lt;$Z$35+$E$32,1,IF($Z35&lt;$Z$35+$E$32+$E$34,0,1))</f>
        <v>11.5</v>
      </c>
      <c r="V35">
        <f t="shared" ref="V35:V66" si="5">V$32+IF($Z35&lt;$Z$35+$E$31,1,IF($Z35&lt;$Z$35+$E$31+$E$35,0,1))</f>
        <v>13.5</v>
      </c>
      <c r="W35">
        <f t="shared" ref="W35:W66" si="6">W$32+IF($Z35&lt;$Z$35+$E$32,1,IF($Z35&lt;$Z$35+$E$32+$E$35,0,1))</f>
        <v>15.5</v>
      </c>
      <c r="X35">
        <v>0</v>
      </c>
      <c r="Z35">
        <v>1</v>
      </c>
    </row>
    <row r="36" spans="1:26" x14ac:dyDescent="0.25">
      <c r="A36" s="14">
        <f>T0L_min</f>
        <v>700</v>
      </c>
      <c r="B36" t="s">
        <v>175</v>
      </c>
      <c r="E36" s="14">
        <f>TRUNC(A36/PLL_period)</f>
        <v>67</v>
      </c>
      <c r="F36">
        <f>TRUNC(2*A36/PLL_period)</f>
        <v>134</v>
      </c>
      <c r="G36" s="14">
        <f>E36-E35</f>
        <v>10</v>
      </c>
      <c r="I36" t="str">
        <f>"    localparam "&amp;B36&amp;" = "&amp;E36&amp;";"</f>
        <v xml:space="preserve">    localparam T0L_min = 67;</v>
      </c>
      <c r="O36">
        <v>2</v>
      </c>
      <c r="P36">
        <f>P$32+IF($O36&lt;$O$35+$E$29,1,IF($O36&lt;$O$35+$E$29+$E$36,0,1))</f>
        <v>1.5</v>
      </c>
      <c r="Q36">
        <f t="shared" ref="Q36:Q99" si="7">Q$32+IF($O36&lt;$O$35+$E$30,1,IF($O36&lt;$O$35+$E$30+$E$36,0,1))</f>
        <v>3.5</v>
      </c>
      <c r="R36">
        <f t="shared" ref="R36:R99" si="8">R$32+IF($O36&lt;$O$35+$E$29,1,IF($O36&lt;$O$35+$E$29+$E$37,0,1))</f>
        <v>5.5</v>
      </c>
      <c r="S36">
        <f t="shared" ref="S36:S99" si="9">S$32+IF($O36&lt;$O$35+$E$30,1,IF($O36&lt;$O$35+$E$30+$E$37,0,1))</f>
        <v>7.5</v>
      </c>
      <c r="T36">
        <f t="shared" si="3"/>
        <v>9.5</v>
      </c>
      <c r="U36">
        <f t="shared" si="4"/>
        <v>11.5</v>
      </c>
      <c r="V36">
        <f t="shared" si="5"/>
        <v>13.5</v>
      </c>
      <c r="W36">
        <f t="shared" si="6"/>
        <v>15.5</v>
      </c>
      <c r="X36">
        <v>0</v>
      </c>
      <c r="Z36">
        <v>2</v>
      </c>
    </row>
    <row r="37" spans="1:26" x14ac:dyDescent="0.25">
      <c r="A37" s="14">
        <f>T0L_max</f>
        <v>1000</v>
      </c>
      <c r="B37" t="s">
        <v>171</v>
      </c>
      <c r="E37" s="14">
        <f>TRUNC(A37/PLL_period)</f>
        <v>96</v>
      </c>
      <c r="F37">
        <f>TRUNC(2*A37/PLL_period)</f>
        <v>192</v>
      </c>
      <c r="I37" t="str">
        <f>"    localparam "&amp;B37&amp;" = "&amp;E37&amp;";"</f>
        <v xml:space="preserve">    localparam T0L_max = 96;</v>
      </c>
      <c r="O37">
        <v>3</v>
      </c>
      <c r="P37">
        <f t="shared" ref="P37:P100" si="10">P$32+IF($O37&lt;$O$35+$E$29,1,IF($O37&lt;$O$35+$E$29+$E$36,0,1))</f>
        <v>1.5</v>
      </c>
      <c r="Q37">
        <f t="shared" si="7"/>
        <v>3.5</v>
      </c>
      <c r="R37">
        <f t="shared" si="8"/>
        <v>5.5</v>
      </c>
      <c r="S37">
        <f t="shared" si="9"/>
        <v>7.5</v>
      </c>
      <c r="T37">
        <f t="shared" si="3"/>
        <v>9.5</v>
      </c>
      <c r="U37">
        <f t="shared" si="4"/>
        <v>11.5</v>
      </c>
      <c r="V37">
        <f t="shared" si="5"/>
        <v>13.5</v>
      </c>
      <c r="W37">
        <f t="shared" si="6"/>
        <v>15.5</v>
      </c>
      <c r="X37">
        <v>0</v>
      </c>
      <c r="Z37">
        <v>3</v>
      </c>
    </row>
    <row r="38" spans="1:26" x14ac:dyDescent="0.25">
      <c r="O38">
        <v>4</v>
      </c>
      <c r="P38">
        <f t="shared" si="10"/>
        <v>1.5</v>
      </c>
      <c r="Q38">
        <f t="shared" si="7"/>
        <v>3.5</v>
      </c>
      <c r="R38">
        <f t="shared" si="8"/>
        <v>5.5</v>
      </c>
      <c r="S38">
        <f t="shared" si="9"/>
        <v>7.5</v>
      </c>
      <c r="T38">
        <f t="shared" si="3"/>
        <v>9.5</v>
      </c>
      <c r="U38">
        <f t="shared" si="4"/>
        <v>11.5</v>
      </c>
      <c r="V38">
        <f t="shared" si="5"/>
        <v>13.5</v>
      </c>
      <c r="W38">
        <f t="shared" si="6"/>
        <v>15.5</v>
      </c>
      <c r="X38">
        <v>0</v>
      </c>
      <c r="Z38">
        <v>4</v>
      </c>
    </row>
    <row r="39" spans="1:26" x14ac:dyDescent="0.25">
      <c r="D39" t="s">
        <v>198</v>
      </c>
      <c r="E39" s="14">
        <f>TRUNC(RGB_0_code_max/PLL_period)</f>
        <v>148</v>
      </c>
      <c r="F39">
        <f>TRUNC(2*A24/PLL_period)</f>
        <v>297</v>
      </c>
      <c r="O39">
        <v>5</v>
      </c>
      <c r="P39">
        <f t="shared" si="10"/>
        <v>1.5</v>
      </c>
      <c r="Q39">
        <f t="shared" si="7"/>
        <v>3.5</v>
      </c>
      <c r="R39">
        <f t="shared" si="8"/>
        <v>5.5</v>
      </c>
      <c r="S39">
        <f t="shared" si="9"/>
        <v>7.5</v>
      </c>
      <c r="T39">
        <f t="shared" si="3"/>
        <v>9.5</v>
      </c>
      <c r="U39">
        <f t="shared" si="4"/>
        <v>11.5</v>
      </c>
      <c r="V39">
        <f t="shared" si="5"/>
        <v>13.5</v>
      </c>
      <c r="W39">
        <f t="shared" si="6"/>
        <v>15.5</v>
      </c>
      <c r="X39">
        <v>0</v>
      </c>
      <c r="Z39">
        <v>5</v>
      </c>
    </row>
    <row r="40" spans="1:26" x14ac:dyDescent="0.25">
      <c r="O40">
        <v>6</v>
      </c>
      <c r="P40">
        <f t="shared" si="10"/>
        <v>1.5</v>
      </c>
      <c r="Q40">
        <f t="shared" si="7"/>
        <v>3.5</v>
      </c>
      <c r="R40">
        <f t="shared" si="8"/>
        <v>5.5</v>
      </c>
      <c r="S40">
        <f t="shared" si="9"/>
        <v>7.5</v>
      </c>
      <c r="T40">
        <f t="shared" si="3"/>
        <v>9.5</v>
      </c>
      <c r="U40">
        <f t="shared" si="4"/>
        <v>11.5</v>
      </c>
      <c r="V40">
        <f t="shared" si="5"/>
        <v>13.5</v>
      </c>
      <c r="W40">
        <f t="shared" si="6"/>
        <v>15.5</v>
      </c>
      <c r="X40">
        <v>0</v>
      </c>
      <c r="Z40">
        <v>6</v>
      </c>
    </row>
    <row r="41" spans="1:26" x14ac:dyDescent="0.25">
      <c r="D41" t="s">
        <v>184</v>
      </c>
      <c r="E41" s="14">
        <f>TRUNC(RGB_rst/PLL_period)</f>
        <v>4800</v>
      </c>
      <c r="F41">
        <f>TRUNC(2*RGB_rst/PLL_period)</f>
        <v>9600</v>
      </c>
      <c r="G41">
        <f>LOG(E41,2)</f>
        <v>12.228818690495881</v>
      </c>
      <c r="H41" t="s">
        <v>199</v>
      </c>
      <c r="I41" t="str">
        <f>"    localparam "&amp;D41&amp;" = "&amp;E41&amp;";"</f>
        <v xml:space="preserve">    localparam RGB_rst = 4800;</v>
      </c>
      <c r="O41">
        <v>7</v>
      </c>
      <c r="P41">
        <f t="shared" si="10"/>
        <v>1.5</v>
      </c>
      <c r="Q41">
        <f t="shared" si="7"/>
        <v>3.5</v>
      </c>
      <c r="R41">
        <f t="shared" si="8"/>
        <v>5.5</v>
      </c>
      <c r="S41">
        <f t="shared" si="9"/>
        <v>7.5</v>
      </c>
      <c r="T41">
        <f t="shared" si="3"/>
        <v>9.5</v>
      </c>
      <c r="U41">
        <f t="shared" si="4"/>
        <v>11.5</v>
      </c>
      <c r="V41">
        <f t="shared" si="5"/>
        <v>13.5</v>
      </c>
      <c r="W41">
        <f t="shared" si="6"/>
        <v>15.5</v>
      </c>
      <c r="X41">
        <v>0</v>
      </c>
      <c r="Z41">
        <v>7</v>
      </c>
    </row>
    <row r="42" spans="1:26" x14ac:dyDescent="0.25">
      <c r="D42" t="s">
        <v>186</v>
      </c>
      <c r="E42" s="14">
        <f>TRUNC(RGBW_rst/PLL_period)</f>
        <v>7680</v>
      </c>
      <c r="F42">
        <f>TRUNC(2*RGBW_rst/PLL_period)</f>
        <v>15360</v>
      </c>
      <c r="G42">
        <f>LOG(E42,2)</f>
        <v>12.906890595608518</v>
      </c>
      <c r="H42" t="s">
        <v>199</v>
      </c>
      <c r="I42" t="str">
        <f>"    localparam "&amp;D42&amp;" = "&amp;E42&amp;";"</f>
        <v xml:space="preserve">    localparam RGBW_rst = 7680;</v>
      </c>
      <c r="O42">
        <v>8</v>
      </c>
      <c r="P42">
        <f t="shared" si="10"/>
        <v>1.5</v>
      </c>
      <c r="Q42">
        <f t="shared" si="7"/>
        <v>3.5</v>
      </c>
      <c r="R42">
        <f t="shared" si="8"/>
        <v>5.5</v>
      </c>
      <c r="S42">
        <f t="shared" si="9"/>
        <v>7.5</v>
      </c>
      <c r="T42">
        <f t="shared" si="3"/>
        <v>9.5</v>
      </c>
      <c r="U42">
        <f t="shared" si="4"/>
        <v>11.5</v>
      </c>
      <c r="V42">
        <f t="shared" si="5"/>
        <v>13.5</v>
      </c>
      <c r="W42">
        <f t="shared" si="6"/>
        <v>15.5</v>
      </c>
      <c r="X42">
        <v>0</v>
      </c>
      <c r="Z42">
        <v>8</v>
      </c>
    </row>
    <row r="43" spans="1:26" x14ac:dyDescent="0.25">
      <c r="O43">
        <v>9</v>
      </c>
      <c r="P43">
        <f t="shared" si="10"/>
        <v>1.5</v>
      </c>
      <c r="Q43">
        <f t="shared" si="7"/>
        <v>3.5</v>
      </c>
      <c r="R43">
        <f t="shared" si="8"/>
        <v>5.5</v>
      </c>
      <c r="S43">
        <f t="shared" si="9"/>
        <v>7.5</v>
      </c>
      <c r="T43">
        <f t="shared" si="3"/>
        <v>9.5</v>
      </c>
      <c r="U43">
        <f t="shared" si="4"/>
        <v>11.5</v>
      </c>
      <c r="V43">
        <f t="shared" si="5"/>
        <v>13.5</v>
      </c>
      <c r="W43">
        <f t="shared" si="6"/>
        <v>15.5</v>
      </c>
      <c r="X43">
        <v>0</v>
      </c>
      <c r="Z43">
        <v>9</v>
      </c>
    </row>
    <row r="44" spans="1:26" x14ac:dyDescent="0.25">
      <c r="O44">
        <v>10</v>
      </c>
      <c r="P44">
        <f t="shared" si="10"/>
        <v>1.5</v>
      </c>
      <c r="Q44">
        <f t="shared" si="7"/>
        <v>3.5</v>
      </c>
      <c r="R44">
        <f t="shared" si="8"/>
        <v>5.5</v>
      </c>
      <c r="S44">
        <f t="shared" si="9"/>
        <v>7.5</v>
      </c>
      <c r="T44">
        <f t="shared" si="3"/>
        <v>9.5</v>
      </c>
      <c r="U44">
        <f t="shared" si="4"/>
        <v>11.5</v>
      </c>
      <c r="V44">
        <f t="shared" si="5"/>
        <v>13.5</v>
      </c>
      <c r="W44">
        <f t="shared" si="6"/>
        <v>15.5</v>
      </c>
      <c r="X44">
        <v>0</v>
      </c>
      <c r="Z44">
        <v>10</v>
      </c>
    </row>
    <row r="45" spans="1:26" x14ac:dyDescent="0.25">
      <c r="A45" s="11">
        <f>PLL_clockrate</f>
        <v>96000000</v>
      </c>
      <c r="B45" t="s">
        <v>180</v>
      </c>
      <c r="C45" t="s">
        <v>119</v>
      </c>
      <c r="O45">
        <v>11</v>
      </c>
      <c r="P45">
        <f t="shared" si="10"/>
        <v>1.5</v>
      </c>
      <c r="Q45">
        <f t="shared" si="7"/>
        <v>3.5</v>
      </c>
      <c r="R45">
        <f t="shared" si="8"/>
        <v>5.5</v>
      </c>
      <c r="S45">
        <f t="shared" si="9"/>
        <v>7.5</v>
      </c>
      <c r="T45">
        <f t="shared" si="3"/>
        <v>9.5</v>
      </c>
      <c r="U45">
        <f t="shared" si="4"/>
        <v>11.5</v>
      </c>
      <c r="V45">
        <f t="shared" si="5"/>
        <v>13.5</v>
      </c>
      <c r="W45">
        <f t="shared" si="6"/>
        <v>15.5</v>
      </c>
      <c r="X45">
        <v>0</v>
      </c>
      <c r="Z45">
        <v>11</v>
      </c>
    </row>
    <row r="46" spans="1:26" x14ac:dyDescent="0.25">
      <c r="A46" s="14">
        <f>PLL_period</f>
        <v>10.416666666666668</v>
      </c>
      <c r="B46" t="s">
        <v>208</v>
      </c>
      <c r="C46" t="s">
        <v>181</v>
      </c>
      <c r="O46">
        <v>12</v>
      </c>
      <c r="P46">
        <f t="shared" si="10"/>
        <v>1.5</v>
      </c>
      <c r="Q46">
        <f t="shared" si="7"/>
        <v>3.5</v>
      </c>
      <c r="R46">
        <f t="shared" si="8"/>
        <v>5.5</v>
      </c>
      <c r="S46">
        <f t="shared" si="9"/>
        <v>7.5</v>
      </c>
      <c r="T46">
        <f t="shared" si="3"/>
        <v>9.5</v>
      </c>
      <c r="U46">
        <f t="shared" si="4"/>
        <v>11.5</v>
      </c>
      <c r="V46">
        <f t="shared" si="5"/>
        <v>13.5</v>
      </c>
      <c r="W46">
        <f t="shared" si="6"/>
        <v>15.5</v>
      </c>
      <c r="X46">
        <v>0</v>
      </c>
      <c r="Z46">
        <v>12</v>
      </c>
    </row>
    <row r="47" spans="1:26" x14ac:dyDescent="0.25">
      <c r="O47">
        <v>13</v>
      </c>
      <c r="P47">
        <f t="shared" si="10"/>
        <v>1.5</v>
      </c>
      <c r="Q47">
        <f t="shared" si="7"/>
        <v>3.5</v>
      </c>
      <c r="R47">
        <f t="shared" si="8"/>
        <v>5.5</v>
      </c>
      <c r="S47">
        <f t="shared" si="9"/>
        <v>7.5</v>
      </c>
      <c r="T47">
        <f t="shared" si="3"/>
        <v>9.5</v>
      </c>
      <c r="U47">
        <f t="shared" si="4"/>
        <v>11.5</v>
      </c>
      <c r="V47">
        <f t="shared" si="5"/>
        <v>13.5</v>
      </c>
      <c r="W47">
        <f t="shared" si="6"/>
        <v>15.5</v>
      </c>
      <c r="X47">
        <v>0</v>
      </c>
      <c r="Z47">
        <v>13</v>
      </c>
    </row>
    <row r="48" spans="1:26" x14ac:dyDescent="0.25">
      <c r="A48" s="7">
        <f>2*C48+1</f>
        <v>5</v>
      </c>
      <c r="B48" t="s">
        <v>182</v>
      </c>
      <c r="C48">
        <v>2</v>
      </c>
      <c r="D48" t="s">
        <v>183</v>
      </c>
      <c r="O48">
        <v>14</v>
      </c>
      <c r="P48">
        <f t="shared" si="10"/>
        <v>1.5</v>
      </c>
      <c r="Q48">
        <f t="shared" si="7"/>
        <v>3.5</v>
      </c>
      <c r="R48">
        <f t="shared" si="8"/>
        <v>5.5</v>
      </c>
      <c r="S48">
        <f t="shared" si="9"/>
        <v>7.5</v>
      </c>
      <c r="T48">
        <f t="shared" si="3"/>
        <v>9.5</v>
      </c>
      <c r="U48">
        <f t="shared" si="4"/>
        <v>11.5</v>
      </c>
      <c r="V48">
        <f t="shared" si="5"/>
        <v>13.5</v>
      </c>
      <c r="W48">
        <f t="shared" si="6"/>
        <v>15.5</v>
      </c>
      <c r="X48">
        <v>0</v>
      </c>
      <c r="Z48">
        <v>14</v>
      </c>
    </row>
    <row r="49" spans="5:26" x14ac:dyDescent="0.25">
      <c r="O49">
        <v>15</v>
      </c>
      <c r="P49">
        <f t="shared" si="10"/>
        <v>1.5</v>
      </c>
      <c r="Q49">
        <f t="shared" si="7"/>
        <v>3.5</v>
      </c>
      <c r="R49">
        <f t="shared" si="8"/>
        <v>5.5</v>
      </c>
      <c r="S49">
        <f t="shared" si="9"/>
        <v>7.5</v>
      </c>
      <c r="T49">
        <f t="shared" si="3"/>
        <v>9.5</v>
      </c>
      <c r="U49">
        <f t="shared" si="4"/>
        <v>11.5</v>
      </c>
      <c r="V49">
        <f t="shared" si="5"/>
        <v>13.5</v>
      </c>
      <c r="W49">
        <f t="shared" si="6"/>
        <v>15.5</v>
      </c>
      <c r="X49">
        <v>0</v>
      </c>
      <c r="Z49">
        <v>15</v>
      </c>
    </row>
    <row r="50" spans="5:26" ht="15.75" thickBot="1" x14ac:dyDescent="0.3">
      <c r="O50">
        <v>16</v>
      </c>
      <c r="P50">
        <f t="shared" si="10"/>
        <v>1.5</v>
      </c>
      <c r="Q50">
        <f t="shared" si="7"/>
        <v>3.5</v>
      </c>
      <c r="R50">
        <f t="shared" si="8"/>
        <v>5.5</v>
      </c>
      <c r="S50">
        <f t="shared" si="9"/>
        <v>7.5</v>
      </c>
      <c r="T50">
        <f t="shared" si="3"/>
        <v>9.5</v>
      </c>
      <c r="U50">
        <f t="shared" si="4"/>
        <v>11.5</v>
      </c>
      <c r="V50">
        <f t="shared" si="5"/>
        <v>13.5</v>
      </c>
      <c r="W50">
        <f t="shared" si="6"/>
        <v>15.5</v>
      </c>
      <c r="X50">
        <v>0</v>
      </c>
      <c r="Z50">
        <v>16</v>
      </c>
    </row>
    <row r="51" spans="5:26" ht="16.5" thickTop="1" thickBot="1" x14ac:dyDescent="0.3">
      <c r="E51" s="23" t="s">
        <v>69</v>
      </c>
      <c r="F51" s="23"/>
      <c r="O51">
        <v>17</v>
      </c>
      <c r="P51">
        <f t="shared" si="10"/>
        <v>1.5</v>
      </c>
      <c r="Q51">
        <f t="shared" si="7"/>
        <v>3.5</v>
      </c>
      <c r="R51">
        <f t="shared" si="8"/>
        <v>5.5</v>
      </c>
      <c r="S51">
        <f t="shared" si="9"/>
        <v>7.5</v>
      </c>
      <c r="T51">
        <f t="shared" si="3"/>
        <v>9.5</v>
      </c>
      <c r="U51">
        <f t="shared" si="4"/>
        <v>11.5</v>
      </c>
      <c r="V51">
        <f t="shared" si="5"/>
        <v>13.5</v>
      </c>
      <c r="W51">
        <f t="shared" si="6"/>
        <v>15.5</v>
      </c>
      <c r="X51">
        <v>0</v>
      </c>
      <c r="Z51">
        <v>17</v>
      </c>
    </row>
    <row r="52" spans="5:26" ht="15.75" thickTop="1" x14ac:dyDescent="0.25">
      <c r="E52" s="15" t="s">
        <v>200</v>
      </c>
      <c r="F52" s="15" t="s">
        <v>201</v>
      </c>
      <c r="O52">
        <v>18</v>
      </c>
      <c r="P52">
        <f t="shared" si="10"/>
        <v>1.5</v>
      </c>
      <c r="Q52">
        <f t="shared" si="7"/>
        <v>3.5</v>
      </c>
      <c r="R52">
        <f t="shared" si="8"/>
        <v>5.5</v>
      </c>
      <c r="S52">
        <f t="shared" si="9"/>
        <v>7.5</v>
      </c>
      <c r="T52">
        <f t="shared" si="3"/>
        <v>9.5</v>
      </c>
      <c r="U52">
        <f t="shared" si="4"/>
        <v>11.5</v>
      </c>
      <c r="V52">
        <f t="shared" si="5"/>
        <v>13.5</v>
      </c>
      <c r="W52">
        <f t="shared" si="6"/>
        <v>15.5</v>
      </c>
      <c r="X52">
        <v>0</v>
      </c>
      <c r="Z52">
        <v>18</v>
      </c>
    </row>
    <row r="53" spans="5:26" x14ac:dyDescent="0.25">
      <c r="E53">
        <v>4</v>
      </c>
      <c r="F53">
        <v>1</v>
      </c>
      <c r="O53">
        <v>19</v>
      </c>
      <c r="P53">
        <f t="shared" si="10"/>
        <v>1.5</v>
      </c>
      <c r="Q53">
        <f t="shared" si="7"/>
        <v>3.5</v>
      </c>
      <c r="R53">
        <f t="shared" si="8"/>
        <v>5.5</v>
      </c>
      <c r="S53">
        <f t="shared" si="9"/>
        <v>7.5</v>
      </c>
      <c r="T53">
        <f t="shared" si="3"/>
        <v>9.5</v>
      </c>
      <c r="U53">
        <f t="shared" si="4"/>
        <v>11.5</v>
      </c>
      <c r="V53">
        <f t="shared" si="5"/>
        <v>13.5</v>
      </c>
      <c r="W53">
        <f t="shared" si="6"/>
        <v>15.5</v>
      </c>
      <c r="X53">
        <v>0</v>
      </c>
      <c r="Z53">
        <v>19</v>
      </c>
    </row>
    <row r="54" spans="5:26" x14ac:dyDescent="0.25">
      <c r="E54">
        <v>21</v>
      </c>
      <c r="F54">
        <v>1</v>
      </c>
      <c r="O54">
        <v>20</v>
      </c>
      <c r="P54">
        <f t="shared" si="10"/>
        <v>1.5</v>
      </c>
      <c r="Q54">
        <f t="shared" si="7"/>
        <v>3.5</v>
      </c>
      <c r="R54">
        <f t="shared" si="8"/>
        <v>5.5</v>
      </c>
      <c r="S54">
        <f t="shared" si="9"/>
        <v>7.5</v>
      </c>
      <c r="T54">
        <f t="shared" si="3"/>
        <v>9.5</v>
      </c>
      <c r="U54">
        <f t="shared" si="4"/>
        <v>11.5</v>
      </c>
      <c r="V54">
        <f t="shared" si="5"/>
        <v>13.5</v>
      </c>
      <c r="W54">
        <f t="shared" si="6"/>
        <v>15.5</v>
      </c>
      <c r="X54">
        <v>0</v>
      </c>
      <c r="Z54">
        <v>20</v>
      </c>
    </row>
    <row r="55" spans="5:26" x14ac:dyDescent="0.25">
      <c r="E55" s="17">
        <v>57</v>
      </c>
      <c r="F55" s="17">
        <v>0</v>
      </c>
      <c r="O55">
        <v>21</v>
      </c>
      <c r="P55">
        <f t="shared" si="10"/>
        <v>1.5</v>
      </c>
      <c r="Q55">
        <f t="shared" si="7"/>
        <v>3.5</v>
      </c>
      <c r="R55">
        <f t="shared" si="8"/>
        <v>5.5</v>
      </c>
      <c r="S55">
        <f t="shared" si="9"/>
        <v>7.5</v>
      </c>
      <c r="T55">
        <f t="shared" si="3"/>
        <v>9.5</v>
      </c>
      <c r="U55">
        <f t="shared" si="4"/>
        <v>11.5</v>
      </c>
      <c r="V55">
        <f t="shared" si="5"/>
        <v>13.5</v>
      </c>
      <c r="W55">
        <f t="shared" si="6"/>
        <v>15.5</v>
      </c>
      <c r="X55">
        <v>0</v>
      </c>
      <c r="Z55">
        <v>21</v>
      </c>
    </row>
    <row r="56" spans="5:26" x14ac:dyDescent="0.25">
      <c r="O56">
        <v>22</v>
      </c>
      <c r="P56">
        <f t="shared" si="10"/>
        <v>1.5</v>
      </c>
      <c r="Q56">
        <f t="shared" si="7"/>
        <v>3.5</v>
      </c>
      <c r="R56">
        <f t="shared" si="8"/>
        <v>5.5</v>
      </c>
      <c r="S56">
        <f t="shared" si="9"/>
        <v>7.5</v>
      </c>
      <c r="T56">
        <f t="shared" si="3"/>
        <v>9.5</v>
      </c>
      <c r="U56">
        <f t="shared" si="4"/>
        <v>11.5</v>
      </c>
      <c r="V56">
        <f t="shared" si="5"/>
        <v>13.5</v>
      </c>
      <c r="W56">
        <f t="shared" si="6"/>
        <v>15.5</v>
      </c>
      <c r="X56">
        <v>0</v>
      </c>
      <c r="Z56">
        <v>22</v>
      </c>
    </row>
    <row r="57" spans="5:26" ht="15.75" thickBot="1" x14ac:dyDescent="0.3">
      <c r="O57">
        <v>23</v>
      </c>
      <c r="P57">
        <f t="shared" si="10"/>
        <v>1.5</v>
      </c>
      <c r="Q57">
        <f t="shared" si="7"/>
        <v>3.5</v>
      </c>
      <c r="R57">
        <f t="shared" si="8"/>
        <v>5.5</v>
      </c>
      <c r="S57">
        <f t="shared" si="9"/>
        <v>7.5</v>
      </c>
      <c r="T57">
        <f t="shared" si="3"/>
        <v>9.5</v>
      </c>
      <c r="U57">
        <f t="shared" si="4"/>
        <v>11.5</v>
      </c>
      <c r="V57">
        <f t="shared" si="5"/>
        <v>13.5</v>
      </c>
      <c r="W57">
        <f t="shared" si="6"/>
        <v>15.5</v>
      </c>
      <c r="X57">
        <v>0</v>
      </c>
      <c r="Z57">
        <v>23</v>
      </c>
    </row>
    <row r="58" spans="5:26" ht="16.5" thickTop="1" thickBot="1" x14ac:dyDescent="0.3">
      <c r="E58" s="23" t="s">
        <v>68</v>
      </c>
      <c r="F58" s="23"/>
      <c r="O58">
        <v>24</v>
      </c>
      <c r="P58">
        <f t="shared" si="10"/>
        <v>1.5</v>
      </c>
      <c r="Q58">
        <f t="shared" si="7"/>
        <v>3.5</v>
      </c>
      <c r="R58">
        <f t="shared" si="8"/>
        <v>5.5</v>
      </c>
      <c r="S58">
        <f t="shared" si="9"/>
        <v>7.5</v>
      </c>
      <c r="T58">
        <f t="shared" si="3"/>
        <v>9.5</v>
      </c>
      <c r="U58">
        <f t="shared" si="4"/>
        <v>11.5</v>
      </c>
      <c r="V58">
        <f t="shared" si="5"/>
        <v>13.5</v>
      </c>
      <c r="W58">
        <f t="shared" si="6"/>
        <v>15.5</v>
      </c>
      <c r="X58">
        <v>0</v>
      </c>
      <c r="Z58">
        <v>24</v>
      </c>
    </row>
    <row r="59" spans="5:26" ht="15.75" thickTop="1" x14ac:dyDescent="0.25">
      <c r="E59" s="15" t="s">
        <v>200</v>
      </c>
      <c r="F59" s="15" t="s">
        <v>201</v>
      </c>
      <c r="O59">
        <v>25</v>
      </c>
      <c r="P59">
        <f t="shared" si="10"/>
        <v>0.5</v>
      </c>
      <c r="Q59">
        <f t="shared" si="7"/>
        <v>3.5</v>
      </c>
      <c r="R59">
        <f t="shared" si="8"/>
        <v>4.5</v>
      </c>
      <c r="S59">
        <f t="shared" si="9"/>
        <v>7.5</v>
      </c>
      <c r="T59">
        <f t="shared" si="3"/>
        <v>9.5</v>
      </c>
      <c r="U59">
        <f t="shared" si="4"/>
        <v>11.5</v>
      </c>
      <c r="V59">
        <f t="shared" si="5"/>
        <v>13.5</v>
      </c>
      <c r="W59">
        <f t="shared" si="6"/>
        <v>15.5</v>
      </c>
      <c r="X59">
        <v>0</v>
      </c>
      <c r="Z59">
        <v>25</v>
      </c>
    </row>
    <row r="60" spans="5:26" x14ac:dyDescent="0.25">
      <c r="E60">
        <v>4</v>
      </c>
      <c r="F60">
        <v>1</v>
      </c>
      <c r="O60">
        <v>26</v>
      </c>
      <c r="P60">
        <f t="shared" si="10"/>
        <v>0.5</v>
      </c>
      <c r="Q60">
        <f t="shared" si="7"/>
        <v>3.5</v>
      </c>
      <c r="R60">
        <f t="shared" si="8"/>
        <v>4.5</v>
      </c>
      <c r="S60">
        <f t="shared" si="9"/>
        <v>7.5</v>
      </c>
      <c r="T60">
        <f t="shared" si="3"/>
        <v>9.5</v>
      </c>
      <c r="U60">
        <f t="shared" si="4"/>
        <v>11.5</v>
      </c>
      <c r="V60">
        <f t="shared" si="5"/>
        <v>13.5</v>
      </c>
      <c r="W60">
        <f t="shared" si="6"/>
        <v>15.5</v>
      </c>
      <c r="X60">
        <v>0</v>
      </c>
      <c r="Z60">
        <v>26</v>
      </c>
    </row>
    <row r="61" spans="5:26" x14ac:dyDescent="0.25">
      <c r="E61" s="17">
        <v>57</v>
      </c>
      <c r="F61" s="17">
        <v>1</v>
      </c>
      <c r="O61">
        <v>27</v>
      </c>
      <c r="P61">
        <f t="shared" si="10"/>
        <v>0.5</v>
      </c>
      <c r="Q61">
        <f t="shared" si="7"/>
        <v>3.5</v>
      </c>
      <c r="R61">
        <f t="shared" si="8"/>
        <v>4.5</v>
      </c>
      <c r="S61">
        <f t="shared" si="9"/>
        <v>7.5</v>
      </c>
      <c r="T61">
        <f t="shared" si="3"/>
        <v>9.5</v>
      </c>
      <c r="U61">
        <f t="shared" si="4"/>
        <v>11.5</v>
      </c>
      <c r="V61">
        <f t="shared" si="5"/>
        <v>13.5</v>
      </c>
      <c r="W61">
        <f t="shared" si="6"/>
        <v>15.5</v>
      </c>
      <c r="X61">
        <v>0</v>
      </c>
      <c r="Z61">
        <v>27</v>
      </c>
    </row>
    <row r="62" spans="5:26" x14ac:dyDescent="0.25">
      <c r="E62" s="15" t="s">
        <v>202</v>
      </c>
      <c r="F62">
        <v>0</v>
      </c>
      <c r="O62">
        <v>28</v>
      </c>
      <c r="P62">
        <f t="shared" si="10"/>
        <v>0.5</v>
      </c>
      <c r="Q62">
        <f t="shared" si="7"/>
        <v>3.5</v>
      </c>
      <c r="R62">
        <f t="shared" si="8"/>
        <v>4.5</v>
      </c>
      <c r="S62">
        <f t="shared" si="9"/>
        <v>7.5</v>
      </c>
      <c r="T62">
        <f t="shared" si="3"/>
        <v>9.5</v>
      </c>
      <c r="U62">
        <f t="shared" si="4"/>
        <v>11.5</v>
      </c>
      <c r="V62">
        <f t="shared" si="5"/>
        <v>13.5</v>
      </c>
      <c r="W62">
        <f t="shared" si="6"/>
        <v>15.5</v>
      </c>
      <c r="X62">
        <v>0</v>
      </c>
      <c r="Z62">
        <v>28</v>
      </c>
    </row>
    <row r="63" spans="5:26" x14ac:dyDescent="0.25">
      <c r="O63">
        <v>29</v>
      </c>
      <c r="P63">
        <f t="shared" si="10"/>
        <v>0.5</v>
      </c>
      <c r="Q63">
        <f t="shared" si="7"/>
        <v>3.5</v>
      </c>
      <c r="R63">
        <f t="shared" si="8"/>
        <v>4.5</v>
      </c>
      <c r="S63">
        <f t="shared" si="9"/>
        <v>7.5</v>
      </c>
      <c r="T63">
        <f t="shared" si="3"/>
        <v>9.5</v>
      </c>
      <c r="U63">
        <f t="shared" si="4"/>
        <v>11.5</v>
      </c>
      <c r="V63">
        <f t="shared" si="5"/>
        <v>13.5</v>
      </c>
      <c r="W63">
        <f t="shared" si="6"/>
        <v>15.5</v>
      </c>
      <c r="X63">
        <v>0</v>
      </c>
      <c r="Z63">
        <v>29</v>
      </c>
    </row>
    <row r="64" spans="5:26" ht="15.75" thickBot="1" x14ac:dyDescent="0.3">
      <c r="O64">
        <v>30</v>
      </c>
      <c r="P64">
        <f t="shared" si="10"/>
        <v>0.5</v>
      </c>
      <c r="Q64">
        <f t="shared" si="7"/>
        <v>3.5</v>
      </c>
      <c r="R64">
        <f t="shared" si="8"/>
        <v>4.5</v>
      </c>
      <c r="S64">
        <f t="shared" si="9"/>
        <v>7.5</v>
      </c>
      <c r="T64">
        <f t="shared" si="3"/>
        <v>9.5</v>
      </c>
      <c r="U64">
        <f t="shared" si="4"/>
        <v>11.5</v>
      </c>
      <c r="V64">
        <f t="shared" si="5"/>
        <v>13.5</v>
      </c>
      <c r="W64">
        <f t="shared" si="6"/>
        <v>15.5</v>
      </c>
      <c r="X64">
        <v>0</v>
      </c>
      <c r="Z64">
        <v>30</v>
      </c>
    </row>
    <row r="65" spans="5:26" ht="16.5" thickTop="1" thickBot="1" x14ac:dyDescent="0.3">
      <c r="E65" s="23" t="s">
        <v>204</v>
      </c>
      <c r="F65" s="23"/>
      <c r="O65">
        <v>31</v>
      </c>
      <c r="P65">
        <f t="shared" si="10"/>
        <v>0.5</v>
      </c>
      <c r="Q65">
        <f t="shared" si="7"/>
        <v>3.5</v>
      </c>
      <c r="R65">
        <f t="shared" si="8"/>
        <v>4.5</v>
      </c>
      <c r="S65">
        <f t="shared" si="9"/>
        <v>7.5</v>
      </c>
      <c r="T65">
        <f t="shared" si="3"/>
        <v>9.5</v>
      </c>
      <c r="U65">
        <f t="shared" si="4"/>
        <v>11.5</v>
      </c>
      <c r="V65">
        <f t="shared" si="5"/>
        <v>13.5</v>
      </c>
      <c r="W65">
        <f t="shared" si="6"/>
        <v>15.5</v>
      </c>
      <c r="X65">
        <v>0</v>
      </c>
      <c r="Z65">
        <v>31</v>
      </c>
    </row>
    <row r="66" spans="5:26" ht="15.75" thickTop="1" x14ac:dyDescent="0.25">
      <c r="E66" s="16" t="s">
        <v>200</v>
      </c>
      <c r="F66" s="16" t="s">
        <v>201</v>
      </c>
      <c r="O66">
        <v>32</v>
      </c>
      <c r="P66">
        <f t="shared" si="10"/>
        <v>0.5</v>
      </c>
      <c r="Q66">
        <f t="shared" si="7"/>
        <v>3.5</v>
      </c>
      <c r="R66">
        <f t="shared" si="8"/>
        <v>4.5</v>
      </c>
      <c r="S66">
        <f t="shared" si="9"/>
        <v>7.5</v>
      </c>
      <c r="T66">
        <f t="shared" si="3"/>
        <v>9.5</v>
      </c>
      <c r="U66">
        <f t="shared" si="4"/>
        <v>11.5</v>
      </c>
      <c r="V66">
        <f t="shared" si="5"/>
        <v>13.5</v>
      </c>
      <c r="W66">
        <f t="shared" si="6"/>
        <v>15.5</v>
      </c>
      <c r="X66">
        <v>0</v>
      </c>
      <c r="Z66">
        <v>32</v>
      </c>
    </row>
    <row r="67" spans="5:26" x14ac:dyDescent="0.25">
      <c r="E67" t="s">
        <v>205</v>
      </c>
      <c r="F67" t="s">
        <v>203</v>
      </c>
      <c r="G67" t="s">
        <v>206</v>
      </c>
      <c r="O67">
        <v>33</v>
      </c>
      <c r="P67">
        <f t="shared" si="10"/>
        <v>0.5</v>
      </c>
      <c r="Q67">
        <f t="shared" si="7"/>
        <v>3.5</v>
      </c>
      <c r="R67">
        <f t="shared" si="8"/>
        <v>4.5</v>
      </c>
      <c r="S67">
        <f t="shared" si="9"/>
        <v>7.5</v>
      </c>
      <c r="T67">
        <f t="shared" ref="T67:T98" si="11">T$32+IF($Z67&lt;$Z$35+$E$31,1,IF($Z67&lt;$Z$35+$E$31+$E$34,0,1))</f>
        <v>9.5</v>
      </c>
      <c r="U67">
        <f t="shared" ref="U67:U98" si="12">U$32+IF($Z67&lt;$Z$35+$E$32,1,IF($Z67&lt;$Z$35+$E$32+$E$34,0,1))</f>
        <v>11.5</v>
      </c>
      <c r="V67">
        <f t="shared" ref="V67:V98" si="13">V$32+IF($Z67&lt;$Z$35+$E$31,1,IF($Z67&lt;$Z$35+$E$31+$E$35,0,1))</f>
        <v>13.5</v>
      </c>
      <c r="W67">
        <f t="shared" ref="W67:W98" si="14">W$32+IF($Z67&lt;$Z$35+$E$32,1,IF($Z67&lt;$Z$35+$E$32+$E$35,0,1))</f>
        <v>15.5</v>
      </c>
      <c r="X67">
        <v>0</v>
      </c>
      <c r="Z67">
        <v>33</v>
      </c>
    </row>
    <row r="68" spans="5:26" x14ac:dyDescent="0.25">
      <c r="O68">
        <v>34</v>
      </c>
      <c r="P68">
        <f t="shared" si="10"/>
        <v>0.5</v>
      </c>
      <c r="Q68">
        <f t="shared" si="7"/>
        <v>3.5</v>
      </c>
      <c r="R68">
        <f t="shared" si="8"/>
        <v>4.5</v>
      </c>
      <c r="S68">
        <f t="shared" si="9"/>
        <v>7.5</v>
      </c>
      <c r="T68">
        <f t="shared" si="11"/>
        <v>9.5</v>
      </c>
      <c r="U68">
        <f t="shared" si="12"/>
        <v>11.5</v>
      </c>
      <c r="V68">
        <f t="shared" si="13"/>
        <v>13.5</v>
      </c>
      <c r="W68">
        <f t="shared" si="14"/>
        <v>15.5</v>
      </c>
      <c r="X68">
        <v>0</v>
      </c>
      <c r="Z68">
        <v>34</v>
      </c>
    </row>
    <row r="69" spans="5:26" x14ac:dyDescent="0.25">
      <c r="O69">
        <v>35</v>
      </c>
      <c r="P69">
        <f t="shared" si="10"/>
        <v>0.5</v>
      </c>
      <c r="Q69">
        <f t="shared" si="7"/>
        <v>3.5</v>
      </c>
      <c r="R69">
        <f t="shared" si="8"/>
        <v>4.5</v>
      </c>
      <c r="S69">
        <f t="shared" si="9"/>
        <v>7.5</v>
      </c>
      <c r="T69">
        <f t="shared" si="11"/>
        <v>9.5</v>
      </c>
      <c r="U69">
        <f t="shared" si="12"/>
        <v>11.5</v>
      </c>
      <c r="V69">
        <f t="shared" si="13"/>
        <v>13.5</v>
      </c>
      <c r="W69">
        <f t="shared" si="14"/>
        <v>15.5</v>
      </c>
      <c r="X69">
        <v>0</v>
      </c>
      <c r="Z69">
        <v>35</v>
      </c>
    </row>
    <row r="70" spans="5:26" x14ac:dyDescent="0.25">
      <c r="O70">
        <v>36</v>
      </c>
      <c r="P70">
        <f t="shared" si="10"/>
        <v>0.5</v>
      </c>
      <c r="Q70">
        <f t="shared" si="7"/>
        <v>3.5</v>
      </c>
      <c r="R70">
        <f t="shared" si="8"/>
        <v>4.5</v>
      </c>
      <c r="S70">
        <f t="shared" si="9"/>
        <v>7.5</v>
      </c>
      <c r="T70">
        <f t="shared" si="11"/>
        <v>9.5</v>
      </c>
      <c r="U70">
        <f t="shared" si="12"/>
        <v>11.5</v>
      </c>
      <c r="V70">
        <f t="shared" si="13"/>
        <v>13.5</v>
      </c>
      <c r="W70">
        <f t="shared" si="14"/>
        <v>15.5</v>
      </c>
      <c r="X70">
        <v>0</v>
      </c>
      <c r="Z70">
        <v>36</v>
      </c>
    </row>
    <row r="71" spans="5:26" x14ac:dyDescent="0.25">
      <c r="O71">
        <v>37</v>
      </c>
      <c r="P71">
        <f t="shared" si="10"/>
        <v>0.5</v>
      </c>
      <c r="Q71">
        <f t="shared" si="7"/>
        <v>3.5</v>
      </c>
      <c r="R71">
        <f t="shared" si="8"/>
        <v>4.5</v>
      </c>
      <c r="S71">
        <f t="shared" si="9"/>
        <v>7.5</v>
      </c>
      <c r="T71">
        <f t="shared" si="11"/>
        <v>9.5</v>
      </c>
      <c r="U71">
        <f t="shared" si="12"/>
        <v>11.5</v>
      </c>
      <c r="V71">
        <f t="shared" si="13"/>
        <v>13.5</v>
      </c>
      <c r="W71">
        <f t="shared" si="14"/>
        <v>15.5</v>
      </c>
      <c r="X71">
        <v>0</v>
      </c>
      <c r="Z71">
        <v>37</v>
      </c>
    </row>
    <row r="72" spans="5:26" x14ac:dyDescent="0.25">
      <c r="O72">
        <v>38</v>
      </c>
      <c r="P72">
        <f t="shared" si="10"/>
        <v>0.5</v>
      </c>
      <c r="Q72">
        <f t="shared" si="7"/>
        <v>3.5</v>
      </c>
      <c r="R72">
        <f t="shared" si="8"/>
        <v>4.5</v>
      </c>
      <c r="S72">
        <f t="shared" si="9"/>
        <v>7.5</v>
      </c>
      <c r="T72">
        <f t="shared" si="11"/>
        <v>9.5</v>
      </c>
      <c r="U72">
        <f t="shared" si="12"/>
        <v>11.5</v>
      </c>
      <c r="V72">
        <f t="shared" si="13"/>
        <v>13.5</v>
      </c>
      <c r="W72">
        <f t="shared" si="14"/>
        <v>15.5</v>
      </c>
      <c r="X72">
        <v>0</v>
      </c>
      <c r="Z72">
        <v>38</v>
      </c>
    </row>
    <row r="73" spans="5:26" x14ac:dyDescent="0.25">
      <c r="O73">
        <v>39</v>
      </c>
      <c r="P73">
        <f t="shared" si="10"/>
        <v>0.5</v>
      </c>
      <c r="Q73">
        <f t="shared" si="7"/>
        <v>3.5</v>
      </c>
      <c r="R73">
        <f t="shared" si="8"/>
        <v>4.5</v>
      </c>
      <c r="S73">
        <f t="shared" si="9"/>
        <v>7.5</v>
      </c>
      <c r="T73">
        <f t="shared" si="11"/>
        <v>9.5</v>
      </c>
      <c r="U73">
        <f t="shared" si="12"/>
        <v>11.5</v>
      </c>
      <c r="V73">
        <f t="shared" si="13"/>
        <v>13.5</v>
      </c>
      <c r="W73">
        <f t="shared" si="14"/>
        <v>15.5</v>
      </c>
      <c r="X73">
        <v>0</v>
      </c>
      <c r="Z73">
        <v>39</v>
      </c>
    </row>
    <row r="74" spans="5:26" x14ac:dyDescent="0.25">
      <c r="O74">
        <v>40</v>
      </c>
      <c r="P74">
        <f t="shared" si="10"/>
        <v>0.5</v>
      </c>
      <c r="Q74">
        <f t="shared" si="7"/>
        <v>3.5</v>
      </c>
      <c r="R74">
        <f t="shared" si="8"/>
        <v>4.5</v>
      </c>
      <c r="S74">
        <f t="shared" si="9"/>
        <v>7.5</v>
      </c>
      <c r="T74">
        <f t="shared" si="11"/>
        <v>9.5</v>
      </c>
      <c r="U74">
        <f t="shared" si="12"/>
        <v>11.5</v>
      </c>
      <c r="V74">
        <f t="shared" si="13"/>
        <v>13.5</v>
      </c>
      <c r="W74">
        <f t="shared" si="14"/>
        <v>15.5</v>
      </c>
      <c r="X74">
        <v>0</v>
      </c>
      <c r="Z74">
        <v>40</v>
      </c>
    </row>
    <row r="75" spans="5:26" x14ac:dyDescent="0.25">
      <c r="O75">
        <v>41</v>
      </c>
      <c r="P75">
        <f t="shared" si="10"/>
        <v>0.5</v>
      </c>
      <c r="Q75">
        <f t="shared" si="7"/>
        <v>3.5</v>
      </c>
      <c r="R75">
        <f t="shared" si="8"/>
        <v>4.5</v>
      </c>
      <c r="S75">
        <f t="shared" si="9"/>
        <v>7.5</v>
      </c>
      <c r="T75">
        <f t="shared" si="11"/>
        <v>9.5</v>
      </c>
      <c r="U75">
        <f t="shared" si="12"/>
        <v>11.5</v>
      </c>
      <c r="V75">
        <f t="shared" si="13"/>
        <v>13.5</v>
      </c>
      <c r="W75">
        <f t="shared" si="14"/>
        <v>15.5</v>
      </c>
      <c r="X75">
        <v>0</v>
      </c>
      <c r="Z75">
        <v>41</v>
      </c>
    </row>
    <row r="76" spans="5:26" x14ac:dyDescent="0.25">
      <c r="O76">
        <v>42</v>
      </c>
      <c r="P76">
        <f t="shared" si="10"/>
        <v>0.5</v>
      </c>
      <c r="Q76">
        <f t="shared" si="7"/>
        <v>3.5</v>
      </c>
      <c r="R76">
        <f t="shared" si="8"/>
        <v>4.5</v>
      </c>
      <c r="S76">
        <f t="shared" si="9"/>
        <v>7.5</v>
      </c>
      <c r="T76">
        <f t="shared" si="11"/>
        <v>9.5</v>
      </c>
      <c r="U76">
        <f t="shared" si="12"/>
        <v>11.5</v>
      </c>
      <c r="V76">
        <f t="shared" si="13"/>
        <v>13.5</v>
      </c>
      <c r="W76">
        <f t="shared" si="14"/>
        <v>15.5</v>
      </c>
      <c r="X76">
        <v>0</v>
      </c>
      <c r="Z76">
        <v>42</v>
      </c>
    </row>
    <row r="77" spans="5:26" x14ac:dyDescent="0.25">
      <c r="O77">
        <v>43</v>
      </c>
      <c r="P77">
        <f t="shared" si="10"/>
        <v>0.5</v>
      </c>
      <c r="Q77">
        <f t="shared" si="7"/>
        <v>3.5</v>
      </c>
      <c r="R77">
        <f t="shared" si="8"/>
        <v>4.5</v>
      </c>
      <c r="S77">
        <f t="shared" si="9"/>
        <v>7.5</v>
      </c>
      <c r="T77">
        <f t="shared" si="11"/>
        <v>9.5</v>
      </c>
      <c r="U77">
        <f t="shared" si="12"/>
        <v>11.5</v>
      </c>
      <c r="V77">
        <f t="shared" si="13"/>
        <v>13.5</v>
      </c>
      <c r="W77">
        <f t="shared" si="14"/>
        <v>15.5</v>
      </c>
      <c r="X77">
        <v>0</v>
      </c>
      <c r="Z77">
        <v>43</v>
      </c>
    </row>
    <row r="78" spans="5:26" x14ac:dyDescent="0.25">
      <c r="O78">
        <v>44</v>
      </c>
      <c r="P78">
        <f t="shared" si="10"/>
        <v>0.5</v>
      </c>
      <c r="Q78">
        <f t="shared" si="7"/>
        <v>3.5</v>
      </c>
      <c r="R78">
        <f t="shared" si="8"/>
        <v>4.5</v>
      </c>
      <c r="S78">
        <f t="shared" si="9"/>
        <v>7.5</v>
      </c>
      <c r="T78">
        <f t="shared" si="11"/>
        <v>9.5</v>
      </c>
      <c r="U78">
        <f t="shared" si="12"/>
        <v>11.5</v>
      </c>
      <c r="V78">
        <f t="shared" si="13"/>
        <v>13.5</v>
      </c>
      <c r="W78">
        <f t="shared" si="14"/>
        <v>15.5</v>
      </c>
      <c r="X78">
        <v>0</v>
      </c>
      <c r="Z78">
        <v>44</v>
      </c>
    </row>
    <row r="79" spans="5:26" x14ac:dyDescent="0.25">
      <c r="O79">
        <v>45</v>
      </c>
      <c r="P79">
        <f t="shared" si="10"/>
        <v>0.5</v>
      </c>
      <c r="Q79">
        <f t="shared" si="7"/>
        <v>3.5</v>
      </c>
      <c r="R79">
        <f t="shared" si="8"/>
        <v>4.5</v>
      </c>
      <c r="S79">
        <f t="shared" si="9"/>
        <v>7.5</v>
      </c>
      <c r="T79">
        <f t="shared" si="11"/>
        <v>9.5</v>
      </c>
      <c r="U79">
        <f t="shared" si="12"/>
        <v>11.5</v>
      </c>
      <c r="V79">
        <f t="shared" si="13"/>
        <v>13.5</v>
      </c>
      <c r="W79">
        <f t="shared" si="14"/>
        <v>15.5</v>
      </c>
      <c r="X79">
        <v>0</v>
      </c>
      <c r="Z79">
        <v>45</v>
      </c>
    </row>
    <row r="80" spans="5:26" x14ac:dyDescent="0.25">
      <c r="O80">
        <v>46</v>
      </c>
      <c r="P80">
        <f t="shared" si="10"/>
        <v>0.5</v>
      </c>
      <c r="Q80">
        <f t="shared" si="7"/>
        <v>3.5</v>
      </c>
      <c r="R80">
        <f t="shared" si="8"/>
        <v>4.5</v>
      </c>
      <c r="S80">
        <f t="shared" si="9"/>
        <v>7.5</v>
      </c>
      <c r="T80">
        <f t="shared" si="11"/>
        <v>9.5</v>
      </c>
      <c r="U80">
        <f t="shared" si="12"/>
        <v>11.5</v>
      </c>
      <c r="V80">
        <f t="shared" si="13"/>
        <v>13.5</v>
      </c>
      <c r="W80">
        <f t="shared" si="14"/>
        <v>15.5</v>
      </c>
      <c r="X80">
        <v>0</v>
      </c>
      <c r="Z80">
        <v>46</v>
      </c>
    </row>
    <row r="81" spans="15:26" x14ac:dyDescent="0.25">
      <c r="O81">
        <v>47</v>
      </c>
      <c r="P81">
        <f t="shared" si="10"/>
        <v>0.5</v>
      </c>
      <c r="Q81">
        <f t="shared" si="7"/>
        <v>3.5</v>
      </c>
      <c r="R81">
        <f t="shared" si="8"/>
        <v>4.5</v>
      </c>
      <c r="S81">
        <f t="shared" si="9"/>
        <v>7.5</v>
      </c>
      <c r="T81">
        <f t="shared" si="11"/>
        <v>9.5</v>
      </c>
      <c r="U81">
        <f t="shared" si="12"/>
        <v>11.5</v>
      </c>
      <c r="V81">
        <f t="shared" si="13"/>
        <v>13.5</v>
      </c>
      <c r="W81">
        <f t="shared" si="14"/>
        <v>15.5</v>
      </c>
      <c r="X81">
        <v>0</v>
      </c>
      <c r="Z81">
        <v>47</v>
      </c>
    </row>
    <row r="82" spans="15:26" x14ac:dyDescent="0.25">
      <c r="O82">
        <v>48</v>
      </c>
      <c r="P82">
        <f t="shared" si="10"/>
        <v>0.5</v>
      </c>
      <c r="Q82">
        <f t="shared" si="7"/>
        <v>3.5</v>
      </c>
      <c r="R82">
        <f t="shared" si="8"/>
        <v>4.5</v>
      </c>
      <c r="S82">
        <f t="shared" si="9"/>
        <v>7.5</v>
      </c>
      <c r="T82">
        <f t="shared" si="11"/>
        <v>9.5</v>
      </c>
      <c r="U82">
        <f t="shared" si="12"/>
        <v>11.5</v>
      </c>
      <c r="V82">
        <f t="shared" si="13"/>
        <v>13.5</v>
      </c>
      <c r="W82">
        <f t="shared" si="14"/>
        <v>15.5</v>
      </c>
      <c r="X82">
        <v>0</v>
      </c>
      <c r="Z82">
        <v>48</v>
      </c>
    </row>
    <row r="83" spans="15:26" x14ac:dyDescent="0.25">
      <c r="O83">
        <v>49</v>
      </c>
      <c r="P83">
        <f t="shared" si="10"/>
        <v>0.5</v>
      </c>
      <c r="Q83">
        <f t="shared" si="7"/>
        <v>3.5</v>
      </c>
      <c r="R83">
        <f t="shared" si="8"/>
        <v>4.5</v>
      </c>
      <c r="S83">
        <f t="shared" si="9"/>
        <v>7.5</v>
      </c>
      <c r="T83">
        <f t="shared" si="11"/>
        <v>9.5</v>
      </c>
      <c r="U83">
        <f t="shared" si="12"/>
        <v>11.5</v>
      </c>
      <c r="V83">
        <f t="shared" si="13"/>
        <v>13.5</v>
      </c>
      <c r="W83">
        <f t="shared" si="14"/>
        <v>15.5</v>
      </c>
      <c r="X83">
        <v>0</v>
      </c>
      <c r="Z83">
        <v>49</v>
      </c>
    </row>
    <row r="84" spans="15:26" x14ac:dyDescent="0.25">
      <c r="O84">
        <v>50</v>
      </c>
      <c r="P84">
        <f t="shared" si="10"/>
        <v>0.5</v>
      </c>
      <c r="Q84">
        <f t="shared" si="7"/>
        <v>3.5</v>
      </c>
      <c r="R84">
        <f t="shared" si="8"/>
        <v>4.5</v>
      </c>
      <c r="S84">
        <f t="shared" si="9"/>
        <v>7.5</v>
      </c>
      <c r="T84">
        <f t="shared" si="11"/>
        <v>9.5</v>
      </c>
      <c r="U84">
        <f t="shared" si="12"/>
        <v>11.5</v>
      </c>
      <c r="V84">
        <f t="shared" si="13"/>
        <v>13.5</v>
      </c>
      <c r="W84">
        <f t="shared" si="14"/>
        <v>15.5</v>
      </c>
      <c r="X84">
        <v>0</v>
      </c>
      <c r="Z84">
        <v>50</v>
      </c>
    </row>
    <row r="85" spans="15:26" x14ac:dyDescent="0.25">
      <c r="O85">
        <v>51</v>
      </c>
      <c r="P85">
        <f t="shared" si="10"/>
        <v>0.5</v>
      </c>
      <c r="Q85">
        <f t="shared" si="7"/>
        <v>3.5</v>
      </c>
      <c r="R85">
        <f t="shared" si="8"/>
        <v>4.5</v>
      </c>
      <c r="S85">
        <f t="shared" si="9"/>
        <v>7.5</v>
      </c>
      <c r="T85">
        <f t="shared" si="11"/>
        <v>9.5</v>
      </c>
      <c r="U85">
        <f t="shared" si="12"/>
        <v>11.5</v>
      </c>
      <c r="V85">
        <f t="shared" si="13"/>
        <v>13.5</v>
      </c>
      <c r="W85">
        <f t="shared" si="14"/>
        <v>15.5</v>
      </c>
      <c r="X85">
        <v>0</v>
      </c>
      <c r="Z85">
        <v>51</v>
      </c>
    </row>
    <row r="86" spans="15:26" x14ac:dyDescent="0.25">
      <c r="O86">
        <v>52</v>
      </c>
      <c r="P86">
        <f t="shared" si="10"/>
        <v>0.5</v>
      </c>
      <c r="Q86">
        <f t="shared" si="7"/>
        <v>3.5</v>
      </c>
      <c r="R86">
        <f t="shared" si="8"/>
        <v>4.5</v>
      </c>
      <c r="S86">
        <f t="shared" si="9"/>
        <v>7.5</v>
      </c>
      <c r="T86">
        <f t="shared" si="11"/>
        <v>9.5</v>
      </c>
      <c r="U86">
        <f t="shared" si="12"/>
        <v>11.5</v>
      </c>
      <c r="V86">
        <f t="shared" si="13"/>
        <v>13.5</v>
      </c>
      <c r="W86">
        <f t="shared" si="14"/>
        <v>15.5</v>
      </c>
      <c r="X86">
        <v>0</v>
      </c>
      <c r="Z86">
        <v>52</v>
      </c>
    </row>
    <row r="87" spans="15:26" x14ac:dyDescent="0.25">
      <c r="O87" s="7">
        <v>53</v>
      </c>
      <c r="P87" s="7">
        <f t="shared" si="10"/>
        <v>0.5</v>
      </c>
      <c r="Q87" s="7">
        <f t="shared" si="7"/>
        <v>2.5</v>
      </c>
      <c r="R87" s="7">
        <f t="shared" si="8"/>
        <v>4.5</v>
      </c>
      <c r="S87" s="7">
        <f t="shared" si="9"/>
        <v>6.5</v>
      </c>
      <c r="T87" s="7">
        <f t="shared" si="11"/>
        <v>9.5</v>
      </c>
      <c r="U87" s="7">
        <f t="shared" si="12"/>
        <v>11.5</v>
      </c>
      <c r="V87" s="7">
        <f t="shared" si="13"/>
        <v>13.5</v>
      </c>
      <c r="W87" s="7">
        <f t="shared" si="14"/>
        <v>15.5</v>
      </c>
      <c r="X87" s="7">
        <v>0</v>
      </c>
      <c r="Y87" s="7"/>
      <c r="Z87" s="7">
        <v>53</v>
      </c>
    </row>
    <row r="88" spans="15:26" x14ac:dyDescent="0.25">
      <c r="O88" s="7">
        <v>54</v>
      </c>
      <c r="P88" s="7">
        <f t="shared" si="10"/>
        <v>0.5</v>
      </c>
      <c r="Q88" s="7">
        <f t="shared" si="7"/>
        <v>2.5</v>
      </c>
      <c r="R88" s="7">
        <f t="shared" si="8"/>
        <v>4.5</v>
      </c>
      <c r="S88" s="7">
        <f t="shared" si="9"/>
        <v>6.5</v>
      </c>
      <c r="T88" s="7">
        <f t="shared" si="11"/>
        <v>9.5</v>
      </c>
      <c r="U88" s="7">
        <f t="shared" si="12"/>
        <v>11.5</v>
      </c>
      <c r="V88" s="7">
        <f t="shared" si="13"/>
        <v>13.5</v>
      </c>
      <c r="W88" s="7">
        <f t="shared" si="14"/>
        <v>15.5</v>
      </c>
      <c r="X88" s="7">
        <v>0</v>
      </c>
      <c r="Y88" s="7"/>
      <c r="Z88" s="7">
        <v>54</v>
      </c>
    </row>
    <row r="89" spans="15:26" x14ac:dyDescent="0.25">
      <c r="O89" s="7">
        <v>55</v>
      </c>
      <c r="P89" s="7">
        <f t="shared" si="10"/>
        <v>0.5</v>
      </c>
      <c r="Q89" s="7">
        <f t="shared" si="7"/>
        <v>2.5</v>
      </c>
      <c r="R89" s="7">
        <f t="shared" si="8"/>
        <v>4.5</v>
      </c>
      <c r="S89" s="7">
        <f t="shared" si="9"/>
        <v>6.5</v>
      </c>
      <c r="T89" s="7">
        <f t="shared" si="11"/>
        <v>9.5</v>
      </c>
      <c r="U89" s="7">
        <f t="shared" si="12"/>
        <v>11.5</v>
      </c>
      <c r="V89" s="7">
        <f t="shared" si="13"/>
        <v>13.5</v>
      </c>
      <c r="W89" s="7">
        <f t="shared" si="14"/>
        <v>15.5</v>
      </c>
      <c r="X89" s="7">
        <v>0</v>
      </c>
      <c r="Y89" s="7"/>
      <c r="Z89" s="7">
        <v>55</v>
      </c>
    </row>
    <row r="90" spans="15:26" x14ac:dyDescent="0.25">
      <c r="O90" s="7">
        <v>56</v>
      </c>
      <c r="P90" s="7">
        <f t="shared" si="10"/>
        <v>0.5</v>
      </c>
      <c r="Q90" s="7">
        <f t="shared" si="7"/>
        <v>2.5</v>
      </c>
      <c r="R90" s="7">
        <f t="shared" si="8"/>
        <v>4.5</v>
      </c>
      <c r="S90" s="7">
        <f t="shared" si="9"/>
        <v>6.5</v>
      </c>
      <c r="T90" s="7">
        <f t="shared" si="11"/>
        <v>9.5</v>
      </c>
      <c r="U90" s="7">
        <f t="shared" si="12"/>
        <v>11.5</v>
      </c>
      <c r="V90" s="7">
        <f t="shared" si="13"/>
        <v>13.5</v>
      </c>
      <c r="W90" s="7">
        <f t="shared" si="14"/>
        <v>15.5</v>
      </c>
      <c r="X90" s="7">
        <v>0</v>
      </c>
      <c r="Y90" s="7"/>
      <c r="Z90" s="7">
        <v>56</v>
      </c>
    </row>
    <row r="91" spans="15:26" x14ac:dyDescent="0.25">
      <c r="O91" s="17">
        <v>57</v>
      </c>
      <c r="P91" s="17">
        <f t="shared" si="10"/>
        <v>0.5</v>
      </c>
      <c r="Q91" s="17">
        <f t="shared" si="7"/>
        <v>2.5</v>
      </c>
      <c r="R91" s="17">
        <f t="shared" si="8"/>
        <v>4.5</v>
      </c>
      <c r="S91" s="17">
        <f t="shared" si="9"/>
        <v>6.5</v>
      </c>
      <c r="T91" s="17">
        <f t="shared" si="11"/>
        <v>9.5</v>
      </c>
      <c r="U91" s="17">
        <f t="shared" si="12"/>
        <v>11.5</v>
      </c>
      <c r="V91" s="17">
        <f t="shared" si="13"/>
        <v>13.5</v>
      </c>
      <c r="W91" s="17">
        <f t="shared" si="14"/>
        <v>15.5</v>
      </c>
      <c r="X91" s="17">
        <v>16</v>
      </c>
      <c r="Y91" s="17"/>
      <c r="Z91" s="17">
        <v>57</v>
      </c>
    </row>
    <row r="92" spans="15:26" x14ac:dyDescent="0.25">
      <c r="O92" s="17">
        <v>58</v>
      </c>
      <c r="P92" s="17">
        <f t="shared" si="10"/>
        <v>0.5</v>
      </c>
      <c r="Q92" s="17">
        <f t="shared" si="7"/>
        <v>2.5</v>
      </c>
      <c r="R92" s="17">
        <f t="shared" si="8"/>
        <v>4.5</v>
      </c>
      <c r="S92" s="17">
        <f t="shared" si="9"/>
        <v>6.5</v>
      </c>
      <c r="T92" s="17">
        <f t="shared" si="11"/>
        <v>9.5</v>
      </c>
      <c r="U92" s="17">
        <f t="shared" si="12"/>
        <v>11.5</v>
      </c>
      <c r="V92" s="17">
        <f t="shared" si="13"/>
        <v>13.5</v>
      </c>
      <c r="W92" s="17">
        <f t="shared" si="14"/>
        <v>15.5</v>
      </c>
      <c r="X92" s="17">
        <v>16</v>
      </c>
      <c r="Y92" s="17"/>
      <c r="Z92" s="17">
        <v>58</v>
      </c>
    </row>
    <row r="93" spans="15:26" x14ac:dyDescent="0.25">
      <c r="O93" s="7">
        <v>59</v>
      </c>
      <c r="P93" s="7">
        <f t="shared" si="10"/>
        <v>0.5</v>
      </c>
      <c r="Q93" s="7">
        <f t="shared" si="7"/>
        <v>2.5</v>
      </c>
      <c r="R93" s="7">
        <f t="shared" si="8"/>
        <v>4.5</v>
      </c>
      <c r="S93" s="7">
        <f t="shared" si="9"/>
        <v>6.5</v>
      </c>
      <c r="T93" s="7">
        <f t="shared" si="11"/>
        <v>9.5</v>
      </c>
      <c r="U93" s="7">
        <f t="shared" si="12"/>
        <v>11.5</v>
      </c>
      <c r="V93" s="7">
        <f t="shared" si="13"/>
        <v>13.5</v>
      </c>
      <c r="W93" s="7">
        <f t="shared" si="14"/>
        <v>15.5</v>
      </c>
      <c r="X93" s="7">
        <v>0</v>
      </c>
      <c r="Y93" s="7"/>
      <c r="Z93" s="7">
        <v>59</v>
      </c>
    </row>
    <row r="94" spans="15:26" x14ac:dyDescent="0.25">
      <c r="O94" s="7">
        <v>60</v>
      </c>
      <c r="P94" s="7">
        <f t="shared" si="10"/>
        <v>0.5</v>
      </c>
      <c r="Q94" s="7">
        <f t="shared" si="7"/>
        <v>2.5</v>
      </c>
      <c r="R94" s="7">
        <f t="shared" si="8"/>
        <v>4.5</v>
      </c>
      <c r="S94" s="7">
        <f t="shared" si="9"/>
        <v>6.5</v>
      </c>
      <c r="T94" s="7">
        <f t="shared" si="11"/>
        <v>9.5</v>
      </c>
      <c r="U94" s="7">
        <f t="shared" si="12"/>
        <v>11.5</v>
      </c>
      <c r="V94" s="7">
        <f t="shared" si="13"/>
        <v>13.5</v>
      </c>
      <c r="W94" s="7">
        <f t="shared" si="14"/>
        <v>15.5</v>
      </c>
      <c r="X94" s="7">
        <v>0</v>
      </c>
      <c r="Y94" s="7"/>
      <c r="Z94" s="7">
        <v>60</v>
      </c>
    </row>
    <row r="95" spans="15:26" x14ac:dyDescent="0.25">
      <c r="O95" s="7">
        <v>61</v>
      </c>
      <c r="P95" s="7">
        <f t="shared" si="10"/>
        <v>0.5</v>
      </c>
      <c r="Q95" s="7">
        <f t="shared" si="7"/>
        <v>2.5</v>
      </c>
      <c r="R95" s="7">
        <f t="shared" si="8"/>
        <v>4.5</v>
      </c>
      <c r="S95" s="7">
        <f t="shared" si="9"/>
        <v>6.5</v>
      </c>
      <c r="T95" s="7">
        <f t="shared" si="11"/>
        <v>9.5</v>
      </c>
      <c r="U95" s="7">
        <f t="shared" si="12"/>
        <v>11.5</v>
      </c>
      <c r="V95" s="7">
        <f t="shared" si="13"/>
        <v>13.5</v>
      </c>
      <c r="W95" s="7">
        <f t="shared" si="14"/>
        <v>15.5</v>
      </c>
      <c r="X95" s="7">
        <v>0</v>
      </c>
      <c r="Y95" s="7"/>
      <c r="Z95" s="7">
        <v>61</v>
      </c>
    </row>
    <row r="96" spans="15:26" x14ac:dyDescent="0.25">
      <c r="O96" s="7">
        <v>62</v>
      </c>
      <c r="P96" s="7">
        <f t="shared" si="10"/>
        <v>0.5</v>
      </c>
      <c r="Q96" s="7">
        <f t="shared" si="7"/>
        <v>2.5</v>
      </c>
      <c r="R96" s="7">
        <f t="shared" si="8"/>
        <v>4.5</v>
      </c>
      <c r="S96" s="7">
        <f t="shared" si="9"/>
        <v>6.5</v>
      </c>
      <c r="T96" s="7">
        <f t="shared" si="11"/>
        <v>9.5</v>
      </c>
      <c r="U96" s="7">
        <f t="shared" si="12"/>
        <v>11.5</v>
      </c>
      <c r="V96" s="7">
        <f t="shared" si="13"/>
        <v>13.5</v>
      </c>
      <c r="W96" s="7">
        <f t="shared" si="14"/>
        <v>15.5</v>
      </c>
      <c r="X96" s="7">
        <v>0</v>
      </c>
      <c r="Y96" s="7"/>
      <c r="Z96" s="7">
        <v>62</v>
      </c>
    </row>
    <row r="97" spans="15:26" x14ac:dyDescent="0.25">
      <c r="O97">
        <v>63</v>
      </c>
      <c r="P97">
        <f t="shared" si="10"/>
        <v>0.5</v>
      </c>
      <c r="Q97">
        <f t="shared" si="7"/>
        <v>2.5</v>
      </c>
      <c r="R97">
        <f t="shared" si="8"/>
        <v>4.5</v>
      </c>
      <c r="S97">
        <f t="shared" si="9"/>
        <v>6.5</v>
      </c>
      <c r="T97">
        <f t="shared" si="11"/>
        <v>8.5</v>
      </c>
      <c r="U97">
        <f t="shared" si="12"/>
        <v>11.5</v>
      </c>
      <c r="V97">
        <f t="shared" si="13"/>
        <v>12.5</v>
      </c>
      <c r="W97">
        <f t="shared" si="14"/>
        <v>15.5</v>
      </c>
      <c r="X97">
        <v>0</v>
      </c>
      <c r="Z97">
        <v>63</v>
      </c>
    </row>
    <row r="98" spans="15:26" x14ac:dyDescent="0.25">
      <c r="O98">
        <v>64</v>
      </c>
      <c r="P98">
        <f t="shared" si="10"/>
        <v>0.5</v>
      </c>
      <c r="Q98">
        <f t="shared" si="7"/>
        <v>2.5</v>
      </c>
      <c r="R98">
        <f t="shared" si="8"/>
        <v>4.5</v>
      </c>
      <c r="S98">
        <f t="shared" si="9"/>
        <v>6.5</v>
      </c>
      <c r="T98">
        <f t="shared" si="11"/>
        <v>8.5</v>
      </c>
      <c r="U98">
        <f t="shared" si="12"/>
        <v>11.5</v>
      </c>
      <c r="V98">
        <f t="shared" si="13"/>
        <v>12.5</v>
      </c>
      <c r="W98">
        <f t="shared" si="14"/>
        <v>15.5</v>
      </c>
      <c r="X98">
        <v>0</v>
      </c>
      <c r="Z98">
        <v>64</v>
      </c>
    </row>
    <row r="99" spans="15:26" x14ac:dyDescent="0.25">
      <c r="O99">
        <v>65</v>
      </c>
      <c r="P99">
        <f t="shared" si="10"/>
        <v>0.5</v>
      </c>
      <c r="Q99">
        <f t="shared" si="7"/>
        <v>2.5</v>
      </c>
      <c r="R99">
        <f t="shared" si="8"/>
        <v>4.5</v>
      </c>
      <c r="S99">
        <f t="shared" si="9"/>
        <v>6.5</v>
      </c>
      <c r="T99">
        <f t="shared" ref="T99:T130" si="15">T$32+IF($Z99&lt;$Z$35+$E$31,1,IF($Z99&lt;$Z$35+$E$31+$E$34,0,1))</f>
        <v>8.5</v>
      </c>
      <c r="U99">
        <f t="shared" ref="U99:U130" si="16">U$32+IF($Z99&lt;$Z$35+$E$32,1,IF($Z99&lt;$Z$35+$E$32+$E$34,0,1))</f>
        <v>11.5</v>
      </c>
      <c r="V99">
        <f t="shared" ref="V99:V130" si="17">V$32+IF($Z99&lt;$Z$35+$E$31,1,IF($Z99&lt;$Z$35+$E$31+$E$35,0,1))</f>
        <v>12.5</v>
      </c>
      <c r="W99">
        <f t="shared" ref="W99:W130" si="18">W$32+IF($Z99&lt;$Z$35+$E$32,1,IF($Z99&lt;$Z$35+$E$32+$E$35,0,1))</f>
        <v>15.5</v>
      </c>
      <c r="X99">
        <v>0</v>
      </c>
      <c r="Z99">
        <v>65</v>
      </c>
    </row>
    <row r="100" spans="15:26" x14ac:dyDescent="0.25">
      <c r="O100">
        <v>66</v>
      </c>
      <c r="P100">
        <f t="shared" si="10"/>
        <v>0.5</v>
      </c>
      <c r="Q100">
        <f t="shared" ref="Q100:Q163" si="19">Q$32+IF($O100&lt;$O$35+$E$30,1,IF($O100&lt;$O$35+$E$30+$E$36,0,1))</f>
        <v>2.5</v>
      </c>
      <c r="R100">
        <f t="shared" ref="R100:R163" si="20">R$32+IF($O100&lt;$O$35+$E$29,1,IF($O100&lt;$O$35+$E$29+$E$37,0,1))</f>
        <v>4.5</v>
      </c>
      <c r="S100">
        <f t="shared" ref="S100:S163" si="21">S$32+IF($O100&lt;$O$35+$E$30,1,IF($O100&lt;$O$35+$E$30+$E$37,0,1))</f>
        <v>6.5</v>
      </c>
      <c r="T100">
        <f t="shared" si="15"/>
        <v>8.5</v>
      </c>
      <c r="U100">
        <f t="shared" si="16"/>
        <v>11.5</v>
      </c>
      <c r="V100">
        <f t="shared" si="17"/>
        <v>12.5</v>
      </c>
      <c r="W100">
        <f t="shared" si="18"/>
        <v>15.5</v>
      </c>
      <c r="X100">
        <v>0</v>
      </c>
      <c r="Z100">
        <v>66</v>
      </c>
    </row>
    <row r="101" spans="15:26" x14ac:dyDescent="0.25">
      <c r="O101">
        <v>67</v>
      </c>
      <c r="P101">
        <f t="shared" ref="P101:P164" si="22">P$32+IF($O101&lt;$O$35+$E$29,1,IF($O101&lt;$O$35+$E$29+$E$36,0,1))</f>
        <v>0.5</v>
      </c>
      <c r="Q101">
        <f t="shared" si="19"/>
        <v>2.5</v>
      </c>
      <c r="R101">
        <f t="shared" si="20"/>
        <v>4.5</v>
      </c>
      <c r="S101">
        <f t="shared" si="21"/>
        <v>6.5</v>
      </c>
      <c r="T101">
        <f t="shared" si="15"/>
        <v>8.5</v>
      </c>
      <c r="U101">
        <f t="shared" si="16"/>
        <v>11.5</v>
      </c>
      <c r="V101">
        <f t="shared" si="17"/>
        <v>12.5</v>
      </c>
      <c r="W101">
        <f t="shared" si="18"/>
        <v>15.5</v>
      </c>
      <c r="X101">
        <v>0</v>
      </c>
      <c r="Z101">
        <v>67</v>
      </c>
    </row>
    <row r="102" spans="15:26" x14ac:dyDescent="0.25">
      <c r="O102">
        <v>68</v>
      </c>
      <c r="P102">
        <f t="shared" si="22"/>
        <v>0.5</v>
      </c>
      <c r="Q102">
        <f t="shared" si="19"/>
        <v>2.5</v>
      </c>
      <c r="R102">
        <f t="shared" si="20"/>
        <v>4.5</v>
      </c>
      <c r="S102">
        <f t="shared" si="21"/>
        <v>6.5</v>
      </c>
      <c r="T102">
        <f t="shared" si="15"/>
        <v>8.5</v>
      </c>
      <c r="U102">
        <f t="shared" si="16"/>
        <v>11.5</v>
      </c>
      <c r="V102">
        <f t="shared" si="17"/>
        <v>12.5</v>
      </c>
      <c r="W102">
        <f t="shared" si="18"/>
        <v>15.5</v>
      </c>
      <c r="X102">
        <v>0</v>
      </c>
      <c r="Z102">
        <v>68</v>
      </c>
    </row>
    <row r="103" spans="15:26" x14ac:dyDescent="0.25">
      <c r="O103">
        <v>69</v>
      </c>
      <c r="P103">
        <f t="shared" si="22"/>
        <v>0.5</v>
      </c>
      <c r="Q103">
        <f t="shared" si="19"/>
        <v>2.5</v>
      </c>
      <c r="R103">
        <f t="shared" si="20"/>
        <v>4.5</v>
      </c>
      <c r="S103">
        <f t="shared" si="21"/>
        <v>6.5</v>
      </c>
      <c r="T103">
        <f t="shared" si="15"/>
        <v>8.5</v>
      </c>
      <c r="U103">
        <f t="shared" si="16"/>
        <v>11.5</v>
      </c>
      <c r="V103">
        <f t="shared" si="17"/>
        <v>12.5</v>
      </c>
      <c r="W103">
        <f t="shared" si="18"/>
        <v>15.5</v>
      </c>
      <c r="X103">
        <v>0</v>
      </c>
      <c r="Z103">
        <v>69</v>
      </c>
    </row>
    <row r="104" spans="15:26" x14ac:dyDescent="0.25">
      <c r="O104">
        <v>70</v>
      </c>
      <c r="P104">
        <f t="shared" si="22"/>
        <v>0.5</v>
      </c>
      <c r="Q104">
        <f t="shared" si="19"/>
        <v>2.5</v>
      </c>
      <c r="R104">
        <f t="shared" si="20"/>
        <v>4.5</v>
      </c>
      <c r="S104">
        <f t="shared" si="21"/>
        <v>6.5</v>
      </c>
      <c r="T104">
        <f t="shared" si="15"/>
        <v>8.5</v>
      </c>
      <c r="U104">
        <f t="shared" si="16"/>
        <v>11.5</v>
      </c>
      <c r="V104">
        <f t="shared" si="17"/>
        <v>12.5</v>
      </c>
      <c r="W104">
        <f t="shared" si="18"/>
        <v>15.5</v>
      </c>
      <c r="X104">
        <v>0</v>
      </c>
      <c r="Z104">
        <v>70</v>
      </c>
    </row>
    <row r="105" spans="15:26" x14ac:dyDescent="0.25">
      <c r="O105">
        <v>71</v>
      </c>
      <c r="P105">
        <f t="shared" si="22"/>
        <v>0.5</v>
      </c>
      <c r="Q105">
        <f t="shared" si="19"/>
        <v>2.5</v>
      </c>
      <c r="R105">
        <f t="shared" si="20"/>
        <v>4.5</v>
      </c>
      <c r="S105">
        <f t="shared" si="21"/>
        <v>6.5</v>
      </c>
      <c r="T105">
        <f t="shared" si="15"/>
        <v>8.5</v>
      </c>
      <c r="U105">
        <f t="shared" si="16"/>
        <v>11.5</v>
      </c>
      <c r="V105">
        <f t="shared" si="17"/>
        <v>12.5</v>
      </c>
      <c r="W105">
        <f t="shared" si="18"/>
        <v>15.5</v>
      </c>
      <c r="X105">
        <v>0</v>
      </c>
      <c r="Z105">
        <v>71</v>
      </c>
    </row>
    <row r="106" spans="15:26" x14ac:dyDescent="0.25">
      <c r="O106">
        <v>72</v>
      </c>
      <c r="P106">
        <f t="shared" si="22"/>
        <v>0.5</v>
      </c>
      <c r="Q106">
        <f t="shared" si="19"/>
        <v>2.5</v>
      </c>
      <c r="R106">
        <f t="shared" si="20"/>
        <v>4.5</v>
      </c>
      <c r="S106">
        <f t="shared" si="21"/>
        <v>6.5</v>
      </c>
      <c r="T106">
        <f t="shared" si="15"/>
        <v>8.5</v>
      </c>
      <c r="U106">
        <f t="shared" si="16"/>
        <v>11.5</v>
      </c>
      <c r="V106">
        <f t="shared" si="17"/>
        <v>12.5</v>
      </c>
      <c r="W106">
        <f t="shared" si="18"/>
        <v>15.5</v>
      </c>
      <c r="X106">
        <v>0</v>
      </c>
      <c r="Z106">
        <v>72</v>
      </c>
    </row>
    <row r="107" spans="15:26" x14ac:dyDescent="0.25">
      <c r="O107">
        <v>73</v>
      </c>
      <c r="P107">
        <f t="shared" si="22"/>
        <v>0.5</v>
      </c>
      <c r="Q107">
        <f t="shared" si="19"/>
        <v>2.5</v>
      </c>
      <c r="R107">
        <f t="shared" si="20"/>
        <v>4.5</v>
      </c>
      <c r="S107">
        <f t="shared" si="21"/>
        <v>6.5</v>
      </c>
      <c r="T107">
        <f t="shared" si="15"/>
        <v>8.5</v>
      </c>
      <c r="U107">
        <f t="shared" si="16"/>
        <v>11.5</v>
      </c>
      <c r="V107">
        <f t="shared" si="17"/>
        <v>12.5</v>
      </c>
      <c r="W107">
        <f t="shared" si="18"/>
        <v>15.5</v>
      </c>
      <c r="X107">
        <v>0</v>
      </c>
      <c r="Z107">
        <v>73</v>
      </c>
    </row>
    <row r="108" spans="15:26" x14ac:dyDescent="0.25">
      <c r="O108">
        <v>74</v>
      </c>
      <c r="P108">
        <f t="shared" si="22"/>
        <v>0.5</v>
      </c>
      <c r="Q108">
        <f t="shared" si="19"/>
        <v>2.5</v>
      </c>
      <c r="R108">
        <f t="shared" si="20"/>
        <v>4.5</v>
      </c>
      <c r="S108">
        <f t="shared" si="21"/>
        <v>6.5</v>
      </c>
      <c r="T108">
        <f t="shared" si="15"/>
        <v>8.5</v>
      </c>
      <c r="U108">
        <f t="shared" si="16"/>
        <v>11.5</v>
      </c>
      <c r="V108">
        <f t="shared" si="17"/>
        <v>12.5</v>
      </c>
      <c r="W108">
        <f t="shared" si="18"/>
        <v>15.5</v>
      </c>
      <c r="X108">
        <v>0</v>
      </c>
      <c r="Z108">
        <v>74</v>
      </c>
    </row>
    <row r="109" spans="15:26" x14ac:dyDescent="0.25">
      <c r="O109">
        <v>75</v>
      </c>
      <c r="P109">
        <f t="shared" si="22"/>
        <v>0.5</v>
      </c>
      <c r="Q109">
        <f t="shared" si="19"/>
        <v>2.5</v>
      </c>
      <c r="R109">
        <f t="shared" si="20"/>
        <v>4.5</v>
      </c>
      <c r="S109">
        <f t="shared" si="21"/>
        <v>6.5</v>
      </c>
      <c r="T109">
        <f t="shared" si="15"/>
        <v>8.5</v>
      </c>
      <c r="U109">
        <f t="shared" si="16"/>
        <v>11.5</v>
      </c>
      <c r="V109">
        <f t="shared" si="17"/>
        <v>12.5</v>
      </c>
      <c r="W109">
        <f t="shared" si="18"/>
        <v>15.5</v>
      </c>
      <c r="X109">
        <v>0</v>
      </c>
      <c r="Z109">
        <v>75</v>
      </c>
    </row>
    <row r="110" spans="15:26" x14ac:dyDescent="0.25">
      <c r="O110">
        <v>76</v>
      </c>
      <c r="P110">
        <f t="shared" si="22"/>
        <v>0.5</v>
      </c>
      <c r="Q110">
        <f t="shared" si="19"/>
        <v>2.5</v>
      </c>
      <c r="R110">
        <f t="shared" si="20"/>
        <v>4.5</v>
      </c>
      <c r="S110">
        <f t="shared" si="21"/>
        <v>6.5</v>
      </c>
      <c r="T110">
        <f t="shared" si="15"/>
        <v>8.5</v>
      </c>
      <c r="U110">
        <f t="shared" si="16"/>
        <v>11.5</v>
      </c>
      <c r="V110">
        <f t="shared" si="17"/>
        <v>12.5</v>
      </c>
      <c r="W110">
        <f t="shared" si="18"/>
        <v>15.5</v>
      </c>
      <c r="X110">
        <v>0</v>
      </c>
      <c r="Z110">
        <v>76</v>
      </c>
    </row>
    <row r="111" spans="15:26" x14ac:dyDescent="0.25">
      <c r="O111">
        <v>77</v>
      </c>
      <c r="P111">
        <f t="shared" si="22"/>
        <v>0.5</v>
      </c>
      <c r="Q111">
        <f t="shared" si="19"/>
        <v>2.5</v>
      </c>
      <c r="R111">
        <f t="shared" si="20"/>
        <v>4.5</v>
      </c>
      <c r="S111">
        <f t="shared" si="21"/>
        <v>6.5</v>
      </c>
      <c r="T111">
        <f t="shared" si="15"/>
        <v>8.5</v>
      </c>
      <c r="U111">
        <f t="shared" si="16"/>
        <v>11.5</v>
      </c>
      <c r="V111">
        <f t="shared" si="17"/>
        <v>12.5</v>
      </c>
      <c r="W111">
        <f t="shared" si="18"/>
        <v>15.5</v>
      </c>
      <c r="X111">
        <v>0</v>
      </c>
      <c r="Z111">
        <v>77</v>
      </c>
    </row>
    <row r="112" spans="15:26" x14ac:dyDescent="0.25">
      <c r="O112">
        <v>78</v>
      </c>
      <c r="P112">
        <f t="shared" si="22"/>
        <v>0.5</v>
      </c>
      <c r="Q112">
        <f t="shared" si="19"/>
        <v>2.5</v>
      </c>
      <c r="R112">
        <f t="shared" si="20"/>
        <v>4.5</v>
      </c>
      <c r="S112">
        <f t="shared" si="21"/>
        <v>6.5</v>
      </c>
      <c r="T112">
        <f t="shared" si="15"/>
        <v>8.5</v>
      </c>
      <c r="U112">
        <f t="shared" si="16"/>
        <v>11.5</v>
      </c>
      <c r="V112">
        <f t="shared" si="17"/>
        <v>12.5</v>
      </c>
      <c r="W112">
        <f t="shared" si="18"/>
        <v>15.5</v>
      </c>
      <c r="X112">
        <v>0</v>
      </c>
      <c r="Z112">
        <v>78</v>
      </c>
    </row>
    <row r="113" spans="15:26" x14ac:dyDescent="0.25">
      <c r="O113">
        <v>79</v>
      </c>
      <c r="P113">
        <f t="shared" si="22"/>
        <v>0.5</v>
      </c>
      <c r="Q113">
        <f t="shared" si="19"/>
        <v>2.5</v>
      </c>
      <c r="R113">
        <f t="shared" si="20"/>
        <v>4.5</v>
      </c>
      <c r="S113">
        <f t="shared" si="21"/>
        <v>6.5</v>
      </c>
      <c r="T113">
        <f t="shared" si="15"/>
        <v>8.5</v>
      </c>
      <c r="U113">
        <f t="shared" si="16"/>
        <v>11.5</v>
      </c>
      <c r="V113">
        <f t="shared" si="17"/>
        <v>12.5</v>
      </c>
      <c r="W113">
        <f t="shared" si="18"/>
        <v>15.5</v>
      </c>
      <c r="X113">
        <v>0</v>
      </c>
      <c r="Z113">
        <v>79</v>
      </c>
    </row>
    <row r="114" spans="15:26" x14ac:dyDescent="0.25">
      <c r="O114">
        <v>80</v>
      </c>
      <c r="P114">
        <f t="shared" si="22"/>
        <v>0.5</v>
      </c>
      <c r="Q114">
        <f t="shared" si="19"/>
        <v>2.5</v>
      </c>
      <c r="R114">
        <f t="shared" si="20"/>
        <v>4.5</v>
      </c>
      <c r="S114">
        <f t="shared" si="21"/>
        <v>6.5</v>
      </c>
      <c r="T114">
        <f t="shared" si="15"/>
        <v>8.5</v>
      </c>
      <c r="U114">
        <f t="shared" si="16"/>
        <v>11.5</v>
      </c>
      <c r="V114">
        <f t="shared" si="17"/>
        <v>12.5</v>
      </c>
      <c r="W114">
        <f t="shared" si="18"/>
        <v>15.5</v>
      </c>
      <c r="X114">
        <v>0</v>
      </c>
      <c r="Z114">
        <v>80</v>
      </c>
    </row>
    <row r="115" spans="15:26" x14ac:dyDescent="0.25">
      <c r="O115">
        <v>81</v>
      </c>
      <c r="P115">
        <f t="shared" si="22"/>
        <v>0.5</v>
      </c>
      <c r="Q115">
        <f t="shared" si="19"/>
        <v>2.5</v>
      </c>
      <c r="R115">
        <f t="shared" si="20"/>
        <v>4.5</v>
      </c>
      <c r="S115">
        <f t="shared" si="21"/>
        <v>6.5</v>
      </c>
      <c r="T115">
        <f t="shared" si="15"/>
        <v>8.5</v>
      </c>
      <c r="U115">
        <f t="shared" si="16"/>
        <v>11.5</v>
      </c>
      <c r="V115">
        <f t="shared" si="17"/>
        <v>12.5</v>
      </c>
      <c r="W115">
        <f t="shared" si="18"/>
        <v>15.5</v>
      </c>
      <c r="X115">
        <v>0</v>
      </c>
      <c r="Z115">
        <v>81</v>
      </c>
    </row>
    <row r="116" spans="15:26" x14ac:dyDescent="0.25">
      <c r="O116">
        <v>82</v>
      </c>
      <c r="P116">
        <f t="shared" si="22"/>
        <v>0.5</v>
      </c>
      <c r="Q116">
        <f t="shared" si="19"/>
        <v>2.5</v>
      </c>
      <c r="R116">
        <f t="shared" si="20"/>
        <v>4.5</v>
      </c>
      <c r="S116">
        <f t="shared" si="21"/>
        <v>6.5</v>
      </c>
      <c r="T116">
        <f t="shared" si="15"/>
        <v>8.5</v>
      </c>
      <c r="U116">
        <f t="shared" si="16"/>
        <v>11.5</v>
      </c>
      <c r="V116">
        <f t="shared" si="17"/>
        <v>12.5</v>
      </c>
      <c r="W116">
        <f t="shared" si="18"/>
        <v>15.5</v>
      </c>
      <c r="X116">
        <v>0</v>
      </c>
      <c r="Z116">
        <v>82</v>
      </c>
    </row>
    <row r="117" spans="15:26" x14ac:dyDescent="0.25">
      <c r="O117">
        <v>83</v>
      </c>
      <c r="P117">
        <f t="shared" si="22"/>
        <v>0.5</v>
      </c>
      <c r="Q117">
        <f t="shared" si="19"/>
        <v>2.5</v>
      </c>
      <c r="R117">
        <f t="shared" si="20"/>
        <v>4.5</v>
      </c>
      <c r="S117">
        <f t="shared" si="21"/>
        <v>6.5</v>
      </c>
      <c r="T117">
        <f t="shared" si="15"/>
        <v>8.5</v>
      </c>
      <c r="U117">
        <f t="shared" si="16"/>
        <v>11.5</v>
      </c>
      <c r="V117">
        <f t="shared" si="17"/>
        <v>12.5</v>
      </c>
      <c r="W117">
        <f t="shared" si="18"/>
        <v>15.5</v>
      </c>
      <c r="X117">
        <v>0</v>
      </c>
      <c r="Z117">
        <v>83</v>
      </c>
    </row>
    <row r="118" spans="15:26" x14ac:dyDescent="0.25">
      <c r="O118">
        <v>84</v>
      </c>
      <c r="P118">
        <f t="shared" si="22"/>
        <v>0.5</v>
      </c>
      <c r="Q118">
        <f t="shared" si="19"/>
        <v>2.5</v>
      </c>
      <c r="R118">
        <f t="shared" si="20"/>
        <v>4.5</v>
      </c>
      <c r="S118">
        <f t="shared" si="21"/>
        <v>6.5</v>
      </c>
      <c r="T118">
        <f t="shared" si="15"/>
        <v>8.5</v>
      </c>
      <c r="U118">
        <f t="shared" si="16"/>
        <v>11.5</v>
      </c>
      <c r="V118">
        <f t="shared" si="17"/>
        <v>12.5</v>
      </c>
      <c r="W118">
        <f t="shared" si="18"/>
        <v>15.5</v>
      </c>
      <c r="X118">
        <v>0</v>
      </c>
      <c r="Z118">
        <v>84</v>
      </c>
    </row>
    <row r="119" spans="15:26" x14ac:dyDescent="0.25">
      <c r="O119">
        <v>85</v>
      </c>
      <c r="P119">
        <f t="shared" si="22"/>
        <v>0.5</v>
      </c>
      <c r="Q119">
        <f t="shared" si="19"/>
        <v>2.5</v>
      </c>
      <c r="R119">
        <f t="shared" si="20"/>
        <v>4.5</v>
      </c>
      <c r="S119">
        <f t="shared" si="21"/>
        <v>6.5</v>
      </c>
      <c r="T119">
        <f t="shared" si="15"/>
        <v>8.5</v>
      </c>
      <c r="U119">
        <f t="shared" si="16"/>
        <v>11.5</v>
      </c>
      <c r="V119">
        <f t="shared" si="17"/>
        <v>12.5</v>
      </c>
      <c r="W119">
        <f t="shared" si="18"/>
        <v>15.5</v>
      </c>
      <c r="X119">
        <v>0</v>
      </c>
      <c r="Z119">
        <v>85</v>
      </c>
    </row>
    <row r="120" spans="15:26" x14ac:dyDescent="0.25">
      <c r="O120">
        <v>86</v>
      </c>
      <c r="P120">
        <f t="shared" si="22"/>
        <v>0.5</v>
      </c>
      <c r="Q120">
        <f t="shared" si="19"/>
        <v>2.5</v>
      </c>
      <c r="R120">
        <f t="shared" si="20"/>
        <v>4.5</v>
      </c>
      <c r="S120">
        <f t="shared" si="21"/>
        <v>6.5</v>
      </c>
      <c r="T120">
        <f t="shared" si="15"/>
        <v>8.5</v>
      </c>
      <c r="U120">
        <f t="shared" si="16"/>
        <v>11.5</v>
      </c>
      <c r="V120">
        <f t="shared" si="17"/>
        <v>12.5</v>
      </c>
      <c r="W120">
        <f t="shared" si="18"/>
        <v>15.5</v>
      </c>
      <c r="X120">
        <v>0</v>
      </c>
      <c r="Z120">
        <v>86</v>
      </c>
    </row>
    <row r="121" spans="15:26" x14ac:dyDescent="0.25">
      <c r="O121">
        <v>87</v>
      </c>
      <c r="P121">
        <f t="shared" si="22"/>
        <v>0.5</v>
      </c>
      <c r="Q121">
        <f t="shared" si="19"/>
        <v>2.5</v>
      </c>
      <c r="R121">
        <f t="shared" si="20"/>
        <v>4.5</v>
      </c>
      <c r="S121">
        <f t="shared" si="21"/>
        <v>6.5</v>
      </c>
      <c r="T121">
        <f t="shared" si="15"/>
        <v>8.5</v>
      </c>
      <c r="U121">
        <f t="shared" si="16"/>
        <v>11.5</v>
      </c>
      <c r="V121">
        <f t="shared" si="17"/>
        <v>12.5</v>
      </c>
      <c r="W121">
        <f t="shared" si="18"/>
        <v>15.5</v>
      </c>
      <c r="X121">
        <v>0</v>
      </c>
      <c r="Z121">
        <v>87</v>
      </c>
    </row>
    <row r="122" spans="15:26" x14ac:dyDescent="0.25">
      <c r="O122">
        <v>88</v>
      </c>
      <c r="P122">
        <f t="shared" si="22"/>
        <v>0.5</v>
      </c>
      <c r="Q122">
        <f t="shared" si="19"/>
        <v>2.5</v>
      </c>
      <c r="R122">
        <f t="shared" si="20"/>
        <v>4.5</v>
      </c>
      <c r="S122">
        <f t="shared" si="21"/>
        <v>6.5</v>
      </c>
      <c r="T122">
        <f t="shared" si="15"/>
        <v>8.5</v>
      </c>
      <c r="U122">
        <f t="shared" si="16"/>
        <v>11.5</v>
      </c>
      <c r="V122">
        <f t="shared" si="17"/>
        <v>12.5</v>
      </c>
      <c r="W122">
        <f t="shared" si="18"/>
        <v>15.5</v>
      </c>
      <c r="X122">
        <v>0</v>
      </c>
      <c r="Z122">
        <v>88</v>
      </c>
    </row>
    <row r="123" spans="15:26" x14ac:dyDescent="0.25">
      <c r="O123">
        <v>89</v>
      </c>
      <c r="P123">
        <f t="shared" si="22"/>
        <v>0.5</v>
      </c>
      <c r="Q123">
        <f t="shared" si="19"/>
        <v>2.5</v>
      </c>
      <c r="R123">
        <f t="shared" si="20"/>
        <v>4.5</v>
      </c>
      <c r="S123">
        <f t="shared" si="21"/>
        <v>6.5</v>
      </c>
      <c r="T123">
        <f t="shared" si="15"/>
        <v>8.5</v>
      </c>
      <c r="U123">
        <f t="shared" si="16"/>
        <v>11.5</v>
      </c>
      <c r="V123">
        <f t="shared" si="17"/>
        <v>12.5</v>
      </c>
      <c r="W123">
        <f t="shared" si="18"/>
        <v>15.5</v>
      </c>
      <c r="X123">
        <v>0</v>
      </c>
      <c r="Z123">
        <v>89</v>
      </c>
    </row>
    <row r="124" spans="15:26" x14ac:dyDescent="0.25">
      <c r="O124">
        <v>90</v>
      </c>
      <c r="P124">
        <f t="shared" si="22"/>
        <v>0.5</v>
      </c>
      <c r="Q124">
        <f t="shared" si="19"/>
        <v>2.5</v>
      </c>
      <c r="R124">
        <f t="shared" si="20"/>
        <v>4.5</v>
      </c>
      <c r="S124">
        <f t="shared" si="21"/>
        <v>6.5</v>
      </c>
      <c r="T124">
        <f t="shared" si="15"/>
        <v>8.5</v>
      </c>
      <c r="U124">
        <f t="shared" si="16"/>
        <v>11.5</v>
      </c>
      <c r="V124">
        <f t="shared" si="17"/>
        <v>12.5</v>
      </c>
      <c r="W124">
        <f t="shared" si="18"/>
        <v>15.5</v>
      </c>
      <c r="X124">
        <v>0</v>
      </c>
      <c r="Z124">
        <v>90</v>
      </c>
    </row>
    <row r="125" spans="15:26" x14ac:dyDescent="0.25">
      <c r="O125">
        <v>91</v>
      </c>
      <c r="P125">
        <f t="shared" si="22"/>
        <v>0.5</v>
      </c>
      <c r="Q125">
        <f t="shared" si="19"/>
        <v>2.5</v>
      </c>
      <c r="R125">
        <f t="shared" si="20"/>
        <v>4.5</v>
      </c>
      <c r="S125">
        <f t="shared" si="21"/>
        <v>6.5</v>
      </c>
      <c r="T125">
        <f t="shared" si="15"/>
        <v>9.5</v>
      </c>
      <c r="U125">
        <f t="shared" si="16"/>
        <v>11.5</v>
      </c>
      <c r="V125">
        <f t="shared" si="17"/>
        <v>12.5</v>
      </c>
      <c r="W125">
        <f t="shared" si="18"/>
        <v>15.5</v>
      </c>
      <c r="X125">
        <v>0</v>
      </c>
      <c r="Z125">
        <v>91</v>
      </c>
    </row>
    <row r="126" spans="15:26" x14ac:dyDescent="0.25">
      <c r="O126">
        <v>92</v>
      </c>
      <c r="P126">
        <f t="shared" si="22"/>
        <v>1.5</v>
      </c>
      <c r="Q126">
        <f t="shared" si="19"/>
        <v>2.5</v>
      </c>
      <c r="R126">
        <f t="shared" si="20"/>
        <v>4.5</v>
      </c>
      <c r="S126">
        <f t="shared" si="21"/>
        <v>6.5</v>
      </c>
      <c r="T126">
        <f t="shared" si="15"/>
        <v>9.5</v>
      </c>
      <c r="U126">
        <f t="shared" si="16"/>
        <v>10.5</v>
      </c>
      <c r="V126">
        <f t="shared" si="17"/>
        <v>12.5</v>
      </c>
      <c r="W126">
        <f t="shared" si="18"/>
        <v>14.5</v>
      </c>
      <c r="X126">
        <v>0</v>
      </c>
      <c r="Z126">
        <v>92</v>
      </c>
    </row>
    <row r="127" spans="15:26" x14ac:dyDescent="0.25">
      <c r="O127">
        <v>93</v>
      </c>
      <c r="P127">
        <f t="shared" si="22"/>
        <v>1.5</v>
      </c>
      <c r="Q127">
        <f t="shared" si="19"/>
        <v>2.5</v>
      </c>
      <c r="R127">
        <f t="shared" si="20"/>
        <v>4.5</v>
      </c>
      <c r="S127">
        <f t="shared" si="21"/>
        <v>6.5</v>
      </c>
      <c r="T127">
        <f t="shared" si="15"/>
        <v>9.5</v>
      </c>
      <c r="U127">
        <f t="shared" si="16"/>
        <v>10.5</v>
      </c>
      <c r="V127">
        <f t="shared" si="17"/>
        <v>12.5</v>
      </c>
      <c r="W127">
        <f t="shared" si="18"/>
        <v>14.5</v>
      </c>
      <c r="X127">
        <v>0</v>
      </c>
      <c r="Z127">
        <v>93</v>
      </c>
    </row>
    <row r="128" spans="15:26" x14ac:dyDescent="0.25">
      <c r="O128">
        <v>94</v>
      </c>
      <c r="P128">
        <f t="shared" si="22"/>
        <v>1.5</v>
      </c>
      <c r="Q128">
        <f t="shared" si="19"/>
        <v>2.5</v>
      </c>
      <c r="R128">
        <f t="shared" si="20"/>
        <v>4.5</v>
      </c>
      <c r="S128">
        <f t="shared" si="21"/>
        <v>6.5</v>
      </c>
      <c r="T128">
        <f t="shared" si="15"/>
        <v>9.5</v>
      </c>
      <c r="U128">
        <f t="shared" si="16"/>
        <v>10.5</v>
      </c>
      <c r="V128">
        <f t="shared" si="17"/>
        <v>12.5</v>
      </c>
      <c r="W128">
        <f t="shared" si="18"/>
        <v>14.5</v>
      </c>
      <c r="X128">
        <v>0</v>
      </c>
      <c r="Z128">
        <v>94</v>
      </c>
    </row>
    <row r="129" spans="15:26" x14ac:dyDescent="0.25">
      <c r="O129">
        <v>95</v>
      </c>
      <c r="P129">
        <f t="shared" si="22"/>
        <v>1.5</v>
      </c>
      <c r="Q129">
        <f t="shared" si="19"/>
        <v>2.5</v>
      </c>
      <c r="R129">
        <f t="shared" si="20"/>
        <v>4.5</v>
      </c>
      <c r="S129">
        <f t="shared" si="21"/>
        <v>6.5</v>
      </c>
      <c r="T129">
        <f t="shared" si="15"/>
        <v>9.5</v>
      </c>
      <c r="U129">
        <f t="shared" si="16"/>
        <v>10.5</v>
      </c>
      <c r="V129">
        <f t="shared" si="17"/>
        <v>12.5</v>
      </c>
      <c r="W129">
        <f t="shared" si="18"/>
        <v>14.5</v>
      </c>
      <c r="X129">
        <v>0</v>
      </c>
      <c r="Z129">
        <v>95</v>
      </c>
    </row>
    <row r="130" spans="15:26" x14ac:dyDescent="0.25">
      <c r="O130">
        <v>96</v>
      </c>
      <c r="P130">
        <f t="shared" si="22"/>
        <v>1.5</v>
      </c>
      <c r="Q130">
        <f t="shared" si="19"/>
        <v>2.5</v>
      </c>
      <c r="R130">
        <f t="shared" si="20"/>
        <v>4.5</v>
      </c>
      <c r="S130">
        <f t="shared" si="21"/>
        <v>6.5</v>
      </c>
      <c r="T130">
        <f t="shared" si="15"/>
        <v>9.5</v>
      </c>
      <c r="U130">
        <f t="shared" si="16"/>
        <v>10.5</v>
      </c>
      <c r="V130">
        <f t="shared" si="17"/>
        <v>12.5</v>
      </c>
      <c r="W130">
        <f t="shared" si="18"/>
        <v>14.5</v>
      </c>
      <c r="X130">
        <v>0</v>
      </c>
      <c r="Z130">
        <v>96</v>
      </c>
    </row>
    <row r="131" spans="15:26" x14ac:dyDescent="0.25">
      <c r="O131">
        <v>97</v>
      </c>
      <c r="P131">
        <f t="shared" si="22"/>
        <v>1.5</v>
      </c>
      <c r="Q131">
        <f t="shared" si="19"/>
        <v>2.5</v>
      </c>
      <c r="R131">
        <f t="shared" si="20"/>
        <v>4.5</v>
      </c>
      <c r="S131">
        <f t="shared" si="21"/>
        <v>6.5</v>
      </c>
      <c r="T131">
        <f t="shared" ref="T131:T162" si="23">T$32+IF($Z131&lt;$Z$35+$E$31,1,IF($Z131&lt;$Z$35+$E$31+$E$34,0,1))</f>
        <v>9.5</v>
      </c>
      <c r="U131">
        <f t="shared" ref="U131:U162" si="24">U$32+IF($Z131&lt;$Z$35+$E$32,1,IF($Z131&lt;$Z$35+$E$32+$E$34,0,1))</f>
        <v>10.5</v>
      </c>
      <c r="V131">
        <f t="shared" ref="V131:V162" si="25">V$32+IF($Z131&lt;$Z$35+$E$31,1,IF($Z131&lt;$Z$35+$E$31+$E$35,0,1))</f>
        <v>12.5</v>
      </c>
      <c r="W131">
        <f t="shared" ref="W131:W162" si="26">W$32+IF($Z131&lt;$Z$35+$E$32,1,IF($Z131&lt;$Z$35+$E$32+$E$35,0,1))</f>
        <v>14.5</v>
      </c>
      <c r="X131">
        <v>0</v>
      </c>
      <c r="Z131">
        <v>97</v>
      </c>
    </row>
    <row r="132" spans="15:26" x14ac:dyDescent="0.25">
      <c r="O132">
        <v>98</v>
      </c>
      <c r="P132">
        <f t="shared" si="22"/>
        <v>1.5</v>
      </c>
      <c r="Q132">
        <f t="shared" si="19"/>
        <v>2.5</v>
      </c>
      <c r="R132">
        <f t="shared" si="20"/>
        <v>4.5</v>
      </c>
      <c r="S132">
        <f t="shared" si="21"/>
        <v>6.5</v>
      </c>
      <c r="T132">
        <f t="shared" si="23"/>
        <v>9.5</v>
      </c>
      <c r="U132">
        <f t="shared" si="24"/>
        <v>10.5</v>
      </c>
      <c r="V132">
        <f t="shared" si="25"/>
        <v>12.5</v>
      </c>
      <c r="W132">
        <f t="shared" si="26"/>
        <v>14.5</v>
      </c>
      <c r="X132">
        <v>0</v>
      </c>
      <c r="Z132">
        <v>98</v>
      </c>
    </row>
    <row r="133" spans="15:26" x14ac:dyDescent="0.25">
      <c r="O133">
        <v>99</v>
      </c>
      <c r="P133">
        <f t="shared" si="22"/>
        <v>1.5</v>
      </c>
      <c r="Q133">
        <f t="shared" si="19"/>
        <v>2.5</v>
      </c>
      <c r="R133">
        <f t="shared" si="20"/>
        <v>4.5</v>
      </c>
      <c r="S133">
        <f t="shared" si="21"/>
        <v>6.5</v>
      </c>
      <c r="T133">
        <f t="shared" si="23"/>
        <v>9.5</v>
      </c>
      <c r="U133">
        <f t="shared" si="24"/>
        <v>10.5</v>
      </c>
      <c r="V133">
        <f t="shared" si="25"/>
        <v>12.5</v>
      </c>
      <c r="W133">
        <f t="shared" si="26"/>
        <v>14.5</v>
      </c>
      <c r="X133">
        <v>0</v>
      </c>
      <c r="Z133">
        <v>99</v>
      </c>
    </row>
    <row r="134" spans="15:26" x14ac:dyDescent="0.25">
      <c r="O134">
        <v>100</v>
      </c>
      <c r="P134">
        <f t="shared" si="22"/>
        <v>1.5</v>
      </c>
      <c r="Q134">
        <f t="shared" si="19"/>
        <v>2.5</v>
      </c>
      <c r="R134">
        <f t="shared" si="20"/>
        <v>4.5</v>
      </c>
      <c r="S134">
        <f t="shared" si="21"/>
        <v>6.5</v>
      </c>
      <c r="T134">
        <f t="shared" si="23"/>
        <v>9.5</v>
      </c>
      <c r="U134">
        <f t="shared" si="24"/>
        <v>10.5</v>
      </c>
      <c r="V134">
        <f t="shared" si="25"/>
        <v>12.5</v>
      </c>
      <c r="W134">
        <f t="shared" si="26"/>
        <v>14.5</v>
      </c>
      <c r="X134">
        <v>0</v>
      </c>
      <c r="Z134">
        <v>100</v>
      </c>
    </row>
    <row r="135" spans="15:26" x14ac:dyDescent="0.25">
      <c r="O135">
        <v>101</v>
      </c>
      <c r="P135">
        <f t="shared" si="22"/>
        <v>1.5</v>
      </c>
      <c r="Q135">
        <f t="shared" si="19"/>
        <v>2.5</v>
      </c>
      <c r="R135">
        <f t="shared" si="20"/>
        <v>4.5</v>
      </c>
      <c r="S135">
        <f t="shared" si="21"/>
        <v>6.5</v>
      </c>
      <c r="T135">
        <f t="shared" si="23"/>
        <v>9.5</v>
      </c>
      <c r="U135">
        <f t="shared" si="24"/>
        <v>10.5</v>
      </c>
      <c r="V135">
        <f t="shared" si="25"/>
        <v>12.5</v>
      </c>
      <c r="W135">
        <f t="shared" si="26"/>
        <v>14.5</v>
      </c>
      <c r="X135">
        <v>0</v>
      </c>
      <c r="Z135">
        <v>101</v>
      </c>
    </row>
    <row r="136" spans="15:26" x14ac:dyDescent="0.25">
      <c r="O136">
        <v>102</v>
      </c>
      <c r="P136">
        <f t="shared" si="22"/>
        <v>1.5</v>
      </c>
      <c r="Q136">
        <f t="shared" si="19"/>
        <v>2.5</v>
      </c>
      <c r="R136">
        <f t="shared" si="20"/>
        <v>4.5</v>
      </c>
      <c r="S136">
        <f t="shared" si="21"/>
        <v>6.5</v>
      </c>
      <c r="T136">
        <f t="shared" si="23"/>
        <v>9.5</v>
      </c>
      <c r="U136">
        <f t="shared" si="24"/>
        <v>10.5</v>
      </c>
      <c r="V136">
        <f t="shared" si="25"/>
        <v>12.5</v>
      </c>
      <c r="W136">
        <f t="shared" si="26"/>
        <v>14.5</v>
      </c>
      <c r="X136">
        <v>0</v>
      </c>
      <c r="Z136">
        <v>102</v>
      </c>
    </row>
    <row r="137" spans="15:26" x14ac:dyDescent="0.25">
      <c r="O137">
        <v>103</v>
      </c>
      <c r="P137">
        <f t="shared" si="22"/>
        <v>1.5</v>
      </c>
      <c r="Q137">
        <f t="shared" si="19"/>
        <v>2.5</v>
      </c>
      <c r="R137">
        <f t="shared" si="20"/>
        <v>4.5</v>
      </c>
      <c r="S137">
        <f t="shared" si="21"/>
        <v>6.5</v>
      </c>
      <c r="T137">
        <f t="shared" si="23"/>
        <v>9.5</v>
      </c>
      <c r="U137">
        <f t="shared" si="24"/>
        <v>10.5</v>
      </c>
      <c r="V137">
        <f t="shared" si="25"/>
        <v>12.5</v>
      </c>
      <c r="W137">
        <f t="shared" si="26"/>
        <v>14.5</v>
      </c>
      <c r="X137">
        <v>0</v>
      </c>
      <c r="Z137">
        <v>103</v>
      </c>
    </row>
    <row r="138" spans="15:26" x14ac:dyDescent="0.25">
      <c r="O138">
        <v>104</v>
      </c>
      <c r="P138">
        <f t="shared" si="22"/>
        <v>1.5</v>
      </c>
      <c r="Q138">
        <f t="shared" si="19"/>
        <v>2.5</v>
      </c>
      <c r="R138">
        <f t="shared" si="20"/>
        <v>4.5</v>
      </c>
      <c r="S138">
        <f t="shared" si="21"/>
        <v>6.5</v>
      </c>
      <c r="T138">
        <f t="shared" si="23"/>
        <v>9.5</v>
      </c>
      <c r="U138">
        <f t="shared" si="24"/>
        <v>10.5</v>
      </c>
      <c r="V138">
        <f t="shared" si="25"/>
        <v>12.5</v>
      </c>
      <c r="W138">
        <f t="shared" si="26"/>
        <v>14.5</v>
      </c>
      <c r="X138">
        <v>0</v>
      </c>
      <c r="Z138">
        <v>104</v>
      </c>
    </row>
    <row r="139" spans="15:26" x14ac:dyDescent="0.25">
      <c r="O139">
        <v>105</v>
      </c>
      <c r="P139">
        <f t="shared" si="22"/>
        <v>1.5</v>
      </c>
      <c r="Q139">
        <f t="shared" si="19"/>
        <v>2.5</v>
      </c>
      <c r="R139">
        <f t="shared" si="20"/>
        <v>4.5</v>
      </c>
      <c r="S139">
        <f t="shared" si="21"/>
        <v>6.5</v>
      </c>
      <c r="T139">
        <f t="shared" si="23"/>
        <v>9.5</v>
      </c>
      <c r="U139">
        <f t="shared" si="24"/>
        <v>10.5</v>
      </c>
      <c r="V139">
        <f t="shared" si="25"/>
        <v>12.5</v>
      </c>
      <c r="W139">
        <f t="shared" si="26"/>
        <v>14.5</v>
      </c>
      <c r="X139">
        <v>0</v>
      </c>
      <c r="Z139">
        <v>105</v>
      </c>
    </row>
    <row r="140" spans="15:26" x14ac:dyDescent="0.25">
      <c r="O140">
        <v>106</v>
      </c>
      <c r="P140">
        <f t="shared" si="22"/>
        <v>1.5</v>
      </c>
      <c r="Q140">
        <f t="shared" si="19"/>
        <v>2.5</v>
      </c>
      <c r="R140">
        <f t="shared" si="20"/>
        <v>4.5</v>
      </c>
      <c r="S140">
        <f t="shared" si="21"/>
        <v>6.5</v>
      </c>
      <c r="T140">
        <f t="shared" si="23"/>
        <v>9.5</v>
      </c>
      <c r="U140">
        <f t="shared" si="24"/>
        <v>10.5</v>
      </c>
      <c r="V140">
        <f t="shared" si="25"/>
        <v>12.5</v>
      </c>
      <c r="W140">
        <f t="shared" si="26"/>
        <v>14.5</v>
      </c>
      <c r="X140">
        <v>0</v>
      </c>
      <c r="Z140">
        <v>106</v>
      </c>
    </row>
    <row r="141" spans="15:26" x14ac:dyDescent="0.25">
      <c r="O141">
        <v>107</v>
      </c>
      <c r="P141">
        <f t="shared" si="22"/>
        <v>1.5</v>
      </c>
      <c r="Q141">
        <f t="shared" si="19"/>
        <v>2.5</v>
      </c>
      <c r="R141">
        <f t="shared" si="20"/>
        <v>4.5</v>
      </c>
      <c r="S141">
        <f t="shared" si="21"/>
        <v>6.5</v>
      </c>
      <c r="T141">
        <f t="shared" si="23"/>
        <v>9.5</v>
      </c>
      <c r="U141">
        <f t="shared" si="24"/>
        <v>10.5</v>
      </c>
      <c r="V141">
        <f t="shared" si="25"/>
        <v>12.5</v>
      </c>
      <c r="W141">
        <f t="shared" si="26"/>
        <v>14.5</v>
      </c>
      <c r="X141">
        <v>0</v>
      </c>
      <c r="Z141">
        <v>107</v>
      </c>
    </row>
    <row r="142" spans="15:26" x14ac:dyDescent="0.25">
      <c r="O142">
        <v>108</v>
      </c>
      <c r="P142">
        <f t="shared" si="22"/>
        <v>1.5</v>
      </c>
      <c r="Q142">
        <f t="shared" si="19"/>
        <v>2.5</v>
      </c>
      <c r="R142">
        <f t="shared" si="20"/>
        <v>4.5</v>
      </c>
      <c r="S142">
        <f t="shared" si="21"/>
        <v>6.5</v>
      </c>
      <c r="T142">
        <f t="shared" si="23"/>
        <v>9.5</v>
      </c>
      <c r="U142">
        <f t="shared" si="24"/>
        <v>10.5</v>
      </c>
      <c r="V142">
        <f t="shared" si="25"/>
        <v>12.5</v>
      </c>
      <c r="W142">
        <f t="shared" si="26"/>
        <v>14.5</v>
      </c>
      <c r="X142">
        <v>0</v>
      </c>
      <c r="Z142">
        <v>108</v>
      </c>
    </row>
    <row r="143" spans="15:26" x14ac:dyDescent="0.25">
      <c r="O143">
        <v>109</v>
      </c>
      <c r="P143">
        <f t="shared" si="22"/>
        <v>1.5</v>
      </c>
      <c r="Q143">
        <f t="shared" si="19"/>
        <v>2.5</v>
      </c>
      <c r="R143">
        <f t="shared" si="20"/>
        <v>4.5</v>
      </c>
      <c r="S143">
        <f t="shared" si="21"/>
        <v>6.5</v>
      </c>
      <c r="T143">
        <f t="shared" si="23"/>
        <v>9.5</v>
      </c>
      <c r="U143">
        <f t="shared" si="24"/>
        <v>10.5</v>
      </c>
      <c r="V143">
        <f t="shared" si="25"/>
        <v>12.5</v>
      </c>
      <c r="W143">
        <f t="shared" si="26"/>
        <v>14.5</v>
      </c>
      <c r="X143">
        <v>0</v>
      </c>
      <c r="Z143">
        <v>109</v>
      </c>
    </row>
    <row r="144" spans="15:26" x14ac:dyDescent="0.25">
      <c r="O144">
        <v>110</v>
      </c>
      <c r="P144">
        <f t="shared" si="22"/>
        <v>1.5</v>
      </c>
      <c r="Q144">
        <f t="shared" si="19"/>
        <v>2.5</v>
      </c>
      <c r="R144">
        <f t="shared" si="20"/>
        <v>4.5</v>
      </c>
      <c r="S144">
        <f t="shared" si="21"/>
        <v>6.5</v>
      </c>
      <c r="T144">
        <f t="shared" si="23"/>
        <v>9.5</v>
      </c>
      <c r="U144">
        <f t="shared" si="24"/>
        <v>10.5</v>
      </c>
      <c r="V144">
        <f t="shared" si="25"/>
        <v>12.5</v>
      </c>
      <c r="W144">
        <f t="shared" si="26"/>
        <v>14.5</v>
      </c>
      <c r="X144">
        <v>0</v>
      </c>
      <c r="Z144">
        <v>110</v>
      </c>
    </row>
    <row r="145" spans="15:26" x14ac:dyDescent="0.25">
      <c r="O145">
        <v>111</v>
      </c>
      <c r="P145">
        <f t="shared" si="22"/>
        <v>1.5</v>
      </c>
      <c r="Q145">
        <f t="shared" si="19"/>
        <v>2.5</v>
      </c>
      <c r="R145">
        <f t="shared" si="20"/>
        <v>4.5</v>
      </c>
      <c r="S145">
        <f t="shared" si="21"/>
        <v>6.5</v>
      </c>
      <c r="T145">
        <f t="shared" si="23"/>
        <v>9.5</v>
      </c>
      <c r="U145">
        <f t="shared" si="24"/>
        <v>10.5</v>
      </c>
      <c r="V145">
        <f t="shared" si="25"/>
        <v>12.5</v>
      </c>
      <c r="W145">
        <f t="shared" si="26"/>
        <v>14.5</v>
      </c>
      <c r="X145">
        <v>0</v>
      </c>
      <c r="Z145">
        <v>111</v>
      </c>
    </row>
    <row r="146" spans="15:26" x14ac:dyDescent="0.25">
      <c r="O146">
        <v>112</v>
      </c>
      <c r="P146">
        <f t="shared" si="22"/>
        <v>1.5</v>
      </c>
      <c r="Q146">
        <f t="shared" si="19"/>
        <v>2.5</v>
      </c>
      <c r="R146">
        <f t="shared" si="20"/>
        <v>4.5</v>
      </c>
      <c r="S146">
        <f t="shared" si="21"/>
        <v>6.5</v>
      </c>
      <c r="T146">
        <f t="shared" si="23"/>
        <v>9.5</v>
      </c>
      <c r="U146">
        <f t="shared" si="24"/>
        <v>10.5</v>
      </c>
      <c r="V146">
        <f t="shared" si="25"/>
        <v>12.5</v>
      </c>
      <c r="W146">
        <f t="shared" si="26"/>
        <v>14.5</v>
      </c>
      <c r="X146">
        <v>0</v>
      </c>
      <c r="Z146">
        <v>112</v>
      </c>
    </row>
    <row r="147" spans="15:26" x14ac:dyDescent="0.25">
      <c r="O147">
        <v>113</v>
      </c>
      <c r="P147">
        <f t="shared" si="22"/>
        <v>1.5</v>
      </c>
      <c r="Q147">
        <f t="shared" si="19"/>
        <v>2.5</v>
      </c>
      <c r="R147">
        <f t="shared" si="20"/>
        <v>4.5</v>
      </c>
      <c r="S147">
        <f t="shared" si="21"/>
        <v>6.5</v>
      </c>
      <c r="T147">
        <f t="shared" si="23"/>
        <v>9.5</v>
      </c>
      <c r="U147">
        <f t="shared" si="24"/>
        <v>10.5</v>
      </c>
      <c r="V147">
        <f t="shared" si="25"/>
        <v>12.5</v>
      </c>
      <c r="W147">
        <f t="shared" si="26"/>
        <v>14.5</v>
      </c>
      <c r="X147">
        <v>0</v>
      </c>
      <c r="Z147">
        <v>113</v>
      </c>
    </row>
    <row r="148" spans="15:26" x14ac:dyDescent="0.25">
      <c r="O148">
        <v>114</v>
      </c>
      <c r="P148">
        <f t="shared" si="22"/>
        <v>1.5</v>
      </c>
      <c r="Q148">
        <f t="shared" si="19"/>
        <v>2.5</v>
      </c>
      <c r="R148">
        <f t="shared" si="20"/>
        <v>4.5</v>
      </c>
      <c r="S148">
        <f t="shared" si="21"/>
        <v>6.5</v>
      </c>
      <c r="T148">
        <f t="shared" si="23"/>
        <v>9.5</v>
      </c>
      <c r="U148">
        <f t="shared" si="24"/>
        <v>10.5</v>
      </c>
      <c r="V148">
        <f t="shared" si="25"/>
        <v>12.5</v>
      </c>
      <c r="W148">
        <f t="shared" si="26"/>
        <v>14.5</v>
      </c>
      <c r="X148">
        <v>0</v>
      </c>
      <c r="Z148">
        <v>114</v>
      </c>
    </row>
    <row r="149" spans="15:26" x14ac:dyDescent="0.25">
      <c r="O149">
        <v>115</v>
      </c>
      <c r="P149">
        <f t="shared" si="22"/>
        <v>1.5</v>
      </c>
      <c r="Q149">
        <f t="shared" si="19"/>
        <v>2.5</v>
      </c>
      <c r="R149">
        <f t="shared" si="20"/>
        <v>4.5</v>
      </c>
      <c r="S149">
        <f t="shared" si="21"/>
        <v>6.5</v>
      </c>
      <c r="T149">
        <f t="shared" si="23"/>
        <v>9.5</v>
      </c>
      <c r="U149">
        <f t="shared" si="24"/>
        <v>10.5</v>
      </c>
      <c r="V149">
        <f t="shared" si="25"/>
        <v>12.5</v>
      </c>
      <c r="W149">
        <f t="shared" si="26"/>
        <v>14.5</v>
      </c>
      <c r="X149">
        <v>0</v>
      </c>
      <c r="Z149">
        <v>115</v>
      </c>
    </row>
    <row r="150" spans="15:26" x14ac:dyDescent="0.25">
      <c r="O150">
        <v>116</v>
      </c>
      <c r="P150">
        <f t="shared" si="22"/>
        <v>1.5</v>
      </c>
      <c r="Q150">
        <f t="shared" si="19"/>
        <v>2.5</v>
      </c>
      <c r="R150">
        <f t="shared" si="20"/>
        <v>4.5</v>
      </c>
      <c r="S150">
        <f t="shared" si="21"/>
        <v>6.5</v>
      </c>
      <c r="T150">
        <f t="shared" si="23"/>
        <v>9.5</v>
      </c>
      <c r="U150">
        <f t="shared" si="24"/>
        <v>10.5</v>
      </c>
      <c r="V150">
        <f t="shared" si="25"/>
        <v>12.5</v>
      </c>
      <c r="W150">
        <f t="shared" si="26"/>
        <v>14.5</v>
      </c>
      <c r="X150">
        <v>0</v>
      </c>
      <c r="Z150">
        <v>116</v>
      </c>
    </row>
    <row r="151" spans="15:26" x14ac:dyDescent="0.25">
      <c r="O151">
        <v>117</v>
      </c>
      <c r="P151">
        <f t="shared" si="22"/>
        <v>1.5</v>
      </c>
      <c r="Q151">
        <f t="shared" si="19"/>
        <v>2.5</v>
      </c>
      <c r="R151">
        <f t="shared" si="20"/>
        <v>4.5</v>
      </c>
      <c r="S151">
        <f t="shared" si="21"/>
        <v>6.5</v>
      </c>
      <c r="T151">
        <f t="shared" si="23"/>
        <v>9.5</v>
      </c>
      <c r="U151">
        <f t="shared" si="24"/>
        <v>10.5</v>
      </c>
      <c r="V151">
        <f t="shared" si="25"/>
        <v>12.5</v>
      </c>
      <c r="W151">
        <f t="shared" si="26"/>
        <v>14.5</v>
      </c>
      <c r="X151">
        <v>0</v>
      </c>
      <c r="Z151">
        <v>117</v>
      </c>
    </row>
    <row r="152" spans="15:26" x14ac:dyDescent="0.25">
      <c r="O152">
        <v>118</v>
      </c>
      <c r="P152">
        <f t="shared" si="22"/>
        <v>1.5</v>
      </c>
      <c r="Q152">
        <f t="shared" si="19"/>
        <v>2.5</v>
      </c>
      <c r="R152">
        <f t="shared" si="20"/>
        <v>4.5</v>
      </c>
      <c r="S152">
        <f t="shared" si="21"/>
        <v>6.5</v>
      </c>
      <c r="T152">
        <f t="shared" si="23"/>
        <v>9.5</v>
      </c>
      <c r="U152">
        <f t="shared" si="24"/>
        <v>10.5</v>
      </c>
      <c r="V152">
        <f t="shared" si="25"/>
        <v>12.5</v>
      </c>
      <c r="W152">
        <f t="shared" si="26"/>
        <v>14.5</v>
      </c>
      <c r="X152">
        <v>0</v>
      </c>
      <c r="Z152">
        <v>118</v>
      </c>
    </row>
    <row r="153" spans="15:26" x14ac:dyDescent="0.25">
      <c r="O153">
        <v>119</v>
      </c>
      <c r="P153">
        <f t="shared" si="22"/>
        <v>1.5</v>
      </c>
      <c r="Q153">
        <f t="shared" si="19"/>
        <v>2.5</v>
      </c>
      <c r="R153">
        <f t="shared" si="20"/>
        <v>4.5</v>
      </c>
      <c r="S153">
        <f t="shared" si="21"/>
        <v>6.5</v>
      </c>
      <c r="T153">
        <f t="shared" si="23"/>
        <v>9.5</v>
      </c>
      <c r="U153">
        <f t="shared" si="24"/>
        <v>10.5</v>
      </c>
      <c r="V153">
        <f t="shared" si="25"/>
        <v>12.5</v>
      </c>
      <c r="W153">
        <f t="shared" si="26"/>
        <v>14.5</v>
      </c>
      <c r="X153">
        <v>0</v>
      </c>
      <c r="Z153">
        <v>119</v>
      </c>
    </row>
    <row r="154" spans="15:26" x14ac:dyDescent="0.25">
      <c r="O154">
        <v>120</v>
      </c>
      <c r="P154">
        <f t="shared" si="22"/>
        <v>1.5</v>
      </c>
      <c r="Q154">
        <f t="shared" si="19"/>
        <v>3.5</v>
      </c>
      <c r="R154">
        <f t="shared" si="20"/>
        <v>4.5</v>
      </c>
      <c r="S154">
        <f t="shared" si="21"/>
        <v>6.5</v>
      </c>
      <c r="T154">
        <f t="shared" si="23"/>
        <v>9.5</v>
      </c>
      <c r="U154">
        <f t="shared" si="24"/>
        <v>11.5</v>
      </c>
      <c r="V154">
        <f t="shared" si="25"/>
        <v>13.5</v>
      </c>
      <c r="W154">
        <f t="shared" si="26"/>
        <v>14.5</v>
      </c>
      <c r="X154">
        <v>0</v>
      </c>
      <c r="Z154">
        <v>120</v>
      </c>
    </row>
    <row r="155" spans="15:26" x14ac:dyDescent="0.25">
      <c r="O155">
        <v>121</v>
      </c>
      <c r="P155">
        <f t="shared" si="22"/>
        <v>1.5</v>
      </c>
      <c r="Q155">
        <f t="shared" si="19"/>
        <v>3.5</v>
      </c>
      <c r="R155">
        <f t="shared" si="20"/>
        <v>5.5</v>
      </c>
      <c r="S155">
        <f t="shared" si="21"/>
        <v>6.5</v>
      </c>
      <c r="T155">
        <f t="shared" si="23"/>
        <v>9.5</v>
      </c>
      <c r="U155">
        <f t="shared" si="24"/>
        <v>11.5</v>
      </c>
      <c r="V155">
        <f t="shared" si="25"/>
        <v>13.5</v>
      </c>
      <c r="W155">
        <f t="shared" si="26"/>
        <v>14.5</v>
      </c>
      <c r="X155">
        <v>0</v>
      </c>
      <c r="Z155">
        <v>121</v>
      </c>
    </row>
    <row r="156" spans="15:26" x14ac:dyDescent="0.25">
      <c r="O156">
        <v>122</v>
      </c>
      <c r="P156">
        <f t="shared" si="22"/>
        <v>1.5</v>
      </c>
      <c r="Q156">
        <f t="shared" si="19"/>
        <v>3.5</v>
      </c>
      <c r="R156">
        <f t="shared" si="20"/>
        <v>5.5</v>
      </c>
      <c r="S156">
        <f t="shared" si="21"/>
        <v>6.5</v>
      </c>
      <c r="T156">
        <f t="shared" si="23"/>
        <v>9.5</v>
      </c>
      <c r="U156">
        <f t="shared" si="24"/>
        <v>11.5</v>
      </c>
      <c r="V156">
        <f t="shared" si="25"/>
        <v>13.5</v>
      </c>
      <c r="W156">
        <f t="shared" si="26"/>
        <v>14.5</v>
      </c>
      <c r="X156">
        <v>0</v>
      </c>
      <c r="Z156">
        <v>122</v>
      </c>
    </row>
    <row r="157" spans="15:26" x14ac:dyDescent="0.25">
      <c r="O157">
        <v>123</v>
      </c>
      <c r="P157">
        <f t="shared" si="22"/>
        <v>1.5</v>
      </c>
      <c r="Q157">
        <f t="shared" si="19"/>
        <v>3.5</v>
      </c>
      <c r="R157">
        <f t="shared" si="20"/>
        <v>5.5</v>
      </c>
      <c r="S157">
        <f t="shared" si="21"/>
        <v>6.5</v>
      </c>
      <c r="T157">
        <f t="shared" si="23"/>
        <v>9.5</v>
      </c>
      <c r="U157">
        <f t="shared" si="24"/>
        <v>11.5</v>
      </c>
      <c r="V157">
        <f t="shared" si="25"/>
        <v>13.5</v>
      </c>
      <c r="W157">
        <f t="shared" si="26"/>
        <v>14.5</v>
      </c>
      <c r="X157">
        <v>0</v>
      </c>
      <c r="Z157">
        <v>123</v>
      </c>
    </row>
    <row r="158" spans="15:26" x14ac:dyDescent="0.25">
      <c r="O158">
        <v>124</v>
      </c>
      <c r="P158">
        <f t="shared" si="22"/>
        <v>1.5</v>
      </c>
      <c r="Q158">
        <f t="shared" si="19"/>
        <v>3.5</v>
      </c>
      <c r="R158">
        <f t="shared" si="20"/>
        <v>5.5</v>
      </c>
      <c r="S158">
        <f t="shared" si="21"/>
        <v>6.5</v>
      </c>
      <c r="T158">
        <f t="shared" si="23"/>
        <v>9.5</v>
      </c>
      <c r="U158">
        <f t="shared" si="24"/>
        <v>11.5</v>
      </c>
      <c r="V158">
        <f t="shared" si="25"/>
        <v>13.5</v>
      </c>
      <c r="W158">
        <f t="shared" si="26"/>
        <v>14.5</v>
      </c>
      <c r="X158">
        <v>0</v>
      </c>
      <c r="Z158">
        <v>124</v>
      </c>
    </row>
    <row r="159" spans="15:26" x14ac:dyDescent="0.25">
      <c r="O159">
        <v>125</v>
      </c>
      <c r="P159">
        <f t="shared" si="22"/>
        <v>1.5</v>
      </c>
      <c r="Q159">
        <f t="shared" si="19"/>
        <v>3.5</v>
      </c>
      <c r="R159">
        <f t="shared" si="20"/>
        <v>5.5</v>
      </c>
      <c r="S159">
        <f t="shared" si="21"/>
        <v>6.5</v>
      </c>
      <c r="T159">
        <f t="shared" si="23"/>
        <v>9.5</v>
      </c>
      <c r="U159">
        <f t="shared" si="24"/>
        <v>11.5</v>
      </c>
      <c r="V159">
        <f t="shared" si="25"/>
        <v>13.5</v>
      </c>
      <c r="W159">
        <f t="shared" si="26"/>
        <v>14.5</v>
      </c>
      <c r="X159">
        <v>0</v>
      </c>
      <c r="Z159">
        <v>125</v>
      </c>
    </row>
    <row r="160" spans="15:26" x14ac:dyDescent="0.25">
      <c r="O160">
        <v>126</v>
      </c>
      <c r="P160">
        <f t="shared" si="22"/>
        <v>1.5</v>
      </c>
      <c r="Q160">
        <f t="shared" si="19"/>
        <v>3.5</v>
      </c>
      <c r="R160">
        <f t="shared" si="20"/>
        <v>5.5</v>
      </c>
      <c r="S160">
        <f t="shared" si="21"/>
        <v>6.5</v>
      </c>
      <c r="T160">
        <f t="shared" si="23"/>
        <v>9.5</v>
      </c>
      <c r="U160">
        <f t="shared" si="24"/>
        <v>11.5</v>
      </c>
      <c r="V160">
        <f t="shared" si="25"/>
        <v>13.5</v>
      </c>
      <c r="W160">
        <f t="shared" si="26"/>
        <v>14.5</v>
      </c>
      <c r="X160">
        <v>0</v>
      </c>
      <c r="Z160">
        <v>126</v>
      </c>
    </row>
    <row r="161" spans="15:26" x14ac:dyDescent="0.25">
      <c r="O161">
        <v>127</v>
      </c>
      <c r="P161">
        <f t="shared" si="22"/>
        <v>1.5</v>
      </c>
      <c r="Q161">
        <f t="shared" si="19"/>
        <v>3.5</v>
      </c>
      <c r="R161">
        <f t="shared" si="20"/>
        <v>5.5</v>
      </c>
      <c r="S161">
        <f t="shared" si="21"/>
        <v>6.5</v>
      </c>
      <c r="T161">
        <f t="shared" si="23"/>
        <v>9.5</v>
      </c>
      <c r="U161">
        <f t="shared" si="24"/>
        <v>11.5</v>
      </c>
      <c r="V161">
        <f t="shared" si="25"/>
        <v>13.5</v>
      </c>
      <c r="W161">
        <f t="shared" si="26"/>
        <v>14.5</v>
      </c>
      <c r="X161">
        <v>0</v>
      </c>
      <c r="Z161">
        <v>127</v>
      </c>
    </row>
    <row r="162" spans="15:26" x14ac:dyDescent="0.25">
      <c r="O162">
        <v>128</v>
      </c>
      <c r="P162">
        <f t="shared" si="22"/>
        <v>1.5</v>
      </c>
      <c r="Q162">
        <f t="shared" si="19"/>
        <v>3.5</v>
      </c>
      <c r="R162">
        <f t="shared" si="20"/>
        <v>5.5</v>
      </c>
      <c r="S162">
        <f t="shared" si="21"/>
        <v>6.5</v>
      </c>
      <c r="T162">
        <f t="shared" si="23"/>
        <v>9.5</v>
      </c>
      <c r="U162">
        <f t="shared" si="24"/>
        <v>11.5</v>
      </c>
      <c r="V162">
        <f t="shared" si="25"/>
        <v>13.5</v>
      </c>
      <c r="W162">
        <f t="shared" si="26"/>
        <v>14.5</v>
      </c>
      <c r="X162">
        <v>0</v>
      </c>
      <c r="Z162">
        <v>128</v>
      </c>
    </row>
    <row r="163" spans="15:26" x14ac:dyDescent="0.25">
      <c r="O163">
        <v>129</v>
      </c>
      <c r="P163">
        <f t="shared" si="22"/>
        <v>1.5</v>
      </c>
      <c r="Q163">
        <f t="shared" si="19"/>
        <v>3.5</v>
      </c>
      <c r="R163">
        <f t="shared" si="20"/>
        <v>5.5</v>
      </c>
      <c r="S163">
        <f t="shared" si="21"/>
        <v>6.5</v>
      </c>
      <c r="T163">
        <f t="shared" ref="T163:T194" si="27">T$32+IF($Z163&lt;$Z$35+$E$31,1,IF($Z163&lt;$Z$35+$E$31+$E$34,0,1))</f>
        <v>9.5</v>
      </c>
      <c r="U163">
        <f t="shared" ref="U163:U194" si="28">U$32+IF($Z163&lt;$Z$35+$E$32,1,IF($Z163&lt;$Z$35+$E$32+$E$34,0,1))</f>
        <v>11.5</v>
      </c>
      <c r="V163">
        <f t="shared" ref="V163:V194" si="29">V$32+IF($Z163&lt;$Z$35+$E$31,1,IF($Z163&lt;$Z$35+$E$31+$E$35,0,1))</f>
        <v>13.5</v>
      </c>
      <c r="W163">
        <f t="shared" ref="W163:W194" si="30">W$32+IF($Z163&lt;$Z$35+$E$32,1,IF($Z163&lt;$Z$35+$E$32+$E$35,0,1))</f>
        <v>14.5</v>
      </c>
      <c r="X163">
        <v>0</v>
      </c>
      <c r="Z163">
        <v>129</v>
      </c>
    </row>
    <row r="164" spans="15:26" x14ac:dyDescent="0.25">
      <c r="O164">
        <v>130</v>
      </c>
      <c r="P164">
        <f t="shared" si="22"/>
        <v>1.5</v>
      </c>
      <c r="Q164">
        <f t="shared" ref="Q164:Q203" si="31">Q$32+IF($O164&lt;$O$35+$E$30,1,IF($O164&lt;$O$35+$E$30+$E$36,0,1))</f>
        <v>3.5</v>
      </c>
      <c r="R164">
        <f t="shared" ref="R164:R203" si="32">R$32+IF($O164&lt;$O$35+$E$29,1,IF($O164&lt;$O$35+$E$29+$E$37,0,1))</f>
        <v>5.5</v>
      </c>
      <c r="S164">
        <f t="shared" ref="S164:S203" si="33">S$32+IF($O164&lt;$O$35+$E$30,1,IF($O164&lt;$O$35+$E$30+$E$37,0,1))</f>
        <v>6.5</v>
      </c>
      <c r="T164">
        <f t="shared" si="27"/>
        <v>9.5</v>
      </c>
      <c r="U164">
        <f t="shared" si="28"/>
        <v>11.5</v>
      </c>
      <c r="V164">
        <f t="shared" si="29"/>
        <v>13.5</v>
      </c>
      <c r="W164">
        <f t="shared" si="30"/>
        <v>14.5</v>
      </c>
      <c r="X164">
        <v>0</v>
      </c>
      <c r="Z164">
        <v>130</v>
      </c>
    </row>
    <row r="165" spans="15:26" x14ac:dyDescent="0.25">
      <c r="O165">
        <v>131</v>
      </c>
      <c r="P165">
        <f t="shared" ref="P165:P203" si="34">P$32+IF($O165&lt;$O$35+$E$29,1,IF($O165&lt;$O$35+$E$29+$E$36,0,1))</f>
        <v>1.5</v>
      </c>
      <c r="Q165">
        <f t="shared" si="31"/>
        <v>3.5</v>
      </c>
      <c r="R165">
        <f t="shared" si="32"/>
        <v>5.5</v>
      </c>
      <c r="S165">
        <f t="shared" si="33"/>
        <v>6.5</v>
      </c>
      <c r="T165">
        <f t="shared" si="27"/>
        <v>9.5</v>
      </c>
      <c r="U165">
        <f t="shared" si="28"/>
        <v>11.5</v>
      </c>
      <c r="V165">
        <f t="shared" si="29"/>
        <v>13.5</v>
      </c>
      <c r="W165">
        <f t="shared" si="30"/>
        <v>14.5</v>
      </c>
      <c r="X165">
        <v>0</v>
      </c>
      <c r="Z165">
        <v>131</v>
      </c>
    </row>
    <row r="166" spans="15:26" x14ac:dyDescent="0.25">
      <c r="O166">
        <v>132</v>
      </c>
      <c r="P166">
        <f t="shared" si="34"/>
        <v>1.5</v>
      </c>
      <c r="Q166">
        <f t="shared" si="31"/>
        <v>3.5</v>
      </c>
      <c r="R166">
        <f t="shared" si="32"/>
        <v>5.5</v>
      </c>
      <c r="S166">
        <f t="shared" si="33"/>
        <v>6.5</v>
      </c>
      <c r="T166">
        <f t="shared" si="27"/>
        <v>9.5</v>
      </c>
      <c r="U166">
        <f t="shared" si="28"/>
        <v>11.5</v>
      </c>
      <c r="V166">
        <f t="shared" si="29"/>
        <v>13.5</v>
      </c>
      <c r="W166">
        <f t="shared" si="30"/>
        <v>14.5</v>
      </c>
      <c r="X166">
        <v>0</v>
      </c>
      <c r="Z166">
        <v>132</v>
      </c>
    </row>
    <row r="167" spans="15:26" x14ac:dyDescent="0.25">
      <c r="O167">
        <v>133</v>
      </c>
      <c r="P167">
        <f t="shared" si="34"/>
        <v>1.5</v>
      </c>
      <c r="Q167">
        <f t="shared" si="31"/>
        <v>3.5</v>
      </c>
      <c r="R167">
        <f t="shared" si="32"/>
        <v>5.5</v>
      </c>
      <c r="S167">
        <f t="shared" si="33"/>
        <v>6.5</v>
      </c>
      <c r="T167">
        <f t="shared" si="27"/>
        <v>9.5</v>
      </c>
      <c r="U167">
        <f t="shared" si="28"/>
        <v>11.5</v>
      </c>
      <c r="V167">
        <f t="shared" si="29"/>
        <v>13.5</v>
      </c>
      <c r="W167">
        <f t="shared" si="30"/>
        <v>14.5</v>
      </c>
      <c r="X167">
        <v>0</v>
      </c>
      <c r="Z167">
        <v>133</v>
      </c>
    </row>
    <row r="168" spans="15:26" x14ac:dyDescent="0.25">
      <c r="O168">
        <v>134</v>
      </c>
      <c r="P168">
        <f t="shared" si="34"/>
        <v>1.5</v>
      </c>
      <c r="Q168">
        <f t="shared" si="31"/>
        <v>3.5</v>
      </c>
      <c r="R168">
        <f t="shared" si="32"/>
        <v>5.5</v>
      </c>
      <c r="S168">
        <f t="shared" si="33"/>
        <v>6.5</v>
      </c>
      <c r="T168">
        <f t="shared" si="27"/>
        <v>9.5</v>
      </c>
      <c r="U168">
        <f t="shared" si="28"/>
        <v>11.5</v>
      </c>
      <c r="V168">
        <f t="shared" si="29"/>
        <v>13.5</v>
      </c>
      <c r="W168">
        <f t="shared" si="30"/>
        <v>14.5</v>
      </c>
      <c r="X168">
        <v>0</v>
      </c>
      <c r="Z168">
        <v>134</v>
      </c>
    </row>
    <row r="169" spans="15:26" x14ac:dyDescent="0.25">
      <c r="O169">
        <v>135</v>
      </c>
      <c r="P169">
        <f t="shared" si="34"/>
        <v>1.5</v>
      </c>
      <c r="Q169">
        <f t="shared" si="31"/>
        <v>3.5</v>
      </c>
      <c r="R169">
        <f t="shared" si="32"/>
        <v>5.5</v>
      </c>
      <c r="S169">
        <f t="shared" si="33"/>
        <v>6.5</v>
      </c>
      <c r="T169">
        <f t="shared" si="27"/>
        <v>9.5</v>
      </c>
      <c r="U169">
        <f t="shared" si="28"/>
        <v>11.5</v>
      </c>
      <c r="V169">
        <f t="shared" si="29"/>
        <v>13.5</v>
      </c>
      <c r="W169">
        <f t="shared" si="30"/>
        <v>14.5</v>
      </c>
      <c r="X169">
        <v>0</v>
      </c>
      <c r="Z169">
        <v>135</v>
      </c>
    </row>
    <row r="170" spans="15:26" x14ac:dyDescent="0.25">
      <c r="O170">
        <v>136</v>
      </c>
      <c r="P170">
        <f t="shared" si="34"/>
        <v>1.5</v>
      </c>
      <c r="Q170">
        <f t="shared" si="31"/>
        <v>3.5</v>
      </c>
      <c r="R170">
        <f t="shared" si="32"/>
        <v>5.5</v>
      </c>
      <c r="S170">
        <f t="shared" si="33"/>
        <v>6.5</v>
      </c>
      <c r="T170">
        <f t="shared" si="27"/>
        <v>9.5</v>
      </c>
      <c r="U170">
        <f t="shared" si="28"/>
        <v>11.5</v>
      </c>
      <c r="V170">
        <f t="shared" si="29"/>
        <v>13.5</v>
      </c>
      <c r="W170">
        <f t="shared" si="30"/>
        <v>14.5</v>
      </c>
      <c r="X170">
        <v>0</v>
      </c>
      <c r="Z170">
        <v>136</v>
      </c>
    </row>
    <row r="171" spans="15:26" x14ac:dyDescent="0.25">
      <c r="O171">
        <v>137</v>
      </c>
      <c r="P171">
        <f t="shared" si="34"/>
        <v>1.5</v>
      </c>
      <c r="Q171">
        <f t="shared" si="31"/>
        <v>3.5</v>
      </c>
      <c r="R171">
        <f t="shared" si="32"/>
        <v>5.5</v>
      </c>
      <c r="S171">
        <f t="shared" si="33"/>
        <v>6.5</v>
      </c>
      <c r="T171">
        <f t="shared" si="27"/>
        <v>9.5</v>
      </c>
      <c r="U171">
        <f t="shared" si="28"/>
        <v>11.5</v>
      </c>
      <c r="V171">
        <f t="shared" si="29"/>
        <v>13.5</v>
      </c>
      <c r="W171">
        <f t="shared" si="30"/>
        <v>14.5</v>
      </c>
      <c r="X171">
        <v>0</v>
      </c>
      <c r="Z171">
        <v>137</v>
      </c>
    </row>
    <row r="172" spans="15:26" x14ac:dyDescent="0.25">
      <c r="O172">
        <v>138</v>
      </c>
      <c r="P172">
        <f t="shared" si="34"/>
        <v>1.5</v>
      </c>
      <c r="Q172">
        <f t="shared" si="31"/>
        <v>3.5</v>
      </c>
      <c r="R172">
        <f t="shared" si="32"/>
        <v>5.5</v>
      </c>
      <c r="S172">
        <f t="shared" si="33"/>
        <v>6.5</v>
      </c>
      <c r="T172">
        <f t="shared" si="27"/>
        <v>9.5</v>
      </c>
      <c r="U172">
        <f t="shared" si="28"/>
        <v>11.5</v>
      </c>
      <c r="V172">
        <f t="shared" si="29"/>
        <v>13.5</v>
      </c>
      <c r="W172">
        <f t="shared" si="30"/>
        <v>14.5</v>
      </c>
      <c r="X172">
        <v>0</v>
      </c>
      <c r="Z172">
        <v>138</v>
      </c>
    </row>
    <row r="173" spans="15:26" x14ac:dyDescent="0.25">
      <c r="O173">
        <v>139</v>
      </c>
      <c r="P173">
        <f t="shared" si="34"/>
        <v>1.5</v>
      </c>
      <c r="Q173">
        <f t="shared" si="31"/>
        <v>3.5</v>
      </c>
      <c r="R173">
        <f t="shared" si="32"/>
        <v>5.5</v>
      </c>
      <c r="S173">
        <f t="shared" si="33"/>
        <v>6.5</v>
      </c>
      <c r="T173">
        <f t="shared" si="27"/>
        <v>9.5</v>
      </c>
      <c r="U173">
        <f t="shared" si="28"/>
        <v>11.5</v>
      </c>
      <c r="V173">
        <f t="shared" si="29"/>
        <v>13.5</v>
      </c>
      <c r="W173">
        <f t="shared" si="30"/>
        <v>14.5</v>
      </c>
      <c r="X173">
        <v>0</v>
      </c>
      <c r="Z173">
        <v>139</v>
      </c>
    </row>
    <row r="174" spans="15:26" x14ac:dyDescent="0.25">
      <c r="O174">
        <v>140</v>
      </c>
      <c r="P174">
        <f t="shared" si="34"/>
        <v>1.5</v>
      </c>
      <c r="Q174">
        <f t="shared" si="31"/>
        <v>3.5</v>
      </c>
      <c r="R174">
        <f t="shared" si="32"/>
        <v>5.5</v>
      </c>
      <c r="S174">
        <f t="shared" si="33"/>
        <v>6.5</v>
      </c>
      <c r="T174">
        <f t="shared" si="27"/>
        <v>9.5</v>
      </c>
      <c r="U174">
        <f t="shared" si="28"/>
        <v>11.5</v>
      </c>
      <c r="V174">
        <f t="shared" si="29"/>
        <v>13.5</v>
      </c>
      <c r="W174">
        <f t="shared" si="30"/>
        <v>14.5</v>
      </c>
      <c r="X174">
        <v>0</v>
      </c>
      <c r="Z174">
        <v>140</v>
      </c>
    </row>
    <row r="175" spans="15:26" x14ac:dyDescent="0.25">
      <c r="O175">
        <v>141</v>
      </c>
      <c r="P175">
        <f t="shared" si="34"/>
        <v>1.5</v>
      </c>
      <c r="Q175">
        <f t="shared" si="31"/>
        <v>3.5</v>
      </c>
      <c r="R175">
        <f t="shared" si="32"/>
        <v>5.5</v>
      </c>
      <c r="S175">
        <f t="shared" si="33"/>
        <v>6.5</v>
      </c>
      <c r="T175">
        <f t="shared" si="27"/>
        <v>9.5</v>
      </c>
      <c r="U175">
        <f t="shared" si="28"/>
        <v>11.5</v>
      </c>
      <c r="V175">
        <f t="shared" si="29"/>
        <v>13.5</v>
      </c>
      <c r="W175">
        <f t="shared" si="30"/>
        <v>14.5</v>
      </c>
      <c r="X175">
        <v>0</v>
      </c>
      <c r="Z175">
        <v>141</v>
      </c>
    </row>
    <row r="176" spans="15:26" x14ac:dyDescent="0.25">
      <c r="O176">
        <v>142</v>
      </c>
      <c r="P176">
        <f t="shared" si="34"/>
        <v>1.5</v>
      </c>
      <c r="Q176">
        <f t="shared" si="31"/>
        <v>3.5</v>
      </c>
      <c r="R176">
        <f t="shared" si="32"/>
        <v>5.5</v>
      </c>
      <c r="S176">
        <f t="shared" si="33"/>
        <v>6.5</v>
      </c>
      <c r="T176">
        <f t="shared" si="27"/>
        <v>9.5</v>
      </c>
      <c r="U176">
        <f t="shared" si="28"/>
        <v>11.5</v>
      </c>
      <c r="V176">
        <f t="shared" si="29"/>
        <v>13.5</v>
      </c>
      <c r="W176">
        <f t="shared" si="30"/>
        <v>14.5</v>
      </c>
      <c r="X176">
        <v>0</v>
      </c>
      <c r="Z176">
        <v>142</v>
      </c>
    </row>
    <row r="177" spans="15:26" x14ac:dyDescent="0.25">
      <c r="O177">
        <v>143</v>
      </c>
      <c r="P177">
        <f t="shared" si="34"/>
        <v>1.5</v>
      </c>
      <c r="Q177">
        <f t="shared" si="31"/>
        <v>3.5</v>
      </c>
      <c r="R177">
        <f t="shared" si="32"/>
        <v>5.5</v>
      </c>
      <c r="S177">
        <f t="shared" si="33"/>
        <v>6.5</v>
      </c>
      <c r="T177">
        <f t="shared" si="27"/>
        <v>9.5</v>
      </c>
      <c r="U177">
        <f t="shared" si="28"/>
        <v>11.5</v>
      </c>
      <c r="V177">
        <f t="shared" si="29"/>
        <v>13.5</v>
      </c>
      <c r="W177">
        <f t="shared" si="30"/>
        <v>14.5</v>
      </c>
      <c r="X177">
        <v>0</v>
      </c>
      <c r="Z177">
        <v>143</v>
      </c>
    </row>
    <row r="178" spans="15:26" x14ac:dyDescent="0.25">
      <c r="O178">
        <v>144</v>
      </c>
      <c r="P178">
        <f t="shared" si="34"/>
        <v>1.5</v>
      </c>
      <c r="Q178">
        <f t="shared" si="31"/>
        <v>3.5</v>
      </c>
      <c r="R178">
        <f t="shared" si="32"/>
        <v>5.5</v>
      </c>
      <c r="S178">
        <f t="shared" si="33"/>
        <v>6.5</v>
      </c>
      <c r="T178">
        <f t="shared" si="27"/>
        <v>9.5</v>
      </c>
      <c r="U178">
        <f t="shared" si="28"/>
        <v>11.5</v>
      </c>
      <c r="V178">
        <f t="shared" si="29"/>
        <v>13.5</v>
      </c>
      <c r="W178">
        <f t="shared" si="30"/>
        <v>14.5</v>
      </c>
      <c r="X178">
        <v>0</v>
      </c>
      <c r="Z178">
        <v>144</v>
      </c>
    </row>
    <row r="179" spans="15:26" x14ac:dyDescent="0.25">
      <c r="O179">
        <v>145</v>
      </c>
      <c r="P179">
        <f t="shared" si="34"/>
        <v>1.5</v>
      </c>
      <c r="Q179">
        <f t="shared" si="31"/>
        <v>3.5</v>
      </c>
      <c r="R179">
        <f t="shared" si="32"/>
        <v>5.5</v>
      </c>
      <c r="S179">
        <f t="shared" si="33"/>
        <v>6.5</v>
      </c>
      <c r="T179">
        <f t="shared" si="27"/>
        <v>9.5</v>
      </c>
      <c r="U179">
        <f t="shared" si="28"/>
        <v>11.5</v>
      </c>
      <c r="V179">
        <f t="shared" si="29"/>
        <v>13.5</v>
      </c>
      <c r="W179">
        <f t="shared" si="30"/>
        <v>14.5</v>
      </c>
      <c r="X179">
        <v>0</v>
      </c>
      <c r="Z179">
        <v>145</v>
      </c>
    </row>
    <row r="180" spans="15:26" x14ac:dyDescent="0.25">
      <c r="O180">
        <v>146</v>
      </c>
      <c r="P180">
        <f t="shared" si="34"/>
        <v>1.5</v>
      </c>
      <c r="Q180">
        <f t="shared" si="31"/>
        <v>3.5</v>
      </c>
      <c r="R180">
        <f t="shared" si="32"/>
        <v>5.5</v>
      </c>
      <c r="S180">
        <f t="shared" si="33"/>
        <v>6.5</v>
      </c>
      <c r="T180">
        <f t="shared" si="27"/>
        <v>9.5</v>
      </c>
      <c r="U180">
        <f t="shared" si="28"/>
        <v>11.5</v>
      </c>
      <c r="V180">
        <f t="shared" si="29"/>
        <v>13.5</v>
      </c>
      <c r="W180">
        <f t="shared" si="30"/>
        <v>14.5</v>
      </c>
      <c r="X180">
        <v>0</v>
      </c>
      <c r="Z180">
        <v>146</v>
      </c>
    </row>
    <row r="181" spans="15:26" x14ac:dyDescent="0.25">
      <c r="O181">
        <v>147</v>
      </c>
      <c r="P181">
        <f t="shared" si="34"/>
        <v>1.5</v>
      </c>
      <c r="Q181">
        <f t="shared" si="31"/>
        <v>3.5</v>
      </c>
      <c r="R181">
        <f t="shared" si="32"/>
        <v>5.5</v>
      </c>
      <c r="S181">
        <f t="shared" si="33"/>
        <v>6.5</v>
      </c>
      <c r="T181">
        <f t="shared" si="27"/>
        <v>9.5</v>
      </c>
      <c r="U181">
        <f t="shared" si="28"/>
        <v>11.5</v>
      </c>
      <c r="V181">
        <f t="shared" si="29"/>
        <v>13.5</v>
      </c>
      <c r="W181">
        <f t="shared" si="30"/>
        <v>14.5</v>
      </c>
      <c r="X181">
        <v>0</v>
      </c>
      <c r="Z181">
        <v>147</v>
      </c>
    </row>
    <row r="182" spans="15:26" x14ac:dyDescent="0.25">
      <c r="O182">
        <v>148</v>
      </c>
      <c r="P182">
        <f t="shared" si="34"/>
        <v>1.5</v>
      </c>
      <c r="Q182">
        <f t="shared" si="31"/>
        <v>3.5</v>
      </c>
      <c r="R182">
        <f t="shared" si="32"/>
        <v>5.5</v>
      </c>
      <c r="S182">
        <f t="shared" si="33"/>
        <v>6.5</v>
      </c>
      <c r="T182">
        <f t="shared" si="27"/>
        <v>9.5</v>
      </c>
      <c r="U182">
        <f t="shared" si="28"/>
        <v>11.5</v>
      </c>
      <c r="V182">
        <f t="shared" si="29"/>
        <v>13.5</v>
      </c>
      <c r="W182">
        <f t="shared" si="30"/>
        <v>14.5</v>
      </c>
      <c r="X182">
        <v>0</v>
      </c>
      <c r="Z182">
        <v>148</v>
      </c>
    </row>
    <row r="183" spans="15:26" x14ac:dyDescent="0.25">
      <c r="O183">
        <v>149</v>
      </c>
      <c r="P183">
        <f t="shared" si="34"/>
        <v>1.5</v>
      </c>
      <c r="Q183">
        <f t="shared" si="31"/>
        <v>3.5</v>
      </c>
      <c r="R183">
        <f t="shared" si="32"/>
        <v>5.5</v>
      </c>
      <c r="S183">
        <f t="shared" si="33"/>
        <v>7.5</v>
      </c>
      <c r="T183">
        <f t="shared" si="27"/>
        <v>9.5</v>
      </c>
      <c r="U183">
        <f t="shared" si="28"/>
        <v>11.5</v>
      </c>
      <c r="V183">
        <f t="shared" si="29"/>
        <v>13.5</v>
      </c>
      <c r="W183">
        <f t="shared" si="30"/>
        <v>15.5</v>
      </c>
      <c r="X183">
        <v>0</v>
      </c>
      <c r="Z183">
        <v>149</v>
      </c>
    </row>
    <row r="184" spans="15:26" x14ac:dyDescent="0.25">
      <c r="O184">
        <v>150</v>
      </c>
      <c r="P184">
        <f t="shared" si="34"/>
        <v>1.5</v>
      </c>
      <c r="Q184">
        <f t="shared" si="31"/>
        <v>3.5</v>
      </c>
      <c r="R184">
        <f t="shared" si="32"/>
        <v>5.5</v>
      </c>
      <c r="S184">
        <f t="shared" si="33"/>
        <v>7.5</v>
      </c>
      <c r="T184">
        <f t="shared" si="27"/>
        <v>9.5</v>
      </c>
      <c r="U184">
        <f t="shared" si="28"/>
        <v>11.5</v>
      </c>
      <c r="V184">
        <f t="shared" si="29"/>
        <v>13.5</v>
      </c>
      <c r="W184">
        <f t="shared" si="30"/>
        <v>15.5</v>
      </c>
      <c r="X184">
        <v>0</v>
      </c>
      <c r="Z184">
        <v>150</v>
      </c>
    </row>
    <row r="185" spans="15:26" x14ac:dyDescent="0.25">
      <c r="O185">
        <v>151</v>
      </c>
      <c r="P185">
        <f t="shared" si="34"/>
        <v>1.5</v>
      </c>
      <c r="Q185">
        <f t="shared" si="31"/>
        <v>3.5</v>
      </c>
      <c r="R185">
        <f t="shared" si="32"/>
        <v>5.5</v>
      </c>
      <c r="S185">
        <f t="shared" si="33"/>
        <v>7.5</v>
      </c>
      <c r="T185">
        <f t="shared" si="27"/>
        <v>9.5</v>
      </c>
      <c r="U185">
        <f t="shared" si="28"/>
        <v>11.5</v>
      </c>
      <c r="V185">
        <f t="shared" si="29"/>
        <v>13.5</v>
      </c>
      <c r="W185">
        <f t="shared" si="30"/>
        <v>15.5</v>
      </c>
      <c r="X185">
        <v>0</v>
      </c>
      <c r="Z185">
        <v>151</v>
      </c>
    </row>
    <row r="186" spans="15:26" x14ac:dyDescent="0.25">
      <c r="O186">
        <v>152</v>
      </c>
      <c r="P186">
        <f t="shared" si="34"/>
        <v>1.5</v>
      </c>
      <c r="Q186">
        <f t="shared" si="31"/>
        <v>3.5</v>
      </c>
      <c r="R186">
        <f t="shared" si="32"/>
        <v>5.5</v>
      </c>
      <c r="S186">
        <f t="shared" si="33"/>
        <v>7.5</v>
      </c>
      <c r="T186">
        <f t="shared" si="27"/>
        <v>9.5</v>
      </c>
      <c r="U186">
        <f t="shared" si="28"/>
        <v>11.5</v>
      </c>
      <c r="V186">
        <f t="shared" si="29"/>
        <v>13.5</v>
      </c>
      <c r="W186">
        <f t="shared" si="30"/>
        <v>15.5</v>
      </c>
      <c r="X186">
        <v>0</v>
      </c>
      <c r="Z186">
        <v>152</v>
      </c>
    </row>
    <row r="187" spans="15:26" x14ac:dyDescent="0.25">
      <c r="O187">
        <v>153</v>
      </c>
      <c r="P187">
        <f t="shared" si="34"/>
        <v>1.5</v>
      </c>
      <c r="Q187">
        <f t="shared" si="31"/>
        <v>3.5</v>
      </c>
      <c r="R187">
        <f t="shared" si="32"/>
        <v>5.5</v>
      </c>
      <c r="S187">
        <f t="shared" si="33"/>
        <v>7.5</v>
      </c>
      <c r="T187">
        <f t="shared" si="27"/>
        <v>9.5</v>
      </c>
      <c r="U187">
        <f t="shared" si="28"/>
        <v>11.5</v>
      </c>
      <c r="V187">
        <f t="shared" si="29"/>
        <v>13.5</v>
      </c>
      <c r="W187">
        <f t="shared" si="30"/>
        <v>15.5</v>
      </c>
      <c r="X187">
        <v>0</v>
      </c>
      <c r="Z187">
        <v>153</v>
      </c>
    </row>
    <row r="188" spans="15:26" x14ac:dyDescent="0.25">
      <c r="O188">
        <v>154</v>
      </c>
      <c r="P188">
        <f t="shared" si="34"/>
        <v>1.5</v>
      </c>
      <c r="Q188">
        <f t="shared" si="31"/>
        <v>3.5</v>
      </c>
      <c r="R188">
        <f t="shared" si="32"/>
        <v>5.5</v>
      </c>
      <c r="S188">
        <f t="shared" si="33"/>
        <v>7.5</v>
      </c>
      <c r="T188">
        <f t="shared" si="27"/>
        <v>9.5</v>
      </c>
      <c r="U188">
        <f t="shared" si="28"/>
        <v>11.5</v>
      </c>
      <c r="V188">
        <f t="shared" si="29"/>
        <v>13.5</v>
      </c>
      <c r="W188">
        <f t="shared" si="30"/>
        <v>15.5</v>
      </c>
      <c r="X188">
        <v>0</v>
      </c>
      <c r="Z188">
        <v>154</v>
      </c>
    </row>
    <row r="189" spans="15:26" x14ac:dyDescent="0.25">
      <c r="O189">
        <v>155</v>
      </c>
      <c r="P189">
        <f t="shared" si="34"/>
        <v>1.5</v>
      </c>
      <c r="Q189">
        <f t="shared" si="31"/>
        <v>3.5</v>
      </c>
      <c r="R189">
        <f t="shared" si="32"/>
        <v>5.5</v>
      </c>
      <c r="S189">
        <f t="shared" si="33"/>
        <v>7.5</v>
      </c>
      <c r="T189">
        <f t="shared" si="27"/>
        <v>9.5</v>
      </c>
      <c r="U189">
        <f t="shared" si="28"/>
        <v>11.5</v>
      </c>
      <c r="V189">
        <f t="shared" si="29"/>
        <v>13.5</v>
      </c>
      <c r="W189">
        <f t="shared" si="30"/>
        <v>15.5</v>
      </c>
      <c r="X189">
        <v>0</v>
      </c>
      <c r="Z189">
        <v>155</v>
      </c>
    </row>
    <row r="190" spans="15:26" x14ac:dyDescent="0.25">
      <c r="O190">
        <v>156</v>
      </c>
      <c r="P190">
        <f t="shared" si="34"/>
        <v>1.5</v>
      </c>
      <c r="Q190">
        <f t="shared" si="31"/>
        <v>3.5</v>
      </c>
      <c r="R190">
        <f t="shared" si="32"/>
        <v>5.5</v>
      </c>
      <c r="S190">
        <f t="shared" si="33"/>
        <v>7.5</v>
      </c>
      <c r="T190">
        <f t="shared" si="27"/>
        <v>9.5</v>
      </c>
      <c r="U190">
        <f t="shared" si="28"/>
        <v>11.5</v>
      </c>
      <c r="V190">
        <f t="shared" si="29"/>
        <v>13.5</v>
      </c>
      <c r="W190">
        <f t="shared" si="30"/>
        <v>15.5</v>
      </c>
      <c r="X190">
        <v>0</v>
      </c>
      <c r="Z190">
        <v>156</v>
      </c>
    </row>
    <row r="191" spans="15:26" x14ac:dyDescent="0.25">
      <c r="O191">
        <v>157</v>
      </c>
      <c r="P191">
        <f t="shared" si="34"/>
        <v>1.5</v>
      </c>
      <c r="Q191">
        <f t="shared" si="31"/>
        <v>3.5</v>
      </c>
      <c r="R191">
        <f t="shared" si="32"/>
        <v>5.5</v>
      </c>
      <c r="S191">
        <f t="shared" si="33"/>
        <v>7.5</v>
      </c>
      <c r="T191">
        <f t="shared" si="27"/>
        <v>9.5</v>
      </c>
      <c r="U191">
        <f t="shared" si="28"/>
        <v>11.5</v>
      </c>
      <c r="V191">
        <f t="shared" si="29"/>
        <v>13.5</v>
      </c>
      <c r="W191">
        <f t="shared" si="30"/>
        <v>15.5</v>
      </c>
      <c r="X191">
        <v>0</v>
      </c>
      <c r="Z191">
        <v>157</v>
      </c>
    </row>
    <row r="192" spans="15:26" x14ac:dyDescent="0.25">
      <c r="O192">
        <v>158</v>
      </c>
      <c r="P192">
        <f t="shared" si="34"/>
        <v>1.5</v>
      </c>
      <c r="Q192">
        <f t="shared" si="31"/>
        <v>3.5</v>
      </c>
      <c r="R192">
        <f t="shared" si="32"/>
        <v>5.5</v>
      </c>
      <c r="S192">
        <f t="shared" si="33"/>
        <v>7.5</v>
      </c>
      <c r="T192">
        <f t="shared" si="27"/>
        <v>9.5</v>
      </c>
      <c r="U192">
        <f t="shared" si="28"/>
        <v>11.5</v>
      </c>
      <c r="V192">
        <f t="shared" si="29"/>
        <v>13.5</v>
      </c>
      <c r="W192">
        <f t="shared" si="30"/>
        <v>15.5</v>
      </c>
      <c r="X192">
        <v>0</v>
      </c>
      <c r="Z192">
        <v>158</v>
      </c>
    </row>
    <row r="193" spans="15:26" x14ac:dyDescent="0.25">
      <c r="O193">
        <v>159</v>
      </c>
      <c r="P193">
        <f t="shared" si="34"/>
        <v>1.5</v>
      </c>
      <c r="Q193">
        <f t="shared" si="31"/>
        <v>3.5</v>
      </c>
      <c r="R193">
        <f t="shared" si="32"/>
        <v>5.5</v>
      </c>
      <c r="S193">
        <f t="shared" si="33"/>
        <v>7.5</v>
      </c>
      <c r="T193">
        <f t="shared" si="27"/>
        <v>9.5</v>
      </c>
      <c r="U193">
        <f t="shared" si="28"/>
        <v>11.5</v>
      </c>
      <c r="V193">
        <f t="shared" si="29"/>
        <v>13.5</v>
      </c>
      <c r="W193">
        <f t="shared" si="30"/>
        <v>15.5</v>
      </c>
      <c r="X193">
        <v>0</v>
      </c>
      <c r="Z193">
        <v>159</v>
      </c>
    </row>
    <row r="194" spans="15:26" x14ac:dyDescent="0.25">
      <c r="O194">
        <v>160</v>
      </c>
      <c r="P194">
        <f t="shared" si="34"/>
        <v>1.5</v>
      </c>
      <c r="Q194">
        <f t="shared" si="31"/>
        <v>3.5</v>
      </c>
      <c r="R194">
        <f t="shared" si="32"/>
        <v>5.5</v>
      </c>
      <c r="S194">
        <f t="shared" si="33"/>
        <v>7.5</v>
      </c>
      <c r="T194">
        <f t="shared" si="27"/>
        <v>9.5</v>
      </c>
      <c r="U194">
        <f t="shared" si="28"/>
        <v>11.5</v>
      </c>
      <c r="V194">
        <f t="shared" si="29"/>
        <v>13.5</v>
      </c>
      <c r="W194">
        <f t="shared" si="30"/>
        <v>15.5</v>
      </c>
      <c r="X194">
        <v>0</v>
      </c>
      <c r="Z194">
        <v>160</v>
      </c>
    </row>
    <row r="195" spans="15:26" x14ac:dyDescent="0.25">
      <c r="O195">
        <v>161</v>
      </c>
      <c r="P195">
        <f t="shared" si="34"/>
        <v>1.5</v>
      </c>
      <c r="Q195">
        <f t="shared" si="31"/>
        <v>3.5</v>
      </c>
      <c r="R195">
        <f t="shared" si="32"/>
        <v>5.5</v>
      </c>
      <c r="S195">
        <f t="shared" si="33"/>
        <v>7.5</v>
      </c>
      <c r="T195">
        <f t="shared" ref="T195:T203" si="35">T$32+IF($Z195&lt;$Z$35+$E$31,1,IF($Z195&lt;$Z$35+$E$31+$E$34,0,1))</f>
        <v>9.5</v>
      </c>
      <c r="U195">
        <f t="shared" ref="U195:U203" si="36">U$32+IF($Z195&lt;$Z$35+$E$32,1,IF($Z195&lt;$Z$35+$E$32+$E$34,0,1))</f>
        <v>11.5</v>
      </c>
      <c r="V195">
        <f t="shared" ref="V195:V203" si="37">V$32+IF($Z195&lt;$Z$35+$E$31,1,IF($Z195&lt;$Z$35+$E$31+$E$35,0,1))</f>
        <v>13.5</v>
      </c>
      <c r="W195">
        <f t="shared" ref="W195:W203" si="38">W$32+IF($Z195&lt;$Z$35+$E$32,1,IF($Z195&lt;$Z$35+$E$32+$E$35,0,1))</f>
        <v>15.5</v>
      </c>
      <c r="X195">
        <v>0</v>
      </c>
      <c r="Z195">
        <v>161</v>
      </c>
    </row>
    <row r="196" spans="15:26" x14ac:dyDescent="0.25">
      <c r="O196">
        <v>162</v>
      </c>
      <c r="P196">
        <f t="shared" si="34"/>
        <v>1.5</v>
      </c>
      <c r="Q196">
        <f t="shared" si="31"/>
        <v>3.5</v>
      </c>
      <c r="R196">
        <f t="shared" si="32"/>
        <v>5.5</v>
      </c>
      <c r="S196">
        <f t="shared" si="33"/>
        <v>7.5</v>
      </c>
      <c r="T196">
        <f t="shared" si="35"/>
        <v>9.5</v>
      </c>
      <c r="U196">
        <f t="shared" si="36"/>
        <v>11.5</v>
      </c>
      <c r="V196">
        <f t="shared" si="37"/>
        <v>13.5</v>
      </c>
      <c r="W196">
        <f t="shared" si="38"/>
        <v>15.5</v>
      </c>
      <c r="X196">
        <v>0</v>
      </c>
      <c r="Z196">
        <v>162</v>
      </c>
    </row>
    <row r="197" spans="15:26" x14ac:dyDescent="0.25">
      <c r="O197">
        <v>163</v>
      </c>
      <c r="P197">
        <f t="shared" si="34"/>
        <v>1.5</v>
      </c>
      <c r="Q197">
        <f t="shared" si="31"/>
        <v>3.5</v>
      </c>
      <c r="R197">
        <f t="shared" si="32"/>
        <v>5.5</v>
      </c>
      <c r="S197">
        <f t="shared" si="33"/>
        <v>7.5</v>
      </c>
      <c r="T197">
        <f t="shared" si="35"/>
        <v>9.5</v>
      </c>
      <c r="U197">
        <f t="shared" si="36"/>
        <v>11.5</v>
      </c>
      <c r="V197">
        <f t="shared" si="37"/>
        <v>13.5</v>
      </c>
      <c r="W197">
        <f t="shared" si="38"/>
        <v>15.5</v>
      </c>
      <c r="X197">
        <v>0</v>
      </c>
      <c r="Z197">
        <v>163</v>
      </c>
    </row>
    <row r="198" spans="15:26" x14ac:dyDescent="0.25">
      <c r="O198">
        <v>164</v>
      </c>
      <c r="P198">
        <f t="shared" si="34"/>
        <v>1.5</v>
      </c>
      <c r="Q198">
        <f t="shared" si="31"/>
        <v>3.5</v>
      </c>
      <c r="R198">
        <f t="shared" si="32"/>
        <v>5.5</v>
      </c>
      <c r="S198">
        <f t="shared" si="33"/>
        <v>7.5</v>
      </c>
      <c r="T198">
        <f t="shared" si="35"/>
        <v>9.5</v>
      </c>
      <c r="U198">
        <f t="shared" si="36"/>
        <v>11.5</v>
      </c>
      <c r="V198">
        <f t="shared" si="37"/>
        <v>13.5</v>
      </c>
      <c r="W198">
        <f t="shared" si="38"/>
        <v>15.5</v>
      </c>
      <c r="X198">
        <v>0</v>
      </c>
      <c r="Z198">
        <v>164</v>
      </c>
    </row>
    <row r="199" spans="15:26" x14ac:dyDescent="0.25">
      <c r="O199">
        <v>165</v>
      </c>
      <c r="P199">
        <f t="shared" si="34"/>
        <v>1.5</v>
      </c>
      <c r="Q199">
        <f t="shared" si="31"/>
        <v>3.5</v>
      </c>
      <c r="R199">
        <f t="shared" si="32"/>
        <v>5.5</v>
      </c>
      <c r="S199">
        <f t="shared" si="33"/>
        <v>7.5</v>
      </c>
      <c r="T199">
        <f t="shared" si="35"/>
        <v>9.5</v>
      </c>
      <c r="U199">
        <f t="shared" si="36"/>
        <v>11.5</v>
      </c>
      <c r="V199">
        <f t="shared" si="37"/>
        <v>13.5</v>
      </c>
      <c r="W199">
        <f t="shared" si="38"/>
        <v>15.5</v>
      </c>
      <c r="X199">
        <v>0</v>
      </c>
      <c r="Z199">
        <v>165</v>
      </c>
    </row>
    <row r="200" spans="15:26" x14ac:dyDescent="0.25">
      <c r="O200">
        <v>166</v>
      </c>
      <c r="P200">
        <f t="shared" si="34"/>
        <v>1.5</v>
      </c>
      <c r="Q200">
        <f t="shared" si="31"/>
        <v>3.5</v>
      </c>
      <c r="R200">
        <f t="shared" si="32"/>
        <v>5.5</v>
      </c>
      <c r="S200">
        <f t="shared" si="33"/>
        <v>7.5</v>
      </c>
      <c r="T200">
        <f t="shared" si="35"/>
        <v>9.5</v>
      </c>
      <c r="U200">
        <f t="shared" si="36"/>
        <v>11.5</v>
      </c>
      <c r="V200">
        <f t="shared" si="37"/>
        <v>13.5</v>
      </c>
      <c r="W200">
        <f t="shared" si="38"/>
        <v>15.5</v>
      </c>
      <c r="X200">
        <v>0</v>
      </c>
      <c r="Z200">
        <v>166</v>
      </c>
    </row>
    <row r="201" spans="15:26" x14ac:dyDescent="0.25">
      <c r="O201">
        <v>167</v>
      </c>
      <c r="P201">
        <f t="shared" si="34"/>
        <v>1.5</v>
      </c>
      <c r="Q201">
        <f t="shared" si="31"/>
        <v>3.5</v>
      </c>
      <c r="R201">
        <f t="shared" si="32"/>
        <v>5.5</v>
      </c>
      <c r="S201">
        <f t="shared" si="33"/>
        <v>7.5</v>
      </c>
      <c r="T201">
        <f t="shared" si="35"/>
        <v>9.5</v>
      </c>
      <c r="U201">
        <f t="shared" si="36"/>
        <v>11.5</v>
      </c>
      <c r="V201">
        <f t="shared" si="37"/>
        <v>13.5</v>
      </c>
      <c r="W201">
        <f t="shared" si="38"/>
        <v>15.5</v>
      </c>
      <c r="X201">
        <v>0</v>
      </c>
      <c r="Z201">
        <v>167</v>
      </c>
    </row>
    <row r="202" spans="15:26" x14ac:dyDescent="0.25">
      <c r="O202">
        <v>168</v>
      </c>
      <c r="P202">
        <f t="shared" si="34"/>
        <v>1.5</v>
      </c>
      <c r="Q202">
        <f t="shared" si="31"/>
        <v>3.5</v>
      </c>
      <c r="R202">
        <f t="shared" si="32"/>
        <v>5.5</v>
      </c>
      <c r="S202">
        <f t="shared" si="33"/>
        <v>7.5</v>
      </c>
      <c r="T202">
        <f t="shared" si="35"/>
        <v>9.5</v>
      </c>
      <c r="U202">
        <f t="shared" si="36"/>
        <v>11.5</v>
      </c>
      <c r="V202">
        <f t="shared" si="37"/>
        <v>13.5</v>
      </c>
      <c r="W202">
        <f t="shared" si="38"/>
        <v>15.5</v>
      </c>
      <c r="X202">
        <v>0</v>
      </c>
      <c r="Z202">
        <v>168</v>
      </c>
    </row>
    <row r="203" spans="15:26" x14ac:dyDescent="0.25">
      <c r="O203">
        <v>169</v>
      </c>
      <c r="P203">
        <f t="shared" si="34"/>
        <v>1.5</v>
      </c>
      <c r="Q203">
        <f t="shared" si="31"/>
        <v>3.5</v>
      </c>
      <c r="R203">
        <f t="shared" si="32"/>
        <v>5.5</v>
      </c>
      <c r="S203">
        <f t="shared" si="33"/>
        <v>7.5</v>
      </c>
      <c r="T203">
        <f t="shared" si="35"/>
        <v>9.5</v>
      </c>
      <c r="U203">
        <f t="shared" si="36"/>
        <v>11.5</v>
      </c>
      <c r="V203">
        <f t="shared" si="37"/>
        <v>13.5</v>
      </c>
      <c r="W203">
        <f t="shared" si="38"/>
        <v>15.5</v>
      </c>
      <c r="X203">
        <v>0</v>
      </c>
      <c r="Z203">
        <v>169</v>
      </c>
    </row>
  </sheetData>
  <sortState xmlns:xlrd2="http://schemas.microsoft.com/office/spreadsheetml/2017/richdata2" ref="G27:K28">
    <sortCondition ref="G27:G28"/>
  </sortState>
  <mergeCells count="8">
    <mergeCell ref="A28:B28"/>
    <mergeCell ref="E51:F51"/>
    <mergeCell ref="E65:F65"/>
    <mergeCell ref="E58:F58"/>
    <mergeCell ref="G3:L3"/>
    <mergeCell ref="G5:G7"/>
    <mergeCell ref="G12:G14"/>
    <mergeCell ref="D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4A27-7558-45DD-87E0-DD3B2F8A9DB8}">
  <dimension ref="A1:O15"/>
  <sheetViews>
    <sheetView workbookViewId="0">
      <selection activeCell="J16" sqref="J16"/>
    </sheetView>
  </sheetViews>
  <sheetFormatPr defaultRowHeight="15" x14ac:dyDescent="0.25"/>
  <cols>
    <col min="3" max="3" width="15.28515625" bestFit="1" customWidth="1"/>
    <col min="4" max="4" width="11.7109375" bestFit="1" customWidth="1"/>
    <col min="5" max="5" width="5.5703125" bestFit="1" customWidth="1"/>
    <col min="6" max="6" width="10.140625" bestFit="1" customWidth="1"/>
    <col min="7" max="8" width="8" bestFit="1" customWidth="1"/>
    <col min="9" max="10" width="12" bestFit="1" customWidth="1"/>
    <col min="11" max="11" width="11.7109375" bestFit="1" customWidth="1"/>
  </cols>
  <sheetData>
    <row r="1" spans="1:15" ht="15.75" thickBot="1" x14ac:dyDescent="0.3"/>
    <row r="2" spans="1:15" ht="16.5" thickTop="1" thickBot="1" x14ac:dyDescent="0.3">
      <c r="D2" s="13" t="s">
        <v>211</v>
      </c>
      <c r="E2" s="13" t="s">
        <v>210</v>
      </c>
      <c r="F2" s="13" t="s">
        <v>181</v>
      </c>
      <c r="G2" s="13" t="s">
        <v>193</v>
      </c>
      <c r="H2" s="13" t="s">
        <v>209</v>
      </c>
      <c r="I2" s="13" t="s">
        <v>181</v>
      </c>
      <c r="J2" s="13" t="s">
        <v>210</v>
      </c>
      <c r="K2" s="13" t="s">
        <v>211</v>
      </c>
      <c r="O2" t="s">
        <v>212</v>
      </c>
    </row>
    <row r="3" spans="1:15" ht="15.75" thickTop="1" x14ac:dyDescent="0.25">
      <c r="A3" t="s">
        <v>5</v>
      </c>
      <c r="B3">
        <v>5</v>
      </c>
      <c r="C3" t="str">
        <f>"RGBW_"&amp;A3&amp;"_min"</f>
        <v>RGBW_T0H_min</v>
      </c>
      <c r="D3" s="18">
        <f>POWER(10,9)/E3</f>
        <v>1111111.111111111</v>
      </c>
      <c r="E3">
        <f>F3+F5</f>
        <v>900</v>
      </c>
      <c r="F3" s="7">
        <f>VLOOKUP(A3,RGBW_TBL,B3,FALSE)</f>
        <v>150</v>
      </c>
      <c r="G3">
        <f>F3/PLL_period</f>
        <v>14.399999999999999</v>
      </c>
      <c r="H3">
        <f>TRUNC(G3+0.99999999999999)+1</f>
        <v>16</v>
      </c>
      <c r="I3">
        <f>H3*PLL_period</f>
        <v>166.66666666666669</v>
      </c>
      <c r="J3">
        <f>I3+I5</f>
        <v>937.5</v>
      </c>
      <c r="K3" s="18">
        <f>POWER(10,9)/J3</f>
        <v>1066666.6666666667</v>
      </c>
      <c r="M3" t="str">
        <f>"    localparam "&amp;LEFT(C3,FIND("_min",C3)-1)&amp;" = "&amp;H3&amp;"; // num of clocks to use output - see SK6812RGBW spec"</f>
        <v xml:space="preserve">    localparam RGBW_T0H = 16; // num of clocks to use output - see SK6812RGBW spec</v>
      </c>
    </row>
    <row r="4" spans="1:15" x14ac:dyDescent="0.25">
      <c r="A4" t="s">
        <v>6</v>
      </c>
      <c r="B4">
        <v>5</v>
      </c>
      <c r="C4" t="str">
        <f t="shared" ref="C4:C6" si="0">"RGBW_"&amp;A4&amp;"_min"</f>
        <v>RGBW_T1H_min</v>
      </c>
      <c r="D4" s="18">
        <f>POWER(10,9)/E4</f>
        <v>1111111.111111111</v>
      </c>
      <c r="E4">
        <f>F4+F6</f>
        <v>900</v>
      </c>
      <c r="F4" s="7">
        <f>VLOOKUP(A4,RGBW_TBL,B4,FALSE)</f>
        <v>450</v>
      </c>
      <c r="G4">
        <f>F4/PLL_period</f>
        <v>43.199999999999996</v>
      </c>
      <c r="H4">
        <f t="shared" ref="H4:H6" si="1">TRUNC(G4+0.99999999999999)+1</f>
        <v>45</v>
      </c>
      <c r="I4">
        <f>H4*PLL_period</f>
        <v>468.75000000000006</v>
      </c>
      <c r="J4">
        <f>I4+I6</f>
        <v>937.50000000000011</v>
      </c>
      <c r="K4" s="18">
        <f>POWER(10,9)/J4</f>
        <v>1066666.6666666665</v>
      </c>
      <c r="M4" t="str">
        <f t="shared" ref="M4:M6" si="2">"    localparam "&amp;LEFT(C4,FIND("_min",C4)-1)&amp;" = "&amp;H4&amp;"; // num of clocks to use output - see SK6812RGBW spec"</f>
        <v xml:space="preserve">    localparam RGBW_T1H = 45; // num of clocks to use output - see SK6812RGBW spec</v>
      </c>
    </row>
    <row r="5" spans="1:15" x14ac:dyDescent="0.25">
      <c r="A5" t="s">
        <v>7</v>
      </c>
      <c r="B5">
        <v>5</v>
      </c>
      <c r="C5" t="str">
        <f t="shared" si="0"/>
        <v>RGBW_T0L_min</v>
      </c>
      <c r="F5" s="7">
        <f>VLOOKUP(A5,RGBW_TBL,B5,FALSE)</f>
        <v>750</v>
      </c>
      <c r="G5">
        <f>F5/PLL_period</f>
        <v>71.999999999999986</v>
      </c>
      <c r="H5">
        <f t="shared" si="1"/>
        <v>74</v>
      </c>
      <c r="I5">
        <f>H5*PLL_period</f>
        <v>770.83333333333337</v>
      </c>
      <c r="M5" t="str">
        <f t="shared" si="2"/>
        <v xml:space="preserve">    localparam RGBW_T0L = 74; // num of clocks to use output - see SK6812RGBW spec</v>
      </c>
    </row>
    <row r="6" spans="1:15" x14ac:dyDescent="0.25">
      <c r="A6" t="s">
        <v>8</v>
      </c>
      <c r="B6">
        <v>5</v>
      </c>
      <c r="C6" t="str">
        <f t="shared" si="0"/>
        <v>RGBW_T1L_min</v>
      </c>
      <c r="F6" s="7">
        <f>VLOOKUP(A6,RGBW_TBL,B6,FALSE)</f>
        <v>450</v>
      </c>
      <c r="G6">
        <f>F6/PLL_period</f>
        <v>43.199999999999996</v>
      </c>
      <c r="H6">
        <f t="shared" si="1"/>
        <v>45</v>
      </c>
      <c r="I6">
        <f>H6*PLL_period</f>
        <v>468.75000000000006</v>
      </c>
      <c r="M6" t="str">
        <f t="shared" si="2"/>
        <v xml:space="preserve">    localparam RGBW_T1L = 45; // num of clocks to use output - see SK6812RGBW spec</v>
      </c>
    </row>
    <row r="8" spans="1:15" x14ac:dyDescent="0.25">
      <c r="A8" t="s">
        <v>5</v>
      </c>
      <c r="B8">
        <v>6</v>
      </c>
      <c r="C8" t="str">
        <f>"RGBW_"&amp;A8&amp;"_max"</f>
        <v>RGBW_T0H_max</v>
      </c>
      <c r="D8" s="18">
        <f>POWER(10,9)/E8</f>
        <v>666666.66666666663</v>
      </c>
      <c r="E8">
        <f t="shared" ref="E8:E9" si="3">F8+F10</f>
        <v>1500</v>
      </c>
      <c r="F8" s="7">
        <f>VLOOKUP(A8,RGBW_TBL,B8,FALSE)</f>
        <v>450</v>
      </c>
      <c r="G8">
        <f>F8/PLL_period</f>
        <v>43.199999999999996</v>
      </c>
      <c r="H8">
        <f t="shared" ref="H8:H11" si="4">TRUNC(G8+0.99999999999999)+1</f>
        <v>45</v>
      </c>
      <c r="I8">
        <f>H8*PLL_period</f>
        <v>468.75000000000006</v>
      </c>
      <c r="J8">
        <f>I8+I10</f>
        <v>1531.2500000000002</v>
      </c>
      <c r="K8" s="18">
        <f>POWER(10,9)/J8</f>
        <v>653061.22448979586</v>
      </c>
    </row>
    <row r="9" spans="1:15" x14ac:dyDescent="0.25">
      <c r="A9" t="s">
        <v>6</v>
      </c>
      <c r="B9">
        <v>6</v>
      </c>
      <c r="C9" t="str">
        <f t="shared" ref="C9:C11" si="5">"RGBW_"&amp;A9&amp;"_max"</f>
        <v>RGBW_T1H_max</v>
      </c>
      <c r="D9" s="18">
        <f>POWER(10,9)/E9</f>
        <v>666666.66666666663</v>
      </c>
      <c r="E9">
        <f t="shared" si="3"/>
        <v>1500</v>
      </c>
      <c r="F9" s="7">
        <f>VLOOKUP(A9,RGBW_TBL,B9,FALSE)</f>
        <v>750</v>
      </c>
      <c r="G9">
        <f>F9/PLL_period</f>
        <v>71.999999999999986</v>
      </c>
      <c r="H9">
        <f t="shared" si="4"/>
        <v>74</v>
      </c>
      <c r="I9">
        <f>H9*PLL_period</f>
        <v>770.83333333333337</v>
      </c>
      <c r="J9">
        <f>I9+I11</f>
        <v>1541.6666666666667</v>
      </c>
    </row>
    <row r="10" spans="1:15" x14ac:dyDescent="0.25">
      <c r="A10" t="s">
        <v>7</v>
      </c>
      <c r="B10">
        <v>6</v>
      </c>
      <c r="C10" t="str">
        <f t="shared" si="5"/>
        <v>RGBW_T0L_max</v>
      </c>
      <c r="F10" s="7">
        <f>VLOOKUP(A10,RGBW_TBL,B10,FALSE)</f>
        <v>1050</v>
      </c>
      <c r="G10">
        <f>F10/PLL_period</f>
        <v>100.79999999999998</v>
      </c>
      <c r="H10">
        <f t="shared" si="4"/>
        <v>102</v>
      </c>
      <c r="I10">
        <f>H10*PLL_period</f>
        <v>1062.5000000000002</v>
      </c>
    </row>
    <row r="11" spans="1:15" x14ac:dyDescent="0.25">
      <c r="A11" t="s">
        <v>8</v>
      </c>
      <c r="B11">
        <v>6</v>
      </c>
      <c r="C11" t="str">
        <f t="shared" si="5"/>
        <v>RGBW_T1L_max</v>
      </c>
      <c r="F11" s="7">
        <f>VLOOKUP(A11,RGBW_TBL,B11,FALSE)</f>
        <v>750</v>
      </c>
      <c r="G11">
        <f>F11/PLL_period</f>
        <v>71.999999999999986</v>
      </c>
      <c r="H11">
        <f t="shared" si="4"/>
        <v>74</v>
      </c>
      <c r="I11">
        <f>H11*PLL_period</f>
        <v>770.83333333333337</v>
      </c>
    </row>
    <row r="14" spans="1:15" x14ac:dyDescent="0.25">
      <c r="A14" t="s">
        <v>39</v>
      </c>
      <c r="B14">
        <v>5</v>
      </c>
      <c r="C14" t="str">
        <f>"RGBW_"&amp;A14</f>
        <v>RGBW_Trst</v>
      </c>
      <c r="F14" s="10">
        <f>VLOOKUP(A14,RGBW_TBL,B14,FALSE)</f>
        <v>80000</v>
      </c>
      <c r="G14">
        <f>F14/PLL_period</f>
        <v>7679.9999999999991</v>
      </c>
      <c r="H14">
        <f>TRUNC(G14+0.99999999999999)</f>
        <v>7681</v>
      </c>
      <c r="I14">
        <f>H14*PLL_period</f>
        <v>80010.416666666672</v>
      </c>
      <c r="M14" t="str">
        <f>"    localparam "&amp;C14&amp;" = "&amp;H14&amp;"; // num of clocks to use output - see SK6812RGBW spec"</f>
        <v xml:space="preserve">    localparam RGBW_Trst = 7681; // num of clocks to use output - see SK6812RGBW spec</v>
      </c>
    </row>
    <row r="15" spans="1:15" x14ac:dyDescent="0.25">
      <c r="H15">
        <v>7800</v>
      </c>
      <c r="I15" t="str">
        <f>"0x"&amp;DEC2HEX(H15,4)</f>
        <v>0x1E78</v>
      </c>
      <c r="J15">
        <f>LOG(H15,2)</f>
        <v>12.929258408636972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EF77-5BD2-4418-BC02-609E8FABDBF1}">
  <dimension ref="A1:C18"/>
  <sheetViews>
    <sheetView workbookViewId="0">
      <selection activeCell="S20" sqref="S20"/>
    </sheetView>
  </sheetViews>
  <sheetFormatPr defaultRowHeight="15" x14ac:dyDescent="0.25"/>
  <sheetData>
    <row r="1" spans="1:3" x14ac:dyDescent="0.25">
      <c r="A1" t="s">
        <v>142</v>
      </c>
    </row>
    <row r="6" spans="1:3" x14ac:dyDescent="0.25">
      <c r="B6" t="s">
        <v>141</v>
      </c>
    </row>
    <row r="10" spans="1:3" x14ac:dyDescent="0.25">
      <c r="B10" t="s">
        <v>143</v>
      </c>
    </row>
    <row r="11" spans="1:3" x14ac:dyDescent="0.25">
      <c r="B11" t="s">
        <v>144</v>
      </c>
    </row>
    <row r="12" spans="1:3" x14ac:dyDescent="0.25">
      <c r="B12" t="s">
        <v>145</v>
      </c>
    </row>
    <row r="13" spans="1:3" x14ac:dyDescent="0.25">
      <c r="B13" t="s">
        <v>146</v>
      </c>
    </row>
    <row r="16" spans="1:3" x14ac:dyDescent="0.25">
      <c r="B16">
        <f>1000/120</f>
        <v>8.3333333333333339</v>
      </c>
      <c r="C16" t="s">
        <v>147</v>
      </c>
    </row>
    <row r="17" spans="2:3" x14ac:dyDescent="0.25">
      <c r="B17" s="1">
        <v>33333.333333333336</v>
      </c>
      <c r="C17" t="s">
        <v>148</v>
      </c>
    </row>
    <row r="18" spans="2:3" x14ac:dyDescent="0.25">
      <c r="B18">
        <f>B17/1000*B16</f>
        <v>277.77777777777783</v>
      </c>
      <c r="C18" t="s">
        <v>149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0110-9E2A-4A46-AEC5-9E29DD6CEA00}">
  <dimension ref="C4:Y83"/>
  <sheetViews>
    <sheetView topLeftCell="A30" workbookViewId="0">
      <selection activeCell="L72" sqref="L72"/>
    </sheetView>
  </sheetViews>
  <sheetFormatPr defaultRowHeight="15" x14ac:dyDescent="0.25"/>
  <sheetData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8" spans="3:4" x14ac:dyDescent="0.25">
      <c r="C8" t="s">
        <v>47</v>
      </c>
    </row>
    <row r="10" spans="3:4" x14ac:dyDescent="0.25">
      <c r="C10" s="5" t="s">
        <v>48</v>
      </c>
    </row>
    <row r="13" spans="3:4" x14ac:dyDescent="0.25">
      <c r="C13">
        <v>250</v>
      </c>
      <c r="D13" t="s">
        <v>49</v>
      </c>
    </row>
    <row r="14" spans="3:4" x14ac:dyDescent="0.25">
      <c r="C14">
        <v>625</v>
      </c>
      <c r="D14" t="s">
        <v>50</v>
      </c>
    </row>
    <row r="15" spans="3:4" x14ac:dyDescent="0.25">
      <c r="C15">
        <v>375</v>
      </c>
      <c r="D15" t="s">
        <v>51</v>
      </c>
    </row>
    <row r="16" spans="3:4" x14ac:dyDescent="0.25">
      <c r="C16">
        <f>SUM(C13:C15)</f>
        <v>1250</v>
      </c>
    </row>
    <row r="19" spans="3:25" x14ac:dyDescent="0.25">
      <c r="D19" t="s">
        <v>52</v>
      </c>
    </row>
    <row r="20" spans="3:25" x14ac:dyDescent="0.25">
      <c r="C20">
        <f>T_1</f>
        <v>250</v>
      </c>
    </row>
    <row r="21" spans="3:25" x14ac:dyDescent="0.25">
      <c r="C21">
        <f>T_1+T_2</f>
        <v>875</v>
      </c>
      <c r="D21">
        <f t="shared" ref="D21:D28" si="0">C21-C20</f>
        <v>625</v>
      </c>
    </row>
    <row r="22" spans="3:25" x14ac:dyDescent="0.25">
      <c r="C22">
        <f>T_1+T_2+T_3</f>
        <v>1250</v>
      </c>
      <c r="D22">
        <f t="shared" si="0"/>
        <v>375</v>
      </c>
    </row>
    <row r="23" spans="3:25" x14ac:dyDescent="0.25">
      <c r="C23">
        <f>C22+T_1</f>
        <v>1500</v>
      </c>
      <c r="D23" s="6">
        <f t="shared" si="0"/>
        <v>250</v>
      </c>
      <c r="E23" s="6"/>
    </row>
    <row r="24" spans="3:25" x14ac:dyDescent="0.25">
      <c r="C24">
        <f>C23+T_2</f>
        <v>2125</v>
      </c>
      <c r="D24" s="6">
        <f t="shared" si="0"/>
        <v>625</v>
      </c>
      <c r="E24" s="6">
        <f>D23+D24</f>
        <v>875</v>
      </c>
    </row>
    <row r="25" spans="3:25" x14ac:dyDescent="0.25">
      <c r="C25">
        <f>C24+T_3</f>
        <v>2500</v>
      </c>
      <c r="D25">
        <f t="shared" si="0"/>
        <v>375</v>
      </c>
    </row>
    <row r="26" spans="3:25" x14ac:dyDescent="0.25">
      <c r="C26">
        <f>C25+T_1</f>
        <v>2750</v>
      </c>
      <c r="D26" s="6">
        <f t="shared" si="0"/>
        <v>250</v>
      </c>
      <c r="E26" s="6"/>
    </row>
    <row r="27" spans="3:25" x14ac:dyDescent="0.25">
      <c r="C27">
        <f>C26+T_2</f>
        <v>3375</v>
      </c>
      <c r="D27" s="6">
        <f t="shared" si="0"/>
        <v>625</v>
      </c>
      <c r="E27" s="6">
        <f>D26+D27</f>
        <v>875</v>
      </c>
    </row>
    <row r="28" spans="3:25" x14ac:dyDescent="0.25">
      <c r="C28">
        <f>C27+T_3</f>
        <v>3750</v>
      </c>
      <c r="D28">
        <f t="shared" si="0"/>
        <v>375</v>
      </c>
    </row>
    <row r="30" spans="3:25" x14ac:dyDescent="0.25">
      <c r="C30" s="5" t="s">
        <v>53</v>
      </c>
      <c r="L30" t="s">
        <v>73</v>
      </c>
    </row>
    <row r="31" spans="3:25" x14ac:dyDescent="0.25">
      <c r="C31" t="s">
        <v>54</v>
      </c>
    </row>
    <row r="32" spans="3:25" x14ac:dyDescent="0.25">
      <c r="C32" t="s">
        <v>55</v>
      </c>
      <c r="Y32">
        <f>80*POWER(10,6)</f>
        <v>80000000</v>
      </c>
    </row>
    <row r="33" spans="3:25" x14ac:dyDescent="0.25">
      <c r="C33" t="s">
        <v>56</v>
      </c>
      <c r="L33" s="5" t="s">
        <v>74</v>
      </c>
      <c r="Y33" s="2">
        <f>Y32/1000000000</f>
        <v>0.08</v>
      </c>
    </row>
    <row r="34" spans="3:25" x14ac:dyDescent="0.25">
      <c r="C34" t="s">
        <v>57</v>
      </c>
      <c r="L34" t="s">
        <v>75</v>
      </c>
      <c r="Y34">
        <f>TRUNC(Y$29*350)</f>
        <v>0</v>
      </c>
    </row>
    <row r="35" spans="3:25" x14ac:dyDescent="0.25">
      <c r="C35" t="s">
        <v>58</v>
      </c>
      <c r="L35" t="s">
        <v>76</v>
      </c>
      <c r="Y35">
        <f>TRUNC(Y$29*1000)</f>
        <v>0</v>
      </c>
    </row>
    <row r="36" spans="3:25" x14ac:dyDescent="0.25">
      <c r="C36" t="s">
        <v>59</v>
      </c>
      <c r="Y36">
        <f>TRUNC(Y$29*1000)</f>
        <v>0</v>
      </c>
    </row>
    <row r="37" spans="3:25" x14ac:dyDescent="0.25">
      <c r="C37" t="s">
        <v>60</v>
      </c>
      <c r="L37" t="s">
        <v>77</v>
      </c>
      <c r="Y37">
        <f>TRUNC(Y$29*350)</f>
        <v>0</v>
      </c>
    </row>
    <row r="38" spans="3:25" x14ac:dyDescent="0.25">
      <c r="C38" t="s">
        <v>61</v>
      </c>
      <c r="L38" t="s">
        <v>78</v>
      </c>
    </row>
    <row r="39" spans="3:25" x14ac:dyDescent="0.25">
      <c r="L39" t="s">
        <v>79</v>
      </c>
    </row>
    <row r="40" spans="3:25" x14ac:dyDescent="0.25">
      <c r="C40" t="s">
        <v>62</v>
      </c>
      <c r="L40" t="s">
        <v>80</v>
      </c>
    </row>
    <row r="41" spans="3:25" x14ac:dyDescent="0.25">
      <c r="C41" t="s">
        <v>63</v>
      </c>
      <c r="L41" t="s">
        <v>81</v>
      </c>
    </row>
    <row r="42" spans="3:25" x14ac:dyDescent="0.25">
      <c r="C42" t="s">
        <v>64</v>
      </c>
      <c r="L42" t="s">
        <v>82</v>
      </c>
    </row>
    <row r="43" spans="3:25" x14ac:dyDescent="0.25">
      <c r="C43" t="s">
        <v>65</v>
      </c>
      <c r="L43" t="s">
        <v>83</v>
      </c>
    </row>
    <row r="44" spans="3:25" x14ac:dyDescent="0.25">
      <c r="C44" t="s">
        <v>66</v>
      </c>
      <c r="L44" t="s">
        <v>84</v>
      </c>
    </row>
    <row r="45" spans="3:25" x14ac:dyDescent="0.25">
      <c r="C45" t="s">
        <v>67</v>
      </c>
      <c r="L45" t="s">
        <v>85</v>
      </c>
    </row>
    <row r="48" spans="3:25" x14ac:dyDescent="0.25">
      <c r="L48" t="s">
        <v>86</v>
      </c>
    </row>
    <row r="49" spans="3:12" x14ac:dyDescent="0.25">
      <c r="C49" t="s">
        <v>116</v>
      </c>
      <c r="D49" t="s">
        <v>68</v>
      </c>
      <c r="E49" t="s">
        <v>69</v>
      </c>
      <c r="L49" t="s">
        <v>87</v>
      </c>
    </row>
    <row r="50" spans="3:12" x14ac:dyDescent="0.25">
      <c r="C50" t="s">
        <v>70</v>
      </c>
      <c r="D50">
        <f>T_1+T_2</f>
        <v>875</v>
      </c>
      <c r="E50">
        <f>T_1</f>
        <v>250</v>
      </c>
      <c r="L50" t="s">
        <v>88</v>
      </c>
    </row>
    <row r="51" spans="3:12" x14ac:dyDescent="0.25">
      <c r="C51" t="s">
        <v>71</v>
      </c>
      <c r="D51">
        <f>T_3</f>
        <v>375</v>
      </c>
      <c r="E51">
        <f>T_2+T_3</f>
        <v>1000</v>
      </c>
      <c r="L51" t="s">
        <v>89</v>
      </c>
    </row>
    <row r="52" spans="3:12" x14ac:dyDescent="0.25">
      <c r="C52" t="s">
        <v>72</v>
      </c>
      <c r="D52">
        <f>D50+D51</f>
        <v>1250</v>
      </c>
      <c r="E52">
        <f>E50+E51</f>
        <v>1250</v>
      </c>
      <c r="L52" t="s">
        <v>90</v>
      </c>
    </row>
    <row r="53" spans="3:12" x14ac:dyDescent="0.25">
      <c r="L53" t="s">
        <v>91</v>
      </c>
    </row>
    <row r="54" spans="3:12" x14ac:dyDescent="0.25">
      <c r="L54" t="s">
        <v>92</v>
      </c>
    </row>
    <row r="55" spans="3:12" x14ac:dyDescent="0.25">
      <c r="L55" t="s">
        <v>93</v>
      </c>
    </row>
    <row r="56" spans="3:12" x14ac:dyDescent="0.25">
      <c r="L56" t="s">
        <v>94</v>
      </c>
    </row>
    <row r="57" spans="3:12" x14ac:dyDescent="0.25">
      <c r="L57" t="s">
        <v>85</v>
      </c>
    </row>
    <row r="59" spans="3:12" x14ac:dyDescent="0.25">
      <c r="L59" t="s">
        <v>95</v>
      </c>
    </row>
    <row r="60" spans="3:12" x14ac:dyDescent="0.25">
      <c r="L60" t="s">
        <v>96</v>
      </c>
    </row>
    <row r="62" spans="3:12" x14ac:dyDescent="0.25">
      <c r="L62" t="s">
        <v>97</v>
      </c>
    </row>
    <row r="63" spans="3:12" x14ac:dyDescent="0.25">
      <c r="L63" t="s">
        <v>98</v>
      </c>
    </row>
    <row r="64" spans="3:12" x14ac:dyDescent="0.25">
      <c r="L64" t="s">
        <v>99</v>
      </c>
    </row>
    <row r="65" spans="12:18" x14ac:dyDescent="0.25">
      <c r="L65" t="s">
        <v>100</v>
      </c>
    </row>
    <row r="66" spans="12:18" x14ac:dyDescent="0.25">
      <c r="L66" t="s">
        <v>101</v>
      </c>
    </row>
    <row r="67" spans="12:18" x14ac:dyDescent="0.25">
      <c r="L67" t="s">
        <v>102</v>
      </c>
    </row>
    <row r="69" spans="12:18" x14ac:dyDescent="0.25">
      <c r="L69" t="s">
        <v>103</v>
      </c>
    </row>
    <row r="70" spans="12:18" x14ac:dyDescent="0.25">
      <c r="L70" t="s">
        <v>104</v>
      </c>
    </row>
    <row r="71" spans="12:18" x14ac:dyDescent="0.25">
      <c r="L71" t="s">
        <v>105</v>
      </c>
    </row>
    <row r="72" spans="12:18" x14ac:dyDescent="0.25">
      <c r="L72" s="6" t="s">
        <v>106</v>
      </c>
      <c r="R72" s="5" t="s">
        <v>107</v>
      </c>
    </row>
    <row r="74" spans="12:18" x14ac:dyDescent="0.25">
      <c r="L74">
        <f>240*POWER(10,6)</f>
        <v>240000000</v>
      </c>
      <c r="M74" t="s">
        <v>108</v>
      </c>
    </row>
    <row r="75" spans="12:18" x14ac:dyDescent="0.25">
      <c r="L75">
        <v>2</v>
      </c>
      <c r="M75" t="s">
        <v>109</v>
      </c>
    </row>
    <row r="76" spans="12:18" x14ac:dyDescent="0.25">
      <c r="L76">
        <f>80*POWER(10,6)</f>
        <v>80000000</v>
      </c>
      <c r="M76" t="s">
        <v>110</v>
      </c>
    </row>
    <row r="77" spans="12:18" x14ac:dyDescent="0.25">
      <c r="L77">
        <f>L76/L75</f>
        <v>40000000</v>
      </c>
      <c r="M77" t="s">
        <v>111</v>
      </c>
    </row>
    <row r="78" spans="12:18" x14ac:dyDescent="0.25">
      <c r="L78">
        <f>L74/L77</f>
        <v>6</v>
      </c>
      <c r="M78" t="s">
        <v>112</v>
      </c>
    </row>
    <row r="80" spans="12:18" x14ac:dyDescent="0.25">
      <c r="L80">
        <f>1*POWER(10,9)/L77</f>
        <v>25</v>
      </c>
      <c r="M80" t="s">
        <v>113</v>
      </c>
    </row>
    <row r="82" spans="12:14" x14ac:dyDescent="0.25">
      <c r="L82" s="7">
        <f>M82/L78</f>
        <v>0</v>
      </c>
      <c r="M82" s="8"/>
      <c r="N82" s="7" t="s">
        <v>114</v>
      </c>
    </row>
    <row r="83" spans="12:14" x14ac:dyDescent="0.25">
      <c r="L83" s="7">
        <f>M83/L80</f>
        <v>0</v>
      </c>
      <c r="M83" s="8"/>
      <c r="N83" s="7" t="s">
        <v>115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83E1-0EDC-4F47-92CE-BC961A0B70CE}">
  <dimension ref="A1:J16"/>
  <sheetViews>
    <sheetView workbookViewId="0">
      <selection activeCell="I44" sqref="I44"/>
    </sheetView>
  </sheetViews>
  <sheetFormatPr defaultRowHeight="15" x14ac:dyDescent="0.25"/>
  <sheetData>
    <row r="1" spans="1:10" x14ac:dyDescent="0.25">
      <c r="A1" t="s">
        <v>132</v>
      </c>
    </row>
    <row r="2" spans="1:10" x14ac:dyDescent="0.25">
      <c r="A2" s="9" t="s">
        <v>132</v>
      </c>
      <c r="D2" t="s">
        <v>133</v>
      </c>
    </row>
    <row r="3" spans="1:10" x14ac:dyDescent="0.25">
      <c r="D3" t="s">
        <v>134</v>
      </c>
      <c r="J3" t="s">
        <v>135</v>
      </c>
    </row>
    <row r="4" spans="1:10" x14ac:dyDescent="0.25">
      <c r="D4" t="s">
        <v>136</v>
      </c>
    </row>
    <row r="6" spans="1:10" x14ac:dyDescent="0.25">
      <c r="B6" t="s">
        <v>121</v>
      </c>
    </row>
    <row r="7" spans="1:10" x14ac:dyDescent="0.25">
      <c r="B7" t="s">
        <v>122</v>
      </c>
    </row>
    <row r="8" spans="1:10" x14ac:dyDescent="0.25">
      <c r="B8" t="s">
        <v>123</v>
      </c>
    </row>
    <row r="9" spans="1:10" x14ac:dyDescent="0.25">
      <c r="B9" t="s">
        <v>124</v>
      </c>
    </row>
    <row r="10" spans="1:10" x14ac:dyDescent="0.25">
      <c r="B10" t="s">
        <v>125</v>
      </c>
    </row>
    <row r="11" spans="1:10" x14ac:dyDescent="0.25">
      <c r="B11" t="s">
        <v>126</v>
      </c>
    </row>
    <row r="12" spans="1:10" x14ac:dyDescent="0.25">
      <c r="B12" t="s">
        <v>127</v>
      </c>
    </row>
    <row r="13" spans="1:10" x14ac:dyDescent="0.25">
      <c r="B13" t="s">
        <v>128</v>
      </c>
    </row>
    <row r="14" spans="1:10" x14ac:dyDescent="0.25">
      <c r="B14" t="s">
        <v>129</v>
      </c>
    </row>
    <row r="15" spans="1:10" x14ac:dyDescent="0.25">
      <c r="B15" t="s">
        <v>130</v>
      </c>
    </row>
    <row r="16" spans="1:10" x14ac:dyDescent="0.25">
      <c r="B16" t="s">
        <v>131</v>
      </c>
    </row>
  </sheetData>
  <hyperlinks>
    <hyperlink ref="A2" r:id="rId1" display="https://www.newark.com/55AJ2586?CMP=e-email-sys-invoice-NA-Product" xr:uid="{85FF70F7-0A56-4B65-AB8C-4DE2C1C9D7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RGB</vt:lpstr>
      <vt:lpstr>RGBW</vt:lpstr>
      <vt:lpstr>RGB calcs</vt:lpstr>
      <vt:lpstr>RGBW calcs</vt:lpstr>
      <vt:lpstr>DemoReel100.ino</vt:lpstr>
      <vt:lpstr>FastLED</vt:lpstr>
      <vt:lpstr>iCE40_UP</vt:lpstr>
      <vt:lpstr>SampleTime</vt:lpstr>
      <vt:lpstr>ESP32_RGB</vt:lpstr>
      <vt:lpstr>ESP32_RGB_bit_rate</vt:lpstr>
      <vt:lpstr>FPGA_bit_rate</vt:lpstr>
      <vt:lpstr>FPGA_RGBW</vt:lpstr>
      <vt:lpstr>inp_guardrail</vt:lpstr>
      <vt:lpstr>PLL_clockrate</vt:lpstr>
      <vt:lpstr>PLL_period</vt:lpstr>
      <vt:lpstr>RBG_bit_rate_fastest</vt:lpstr>
      <vt:lpstr>RGB_0_code_max</vt:lpstr>
      <vt:lpstr>RGB_0_code_min</vt:lpstr>
      <vt:lpstr>RGB_1_code_max</vt:lpstr>
      <vt:lpstr>RGB_1_code_min</vt:lpstr>
      <vt:lpstr>RGB_bit_rate_slowest</vt:lpstr>
      <vt:lpstr>RGB_fastest</vt:lpstr>
      <vt:lpstr>RGB_rst</vt:lpstr>
      <vt:lpstr>RGB_slowest</vt:lpstr>
      <vt:lpstr>RGBW_bit_rate_fastest</vt:lpstr>
      <vt:lpstr>RGBW_bit_rate_slowest</vt:lpstr>
      <vt:lpstr>RGBW_fastest</vt:lpstr>
      <vt:lpstr>RGBW_rst</vt:lpstr>
      <vt:lpstr>RGBW_slowest</vt:lpstr>
      <vt:lpstr>RGBW_T0H_max</vt:lpstr>
      <vt:lpstr>RGBW_T0H_min</vt:lpstr>
      <vt:lpstr>RGBW_T0L_max</vt:lpstr>
      <vt:lpstr>RGBW_T0L_min</vt:lpstr>
      <vt:lpstr>RGBW_T1H_max</vt:lpstr>
      <vt:lpstr>RGBW_T1H_min</vt:lpstr>
      <vt:lpstr>RGBW_T1L_max</vt:lpstr>
      <vt:lpstr>RGBW_T1L_min</vt:lpstr>
      <vt:lpstr>RGBW_TBL</vt:lpstr>
      <vt:lpstr>RGBW_Trst</vt:lpstr>
      <vt:lpstr>T_1</vt:lpstr>
      <vt:lpstr>T_2</vt:lpstr>
      <vt:lpstr>T_3</vt:lpstr>
      <vt:lpstr>T0H_max</vt:lpstr>
      <vt:lpstr>T0H_min</vt:lpstr>
      <vt:lpstr>T0L_max</vt:lpstr>
      <vt:lpstr>T0L_min</vt:lpstr>
      <vt:lpstr>T1H_max</vt:lpstr>
      <vt:lpstr>T1H_min</vt:lpstr>
      <vt:lpstr>T1L_max</vt:lpstr>
      <vt:lpstr>T1L_min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2022-08-27T00:43:13Z</dcterms:created>
  <dcterms:modified xsi:type="dcterms:W3CDTF">2022-08-27T00:44:18Z</dcterms:modified>
</cp:coreProperties>
</file>