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Backup\Data\Bruker Icon AFM\"/>
    </mc:Choice>
  </mc:AlternateContent>
  <xr:revisionPtr revIDLastSave="0" documentId="13_ncr:1_{BD91D10E-5044-4794-B728-2B4240F6F617}" xr6:coauthVersionLast="36" xr6:coauthVersionMax="36" xr10:uidLastSave="{00000000-0000-0000-0000-000000000000}"/>
  <bookViews>
    <workbookView xWindow="-24825" yWindow="-9735" windowWidth="20715" windowHeight="13425" activeTab="1" xr2:uid="{00000000-000D-0000-FFFF-FFFF00000000}"/>
  </bookViews>
  <sheets>
    <sheet name="Platinum probe" sheetId="1" r:id="rId1"/>
    <sheet name="SiOx sampl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2" l="1"/>
  <c r="H7" i="2"/>
  <c r="B23" i="2"/>
  <c r="D24" i="2"/>
  <c r="D22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28" i="2"/>
  <c r="D28" i="2"/>
  <c r="B21" i="2"/>
  <c r="B22" i="2"/>
  <c r="B24" i="2"/>
  <c r="C6" i="2"/>
  <c r="C10" i="1"/>
  <c r="H7" i="1"/>
  <c r="H6" i="1"/>
  <c r="H8" i="1"/>
  <c r="C11" i="1"/>
  <c r="C10" i="2"/>
  <c r="H6" i="2"/>
  <c r="C2" i="2"/>
  <c r="C4" i="2"/>
  <c r="C5" i="2"/>
  <c r="C7" i="2"/>
  <c r="H8" i="2"/>
  <c r="C11" i="2"/>
  <c r="C13" i="2"/>
  <c r="H11" i="2"/>
  <c r="H12" i="2"/>
  <c r="C2" i="1"/>
  <c r="H11" i="1"/>
  <c r="H12" i="1"/>
  <c r="C5" i="1"/>
  <c r="C7" i="1"/>
  <c r="C13" i="1"/>
</calcChain>
</file>

<file path=xl/sharedStrings.xml><?xml version="1.0" encoding="utf-8"?>
<sst xmlns="http://schemas.openxmlformats.org/spreadsheetml/2006/main" count="110" uniqueCount="57">
  <si>
    <t>Q</t>
  </si>
  <si>
    <t>T</t>
  </si>
  <si>
    <t>I</t>
  </si>
  <si>
    <t>V</t>
  </si>
  <si>
    <t>kg/m3</t>
  </si>
  <si>
    <t>m3</t>
  </si>
  <si>
    <t>kg</t>
  </si>
  <si>
    <t>J/kg</t>
  </si>
  <si>
    <t>A</t>
  </si>
  <si>
    <t>m</t>
  </si>
  <si>
    <t>p</t>
  </si>
  <si>
    <t>c</t>
  </si>
  <si>
    <t>t</t>
  </si>
  <si>
    <t>P</t>
  </si>
  <si>
    <t>W</t>
  </si>
  <si>
    <t>s</t>
  </si>
  <si>
    <t>Electrical</t>
  </si>
  <si>
    <t>Physical</t>
  </si>
  <si>
    <t>K</t>
  </si>
  <si>
    <t>J</t>
  </si>
  <si>
    <t>R</t>
  </si>
  <si>
    <t>Ohm</t>
  </si>
  <si>
    <t>Current</t>
  </si>
  <si>
    <t>Voltage</t>
  </si>
  <si>
    <t>Resistance</t>
  </si>
  <si>
    <t>Power</t>
  </si>
  <si>
    <t>Duration</t>
  </si>
  <si>
    <t>Work</t>
  </si>
  <si>
    <t>Specific heat capacity</t>
  </si>
  <si>
    <t>Density</t>
  </si>
  <si>
    <t>Mass</t>
  </si>
  <si>
    <t>Volume of a wire probe</t>
  </si>
  <si>
    <t>Radius</t>
  </si>
  <si>
    <t>Length</t>
  </si>
  <si>
    <t>Volume</t>
  </si>
  <si>
    <t>Volume of a contact sphere</t>
  </si>
  <si>
    <t>nm</t>
  </si>
  <si>
    <t>Temperature change</t>
  </si>
  <si>
    <t>Estimated from glass</t>
  </si>
  <si>
    <t>Volume of a contact region</t>
  </si>
  <si>
    <t>Depth</t>
  </si>
  <si>
    <t>Platinum melting point is 1786 C</t>
  </si>
  <si>
    <t>Temperature of apex could increase greatly with constant current flowing, but heat should be dissipated into cantilever/wire.</t>
  </si>
  <si>
    <t>Consider air gap/water meniscus?</t>
  </si>
  <si>
    <t>Temperature could be sufficient to drive off water.</t>
  </si>
  <si>
    <t>Also, bottom electrode and probe should sink some heat.</t>
  </si>
  <si>
    <t>SiO2 melting point 1710 C</t>
  </si>
  <si>
    <t>Pass</t>
  </si>
  <si>
    <t>'C-AFM_Current(V'</t>
  </si>
  <si>
    <t>k</t>
  </si>
  <si>
    <t>Adj</t>
  </si>
  <si>
    <t>?</t>
  </si>
  <si>
    <t>dW</t>
  </si>
  <si>
    <t>qe</t>
  </si>
  <si>
    <t>E0</t>
  </si>
  <si>
    <t>F</t>
  </si>
  <si>
    <t>Test Schottky emision model with 17Jun19 data spot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</si>
</sst>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trendline>
            <c:trendlineType val="log"/>
            <c:dispRSqr val="0"/>
            <c:dispEq val="0"/>
          </c:trendline>
          <c:xVal>
            <c:numRef>
              <c:f>'SiOx sample'!$A$29:$A$44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'SiOx sample'!$C$29:$C$44</c:f>
              <c:numCache>
                <c:formatCode>General</c:formatCode>
                <c:ptCount val="16"/>
                <c:pt idx="0">
                  <c:v>1.80392792342337E-3</c:v>
                </c:pt>
                <c:pt idx="1">
                  <c:v>4.5459180844709002E-3</c:v>
                </c:pt>
                <c:pt idx="2">
                  <c:v>6.5741062922093901E-3</c:v>
                </c:pt>
                <c:pt idx="3">
                  <c:v>8.6613282359302001E-3</c:v>
                </c:pt>
                <c:pt idx="4">
                  <c:v>1.01439586227216E-2</c:v>
                </c:pt>
                <c:pt idx="5">
                  <c:v>1.21142252140851E-2</c:v>
                </c:pt>
                <c:pt idx="6">
                  <c:v>1.39718087090577E-2</c:v>
                </c:pt>
                <c:pt idx="7">
                  <c:v>1.50364355202556E-2</c:v>
                </c:pt>
                <c:pt idx="8">
                  <c:v>1.64777249113871E-2</c:v>
                </c:pt>
                <c:pt idx="9">
                  <c:v>1.5677457660518802E-2</c:v>
                </c:pt>
                <c:pt idx="10">
                  <c:v>1.4945654898622899E-2</c:v>
                </c:pt>
                <c:pt idx="11">
                  <c:v>1.42238948011088E-2</c:v>
                </c:pt>
                <c:pt idx="12">
                  <c:v>1.9482317808400401E-2</c:v>
                </c:pt>
                <c:pt idx="13">
                  <c:v>2.23272143449267E-2</c:v>
                </c:pt>
                <c:pt idx="14">
                  <c:v>2.1285522301327998E-2</c:v>
                </c:pt>
                <c:pt idx="15">
                  <c:v>2.2401291496450201E-2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4-4CDC-8F55-8AF20080B278}"/>
            </c:ext>
          </c:extLst>
        </c:ser>
        <c:ser>
          <c:idx val="1"/>
          <c:order val="1"/>
          <c:tx>
            <c:v>Model</c:v>
          </c:tx>
          <c:spPr>
            <a:ln w="317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'SiOx sample'!$A$29:$A$44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'SiOx sample'!$D$29:$D$44</c:f>
              <c:numCache>
                <c:formatCode>General</c:formatCode>
                <c:ptCount val="16"/>
                <c:pt idx="0">
                  <c:v>2.5046080937073912E-52</c:v>
                </c:pt>
                <c:pt idx="1">
                  <c:v>1.3998679463941866E-45</c:v>
                </c:pt>
                <c:pt idx="2">
                  <c:v>3.5779630091621497E-40</c:v>
                </c:pt>
                <c:pt idx="3">
                  <c:v>9.6806253583928806E-36</c:v>
                </c:pt>
                <c:pt idx="4">
                  <c:v>4.8534329262959527E-32</c:v>
                </c:pt>
                <c:pt idx="5">
                  <c:v>6.645318779968446E-29</c:v>
                </c:pt>
                <c:pt idx="6">
                  <c:v>3.2786352730038781E-26</c:v>
                </c:pt>
                <c:pt idx="7">
                  <c:v>7.1436431495456034E-24</c:v>
                </c:pt>
                <c:pt idx="8">
                  <c:v>8.0073695555350277E-22</c:v>
                </c:pt>
                <c:pt idx="9">
                  <c:v>5.1895478490205208E-20</c:v>
                </c:pt>
                <c:pt idx="10">
                  <c:v>2.1296882744470293E-18</c:v>
                </c:pt>
                <c:pt idx="11">
                  <c:v>5.9461312815301535E-17</c:v>
                </c:pt>
                <c:pt idx="12">
                  <c:v>1.19632153021872E-15</c:v>
                </c:pt>
                <c:pt idx="13">
                  <c:v>1.8170907435810158E-14</c:v>
                </c:pt>
                <c:pt idx="14">
                  <c:v>2.1645837182844543E-13</c:v>
                </c:pt>
                <c:pt idx="15">
                  <c:v>2.0870089223544839E-12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34-4CDC-8F55-8AF20080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229480"/>
        <c:axId val="2139748472"/>
      </c:scatterChart>
      <c:valAx>
        <c:axId val="202822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748472"/>
        <c:crosses val="autoZero"/>
        <c:crossBetween val="midCat"/>
      </c:valAx>
      <c:valAx>
        <c:axId val="213974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229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15</xdr:row>
      <xdr:rowOff>57150</xdr:rowOff>
    </xdr:from>
    <xdr:to>
      <xdr:col>15</xdr:col>
      <xdr:colOff>558800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C6" sqref="C6"/>
    </sheetView>
  </sheetViews>
  <sheetFormatPr defaultColWidth="8.85546875" defaultRowHeight="15" x14ac:dyDescent="0.25"/>
  <cols>
    <col min="1" max="1" width="17.7109375" bestFit="1" customWidth="1"/>
    <col min="3" max="3" width="12.140625" bestFit="1" customWidth="1"/>
    <col min="8" max="8" width="11.7109375" bestFit="1" customWidth="1"/>
  </cols>
  <sheetData>
    <row r="1" spans="1:9" x14ac:dyDescent="0.25">
      <c r="B1" t="s">
        <v>16</v>
      </c>
    </row>
    <row r="2" spans="1:9" x14ac:dyDescent="0.25">
      <c r="A2" t="s">
        <v>22</v>
      </c>
      <c r="B2" t="s">
        <v>2</v>
      </c>
      <c r="C2">
        <f>1*(10^-9)</f>
        <v>1.0000000000000001E-9</v>
      </c>
      <c r="D2" t="s">
        <v>8</v>
      </c>
    </row>
    <row r="3" spans="1:9" x14ac:dyDescent="0.25">
      <c r="A3" t="s">
        <v>23</v>
      </c>
      <c r="B3" t="s">
        <v>3</v>
      </c>
      <c r="C3">
        <v>7</v>
      </c>
      <c r="D3" t="s">
        <v>3</v>
      </c>
    </row>
    <row r="4" spans="1:9" x14ac:dyDescent="0.25">
      <c r="A4" t="s">
        <v>24</v>
      </c>
      <c r="B4" t="s">
        <v>20</v>
      </c>
      <c r="C4">
        <v>2500</v>
      </c>
      <c r="D4" t="s">
        <v>21</v>
      </c>
    </row>
    <row r="5" spans="1:9" x14ac:dyDescent="0.25">
      <c r="A5" t="s">
        <v>25</v>
      </c>
      <c r="B5" t="s">
        <v>13</v>
      </c>
      <c r="C5">
        <f>(C2^2)*C4</f>
        <v>2.5E-15</v>
      </c>
      <c r="D5" t="s">
        <v>14</v>
      </c>
      <c r="G5" t="s">
        <v>31</v>
      </c>
    </row>
    <row r="6" spans="1:9" x14ac:dyDescent="0.25">
      <c r="A6" t="s">
        <v>26</v>
      </c>
      <c r="B6" t="s">
        <v>12</v>
      </c>
      <c r="C6">
        <v>10</v>
      </c>
      <c r="D6" t="s">
        <v>15</v>
      </c>
      <c r="G6" t="s">
        <v>32</v>
      </c>
      <c r="H6">
        <f>5*(10^-6)</f>
        <v>4.9999999999999996E-6</v>
      </c>
      <c r="I6" t="s">
        <v>9</v>
      </c>
    </row>
    <row r="7" spans="1:9" x14ac:dyDescent="0.25">
      <c r="A7" t="s">
        <v>27</v>
      </c>
      <c r="B7" t="s">
        <v>0</v>
      </c>
      <c r="C7">
        <f>C5*C6</f>
        <v>2.5000000000000001E-14</v>
      </c>
      <c r="D7" t="s">
        <v>19</v>
      </c>
      <c r="G7" t="s">
        <v>33</v>
      </c>
      <c r="H7">
        <f>150*(10^-6)</f>
        <v>1.4999999999999999E-4</v>
      </c>
      <c r="I7" t="s">
        <v>9</v>
      </c>
    </row>
    <row r="8" spans="1:9" x14ac:dyDescent="0.25">
      <c r="B8" t="s">
        <v>17</v>
      </c>
      <c r="G8" t="s">
        <v>34</v>
      </c>
      <c r="H8">
        <f>PI()*H7*(H6^2)</f>
        <v>1.1780972450961721E-14</v>
      </c>
      <c r="I8" t="s">
        <v>5</v>
      </c>
    </row>
    <row r="9" spans="1:9" x14ac:dyDescent="0.25">
      <c r="A9" t="s">
        <v>28</v>
      </c>
      <c r="B9" t="s">
        <v>11</v>
      </c>
      <c r="C9">
        <v>125.604</v>
      </c>
      <c r="D9" t="s">
        <v>7</v>
      </c>
    </row>
    <row r="10" spans="1:9" x14ac:dyDescent="0.25">
      <c r="A10" t="s">
        <v>29</v>
      </c>
      <c r="B10" t="s">
        <v>10</v>
      </c>
      <c r="C10">
        <f>21.45*(10^6)/1000</f>
        <v>21450</v>
      </c>
      <c r="D10" t="s">
        <v>4</v>
      </c>
      <c r="G10" t="s">
        <v>35</v>
      </c>
    </row>
    <row r="11" spans="1:9" x14ac:dyDescent="0.25">
      <c r="A11" t="s">
        <v>30</v>
      </c>
      <c r="B11" t="s">
        <v>9</v>
      </c>
      <c r="C11">
        <f>C10*H8</f>
        <v>2.527018590731289E-10</v>
      </c>
      <c r="D11" t="s">
        <v>6</v>
      </c>
      <c r="G11" t="s">
        <v>32</v>
      </c>
      <c r="H11">
        <f>10*(10^-9)</f>
        <v>1E-8</v>
      </c>
      <c r="I11" t="s">
        <v>36</v>
      </c>
    </row>
    <row r="12" spans="1:9" x14ac:dyDescent="0.25">
      <c r="G12" t="s">
        <v>34</v>
      </c>
      <c r="H12">
        <f>(4/3)*PI()*(H11^3)</f>
        <v>4.1887902047863912E-24</v>
      </c>
      <c r="I12" t="s">
        <v>5</v>
      </c>
    </row>
    <row r="13" spans="1:9" x14ac:dyDescent="0.25">
      <c r="A13" t="s">
        <v>37</v>
      </c>
      <c r="B13" t="s">
        <v>1</v>
      </c>
      <c r="C13">
        <f>C7/(C11*C9)</f>
        <v>7.8764061301179687E-7</v>
      </c>
      <c r="D13" t="s">
        <v>18</v>
      </c>
    </row>
    <row r="14" spans="1:9" x14ac:dyDescent="0.25">
      <c r="A14" t="s">
        <v>41</v>
      </c>
    </row>
    <row r="15" spans="1:9" x14ac:dyDescent="0.25">
      <c r="A15" t="s">
        <v>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tabSelected="1" topLeftCell="A10" workbookViewId="0">
      <selection activeCell="F26" sqref="F26"/>
    </sheetView>
  </sheetViews>
  <sheetFormatPr defaultColWidth="8.85546875" defaultRowHeight="15" x14ac:dyDescent="0.25"/>
  <cols>
    <col min="1" max="1" width="17.7109375" bestFit="1" customWidth="1"/>
    <col min="2" max="4" width="12.140625" bestFit="1" customWidth="1"/>
    <col min="8" max="8" width="12.140625" bestFit="1" customWidth="1"/>
  </cols>
  <sheetData>
    <row r="1" spans="1:9" x14ac:dyDescent="0.25">
      <c r="B1" t="s">
        <v>16</v>
      </c>
    </row>
    <row r="2" spans="1:9" x14ac:dyDescent="0.25">
      <c r="A2" t="s">
        <v>22</v>
      </c>
      <c r="B2" t="s">
        <v>2</v>
      </c>
      <c r="C2">
        <f>0.01*(10^-9)</f>
        <v>1.0000000000000001E-11</v>
      </c>
      <c r="D2" t="s">
        <v>8</v>
      </c>
    </row>
    <row r="3" spans="1:9" x14ac:dyDescent="0.25">
      <c r="A3" t="s">
        <v>23</v>
      </c>
      <c r="B3" t="s">
        <v>3</v>
      </c>
      <c r="C3">
        <v>7.8</v>
      </c>
      <c r="D3" t="s">
        <v>3</v>
      </c>
    </row>
    <row r="4" spans="1:9" x14ac:dyDescent="0.25">
      <c r="A4" t="s">
        <v>24</v>
      </c>
      <c r="B4" t="s">
        <v>20</v>
      </c>
      <c r="C4">
        <f>C3/C2</f>
        <v>779999999999.99988</v>
      </c>
      <c r="D4" t="s">
        <v>21</v>
      </c>
    </row>
    <row r="5" spans="1:9" x14ac:dyDescent="0.25">
      <c r="A5" t="s">
        <v>25</v>
      </c>
      <c r="B5" t="s">
        <v>13</v>
      </c>
      <c r="C5">
        <f>(C2^2)*C4</f>
        <v>7.8000000000000002E-11</v>
      </c>
      <c r="D5" t="s">
        <v>14</v>
      </c>
      <c r="G5" t="s">
        <v>39</v>
      </c>
    </row>
    <row r="6" spans="1:9" x14ac:dyDescent="0.25">
      <c r="A6" t="s">
        <v>26</v>
      </c>
      <c r="B6" t="s">
        <v>12</v>
      </c>
      <c r="C6">
        <f>1/100</f>
        <v>0.01</v>
      </c>
      <c r="D6" t="s">
        <v>15</v>
      </c>
      <c r="G6" t="s">
        <v>32</v>
      </c>
      <c r="H6">
        <f>10*(10^-9)</f>
        <v>1E-8</v>
      </c>
      <c r="I6" t="s">
        <v>9</v>
      </c>
    </row>
    <row r="7" spans="1:9" x14ac:dyDescent="0.25">
      <c r="A7" t="s">
        <v>27</v>
      </c>
      <c r="B7" t="s">
        <v>0</v>
      </c>
      <c r="C7">
        <f>C5*C6</f>
        <v>7.8000000000000001E-13</v>
      </c>
      <c r="D7" t="s">
        <v>19</v>
      </c>
      <c r="G7" t="s">
        <v>40</v>
      </c>
      <c r="H7">
        <f>11*(10^-9)</f>
        <v>1.1000000000000001E-8</v>
      </c>
      <c r="I7" t="s">
        <v>9</v>
      </c>
    </row>
    <row r="8" spans="1:9" x14ac:dyDescent="0.25">
      <c r="B8" t="s">
        <v>17</v>
      </c>
      <c r="G8" t="s">
        <v>34</v>
      </c>
      <c r="H8">
        <f>PI()*H7*(H6^2)</f>
        <v>3.4557519189487735E-24</v>
      </c>
      <c r="I8" t="s">
        <v>5</v>
      </c>
    </row>
    <row r="9" spans="1:9" x14ac:dyDescent="0.25">
      <c r="A9" t="s">
        <v>28</v>
      </c>
      <c r="B9" t="s">
        <v>11</v>
      </c>
      <c r="C9">
        <v>680</v>
      </c>
      <c r="D9" t="s">
        <v>7</v>
      </c>
      <c r="E9" t="s">
        <v>38</v>
      </c>
    </row>
    <row r="10" spans="1:9" x14ac:dyDescent="0.25">
      <c r="A10" t="s">
        <v>29</v>
      </c>
      <c r="B10" t="s">
        <v>10</v>
      </c>
      <c r="C10">
        <f>2.65*(10^6)/1000</f>
        <v>2650</v>
      </c>
      <c r="D10" t="s">
        <v>4</v>
      </c>
      <c r="G10" t="s">
        <v>35</v>
      </c>
    </row>
    <row r="11" spans="1:9" x14ac:dyDescent="0.25">
      <c r="A11" t="s">
        <v>30</v>
      </c>
      <c r="B11" t="s">
        <v>9</v>
      </c>
      <c r="C11">
        <f>C10*H8</f>
        <v>9.1577425852142502E-21</v>
      </c>
      <c r="D11" t="s">
        <v>6</v>
      </c>
      <c r="G11" t="s">
        <v>32</v>
      </c>
      <c r="H11">
        <f>10*(10^-9)</f>
        <v>1E-8</v>
      </c>
      <c r="I11" t="s">
        <v>36</v>
      </c>
    </row>
    <row r="12" spans="1:9" x14ac:dyDescent="0.25">
      <c r="G12" t="s">
        <v>34</v>
      </c>
      <c r="H12">
        <f>(4/3)*PI()*(H11^3)</f>
        <v>4.1887902047863912E-24</v>
      </c>
      <c r="I12" t="s">
        <v>5</v>
      </c>
    </row>
    <row r="13" spans="1:9" x14ac:dyDescent="0.25">
      <c r="A13" t="s">
        <v>37</v>
      </c>
      <c r="B13" t="s">
        <v>1</v>
      </c>
      <c r="C13">
        <f>C7/(C11*C9)</f>
        <v>125255.630725132</v>
      </c>
      <c r="D13" t="s">
        <v>18</v>
      </c>
    </row>
    <row r="14" spans="1:9" x14ac:dyDescent="0.25">
      <c r="A14" t="s">
        <v>43</v>
      </c>
    </row>
    <row r="15" spans="1:9" x14ac:dyDescent="0.25">
      <c r="A15" t="s">
        <v>44</v>
      </c>
    </row>
    <row r="16" spans="1:9" x14ac:dyDescent="0.25">
      <c r="A16" t="s">
        <v>45</v>
      </c>
    </row>
    <row r="17" spans="1:6" x14ac:dyDescent="0.25">
      <c r="A17" t="s">
        <v>46</v>
      </c>
    </row>
    <row r="20" spans="1:6" x14ac:dyDescent="0.25">
      <c r="A20" t="s">
        <v>56</v>
      </c>
    </row>
    <row r="21" spans="1:6" x14ac:dyDescent="0.25">
      <c r="A21" t="s">
        <v>53</v>
      </c>
      <c r="B21">
        <f>1.6E-19</f>
        <v>1.5999999999999999E-19</v>
      </c>
      <c r="C21" t="s">
        <v>8</v>
      </c>
      <c r="D21" s="2">
        <v>1000</v>
      </c>
      <c r="F21" s="1"/>
    </row>
    <row r="22" spans="1:6" x14ac:dyDescent="0.25">
      <c r="A22" t="s">
        <v>54</v>
      </c>
      <c r="B22">
        <f>0.000000000008854</f>
        <v>8.8539999999999992E-12</v>
      </c>
      <c r="C22" t="s">
        <v>49</v>
      </c>
      <c r="D22">
        <f>1.380649E-23</f>
        <v>1.3806490000000001E-23</v>
      </c>
      <c r="F22" s="1"/>
    </row>
    <row r="23" spans="1:6" x14ac:dyDescent="0.25">
      <c r="A23" t="s">
        <v>55</v>
      </c>
      <c r="B23">
        <f>C3/H7</f>
        <v>709090909.090909</v>
      </c>
      <c r="C23" t="s">
        <v>1</v>
      </c>
      <c r="D23">
        <v>300</v>
      </c>
      <c r="F23" s="1"/>
    </row>
    <row r="24" spans="1:6" x14ac:dyDescent="0.25">
      <c r="A24" t="s">
        <v>52</v>
      </c>
      <c r="B24">
        <f>SQRT((B21^3)*B23/(4*PI()*B22))</f>
        <v>1.6156833218143561E-19</v>
      </c>
      <c r="C24" t="s">
        <v>14</v>
      </c>
      <c r="D24">
        <f>4.5*1.69E-19</f>
        <v>7.6050000000000002E-19</v>
      </c>
      <c r="F24" s="1"/>
    </row>
    <row r="25" spans="1:6" x14ac:dyDescent="0.25">
      <c r="C25" t="s">
        <v>51</v>
      </c>
      <c r="D25" s="2">
        <v>50</v>
      </c>
      <c r="F25" s="1"/>
    </row>
    <row r="26" spans="1:6" x14ac:dyDescent="0.25">
      <c r="F26" s="1"/>
    </row>
    <row r="27" spans="1:6" x14ac:dyDescent="0.25">
      <c r="A27" s="1" t="s">
        <v>47</v>
      </c>
      <c r="B27" t="s">
        <v>50</v>
      </c>
      <c r="C27" s="1" t="s">
        <v>48</v>
      </c>
      <c r="D27" t="s">
        <v>19</v>
      </c>
      <c r="E27" t="s">
        <v>2</v>
      </c>
      <c r="F27" s="1"/>
    </row>
    <row r="28" spans="1:6" x14ac:dyDescent="0.25">
      <c r="A28" s="1">
        <v>1</v>
      </c>
      <c r="B28">
        <f t="shared" ref="B28:B45" si="0">A28*$D$25+$D$23</f>
        <v>350</v>
      </c>
      <c r="C28" s="1">
        <v>5.9428357976355501E-4</v>
      </c>
      <c r="D28">
        <f t="shared" ref="D28:D45" si="1">$D$21*(B28^2)*EXP(((-1)*$D$24)/($D$22*B28))</f>
        <v>5.4844128843802129E-61</v>
      </c>
      <c r="F28" s="1"/>
    </row>
    <row r="29" spans="1:6" x14ac:dyDescent="0.25">
      <c r="A29" s="1">
        <v>2</v>
      </c>
      <c r="B29" s="2">
        <f>A29*$D$25+$D$23</f>
        <v>400</v>
      </c>
      <c r="C29" s="1">
        <v>1.80392792342337E-3</v>
      </c>
      <c r="D29">
        <f t="shared" si="1"/>
        <v>2.5046080937073912E-52</v>
      </c>
      <c r="F29" s="1"/>
    </row>
    <row r="30" spans="1:6" x14ac:dyDescent="0.25">
      <c r="A30" s="1">
        <v>3</v>
      </c>
      <c r="B30">
        <f t="shared" si="0"/>
        <v>450</v>
      </c>
      <c r="C30" s="1">
        <v>4.5459180844709002E-3</v>
      </c>
      <c r="D30">
        <f t="shared" si="1"/>
        <v>1.3998679463941866E-45</v>
      </c>
      <c r="F30" s="1"/>
    </row>
    <row r="31" spans="1:6" x14ac:dyDescent="0.25">
      <c r="A31" s="1">
        <v>4</v>
      </c>
      <c r="B31">
        <f t="shared" si="0"/>
        <v>500</v>
      </c>
      <c r="C31" s="1">
        <v>6.5741062922093901E-3</v>
      </c>
      <c r="D31">
        <f t="shared" si="1"/>
        <v>3.5779630091621497E-40</v>
      </c>
      <c r="F31" s="1"/>
    </row>
    <row r="32" spans="1:6" x14ac:dyDescent="0.25">
      <c r="A32" s="1">
        <v>5</v>
      </c>
      <c r="B32">
        <f t="shared" si="0"/>
        <v>550</v>
      </c>
      <c r="C32" s="1">
        <v>8.6613282359302001E-3</v>
      </c>
      <c r="D32">
        <f t="shared" si="1"/>
        <v>9.6806253583928806E-36</v>
      </c>
      <c r="F32" s="1"/>
    </row>
    <row r="33" spans="1:6" x14ac:dyDescent="0.25">
      <c r="A33" s="1">
        <v>6</v>
      </c>
      <c r="B33">
        <f t="shared" si="0"/>
        <v>600</v>
      </c>
      <c r="C33" s="1">
        <v>1.01439586227216E-2</v>
      </c>
      <c r="D33">
        <f t="shared" si="1"/>
        <v>4.8534329262959527E-32</v>
      </c>
      <c r="F33" s="1"/>
    </row>
    <row r="34" spans="1:6" x14ac:dyDescent="0.25">
      <c r="A34" s="1">
        <v>7</v>
      </c>
      <c r="B34">
        <f t="shared" si="0"/>
        <v>650</v>
      </c>
      <c r="C34" s="1">
        <v>1.21142252140851E-2</v>
      </c>
      <c r="D34">
        <f t="shared" si="1"/>
        <v>6.645318779968446E-29</v>
      </c>
      <c r="F34" s="1"/>
    </row>
    <row r="35" spans="1:6" x14ac:dyDescent="0.25">
      <c r="A35" s="1">
        <v>8</v>
      </c>
      <c r="B35">
        <f t="shared" si="0"/>
        <v>700</v>
      </c>
      <c r="C35" s="1">
        <v>1.39718087090577E-2</v>
      </c>
      <c r="D35">
        <f t="shared" si="1"/>
        <v>3.2786352730038781E-26</v>
      </c>
      <c r="F35" s="1"/>
    </row>
    <row r="36" spans="1:6" x14ac:dyDescent="0.25">
      <c r="A36" s="1">
        <v>9</v>
      </c>
      <c r="B36">
        <f t="shared" si="0"/>
        <v>750</v>
      </c>
      <c r="C36" s="1">
        <v>1.50364355202556E-2</v>
      </c>
      <c r="D36">
        <f t="shared" si="1"/>
        <v>7.1436431495456034E-24</v>
      </c>
      <c r="F36" s="1"/>
    </row>
    <row r="37" spans="1:6" x14ac:dyDescent="0.25">
      <c r="A37" s="1">
        <v>10</v>
      </c>
      <c r="B37">
        <f t="shared" si="0"/>
        <v>800</v>
      </c>
      <c r="C37" s="1">
        <v>1.64777249113871E-2</v>
      </c>
      <c r="D37">
        <f t="shared" si="1"/>
        <v>8.0073695555350277E-22</v>
      </c>
      <c r="F37" s="1"/>
    </row>
    <row r="38" spans="1:6" x14ac:dyDescent="0.25">
      <c r="A38" s="1">
        <v>11</v>
      </c>
      <c r="B38">
        <f t="shared" si="0"/>
        <v>850</v>
      </c>
      <c r="C38" s="1">
        <v>1.5677457660518802E-2</v>
      </c>
      <c r="D38">
        <f t="shared" si="1"/>
        <v>5.1895478490205208E-20</v>
      </c>
      <c r="F38" s="1"/>
    </row>
    <row r="39" spans="1:6" x14ac:dyDescent="0.25">
      <c r="A39" s="1">
        <v>12</v>
      </c>
      <c r="B39">
        <f t="shared" si="0"/>
        <v>900</v>
      </c>
      <c r="C39" s="1">
        <v>1.4945654898622899E-2</v>
      </c>
      <c r="D39">
        <f t="shared" si="1"/>
        <v>2.1296882744470293E-18</v>
      </c>
      <c r="F39" s="1"/>
    </row>
    <row r="40" spans="1:6" x14ac:dyDescent="0.25">
      <c r="A40" s="1">
        <v>13</v>
      </c>
      <c r="B40">
        <f t="shared" si="0"/>
        <v>950</v>
      </c>
      <c r="C40" s="1">
        <v>1.42238948011088E-2</v>
      </c>
      <c r="D40">
        <f t="shared" si="1"/>
        <v>5.9461312815301535E-17</v>
      </c>
    </row>
    <row r="41" spans="1:6" x14ac:dyDescent="0.25">
      <c r="A41" s="1">
        <v>14</v>
      </c>
      <c r="B41">
        <f t="shared" si="0"/>
        <v>1000</v>
      </c>
      <c r="C41" s="1">
        <v>1.9482317808400401E-2</v>
      </c>
      <c r="D41">
        <f t="shared" si="1"/>
        <v>1.19632153021872E-15</v>
      </c>
    </row>
    <row r="42" spans="1:6" x14ac:dyDescent="0.25">
      <c r="A42" s="1">
        <v>15</v>
      </c>
      <c r="B42">
        <f t="shared" si="0"/>
        <v>1050</v>
      </c>
      <c r="C42" s="1">
        <v>2.23272143449267E-2</v>
      </c>
      <c r="D42">
        <f t="shared" si="1"/>
        <v>1.8170907435810158E-14</v>
      </c>
    </row>
    <row r="43" spans="1:6" x14ac:dyDescent="0.25">
      <c r="A43" s="1">
        <v>16</v>
      </c>
      <c r="B43">
        <f t="shared" si="0"/>
        <v>1100</v>
      </c>
      <c r="C43" s="1">
        <v>2.1285522301327998E-2</v>
      </c>
      <c r="D43">
        <f t="shared" si="1"/>
        <v>2.1645837182844543E-13</v>
      </c>
    </row>
    <row r="44" spans="1:6" x14ac:dyDescent="0.25">
      <c r="A44" s="1">
        <v>17</v>
      </c>
      <c r="B44">
        <f t="shared" si="0"/>
        <v>1150</v>
      </c>
      <c r="C44" s="1">
        <v>2.2401291496450201E-2</v>
      </c>
      <c r="D44">
        <f t="shared" si="1"/>
        <v>2.0870089223544839E-12</v>
      </c>
    </row>
    <row r="45" spans="1:6" x14ac:dyDescent="0.25">
      <c r="A45" s="1">
        <v>18</v>
      </c>
      <c r="B45">
        <f t="shared" si="0"/>
        <v>1200</v>
      </c>
      <c r="C45" s="1">
        <v>4.95437695529147E-3</v>
      </c>
      <c r="D45">
        <f t="shared" si="1"/>
        <v>1.6719980160115228E-11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Platinum probe</vt:lpstr>
      <vt:lpstr>SiOx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Buckwell</dc:creator>
  <cp:lastModifiedBy>Mark Buckwell</cp:lastModifiedBy>
  <dcterms:created xsi:type="dcterms:W3CDTF">2019-07-16T17:24:13Z</dcterms:created>
  <dcterms:modified xsi:type="dcterms:W3CDTF">2019-12-13T19:11:22Z</dcterms:modified>
</cp:coreProperties>
</file>