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LabWork\3 семестр\Резонанс\"/>
    </mc:Choice>
  </mc:AlternateContent>
  <bookViews>
    <workbookView xWindow="0" yWindow="0" windowWidth="0" windowHeight="3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34" i="1" l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33" i="1"/>
  <c r="P50" i="1" l="1"/>
  <c r="T50" i="1"/>
  <c r="T34" i="1"/>
  <c r="T38" i="1"/>
  <c r="T39" i="1"/>
  <c r="T40" i="1"/>
  <c r="T41" i="1"/>
  <c r="T42" i="1"/>
  <c r="T43" i="1"/>
  <c r="T44" i="1"/>
  <c r="T45" i="1"/>
  <c r="T46" i="1"/>
  <c r="T47" i="1"/>
  <c r="T48" i="1"/>
  <c r="T49" i="1"/>
  <c r="T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33" i="1"/>
  <c r="T17" i="1" l="1"/>
  <c r="T18" i="1" l="1"/>
  <c r="T35" i="1"/>
  <c r="AD23" i="1"/>
  <c r="AA38" i="1"/>
  <c r="AA39" i="1"/>
  <c r="AA40" i="1"/>
  <c r="AA41" i="1"/>
  <c r="AA42" i="1"/>
  <c r="AA43" i="1"/>
  <c r="AA44" i="1"/>
  <c r="X41" i="1"/>
  <c r="X42" i="1"/>
  <c r="X43" i="1"/>
  <c r="X44" i="1"/>
  <c r="X45" i="1"/>
  <c r="W43" i="1"/>
  <c r="W44" i="1"/>
  <c r="W45" i="1"/>
  <c r="W46" i="1"/>
  <c r="W47" i="1"/>
  <c r="W48" i="1"/>
  <c r="W42" i="1"/>
  <c r="W34" i="1"/>
  <c r="W35" i="1"/>
  <c r="W36" i="1"/>
  <c r="W37" i="1"/>
  <c r="W38" i="1"/>
  <c r="W39" i="1"/>
  <c r="W40" i="1"/>
  <c r="W41" i="1"/>
  <c r="W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33" i="1"/>
  <c r="E10" i="1"/>
  <c r="A19" i="1"/>
  <c r="A20" i="1"/>
  <c r="A21" i="1"/>
  <c r="A22" i="1"/>
  <c r="A23" i="1"/>
  <c r="A24" i="1"/>
  <c r="A18" i="1"/>
  <c r="E9" i="1"/>
  <c r="F3" i="1"/>
  <c r="F4" i="1"/>
  <c r="F5" i="1"/>
  <c r="F6" i="1"/>
  <c r="F7" i="1"/>
  <c r="F8" i="1"/>
  <c r="F2" i="1"/>
  <c r="E2" i="1"/>
  <c r="E3" i="1"/>
  <c r="E4" i="1"/>
  <c r="E5" i="1"/>
  <c r="E6" i="1"/>
  <c r="E7" i="1"/>
  <c r="E8" i="1"/>
  <c r="T19" i="1" l="1"/>
  <c r="T37" i="1" s="1"/>
  <c r="T36" i="1"/>
  <c r="AA30" i="1"/>
  <c r="AA29" i="1"/>
  <c r="AA28" i="1"/>
  <c r="AA27" i="1"/>
  <c r="AA26" i="1"/>
  <c r="AA25" i="1"/>
  <c r="AA24" i="1"/>
  <c r="AA22" i="1"/>
  <c r="AA20" i="1"/>
  <c r="AA19" i="1"/>
  <c r="AA18" i="1"/>
  <c r="AA17" i="1"/>
  <c r="AA16" i="1"/>
  <c r="AA15" i="1"/>
  <c r="X30" i="1"/>
  <c r="X28" i="1"/>
  <c r="X29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P21" i="1"/>
  <c r="P23" i="1" s="1"/>
</calcChain>
</file>

<file path=xl/sharedStrings.xml><?xml version="1.0" encoding="utf-8"?>
<sst xmlns="http://schemas.openxmlformats.org/spreadsheetml/2006/main" count="51" uniqueCount="35">
  <si>
    <t>Cn, nF</t>
  </si>
  <si>
    <t>f, кГц</t>
  </si>
  <si>
    <t>U, В</t>
  </si>
  <si>
    <t>E,  В</t>
  </si>
  <si>
    <t>L, мкГн</t>
  </si>
  <si>
    <t>ρ, Ом</t>
  </si>
  <si>
    <t>Zрез, Ом</t>
  </si>
  <si>
    <t>Q</t>
  </si>
  <si>
    <t>R, Ом</t>
  </si>
  <si>
    <t>Rs_max</t>
  </si>
  <si>
    <t>R_L, Ом</t>
  </si>
  <si>
    <t>1Гц в пятом поддиапазоне</t>
  </si>
  <si>
    <t>Погрешность вольтметров 3%</t>
  </si>
  <si>
    <t>24кГц</t>
  </si>
  <si>
    <t>400мВ</t>
  </si>
  <si>
    <t>23,64 кГц именно у нас</t>
  </si>
  <si>
    <t>Погрешность амплитуды 1%</t>
  </si>
  <si>
    <t>V</t>
  </si>
  <si>
    <t>АЧХ</t>
  </si>
  <si>
    <t>ФЧХ</t>
  </si>
  <si>
    <t>Среднее значение</t>
  </si>
  <si>
    <t>Среднеквадратическая погрешность среднего значения</t>
  </si>
  <si>
    <r>
      <t xml:space="preserve">Коэффициент Стьюдента для n = 7, </t>
    </r>
    <r>
      <rPr>
        <sz val="11"/>
        <color theme="1"/>
        <rFont val="Calibri"/>
        <family val="2"/>
        <charset val="204"/>
      </rPr>
      <t>α</t>
    </r>
    <r>
      <rPr>
        <sz val="9.4499999999999993"/>
        <color theme="1"/>
        <rFont val="Calibri"/>
        <family val="2"/>
        <charset val="204"/>
      </rPr>
      <t xml:space="preserve"> = 0.95</t>
    </r>
  </si>
  <si>
    <t>Случайная погрешность</t>
  </si>
  <si>
    <t>f / f_0</t>
  </si>
  <si>
    <t>U / U_0</t>
  </si>
  <si>
    <t>Контур 3</t>
  </si>
  <si>
    <t xml:space="preserve">f </t>
  </si>
  <si>
    <t xml:space="preserve">U </t>
  </si>
  <si>
    <t>Контур 1</t>
  </si>
  <si>
    <t>Контур</t>
  </si>
  <si>
    <t>E, В</t>
  </si>
  <si>
    <t>f_0, кГц</t>
  </si>
  <si>
    <t>Ширина</t>
  </si>
  <si>
    <t>Δψ / ψ_0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</si>
</sst>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.4499999999999993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/>
    <xf numFmtId="0" fontId="0" fillId="0" borderId="3" xfId="0" applyBorder="1"/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 wrapText="1"/>
    </xf>
    <xf numFmtId="165" fontId="0" fillId="0" borderId="16" xfId="0" applyNumberFormat="1" applyBorder="1" applyAlignment="1">
      <alignment horizontal="center" wrapText="1"/>
    </xf>
    <xf numFmtId="165" fontId="0" fillId="0" borderId="17" xfId="0" applyNumberFormat="1" applyBorder="1" applyAlignment="1">
      <alignment horizontal="center" wrapText="1"/>
    </xf>
    <xf numFmtId="165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Контур 3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Лист1!$O$15:$O$31</c:f>
              <c:numCache>
                <c:formatCode>General</c:formatCode>
                <c:ptCount val="17"/>
                <c:pt idx="0">
                  <c:v>22.5</c:v>
                </c:pt>
                <c:pt idx="1">
                  <c:v>22.59</c:v>
                </c:pt>
                <c:pt idx="2">
                  <c:v>22.7</c:v>
                </c:pt>
                <c:pt idx="3">
                  <c:v>22.76</c:v>
                </c:pt>
                <c:pt idx="4">
                  <c:v>22.83</c:v>
                </c:pt>
                <c:pt idx="5">
                  <c:v>22.89</c:v>
                </c:pt>
                <c:pt idx="6">
                  <c:v>22.94</c:v>
                </c:pt>
                <c:pt idx="7">
                  <c:v>23.04</c:v>
                </c:pt>
                <c:pt idx="8">
                  <c:v>23.2</c:v>
                </c:pt>
                <c:pt idx="9">
                  <c:v>23.33</c:v>
                </c:pt>
                <c:pt idx="10">
                  <c:v>23.42</c:v>
                </c:pt>
                <c:pt idx="11">
                  <c:v>23.48</c:v>
                </c:pt>
                <c:pt idx="12">
                  <c:v>23.53</c:v>
                </c:pt>
                <c:pt idx="13">
                  <c:v>23.62</c:v>
                </c:pt>
                <c:pt idx="14">
                  <c:v>23.7</c:v>
                </c:pt>
                <c:pt idx="15">
                  <c:v>23.77</c:v>
                </c:pt>
                <c:pt idx="16">
                  <c:v>23.87</c:v>
                </c:pt>
              </c:numCache>
            </c:numRef>
          </c:xVal>
          <c:yVal>
            <c:numRef>
              <c:f>Лист1!$P$15:$P$31</c:f>
              <c:numCache>
                <c:formatCode>General</c:formatCode>
                <c:ptCount val="17"/>
                <c:pt idx="0">
                  <c:v>0.6</c:v>
                </c:pt>
                <c:pt idx="1">
                  <c:v>0.63</c:v>
                </c:pt>
                <c:pt idx="2">
                  <c:v>0.7</c:v>
                </c:pt>
                <c:pt idx="3">
                  <c:v>0.74</c:v>
                </c:pt>
                <c:pt idx="4">
                  <c:v>0.8</c:v>
                </c:pt>
                <c:pt idx="5">
                  <c:v>0.84</c:v>
                </c:pt>
                <c:pt idx="6">
                  <c:v>0.89</c:v>
                </c:pt>
                <c:pt idx="7">
                  <c:v>0.95</c:v>
                </c:pt>
                <c:pt idx="8">
                  <c:v>1</c:v>
                </c:pt>
                <c:pt idx="9">
                  <c:v>0.96</c:v>
                </c:pt>
                <c:pt idx="10">
                  <c:v>0.9</c:v>
                </c:pt>
                <c:pt idx="11">
                  <c:v>0.86</c:v>
                </c:pt>
                <c:pt idx="12">
                  <c:v>0.8</c:v>
                </c:pt>
                <c:pt idx="13">
                  <c:v>0.76</c:v>
                </c:pt>
                <c:pt idx="14">
                  <c:v>0.7</c:v>
                </c:pt>
                <c:pt idx="15">
                  <c:v>0.66</c:v>
                </c:pt>
                <c:pt idx="16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3-4230-8B13-DDCAC1ADC60A}"/>
            </c:ext>
          </c:extLst>
        </c:ser>
        <c:ser>
          <c:idx val="1"/>
          <c:order val="1"/>
          <c:tx>
            <c:v>Контур 1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Лист1!#REF!</c:f>
            </c:numRef>
          </c:xVal>
          <c:yVal>
            <c:numRef>
              <c:f>Лист1!#REF!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D3-4230-8B13-DDCAC1ADC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058456"/>
        <c:axId val="428061736"/>
      </c:scatterChart>
      <c:valAx>
        <c:axId val="428058456"/>
        <c:scaling>
          <c:orientation val="minMax"/>
          <c:max val="33"/>
          <c:min val="22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кГц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61736"/>
        <c:crosses val="autoZero"/>
        <c:crossBetween val="midCat"/>
      </c:valAx>
      <c:valAx>
        <c:axId val="42806173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U(F),</a:t>
                </a:r>
                <a:r>
                  <a:rPr lang="en-US" baseline="0"/>
                  <a:t> </a:t>
                </a:r>
                <a:r>
                  <a:rPr lang="ru-RU" baseline="0"/>
                  <a:t>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805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АЧХ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Контур 3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Лист1!$O$33:$O$49</c:f>
              <c:numCache>
                <c:formatCode>0.000</c:formatCode>
                <c:ptCount val="17"/>
                <c:pt idx="0">
                  <c:v>0.96982758620689657</c:v>
                </c:pt>
                <c:pt idx="1">
                  <c:v>0.97370689655172415</c:v>
                </c:pt>
                <c:pt idx="2">
                  <c:v>0.97844827586206895</c:v>
                </c:pt>
                <c:pt idx="3">
                  <c:v>0.98103448275862082</c:v>
                </c:pt>
                <c:pt idx="4">
                  <c:v>0.98405172413793096</c:v>
                </c:pt>
                <c:pt idx="5">
                  <c:v>0.98663793103448283</c:v>
                </c:pt>
                <c:pt idx="6">
                  <c:v>0.98879310344827598</c:v>
                </c:pt>
                <c:pt idx="7">
                  <c:v>0.99310344827586206</c:v>
                </c:pt>
                <c:pt idx="8">
                  <c:v>1</c:v>
                </c:pt>
                <c:pt idx="9">
                  <c:v>1.005603448275862</c:v>
                </c:pt>
                <c:pt idx="10">
                  <c:v>1.0094827586206898</c:v>
                </c:pt>
                <c:pt idx="11">
                  <c:v>1.0120689655172415</c:v>
                </c:pt>
                <c:pt idx="12">
                  <c:v>1.0142241379310346</c:v>
                </c:pt>
                <c:pt idx="13">
                  <c:v>1.0181034482758622</c:v>
                </c:pt>
                <c:pt idx="14">
                  <c:v>1.021551724137931</c:v>
                </c:pt>
                <c:pt idx="15">
                  <c:v>1.0245689655172414</c:v>
                </c:pt>
                <c:pt idx="16">
                  <c:v>1.0288793103448277</c:v>
                </c:pt>
              </c:numCache>
            </c:numRef>
          </c:xVal>
          <c:yVal>
            <c:numRef>
              <c:f>Лист1!$P$33:$P$49</c:f>
              <c:numCache>
                <c:formatCode>General</c:formatCode>
                <c:ptCount val="17"/>
                <c:pt idx="0">
                  <c:v>0.6</c:v>
                </c:pt>
                <c:pt idx="1">
                  <c:v>0.63</c:v>
                </c:pt>
                <c:pt idx="2">
                  <c:v>0.7</c:v>
                </c:pt>
                <c:pt idx="3">
                  <c:v>0.74</c:v>
                </c:pt>
                <c:pt idx="4">
                  <c:v>0.8</c:v>
                </c:pt>
                <c:pt idx="5">
                  <c:v>0.84</c:v>
                </c:pt>
                <c:pt idx="6">
                  <c:v>0.89</c:v>
                </c:pt>
                <c:pt idx="7">
                  <c:v>0.95</c:v>
                </c:pt>
                <c:pt idx="8">
                  <c:v>1</c:v>
                </c:pt>
                <c:pt idx="9">
                  <c:v>0.96</c:v>
                </c:pt>
                <c:pt idx="10">
                  <c:v>0.9</c:v>
                </c:pt>
                <c:pt idx="11">
                  <c:v>0.86</c:v>
                </c:pt>
                <c:pt idx="12">
                  <c:v>0.8</c:v>
                </c:pt>
                <c:pt idx="13">
                  <c:v>0.76</c:v>
                </c:pt>
                <c:pt idx="14">
                  <c:v>0.7</c:v>
                </c:pt>
                <c:pt idx="15">
                  <c:v>0.66</c:v>
                </c:pt>
                <c:pt idx="16">
                  <c:v>0.59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6E-4A09-8CC4-1AB173F67D41}"/>
            </c:ext>
          </c:extLst>
        </c:ser>
        <c:ser>
          <c:idx val="1"/>
          <c:order val="1"/>
          <c:tx>
            <c:v>Контур 1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Лист1!$S$33:$S$49</c:f>
              <c:numCache>
                <c:formatCode>0.000</c:formatCode>
                <c:ptCount val="17"/>
                <c:pt idx="0">
                  <c:v>0.97725856697819313</c:v>
                </c:pt>
                <c:pt idx="1">
                  <c:v>0.98099688473520241</c:v>
                </c:pt>
                <c:pt idx="2">
                  <c:v>0.98317757009345785</c:v>
                </c:pt>
                <c:pt idx="3">
                  <c:v>0.98504672897196266</c:v>
                </c:pt>
                <c:pt idx="4">
                  <c:v>0.98691588785046724</c:v>
                </c:pt>
                <c:pt idx="5">
                  <c:v>0.98909657320872268</c:v>
                </c:pt>
                <c:pt idx="6">
                  <c:v>0.99065420560747663</c:v>
                </c:pt>
                <c:pt idx="7">
                  <c:v>0.99376947040498431</c:v>
                </c:pt>
                <c:pt idx="8">
                  <c:v>1</c:v>
                </c:pt>
                <c:pt idx="9">
                  <c:v>1.0062305295950154</c:v>
                </c:pt>
                <c:pt idx="10">
                  <c:v>1.0093457943925233</c:v>
                </c:pt>
                <c:pt idx="11">
                  <c:v>1.0115264797507788</c:v>
                </c:pt>
                <c:pt idx="12">
                  <c:v>1.0130841121495329</c:v>
                </c:pt>
                <c:pt idx="13">
                  <c:v>1.0152647975077882</c:v>
                </c:pt>
                <c:pt idx="14">
                  <c:v>1.018068535825545</c:v>
                </c:pt>
                <c:pt idx="15">
                  <c:v>1.0205607476635512</c:v>
                </c:pt>
                <c:pt idx="16">
                  <c:v>1.0230529595015576</c:v>
                </c:pt>
              </c:numCache>
            </c:numRef>
          </c:xVal>
          <c:yVal>
            <c:numRef>
              <c:f>Лист1!$T$33:$T$49</c:f>
              <c:numCache>
                <c:formatCode>0.000</c:formatCode>
                <c:ptCount val="17"/>
                <c:pt idx="0">
                  <c:v>0.58720930232558144</c:v>
                </c:pt>
                <c:pt idx="1">
                  <c:v>0.65697674418604646</c:v>
                </c:pt>
                <c:pt idx="2">
                  <c:v>0.7069767441860465</c:v>
                </c:pt>
                <c:pt idx="3">
                  <c:v>0.75697674418604655</c:v>
                </c:pt>
                <c:pt idx="4">
                  <c:v>0.80697674418604659</c:v>
                </c:pt>
                <c:pt idx="5">
                  <c:v>0.87209302325581395</c:v>
                </c:pt>
                <c:pt idx="6">
                  <c:v>0.91860465116279078</c:v>
                </c:pt>
                <c:pt idx="7">
                  <c:v>0.97093023255813948</c:v>
                </c:pt>
                <c:pt idx="8">
                  <c:v>1</c:v>
                </c:pt>
                <c:pt idx="9">
                  <c:v>0.97093023255813948</c:v>
                </c:pt>
                <c:pt idx="10">
                  <c:v>0.91860465116279078</c:v>
                </c:pt>
                <c:pt idx="11">
                  <c:v>0.86627906976744184</c:v>
                </c:pt>
                <c:pt idx="12">
                  <c:v>0.81395348837209303</c:v>
                </c:pt>
                <c:pt idx="13">
                  <c:v>0.7558139534883721</c:v>
                </c:pt>
                <c:pt idx="14">
                  <c:v>0.69767441860465118</c:v>
                </c:pt>
                <c:pt idx="15">
                  <c:v>0.65116279069767447</c:v>
                </c:pt>
                <c:pt idx="16">
                  <c:v>0.58720930232558144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6E-4A09-8CC4-1AB173F6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67240"/>
        <c:axId val="533061992"/>
      </c:scatterChart>
      <c:valAx>
        <c:axId val="53306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 / f_0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61992"/>
        <c:crosses val="autoZero"/>
        <c:crossBetween val="midCat"/>
      </c:valAx>
      <c:valAx>
        <c:axId val="533061992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U(x) / U(1)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67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ФЧХ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Контур 3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Лист1!$X$33:$X$49</c:f>
              <c:numCache>
                <c:formatCode>0.000</c:formatCode>
                <c:ptCount val="17"/>
                <c:pt idx="0">
                  <c:v>0.94899999999999995</c:v>
                </c:pt>
                <c:pt idx="1">
                  <c:v>0.95699999999999996</c:v>
                </c:pt>
                <c:pt idx="2">
                  <c:v>0.96399999999999997</c:v>
                </c:pt>
                <c:pt idx="3">
                  <c:v>0.97</c:v>
                </c:pt>
                <c:pt idx="4">
                  <c:v>0.97399999999999998</c:v>
                </c:pt>
                <c:pt idx="5">
                  <c:v>0.97799999999999998</c:v>
                </c:pt>
                <c:pt idx="6">
                  <c:v>0.98299999999999998</c:v>
                </c:pt>
                <c:pt idx="7">
                  <c:v>0.98799999999999999</c:v>
                </c:pt>
                <c:pt idx="8">
                  <c:v>1</c:v>
                </c:pt>
                <c:pt idx="9">
                  <c:v>1.0090517241379311</c:v>
                </c:pt>
                <c:pt idx="10">
                  <c:v>1.0137931034482759</c:v>
                </c:pt>
                <c:pt idx="11">
                  <c:v>1.0198275862068966</c:v>
                </c:pt>
                <c:pt idx="12">
                  <c:v>1.0280172413793105</c:v>
                </c:pt>
                <c:pt idx="13">
                  <c:v>1.032</c:v>
                </c:pt>
                <c:pt idx="14">
                  <c:v>1.038</c:v>
                </c:pt>
                <c:pt idx="15">
                  <c:v>1.0429999999999999</c:v>
                </c:pt>
                <c:pt idx="16">
                  <c:v>1.048</c:v>
                </c:pt>
              </c:numCache>
            </c:numRef>
          </c:xVal>
          <c:yVal>
            <c:numRef>
              <c:f>Лист1!$Y$33:$Y$49</c:f>
              <c:numCache>
                <c:formatCode>0.000</c:formatCode>
                <c:ptCount val="17"/>
                <c:pt idx="0">
                  <c:v>0.42553191489361708</c:v>
                </c:pt>
                <c:pt idx="1">
                  <c:v>0.39130434782608692</c:v>
                </c:pt>
                <c:pt idx="2">
                  <c:v>0.35555555555555562</c:v>
                </c:pt>
                <c:pt idx="3">
                  <c:v>0.31111111111111101</c:v>
                </c:pt>
                <c:pt idx="4">
                  <c:v>0.28888888888888886</c:v>
                </c:pt>
                <c:pt idx="5">
                  <c:v>0.25000000000000022</c:v>
                </c:pt>
                <c:pt idx="6">
                  <c:v>0.20454545454545459</c:v>
                </c:pt>
                <c:pt idx="7">
                  <c:v>0.15909090909090906</c:v>
                </c:pt>
                <c:pt idx="8">
                  <c:v>0</c:v>
                </c:pt>
                <c:pt idx="9">
                  <c:v>-0.11627906976744184</c:v>
                </c:pt>
                <c:pt idx="10">
                  <c:v>-0.18604651162790709</c:v>
                </c:pt>
                <c:pt idx="11">
                  <c:v>-0.23255813953488369</c:v>
                </c:pt>
                <c:pt idx="12">
                  <c:v>-0.30952380952380953</c:v>
                </c:pt>
                <c:pt idx="13">
                  <c:v>-0.33333333333333326</c:v>
                </c:pt>
                <c:pt idx="14">
                  <c:v>-0.35714285714285721</c:v>
                </c:pt>
                <c:pt idx="15">
                  <c:v>-0.39024390243902429</c:v>
                </c:pt>
                <c:pt idx="16">
                  <c:v>-0.42500000000000004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26-4BF0-9575-289908468CCC}"/>
            </c:ext>
          </c:extLst>
        </c:ser>
        <c:ser>
          <c:idx val="1"/>
          <c:order val="1"/>
          <c:tx>
            <c:v>Контур 1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Лист1!$AA$33:$AA$49</c:f>
              <c:numCache>
                <c:formatCode>0.000</c:formatCode>
                <c:ptCount val="17"/>
                <c:pt idx="0">
                  <c:v>0.96499999999999997</c:v>
                </c:pt>
                <c:pt idx="1">
                  <c:v>0.96899999999999997</c:v>
                </c:pt>
                <c:pt idx="2">
                  <c:v>0.97599999999999998</c:v>
                </c:pt>
                <c:pt idx="3">
                  <c:v>0.97899999999999998</c:v>
                </c:pt>
                <c:pt idx="4">
                  <c:v>0.98199999999999998</c:v>
                </c:pt>
                <c:pt idx="5">
                  <c:v>0.98442367601246106</c:v>
                </c:pt>
                <c:pt idx="6">
                  <c:v>0.98785046728971959</c:v>
                </c:pt>
                <c:pt idx="7">
                  <c:v>0.99190031152647973</c:v>
                </c:pt>
                <c:pt idx="8">
                  <c:v>1</c:v>
                </c:pt>
                <c:pt idx="9">
                  <c:v>1.0071651090342679</c:v>
                </c:pt>
                <c:pt idx="10">
                  <c:v>1.0124610591900312</c:v>
                </c:pt>
                <c:pt idx="11">
                  <c:v>1.0165109034267914</c:v>
                </c:pt>
                <c:pt idx="12">
                  <c:v>1.0189999999999999</c:v>
                </c:pt>
                <c:pt idx="13">
                  <c:v>1.022</c:v>
                </c:pt>
                <c:pt idx="14">
                  <c:v>1.0269999999999999</c:v>
                </c:pt>
                <c:pt idx="15">
                  <c:v>1.032</c:v>
                </c:pt>
                <c:pt idx="16">
                  <c:v>1.0369999999999999</c:v>
                </c:pt>
              </c:numCache>
            </c:numRef>
          </c:xVal>
          <c:yVal>
            <c:numRef>
              <c:f>Лист1!$AB$33:$AB$49</c:f>
              <c:numCache>
                <c:formatCode>0.000</c:formatCode>
                <c:ptCount val="17"/>
                <c:pt idx="0">
                  <c:v>0.41176470588235292</c:v>
                </c:pt>
                <c:pt idx="1">
                  <c:v>0.38235294117647056</c:v>
                </c:pt>
                <c:pt idx="2">
                  <c:v>0.33333333333333326</c:v>
                </c:pt>
                <c:pt idx="3">
                  <c:v>0.3125</c:v>
                </c:pt>
                <c:pt idx="4">
                  <c:v>0.27272727272727271</c:v>
                </c:pt>
                <c:pt idx="5">
                  <c:v>0.25</c:v>
                </c:pt>
                <c:pt idx="6">
                  <c:v>0.19754265342500643</c:v>
                </c:pt>
                <c:pt idx="7">
                  <c:v>0.12500000000000011</c:v>
                </c:pt>
                <c:pt idx="8">
                  <c:v>0</c:v>
                </c:pt>
                <c:pt idx="9">
                  <c:v>-0.125</c:v>
                </c:pt>
                <c:pt idx="10">
                  <c:v>-0.1875</c:v>
                </c:pt>
                <c:pt idx="11">
                  <c:v>-0.25</c:v>
                </c:pt>
                <c:pt idx="12">
                  <c:v>-0.28125</c:v>
                </c:pt>
                <c:pt idx="13">
                  <c:v>-0.3125</c:v>
                </c:pt>
                <c:pt idx="14">
                  <c:v>-0.35483870967741948</c:v>
                </c:pt>
                <c:pt idx="15">
                  <c:v>-0.38709677419354827</c:v>
                </c:pt>
                <c:pt idx="16">
                  <c:v>-0.39999999999999991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26-4BF0-9575-289908468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063960"/>
        <c:axId val="533064288"/>
      </c:scatterChart>
      <c:valAx>
        <c:axId val="533063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  <a:r>
                  <a:rPr lang="en-US" baseline="0"/>
                  <a:t> / f_0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64288"/>
        <c:crosses val="autoZero"/>
        <c:crossBetween val="midCat"/>
      </c:valAx>
      <c:valAx>
        <c:axId val="533064288"/>
        <c:scaling>
          <c:orientation val="minMax"/>
          <c:min val="-0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Δψ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/</a:t>
                </a:r>
                <a:r>
                  <a:rPr lang="el-GR">
                    <a:latin typeface="Calibri" panose="020F0502020204030204" pitchFamily="34" charset="0"/>
                    <a:cs typeface="Calibri" panose="020F0502020204030204" pitchFamily="34" charset="0"/>
                  </a:rPr>
                  <a:t>ψ</a:t>
                </a:r>
                <a:r>
                  <a:rPr lang="en-US">
                    <a:latin typeface="Calibri" panose="020F0502020204030204" pitchFamily="34" charset="0"/>
                    <a:cs typeface="Calibri" panose="020F0502020204030204" pitchFamily="34" charset="0"/>
                  </a:rPr>
                  <a:t>_0</a:t>
                </a:r>
                <a:endParaRPr lang="ru-RU">
                  <a:latin typeface="Calibri" panose="020F0502020204030204" pitchFamily="34" charset="0"/>
                  <a:cs typeface="Calibri" panose="020F0502020204030204" pitchFamily="3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3063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139552</xdr:colOff>
      <xdr:row>51</xdr:row>
      <xdr:rowOff>123605</xdr:rowOff>
    </xdr:from>
    <xdr:to>
      <xdr:col>23</xdr:col>
      <xdr:colOff>587007</xdr:colOff>
      <xdr:row>75</xdr:row>
      <xdr:rowOff>22151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294609</xdr:colOff>
      <xdr:row>74</xdr:row>
      <xdr:rowOff>156830</xdr:rowOff>
    </xdr:from>
    <xdr:to>
      <xdr:col>32</xdr:col>
      <xdr:colOff>210436</xdr:colOff>
      <xdr:row>104</xdr:row>
      <xdr:rowOff>33227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95248</xdr:colOff>
      <xdr:row>50</xdr:row>
      <xdr:rowOff>101451</xdr:rowOff>
    </xdr:from>
    <xdr:to>
      <xdr:col>33</xdr:col>
      <xdr:colOff>254737</xdr:colOff>
      <xdr:row>69</xdr:row>
      <xdr:rowOff>11075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"/>
  <sheetViews>
    <sheetView tabSelected="1" zoomScale="86" workbookViewId="0">
      <selection activeCell="AD35" sqref="AD35"/>
    </sheetView>
  </sheetViews>
  <sheetFormatPr defaultRowHeight="15" x14ac:dyDescent="0.25"/>
  <cols>
    <col min="5" max="5" width="13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R1" t="s">
        <v>11</v>
      </c>
    </row>
    <row r="2" spans="1:37" x14ac:dyDescent="0.25">
      <c r="A2">
        <v>25.1</v>
      </c>
      <c r="B2">
        <v>32.1</v>
      </c>
      <c r="C2" s="2">
        <v>1.72</v>
      </c>
      <c r="D2" s="2">
        <v>0.3</v>
      </c>
      <c r="E2" s="4">
        <f>0.25 * 10^9 / ($X$2^2 * A2 * B2^2)</f>
        <v>979.38724984763553</v>
      </c>
      <c r="F2">
        <f xml:space="preserve"> SQRT(10^3 * E2/A2)</f>
        <v>197.53331958058951</v>
      </c>
      <c r="R2" t="s">
        <v>12</v>
      </c>
      <c r="X2">
        <v>3.1415999999999999</v>
      </c>
    </row>
    <row r="3" spans="1:37" x14ac:dyDescent="0.25">
      <c r="A3">
        <v>33.200000000000003</v>
      </c>
      <c r="B3">
        <v>27.8</v>
      </c>
      <c r="C3" s="2">
        <v>1.38</v>
      </c>
      <c r="D3" s="2">
        <v>0.3</v>
      </c>
      <c r="E3" s="4">
        <f t="shared" ref="E3:E8" si="0">1 / 4 / $X$2^2 / A3 * 10^9 / B3^2</f>
        <v>987.2122974260443</v>
      </c>
      <c r="F3">
        <f t="shared" ref="F3:F8" si="1" xml:space="preserve"> SQRT(10^3 * E3/A3)</f>
        <v>172.43929413980754</v>
      </c>
      <c r="R3" t="s">
        <v>13</v>
      </c>
      <c r="S3" t="s">
        <v>14</v>
      </c>
      <c r="T3">
        <v>0.158</v>
      </c>
    </row>
    <row r="4" spans="1:37" x14ac:dyDescent="0.25">
      <c r="A4">
        <v>47.3</v>
      </c>
      <c r="B4">
        <v>23.2</v>
      </c>
      <c r="C4" s="2">
        <v>1</v>
      </c>
      <c r="D4" s="2">
        <v>0.3</v>
      </c>
      <c r="E4" s="4">
        <f t="shared" si="0"/>
        <v>994.94969134775772</v>
      </c>
      <c r="F4">
        <f t="shared" si="1"/>
        <v>145.03405529568857</v>
      </c>
      <c r="R4" t="s">
        <v>15</v>
      </c>
    </row>
    <row r="5" spans="1:37" x14ac:dyDescent="0.25">
      <c r="A5">
        <v>57.4</v>
      </c>
      <c r="B5">
        <v>21.3</v>
      </c>
      <c r="C5" s="2">
        <v>0.85</v>
      </c>
      <c r="D5" s="2">
        <v>0.3</v>
      </c>
      <c r="E5" s="4">
        <f t="shared" si="0"/>
        <v>972.67360967588456</v>
      </c>
      <c r="F5">
        <f t="shared" si="1"/>
        <v>130.17501015792055</v>
      </c>
      <c r="R5" t="s">
        <v>16</v>
      </c>
    </row>
    <row r="6" spans="1:37" x14ac:dyDescent="0.25">
      <c r="A6">
        <v>67.5</v>
      </c>
      <c r="B6">
        <v>19.399999999999999</v>
      </c>
      <c r="C6" s="2">
        <v>0.72</v>
      </c>
      <c r="D6" s="2">
        <v>0.3</v>
      </c>
      <c r="E6" s="4">
        <f t="shared" si="0"/>
        <v>997.08228309770834</v>
      </c>
      <c r="F6">
        <f t="shared" si="1"/>
        <v>121.53842758249471</v>
      </c>
      <c r="S6" t="s">
        <v>17</v>
      </c>
    </row>
    <row r="7" spans="1:37" x14ac:dyDescent="0.25">
      <c r="A7">
        <v>82.7</v>
      </c>
      <c r="B7">
        <v>17.7</v>
      </c>
      <c r="C7" s="2">
        <v>0.45</v>
      </c>
      <c r="D7" s="2">
        <v>0.3</v>
      </c>
      <c r="E7" s="4">
        <f t="shared" si="0"/>
        <v>977.65626998451125</v>
      </c>
      <c r="F7">
        <f t="shared" si="1"/>
        <v>108.72773479753026</v>
      </c>
    </row>
    <row r="8" spans="1:37" x14ac:dyDescent="0.25">
      <c r="A8">
        <v>101.6</v>
      </c>
      <c r="B8" s="3">
        <v>16</v>
      </c>
      <c r="C8" s="2">
        <v>0.37</v>
      </c>
      <c r="D8" s="2">
        <v>0.3</v>
      </c>
      <c r="E8" s="4">
        <f t="shared" si="0"/>
        <v>973.87800829305763</v>
      </c>
      <c r="F8">
        <f t="shared" si="1"/>
        <v>97.905124827311028</v>
      </c>
      <c r="Q8">
        <v>1</v>
      </c>
      <c r="R8">
        <v>2</v>
      </c>
      <c r="S8">
        <v>3</v>
      </c>
      <c r="T8">
        <v>4</v>
      </c>
      <c r="U8">
        <v>5</v>
      </c>
      <c r="V8">
        <v>6</v>
      </c>
      <c r="W8">
        <v>7</v>
      </c>
    </row>
    <row r="9" spans="1:37" x14ac:dyDescent="0.25">
      <c r="A9" s="37" t="s">
        <v>20</v>
      </c>
      <c r="B9" s="37"/>
      <c r="C9" s="37"/>
      <c r="D9" s="37"/>
      <c r="E9" s="4">
        <f>AVERAGE(E2:E8)</f>
        <v>983.26277281037142</v>
      </c>
      <c r="Q9">
        <v>32.1</v>
      </c>
      <c r="R9">
        <v>27.8</v>
      </c>
      <c r="S9">
        <v>23.2</v>
      </c>
      <c r="T9">
        <v>21.3</v>
      </c>
      <c r="U9">
        <v>19.399999999999999</v>
      </c>
      <c r="V9">
        <v>17.7</v>
      </c>
      <c r="W9">
        <v>16</v>
      </c>
    </row>
    <row r="10" spans="1:37" ht="31.5" customHeight="1" x14ac:dyDescent="0.25">
      <c r="A10" s="38" t="s">
        <v>21</v>
      </c>
      <c r="B10" s="38"/>
      <c r="C10" s="38"/>
      <c r="D10" s="38"/>
      <c r="E10" s="4">
        <f>SQRT(SUM(A18:A24) / 42)</f>
        <v>3.7474385133505304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37" ht="31.5" customHeight="1" thickBot="1" x14ac:dyDescent="0.3">
      <c r="A11" s="38" t="s">
        <v>22</v>
      </c>
      <c r="B11" s="38"/>
      <c r="C11" s="38"/>
      <c r="D11" s="38"/>
      <c r="E11">
        <v>2.36</v>
      </c>
      <c r="Q11">
        <v>1.72</v>
      </c>
      <c r="R11">
        <v>1.38</v>
      </c>
      <c r="S11">
        <v>1</v>
      </c>
      <c r="T11">
        <v>0.85</v>
      </c>
      <c r="U11">
        <v>0.72</v>
      </c>
      <c r="V11">
        <v>0.45</v>
      </c>
      <c r="W11">
        <v>0.5</v>
      </c>
    </row>
    <row r="12" spans="1:37" ht="15.75" thickBot="1" x14ac:dyDescent="0.3">
      <c r="A12" s="37" t="s">
        <v>23</v>
      </c>
      <c r="B12" s="37"/>
      <c r="C12" s="37"/>
      <c r="D12" s="37"/>
      <c r="O12" s="35" t="s">
        <v>18</v>
      </c>
      <c r="P12" s="36"/>
      <c r="S12" s="35" t="s">
        <v>18</v>
      </c>
      <c r="T12" s="36"/>
      <c r="W12" s="37" t="s">
        <v>19</v>
      </c>
      <c r="X12" s="37"/>
      <c r="AH12" s="21" t="s">
        <v>30</v>
      </c>
      <c r="AI12" s="25" t="s">
        <v>31</v>
      </c>
      <c r="AJ12" s="20" t="s">
        <v>2</v>
      </c>
      <c r="AK12" s="26" t="s">
        <v>32</v>
      </c>
    </row>
    <row r="13" spans="1:37" ht="15.75" thickBot="1" x14ac:dyDescent="0.3">
      <c r="O13" s="39" t="s">
        <v>26</v>
      </c>
      <c r="P13" s="40"/>
      <c r="S13" s="39" t="s">
        <v>29</v>
      </c>
      <c r="T13" s="40"/>
      <c r="W13" s="37" t="s">
        <v>26</v>
      </c>
      <c r="X13" s="37"/>
      <c r="Y13" t="s">
        <v>19</v>
      </c>
      <c r="Z13" t="s">
        <v>19</v>
      </c>
      <c r="AA13" t="s">
        <v>19</v>
      </c>
      <c r="AH13" s="22">
        <v>1</v>
      </c>
      <c r="AI13" s="22">
        <v>0.3</v>
      </c>
      <c r="AJ13" s="22">
        <v>1.72</v>
      </c>
      <c r="AK13" s="22">
        <v>32.1</v>
      </c>
    </row>
    <row r="14" spans="1:37" ht="15.75" thickBot="1" x14ac:dyDescent="0.3">
      <c r="O14" s="12" t="s">
        <v>27</v>
      </c>
      <c r="P14" s="13" t="s">
        <v>28</v>
      </c>
      <c r="S14" s="12" t="s">
        <v>27</v>
      </c>
      <c r="T14" s="14" t="s">
        <v>28</v>
      </c>
      <c r="W14">
        <v>3</v>
      </c>
      <c r="X14">
        <v>3</v>
      </c>
      <c r="Z14">
        <v>1</v>
      </c>
      <c r="AA14">
        <v>1</v>
      </c>
      <c r="AH14" s="23">
        <v>2</v>
      </c>
      <c r="AI14" s="23">
        <v>0.3</v>
      </c>
      <c r="AJ14" s="23">
        <v>1.38</v>
      </c>
      <c r="AK14" s="23">
        <v>27.8</v>
      </c>
    </row>
    <row r="15" spans="1:37" x14ac:dyDescent="0.25">
      <c r="O15" s="5">
        <v>22.5</v>
      </c>
      <c r="P15" s="6">
        <v>0.6</v>
      </c>
      <c r="S15" s="28">
        <v>31.37</v>
      </c>
      <c r="T15" s="29">
        <v>1.01</v>
      </c>
      <c r="W15">
        <v>0.28000000000000003</v>
      </c>
      <c r="X15">
        <f>2.7  * $X$2 / 4.7</f>
        <v>1.8047489361702127</v>
      </c>
      <c r="Z15">
        <v>0.49</v>
      </c>
      <c r="AA15">
        <f>2 * $X$2 / 3.4</f>
        <v>1.8480000000000001</v>
      </c>
      <c r="AH15" s="23">
        <v>3</v>
      </c>
      <c r="AI15" s="23">
        <v>0.3</v>
      </c>
      <c r="AJ15" s="23">
        <v>1</v>
      </c>
      <c r="AK15" s="23">
        <v>23.2</v>
      </c>
    </row>
    <row r="16" spans="1:37" x14ac:dyDescent="0.25">
      <c r="O16" s="7">
        <v>22.59</v>
      </c>
      <c r="P16" s="8">
        <v>0.63</v>
      </c>
      <c r="S16" s="30">
        <v>31.49</v>
      </c>
      <c r="T16" s="31">
        <v>1.1299999999999999</v>
      </c>
      <c r="W16">
        <v>0.38</v>
      </c>
      <c r="X16">
        <f>2.8  * $X$2 / 4.6</f>
        <v>1.9122782608695652</v>
      </c>
      <c r="Z16">
        <v>0.62</v>
      </c>
      <c r="AA16">
        <f>2.1 * $X$2 / 3.4</f>
        <v>1.9404000000000001</v>
      </c>
      <c r="AH16" s="23">
        <v>4</v>
      </c>
      <c r="AI16" s="23">
        <v>0.3</v>
      </c>
      <c r="AJ16" s="23">
        <v>0.85</v>
      </c>
      <c r="AK16" s="23">
        <v>21.3</v>
      </c>
    </row>
    <row r="17" spans="1:37" x14ac:dyDescent="0.25">
      <c r="O17" s="7">
        <v>22.7</v>
      </c>
      <c r="P17" s="8">
        <v>0.7</v>
      </c>
      <c r="S17" s="30">
        <v>31.56</v>
      </c>
      <c r="T17" s="31">
        <f>T16+0.086</f>
        <v>1.216</v>
      </c>
      <c r="W17">
        <v>0.48</v>
      </c>
      <c r="X17">
        <f>2.9  * $X$2 / 4.5</f>
        <v>2.0245866666666665</v>
      </c>
      <c r="Z17">
        <v>0.81</v>
      </c>
      <c r="AA17">
        <f>2.2 * $X$2 / 3.3</f>
        <v>2.0944000000000003</v>
      </c>
      <c r="AH17" s="23">
        <v>5</v>
      </c>
      <c r="AI17" s="23">
        <v>0.3</v>
      </c>
      <c r="AJ17" s="23">
        <v>0.72</v>
      </c>
      <c r="AK17" s="23">
        <v>19.399999999999999</v>
      </c>
    </row>
    <row r="18" spans="1:37" x14ac:dyDescent="0.25">
      <c r="A18">
        <f>(E2-$E$9)^2</f>
        <v>15.019678234693139</v>
      </c>
      <c r="O18" s="7">
        <v>22.76</v>
      </c>
      <c r="P18" s="8">
        <v>0.74</v>
      </c>
      <c r="S18" s="30">
        <v>31.62</v>
      </c>
      <c r="T18" s="31">
        <f>T17+0.086</f>
        <v>1.302</v>
      </c>
      <c r="W18">
        <v>0.55000000000000004</v>
      </c>
      <c r="X18">
        <f>3.1  * $X$2 / 4.5</f>
        <v>2.1642133333333335</v>
      </c>
      <c r="Z18">
        <v>31.34</v>
      </c>
      <c r="AA18">
        <f>2.2 * $X$2 / 3.2</f>
        <v>2.15985</v>
      </c>
      <c r="AH18" s="23">
        <v>6</v>
      </c>
      <c r="AI18" s="23">
        <v>0.3</v>
      </c>
      <c r="AJ18" s="23">
        <v>0.45</v>
      </c>
      <c r="AK18" s="23">
        <v>17.7</v>
      </c>
    </row>
    <row r="19" spans="1:37" ht="15.75" thickBot="1" x14ac:dyDescent="0.3">
      <c r="A19">
        <f t="shared" ref="A19:A24" si="2">(E3-$E$9)^2</f>
        <v>15.598744689806052</v>
      </c>
      <c r="O19" s="7">
        <v>22.83</v>
      </c>
      <c r="P19" s="8">
        <v>0.8</v>
      </c>
      <c r="S19" s="30">
        <v>31.68</v>
      </c>
      <c r="T19" s="31">
        <f>T18+0.086</f>
        <v>1.3880000000000001</v>
      </c>
      <c r="W19">
        <v>22.59</v>
      </c>
      <c r="X19">
        <f xml:space="preserve">  3.2 * $X$2 / 4.5</f>
        <v>2.2340266666666668</v>
      </c>
      <c r="Z19">
        <v>31.5</v>
      </c>
      <c r="AA19">
        <f>2.4 * $X$2 / 3.3</f>
        <v>2.2848000000000002</v>
      </c>
      <c r="AH19" s="24">
        <v>7</v>
      </c>
      <c r="AI19" s="24">
        <v>0.3</v>
      </c>
      <c r="AJ19" s="24">
        <v>0.5</v>
      </c>
      <c r="AK19" s="24">
        <v>16</v>
      </c>
    </row>
    <row r="20" spans="1:37" x14ac:dyDescent="0.25">
      <c r="A20">
        <f t="shared" si="2"/>
        <v>136.58406489950363</v>
      </c>
      <c r="O20" s="7">
        <v>22.89</v>
      </c>
      <c r="P20" s="8">
        <v>0.84</v>
      </c>
      <c r="S20" s="30">
        <v>31.75</v>
      </c>
      <c r="T20" s="31">
        <v>1.5</v>
      </c>
      <c r="W20">
        <v>22.73</v>
      </c>
      <c r="X20">
        <f>3.3  * $X$2 / 4.4</f>
        <v>2.3561999999999994</v>
      </c>
      <c r="Z20">
        <v>31.6</v>
      </c>
      <c r="AA20">
        <f>2.4 * $X$2 / 3.2</f>
        <v>2.3561999999999999</v>
      </c>
    </row>
    <row r="21" spans="1:37" x14ac:dyDescent="0.25">
      <c r="A21">
        <f t="shared" si="2"/>
        <v>112.13037588877543</v>
      </c>
      <c r="O21" s="7">
        <v>22.94</v>
      </c>
      <c r="P21" s="8">
        <f t="shared" ref="P21:P23" si="3">P20+0.05</f>
        <v>0.89</v>
      </c>
      <c r="S21" s="30">
        <v>31.8</v>
      </c>
      <c r="T21" s="31">
        <v>1.58</v>
      </c>
      <c r="W21">
        <v>22.82</v>
      </c>
      <c r="X21">
        <f>3.5  * $X$2 / 4.4</f>
        <v>2.4989999999999997</v>
      </c>
      <c r="Z21">
        <v>31.71</v>
      </c>
      <c r="AA21">
        <v>2.5209999999999999</v>
      </c>
    </row>
    <row r="22" spans="1:37" x14ac:dyDescent="0.25">
      <c r="A22">
        <f t="shared" si="2"/>
        <v>190.97886458181111</v>
      </c>
      <c r="O22" s="7">
        <v>23.04</v>
      </c>
      <c r="P22" s="8">
        <v>0.95</v>
      </c>
      <c r="S22" s="30">
        <v>31.9</v>
      </c>
      <c r="T22" s="31">
        <v>1.67</v>
      </c>
      <c r="W22">
        <v>22.93</v>
      </c>
      <c r="X22">
        <f>3.7  * $X$2 / 4.4</f>
        <v>2.6417999999999999</v>
      </c>
      <c r="Z22">
        <v>31.84</v>
      </c>
      <c r="AA22">
        <f>2.8 * $X$2 / 3.2</f>
        <v>2.7488999999999995</v>
      </c>
    </row>
    <row r="23" spans="1:37" x14ac:dyDescent="0.25">
      <c r="A23">
        <f t="shared" si="2"/>
        <v>31.432873936377977</v>
      </c>
      <c r="O23" s="7">
        <v>23.2</v>
      </c>
      <c r="P23" s="8">
        <f t="shared" si="3"/>
        <v>1</v>
      </c>
      <c r="S23" s="30">
        <v>32.1</v>
      </c>
      <c r="T23" s="31">
        <v>1.72</v>
      </c>
      <c r="W23">
        <v>23.2</v>
      </c>
      <c r="X23">
        <f>$X$2</f>
        <v>3.1415999999999999</v>
      </c>
      <c r="Z23">
        <v>32.1</v>
      </c>
      <c r="AA23">
        <v>3.1415999999999999</v>
      </c>
      <c r="AD23" t="e">
        <f>#REF! / $Q$11</f>
        <v>#REF!</v>
      </c>
    </row>
    <row r="24" spans="1:37" x14ac:dyDescent="0.25">
      <c r="A24">
        <f t="shared" si="2"/>
        <v>88.073805045431811</v>
      </c>
      <c r="O24" s="7">
        <v>23.33</v>
      </c>
      <c r="P24" s="8">
        <v>0.96</v>
      </c>
      <c r="S24" s="30">
        <v>32.299999999999997</v>
      </c>
      <c r="T24" s="31">
        <v>1.67</v>
      </c>
      <c r="W24">
        <v>23.41</v>
      </c>
      <c r="X24">
        <f xml:space="preserve"> 0.5  * $X$2 / 4.3</f>
        <v>0.36530232558139536</v>
      </c>
      <c r="Z24">
        <v>32.33</v>
      </c>
      <c r="AA24">
        <f>0.4 * $X$2 / 3.2</f>
        <v>0.39269999999999999</v>
      </c>
    </row>
    <row r="25" spans="1:37" x14ac:dyDescent="0.25">
      <c r="O25" s="7">
        <v>23.42</v>
      </c>
      <c r="P25" s="8">
        <v>0.9</v>
      </c>
      <c r="S25" s="30">
        <v>32.4</v>
      </c>
      <c r="T25" s="31">
        <v>1.58</v>
      </c>
      <c r="W25">
        <v>23.52</v>
      </c>
      <c r="X25">
        <f xml:space="preserve"> 0.8  * $X$2 / 4.3</f>
        <v>0.5844837209302326</v>
      </c>
      <c r="Z25">
        <v>32.5</v>
      </c>
      <c r="AA25">
        <f>0.6 * $X$2 / 3.2</f>
        <v>0.58904999999999996</v>
      </c>
    </row>
    <row r="26" spans="1:37" x14ac:dyDescent="0.25">
      <c r="O26" s="7">
        <v>23.48</v>
      </c>
      <c r="P26" s="8">
        <v>0.86</v>
      </c>
      <c r="S26" s="30">
        <v>32.47</v>
      </c>
      <c r="T26" s="31">
        <v>1.49</v>
      </c>
      <c r="W26">
        <v>23.66</v>
      </c>
      <c r="X26">
        <f xml:space="preserve"> 1  * $X$2 / 4.3</f>
        <v>0.73060465116279072</v>
      </c>
      <c r="Z26">
        <v>32.630000000000003</v>
      </c>
      <c r="AA26">
        <f>0.8 * $X$2 / 3.2</f>
        <v>0.78539999999999999</v>
      </c>
    </row>
    <row r="27" spans="1:37" x14ac:dyDescent="0.25">
      <c r="O27" s="7">
        <v>23.53</v>
      </c>
      <c r="P27" s="8">
        <v>0.8</v>
      </c>
      <c r="S27" s="30">
        <v>32.520000000000003</v>
      </c>
      <c r="T27" s="31">
        <v>1.4</v>
      </c>
      <c r="W27">
        <v>23.85</v>
      </c>
      <c r="X27">
        <f xml:space="preserve"> 1.3  * $X$2 / 4.2</f>
        <v>0.97240000000000004</v>
      </c>
      <c r="Z27">
        <v>32.69</v>
      </c>
      <c r="AA27">
        <f>0.9 * $X$2 / 3.2</f>
        <v>0.883575</v>
      </c>
    </row>
    <row r="28" spans="1:37" x14ac:dyDescent="0.25">
      <c r="O28" s="7">
        <v>23.62</v>
      </c>
      <c r="P28" s="8">
        <v>0.76</v>
      </c>
      <c r="S28" s="30">
        <v>32.590000000000003</v>
      </c>
      <c r="T28" s="31">
        <v>1.3</v>
      </c>
      <c r="W28">
        <v>0.55000000000000004</v>
      </c>
      <c r="X28">
        <f xml:space="preserve"> 1.4  * $X$2 / 4.2</f>
        <v>1.0471999999999999</v>
      </c>
      <c r="Z28">
        <v>32.83</v>
      </c>
      <c r="AA28">
        <f>1 * $X$2 / 3.2</f>
        <v>0.9817499999999999</v>
      </c>
    </row>
    <row r="29" spans="1:37" x14ac:dyDescent="0.25">
      <c r="O29" s="7">
        <v>23.7</v>
      </c>
      <c r="P29" s="8">
        <v>0.7</v>
      </c>
      <c r="S29" s="30">
        <v>32.68</v>
      </c>
      <c r="T29" s="31">
        <v>1.2</v>
      </c>
      <c r="W29">
        <v>0.47</v>
      </c>
      <c r="X29">
        <f xml:space="preserve"> 1.5  * $X$2 / 4.2</f>
        <v>1.1219999999999999</v>
      </c>
      <c r="Z29">
        <v>0.82</v>
      </c>
      <c r="AA29">
        <f>1.1 * $X$2 / 3.1</f>
        <v>1.1147612903225808</v>
      </c>
    </row>
    <row r="30" spans="1:37" ht="15.75" thickBot="1" x14ac:dyDescent="0.3">
      <c r="O30" s="7">
        <v>23.77</v>
      </c>
      <c r="P30" s="8">
        <v>0.66</v>
      </c>
      <c r="S30" s="30">
        <v>32.76</v>
      </c>
      <c r="T30" s="31">
        <v>1.1200000000000001</v>
      </c>
      <c r="W30">
        <v>0.4</v>
      </c>
      <c r="X30">
        <f xml:space="preserve"> 1.6  * $X$2 / 4.1</f>
        <v>1.225990243902439</v>
      </c>
      <c r="Z30">
        <v>0.66</v>
      </c>
      <c r="AA30">
        <f>1.2 * $X$2 / 3.1</f>
        <v>1.2161032258064515</v>
      </c>
    </row>
    <row r="31" spans="1:37" ht="15.75" thickBot="1" x14ac:dyDescent="0.3">
      <c r="O31" s="10">
        <v>23.87</v>
      </c>
      <c r="P31" s="11">
        <v>0.59</v>
      </c>
      <c r="S31" s="32">
        <v>32.840000000000003</v>
      </c>
      <c r="T31" s="33">
        <v>1.01</v>
      </c>
      <c r="W31">
        <v>0.28999999999999998</v>
      </c>
      <c r="X31" s="39" t="s">
        <v>19</v>
      </c>
      <c r="Y31" s="40"/>
      <c r="Z31">
        <v>0.51</v>
      </c>
      <c r="AA31" s="35" t="s">
        <v>19</v>
      </c>
      <c r="AB31" s="36"/>
    </row>
    <row r="32" spans="1:37" ht="15.75" thickBot="1" x14ac:dyDescent="0.3">
      <c r="O32" s="12" t="s">
        <v>24</v>
      </c>
      <c r="P32" s="13" t="s">
        <v>25</v>
      </c>
      <c r="S32" s="27" t="s">
        <v>24</v>
      </c>
      <c r="T32" s="27" t="s">
        <v>25</v>
      </c>
      <c r="X32" s="12" t="s">
        <v>24</v>
      </c>
      <c r="Y32" s="15" t="s">
        <v>34</v>
      </c>
      <c r="AA32" s="14" t="s">
        <v>24</v>
      </c>
      <c r="AB32" s="15" t="s">
        <v>34</v>
      </c>
      <c r="AH32">
        <v>0.57446808510638292</v>
      </c>
      <c r="AI32">
        <v>0.58823529411764708</v>
      </c>
    </row>
    <row r="33" spans="15:35" ht="15.75" thickBot="1" x14ac:dyDescent="0.3">
      <c r="O33" s="16">
        <f>O15 / $S$9</f>
        <v>0.96982758620689657</v>
      </c>
      <c r="P33" s="6">
        <f>P15 / $S$11</f>
        <v>0.6</v>
      </c>
      <c r="S33" s="16">
        <f t="shared" ref="S33:S49" si="4">S15 / $Q$9</f>
        <v>0.97725856697819313</v>
      </c>
      <c r="T33" s="19">
        <f t="shared" ref="T33:T49" si="5">T15 / $Q$11</f>
        <v>0.58720930232558144</v>
      </c>
      <c r="W33">
        <f>X15 / $X$2</f>
        <v>0.57446808510638292</v>
      </c>
      <c r="X33" s="41">
        <v>0.94899999999999995</v>
      </c>
      <c r="Y33" s="44">
        <f>1 - AH32</f>
        <v>0.42553191489361708</v>
      </c>
      <c r="AA33" s="41">
        <v>0.96499999999999997</v>
      </c>
      <c r="AB33" s="47">
        <f>1 - AI32</f>
        <v>0.41176470588235292</v>
      </c>
      <c r="AE33">
        <v>0.57446808510638292</v>
      </c>
      <c r="AH33">
        <v>0.60869565217391308</v>
      </c>
      <c r="AI33">
        <v>0.61764705882352944</v>
      </c>
    </row>
    <row r="34" spans="15:35" ht="15.75" thickBot="1" x14ac:dyDescent="0.3">
      <c r="O34" s="17">
        <f t="shared" ref="O34:O49" si="6">O16 / $S$9</f>
        <v>0.97370689655172415</v>
      </c>
      <c r="P34" s="8">
        <f t="shared" ref="P34:P49" si="7">P16 / $S$11</f>
        <v>0.63</v>
      </c>
      <c r="S34" s="16">
        <f t="shared" si="4"/>
        <v>0.98099688473520241</v>
      </c>
      <c r="T34" s="19">
        <f t="shared" si="5"/>
        <v>0.65697674418604646</v>
      </c>
      <c r="W34">
        <f t="shared" ref="W34:W41" si="8">X16 / $X$2</f>
        <v>0.60869565217391308</v>
      </c>
      <c r="X34" s="42">
        <v>0.95699999999999996</v>
      </c>
      <c r="Y34" s="45">
        <f t="shared" ref="Y34:Y49" si="9">1 - AH33</f>
        <v>0.39130434782608692</v>
      </c>
      <c r="AA34" s="42">
        <v>0.96899999999999997</v>
      </c>
      <c r="AB34" s="48">
        <f t="shared" ref="AB34:AB49" si="10">1 - AI33</f>
        <v>0.38235294117647056</v>
      </c>
      <c r="AE34">
        <v>0.60869565217391308</v>
      </c>
      <c r="AH34">
        <v>0.64444444444444438</v>
      </c>
      <c r="AI34">
        <v>0.66666666666666674</v>
      </c>
    </row>
    <row r="35" spans="15:35" ht="15.75" thickBot="1" x14ac:dyDescent="0.3">
      <c r="O35" s="17">
        <f t="shared" si="6"/>
        <v>0.97844827586206895</v>
      </c>
      <c r="P35" s="8">
        <f t="shared" si="7"/>
        <v>0.7</v>
      </c>
      <c r="S35" s="16">
        <f t="shared" si="4"/>
        <v>0.98317757009345785</v>
      </c>
      <c r="T35" s="19">
        <f t="shared" si="5"/>
        <v>0.7069767441860465</v>
      </c>
      <c r="W35">
        <f t="shared" si="8"/>
        <v>0.64444444444444438</v>
      </c>
      <c r="X35" s="42">
        <v>0.96399999999999997</v>
      </c>
      <c r="Y35" s="45">
        <f t="shared" si="9"/>
        <v>0.35555555555555562</v>
      </c>
      <c r="AA35" s="42">
        <v>0.97599999999999998</v>
      </c>
      <c r="AB35" s="48">
        <f t="shared" si="10"/>
        <v>0.33333333333333326</v>
      </c>
      <c r="AE35">
        <v>0.64444444444444438</v>
      </c>
      <c r="AH35">
        <v>0.68888888888888899</v>
      </c>
      <c r="AI35">
        <v>0.6875</v>
      </c>
    </row>
    <row r="36" spans="15:35" ht="15.75" thickBot="1" x14ac:dyDescent="0.3">
      <c r="O36" s="17">
        <f t="shared" si="6"/>
        <v>0.98103448275862082</v>
      </c>
      <c r="P36" s="8">
        <f t="shared" si="7"/>
        <v>0.74</v>
      </c>
      <c r="S36" s="16">
        <f t="shared" si="4"/>
        <v>0.98504672897196266</v>
      </c>
      <c r="T36" s="19">
        <f t="shared" si="5"/>
        <v>0.75697674418604655</v>
      </c>
      <c r="W36">
        <f t="shared" si="8"/>
        <v>0.68888888888888899</v>
      </c>
      <c r="X36" s="42">
        <v>0.97</v>
      </c>
      <c r="Y36" s="45">
        <f t="shared" si="9"/>
        <v>0.31111111111111101</v>
      </c>
      <c r="AA36" s="42">
        <v>0.97899999999999998</v>
      </c>
      <c r="AB36" s="48">
        <f t="shared" si="10"/>
        <v>0.3125</v>
      </c>
      <c r="AE36">
        <v>0.68888888888888899</v>
      </c>
      <c r="AH36">
        <v>0.71111111111111114</v>
      </c>
      <c r="AI36">
        <v>0.72727272727272729</v>
      </c>
    </row>
    <row r="37" spans="15:35" ht="15.75" thickBot="1" x14ac:dyDescent="0.3">
      <c r="O37" s="17">
        <f t="shared" si="6"/>
        <v>0.98405172413793096</v>
      </c>
      <c r="P37" s="8">
        <f t="shared" si="7"/>
        <v>0.8</v>
      </c>
      <c r="S37" s="16">
        <f t="shared" si="4"/>
        <v>0.98691588785046724</v>
      </c>
      <c r="T37" s="19">
        <f t="shared" si="5"/>
        <v>0.80697674418604659</v>
      </c>
      <c r="W37">
        <f t="shared" si="8"/>
        <v>0.71111111111111114</v>
      </c>
      <c r="X37" s="42">
        <v>0.97399999999999998</v>
      </c>
      <c r="Y37" s="45">
        <f t="shared" si="9"/>
        <v>0.28888888888888886</v>
      </c>
      <c r="AA37" s="42">
        <v>0.98199999999999998</v>
      </c>
      <c r="AB37" s="48">
        <f t="shared" si="10"/>
        <v>0.27272727272727271</v>
      </c>
      <c r="AE37">
        <v>0.71111111111111114</v>
      </c>
      <c r="AH37">
        <v>0.74999999999999978</v>
      </c>
      <c r="AI37">
        <v>0.75</v>
      </c>
    </row>
    <row r="38" spans="15:35" ht="15.75" thickBot="1" x14ac:dyDescent="0.3">
      <c r="O38" s="17">
        <f t="shared" si="6"/>
        <v>0.98663793103448283</v>
      </c>
      <c r="P38" s="8">
        <f t="shared" si="7"/>
        <v>0.84</v>
      </c>
      <c r="S38" s="16">
        <f t="shared" si="4"/>
        <v>0.98909657320872268</v>
      </c>
      <c r="T38" s="19">
        <f t="shared" si="5"/>
        <v>0.87209302325581395</v>
      </c>
      <c r="W38">
        <f t="shared" si="8"/>
        <v>0.74999999999999978</v>
      </c>
      <c r="X38" s="42">
        <v>0.97799999999999998</v>
      </c>
      <c r="Y38" s="45">
        <f t="shared" si="9"/>
        <v>0.25000000000000022</v>
      </c>
      <c r="AA38" s="42">
        <f t="shared" ref="AA38:AA44" si="11">Z20 / $Q$9</f>
        <v>0.98442367601246106</v>
      </c>
      <c r="AB38" s="48">
        <f t="shared" si="10"/>
        <v>0.25</v>
      </c>
      <c r="AE38">
        <v>0.74999999999999978</v>
      </c>
      <c r="AH38">
        <v>0.79545454545454541</v>
      </c>
      <c r="AI38">
        <v>0.80245734657499357</v>
      </c>
    </row>
    <row r="39" spans="15:35" ht="15.75" thickBot="1" x14ac:dyDescent="0.3">
      <c r="O39" s="17">
        <f t="shared" si="6"/>
        <v>0.98879310344827598</v>
      </c>
      <c r="P39" s="8">
        <f t="shared" si="7"/>
        <v>0.89</v>
      </c>
      <c r="S39" s="16">
        <f t="shared" si="4"/>
        <v>0.99065420560747663</v>
      </c>
      <c r="T39" s="19">
        <f t="shared" si="5"/>
        <v>0.91860465116279078</v>
      </c>
      <c r="W39">
        <f t="shared" si="8"/>
        <v>0.79545454545454541</v>
      </c>
      <c r="X39" s="42">
        <v>0.98299999999999998</v>
      </c>
      <c r="Y39" s="45">
        <f t="shared" si="9"/>
        <v>0.20454545454545459</v>
      </c>
      <c r="AA39" s="42">
        <f t="shared" si="11"/>
        <v>0.98785046728971959</v>
      </c>
      <c r="AB39" s="48">
        <f t="shared" si="10"/>
        <v>0.19754265342500643</v>
      </c>
      <c r="AE39">
        <v>0.79545454545454541</v>
      </c>
      <c r="AH39">
        <v>0.84090909090909094</v>
      </c>
      <c r="AI39">
        <v>0.87499999999999989</v>
      </c>
    </row>
    <row r="40" spans="15:35" ht="15.75" thickBot="1" x14ac:dyDescent="0.3">
      <c r="O40" s="17">
        <f t="shared" si="6"/>
        <v>0.99310344827586206</v>
      </c>
      <c r="P40" s="8">
        <f t="shared" si="7"/>
        <v>0.95</v>
      </c>
      <c r="S40" s="16">
        <f t="shared" si="4"/>
        <v>0.99376947040498431</v>
      </c>
      <c r="T40" s="19">
        <f t="shared" si="5"/>
        <v>0.97093023255813948</v>
      </c>
      <c r="W40">
        <f t="shared" si="8"/>
        <v>0.84090909090909094</v>
      </c>
      <c r="X40" s="42">
        <v>0.98799999999999999</v>
      </c>
      <c r="Y40" s="45">
        <f t="shared" si="9"/>
        <v>0.15909090909090906</v>
      </c>
      <c r="AA40" s="42">
        <f t="shared" si="11"/>
        <v>0.99190031152647973</v>
      </c>
      <c r="AB40" s="48">
        <f t="shared" si="10"/>
        <v>0.12500000000000011</v>
      </c>
      <c r="AE40">
        <v>0.84090909090909094</v>
      </c>
      <c r="AH40">
        <v>1</v>
      </c>
      <c r="AI40">
        <v>1</v>
      </c>
    </row>
    <row r="41" spans="15:35" ht="15.75" thickBot="1" x14ac:dyDescent="0.3">
      <c r="O41" s="17">
        <f t="shared" si="6"/>
        <v>1</v>
      </c>
      <c r="P41" s="8">
        <f t="shared" si="7"/>
        <v>1</v>
      </c>
      <c r="S41" s="16">
        <f t="shared" si="4"/>
        <v>1</v>
      </c>
      <c r="T41" s="19">
        <f t="shared" si="5"/>
        <v>1</v>
      </c>
      <c r="W41">
        <f t="shared" si="8"/>
        <v>1</v>
      </c>
      <c r="X41" s="42">
        <f t="shared" ref="X41:X45" si="12">W23 / $W$23</f>
        <v>1</v>
      </c>
      <c r="Y41" s="45">
        <f t="shared" si="9"/>
        <v>0</v>
      </c>
      <c r="AA41" s="42">
        <f t="shared" si="11"/>
        <v>1</v>
      </c>
      <c r="AB41" s="48">
        <f t="shared" si="10"/>
        <v>0</v>
      </c>
      <c r="AE41">
        <v>1</v>
      </c>
      <c r="AH41">
        <v>1.1162790697674418</v>
      </c>
      <c r="AI41">
        <v>1.125</v>
      </c>
    </row>
    <row r="42" spans="15:35" ht="15.75" thickBot="1" x14ac:dyDescent="0.3">
      <c r="O42" s="17">
        <f t="shared" si="6"/>
        <v>1.005603448275862</v>
      </c>
      <c r="P42" s="8">
        <f t="shared" si="7"/>
        <v>0.96</v>
      </c>
      <c r="S42" s="16">
        <f t="shared" si="4"/>
        <v>1.0062305295950154</v>
      </c>
      <c r="T42" s="19">
        <f t="shared" si="5"/>
        <v>0.97093023255813948</v>
      </c>
      <c r="W42">
        <f>X24 / $X$2 + 1</f>
        <v>1.1162790697674418</v>
      </c>
      <c r="X42" s="42">
        <f t="shared" si="12"/>
        <v>1.0090517241379311</v>
      </c>
      <c r="Y42" s="45">
        <f t="shared" si="9"/>
        <v>-0.11627906976744184</v>
      </c>
      <c r="AA42" s="42">
        <f t="shared" si="11"/>
        <v>1.0071651090342679</v>
      </c>
      <c r="AB42" s="48">
        <f t="shared" si="10"/>
        <v>-0.125</v>
      </c>
      <c r="AE42">
        <v>1.1162790697674418</v>
      </c>
      <c r="AH42">
        <v>1.1860465116279071</v>
      </c>
      <c r="AI42">
        <v>1.1875</v>
      </c>
    </row>
    <row r="43" spans="15:35" ht="15.75" thickBot="1" x14ac:dyDescent="0.3">
      <c r="O43" s="17">
        <f t="shared" si="6"/>
        <v>1.0094827586206898</v>
      </c>
      <c r="P43" s="8">
        <f t="shared" si="7"/>
        <v>0.9</v>
      </c>
      <c r="S43" s="16">
        <f t="shared" si="4"/>
        <v>1.0093457943925233</v>
      </c>
      <c r="T43" s="19">
        <f t="shared" si="5"/>
        <v>0.91860465116279078</v>
      </c>
      <c r="W43">
        <f t="shared" ref="W43:W48" si="13">X25 / $X$2 + 1</f>
        <v>1.1860465116279071</v>
      </c>
      <c r="X43" s="42">
        <f t="shared" si="12"/>
        <v>1.0137931034482759</v>
      </c>
      <c r="Y43" s="45">
        <f t="shared" si="9"/>
        <v>-0.18604651162790709</v>
      </c>
      <c r="AA43" s="42">
        <f t="shared" si="11"/>
        <v>1.0124610591900312</v>
      </c>
      <c r="AB43" s="48">
        <f t="shared" si="10"/>
        <v>-0.1875</v>
      </c>
      <c r="AE43">
        <v>1.1860465116279071</v>
      </c>
      <c r="AH43">
        <v>1.2325581395348837</v>
      </c>
      <c r="AI43">
        <v>1.25</v>
      </c>
    </row>
    <row r="44" spans="15:35" ht="15.75" thickBot="1" x14ac:dyDescent="0.3">
      <c r="O44" s="17">
        <f t="shared" si="6"/>
        <v>1.0120689655172415</v>
      </c>
      <c r="P44" s="8">
        <f t="shared" si="7"/>
        <v>0.86</v>
      </c>
      <c r="S44" s="16">
        <f t="shared" si="4"/>
        <v>1.0115264797507788</v>
      </c>
      <c r="T44" s="19">
        <f t="shared" si="5"/>
        <v>0.86627906976744184</v>
      </c>
      <c r="W44">
        <f t="shared" si="13"/>
        <v>1.2325581395348837</v>
      </c>
      <c r="X44" s="42">
        <f t="shared" si="12"/>
        <v>1.0198275862068966</v>
      </c>
      <c r="Y44" s="45">
        <f t="shared" si="9"/>
        <v>-0.23255813953488369</v>
      </c>
      <c r="AA44" s="42">
        <f t="shared" si="11"/>
        <v>1.0165109034267914</v>
      </c>
      <c r="AB44" s="48">
        <f t="shared" si="10"/>
        <v>-0.25</v>
      </c>
      <c r="AE44">
        <v>1.2325581395348837</v>
      </c>
      <c r="AH44">
        <v>1.3095238095238095</v>
      </c>
      <c r="AI44">
        <v>1.28125</v>
      </c>
    </row>
    <row r="45" spans="15:35" ht="15.75" thickBot="1" x14ac:dyDescent="0.3">
      <c r="O45" s="17">
        <f t="shared" si="6"/>
        <v>1.0142241379310346</v>
      </c>
      <c r="P45" s="8">
        <f t="shared" si="7"/>
        <v>0.8</v>
      </c>
      <c r="S45" s="16">
        <f t="shared" si="4"/>
        <v>1.0130841121495329</v>
      </c>
      <c r="T45" s="19">
        <f t="shared" si="5"/>
        <v>0.81395348837209303</v>
      </c>
      <c r="W45">
        <f t="shared" si="13"/>
        <v>1.3095238095238095</v>
      </c>
      <c r="X45" s="42">
        <f t="shared" si="12"/>
        <v>1.0280172413793105</v>
      </c>
      <c r="Y45" s="45">
        <f t="shared" si="9"/>
        <v>-0.30952380952380953</v>
      </c>
      <c r="AA45" s="42">
        <v>1.0189999999999999</v>
      </c>
      <c r="AB45" s="48">
        <f t="shared" si="10"/>
        <v>-0.28125</v>
      </c>
      <c r="AE45">
        <v>1.3095238095238095</v>
      </c>
      <c r="AH45">
        <v>1.3333333333333333</v>
      </c>
      <c r="AI45">
        <v>1.3125</v>
      </c>
    </row>
    <row r="46" spans="15:35" ht="15.75" thickBot="1" x14ac:dyDescent="0.3">
      <c r="O46" s="17">
        <f t="shared" si="6"/>
        <v>1.0181034482758622</v>
      </c>
      <c r="P46" s="8">
        <f t="shared" si="7"/>
        <v>0.76</v>
      </c>
      <c r="S46" s="16">
        <f t="shared" si="4"/>
        <v>1.0152647975077882</v>
      </c>
      <c r="T46" s="19">
        <f t="shared" si="5"/>
        <v>0.7558139534883721</v>
      </c>
      <c r="W46">
        <f t="shared" si="13"/>
        <v>1.3333333333333333</v>
      </c>
      <c r="X46" s="42">
        <v>1.032</v>
      </c>
      <c r="Y46" s="45">
        <f t="shared" si="9"/>
        <v>-0.33333333333333326</v>
      </c>
      <c r="AA46" s="42">
        <v>1.022</v>
      </c>
      <c r="AB46" s="48">
        <f t="shared" si="10"/>
        <v>-0.3125</v>
      </c>
      <c r="AE46">
        <v>1.3333333333333333</v>
      </c>
      <c r="AH46">
        <v>1.3571428571428572</v>
      </c>
      <c r="AI46">
        <v>1.3548387096774195</v>
      </c>
    </row>
    <row r="47" spans="15:35" ht="15.75" thickBot="1" x14ac:dyDescent="0.3">
      <c r="O47" s="17">
        <f t="shared" si="6"/>
        <v>1.021551724137931</v>
      </c>
      <c r="P47" s="8">
        <f t="shared" si="7"/>
        <v>0.7</v>
      </c>
      <c r="S47" s="16">
        <f t="shared" si="4"/>
        <v>1.018068535825545</v>
      </c>
      <c r="T47" s="19">
        <f t="shared" si="5"/>
        <v>0.69767441860465118</v>
      </c>
      <c r="W47">
        <f t="shared" si="13"/>
        <v>1.3571428571428572</v>
      </c>
      <c r="X47" s="42">
        <v>1.038</v>
      </c>
      <c r="Y47" s="45">
        <f t="shared" si="9"/>
        <v>-0.35714285714285721</v>
      </c>
      <c r="AA47" s="42">
        <v>1.0269999999999999</v>
      </c>
      <c r="AB47" s="48">
        <f t="shared" si="10"/>
        <v>-0.35483870967741948</v>
      </c>
      <c r="AE47">
        <v>1.3571428571428572</v>
      </c>
      <c r="AH47">
        <v>1.3902439024390243</v>
      </c>
      <c r="AI47">
        <v>1.3870967741935483</v>
      </c>
    </row>
    <row r="48" spans="15:35" ht="15.75" thickBot="1" x14ac:dyDescent="0.3">
      <c r="O48" s="17">
        <f t="shared" si="6"/>
        <v>1.0245689655172414</v>
      </c>
      <c r="P48" s="8">
        <f t="shared" si="7"/>
        <v>0.66</v>
      </c>
      <c r="S48" s="16">
        <f t="shared" si="4"/>
        <v>1.0205607476635512</v>
      </c>
      <c r="T48" s="19">
        <f t="shared" si="5"/>
        <v>0.65116279069767447</v>
      </c>
      <c r="W48">
        <f t="shared" si="13"/>
        <v>1.3902439024390243</v>
      </c>
      <c r="X48" s="42">
        <v>1.0429999999999999</v>
      </c>
      <c r="Y48" s="45">
        <f t="shared" si="9"/>
        <v>-0.39024390243902429</v>
      </c>
      <c r="AA48" s="42">
        <v>1.032</v>
      </c>
      <c r="AB48" s="48">
        <f t="shared" si="10"/>
        <v>-0.38709677419354827</v>
      </c>
      <c r="AE48">
        <v>1.3902439024390243</v>
      </c>
      <c r="AH48">
        <v>1.425</v>
      </c>
      <c r="AI48">
        <v>1.4</v>
      </c>
    </row>
    <row r="49" spans="15:31" ht="15.75" thickBot="1" x14ac:dyDescent="0.3">
      <c r="O49" s="18">
        <f t="shared" si="6"/>
        <v>1.0288793103448277</v>
      </c>
      <c r="P49" s="9">
        <f t="shared" si="7"/>
        <v>0.59</v>
      </c>
      <c r="S49" s="16">
        <f t="shared" si="4"/>
        <v>1.0230529595015576</v>
      </c>
      <c r="T49" s="19">
        <f t="shared" si="5"/>
        <v>0.58720930232558144</v>
      </c>
      <c r="W49">
        <v>1.425</v>
      </c>
      <c r="X49" s="43">
        <v>1.048</v>
      </c>
      <c r="Y49" s="46">
        <f t="shared" si="9"/>
        <v>-0.42500000000000004</v>
      </c>
      <c r="AA49" s="43">
        <v>1.0369999999999999</v>
      </c>
      <c r="AB49" s="49">
        <f t="shared" si="10"/>
        <v>-0.39999999999999991</v>
      </c>
      <c r="AE49">
        <v>1.425</v>
      </c>
    </row>
    <row r="50" spans="15:31" x14ac:dyDescent="0.25">
      <c r="O50" t="s">
        <v>33</v>
      </c>
      <c r="P50" s="34">
        <f>1.022 - 0.979</f>
        <v>4.3000000000000038E-2</v>
      </c>
      <c r="S50" t="s">
        <v>33</v>
      </c>
      <c r="T50">
        <f>1.017 - 0.983</f>
        <v>3.3999999999999919E-2</v>
      </c>
    </row>
  </sheetData>
  <mergeCells count="12">
    <mergeCell ref="AA31:AB31"/>
    <mergeCell ref="A9:D9"/>
    <mergeCell ref="A10:D10"/>
    <mergeCell ref="A11:D11"/>
    <mergeCell ref="A12:D12"/>
    <mergeCell ref="O13:P13"/>
    <mergeCell ref="O12:P12"/>
    <mergeCell ref="S12:T12"/>
    <mergeCell ref="S13:T13"/>
    <mergeCell ref="W12:X12"/>
    <mergeCell ref="W13:X13"/>
    <mergeCell ref="X31:Y3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2020-10-03T02:23:12Z</dcterms:created>
  <dcterms:modified xsi:type="dcterms:W3CDTF">2020-10-09T08:43:13Z</dcterms:modified>
</cp:coreProperties>
</file>