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lliotsykora/Documents/UChicagoTA/Midterm1_2022/Solutions/"/>
    </mc:Choice>
  </mc:AlternateContent>
  <xr:revisionPtr revIDLastSave="0" documentId="13_ncr:1_{34E57AC8-B6CB-8847-BA00-B237A8785C69}" xr6:coauthVersionLast="47" xr6:coauthVersionMax="47" xr10:uidLastSave="{00000000-0000-0000-0000-000000000000}"/>
  <bookViews>
    <workbookView xWindow="8780" yWindow="500" windowWidth="21000" windowHeight="19580" xr2:uid="{00000000-000D-0000-FFFF-FFFF00000000}"/>
  </bookViews>
  <sheets>
    <sheet name="Solution" sheetId="5" r:id="rId1"/>
    <sheet name="Assumptions" sheetId="4" r:id="rId2"/>
    <sheet name="Consolidated Statements" sheetId="2" r:id="rId3"/>
  </sheets>
  <definedNames>
    <definedName name="active_size">#REF!</definedName>
    <definedName name="comp_size">#REF!</definedName>
    <definedName name="dsi">#REF!</definedName>
    <definedName name="exhibit_1">#REF!</definedName>
    <definedName name="exhibit_2">#REF!</definedName>
    <definedName name="exhibit_3">#REF!</definedName>
    <definedName name="exhibit_4">#REF!</definedName>
    <definedName name="exhibit_5">#REF!</definedName>
    <definedName name="exhibit_6">#REF!</definedName>
    <definedName name="exhibit_7">#REF!</definedName>
    <definedName name="size">#REF!</definedName>
    <definedName name="w_casual_ebit">#REF!</definedName>
    <definedName name="w_casual_growth">#REF!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8" i="5" l="1"/>
  <c r="E38" i="5"/>
  <c r="F38" i="5"/>
  <c r="G38" i="5"/>
  <c r="H38" i="5"/>
  <c r="I38" i="5"/>
  <c r="J38" i="5"/>
  <c r="K38" i="5"/>
  <c r="L38" i="5"/>
  <c r="M38" i="5"/>
  <c r="N38" i="5"/>
  <c r="O38" i="5"/>
  <c r="P38" i="5"/>
  <c r="Q38" i="5"/>
  <c r="R38" i="5"/>
  <c r="C38" i="5"/>
  <c r="D135" i="5" l="1"/>
  <c r="E135" i="5"/>
  <c r="F135" i="5"/>
  <c r="G135" i="5"/>
  <c r="C135" i="5"/>
  <c r="D134" i="5"/>
  <c r="E134" i="5"/>
  <c r="F134" i="5"/>
  <c r="G134" i="5"/>
  <c r="C134" i="5"/>
  <c r="D125" i="5"/>
  <c r="E125" i="5"/>
  <c r="F125" i="5"/>
  <c r="G125" i="5"/>
  <c r="C125" i="5"/>
  <c r="C118" i="5"/>
  <c r="D114" i="5"/>
  <c r="E114" i="5"/>
  <c r="F114" i="5"/>
  <c r="G114" i="5"/>
  <c r="H114" i="5"/>
  <c r="C114" i="5"/>
  <c r="C110" i="5"/>
  <c r="D106" i="5"/>
  <c r="E106" i="5"/>
  <c r="F106" i="5"/>
  <c r="G106" i="5"/>
  <c r="H106" i="5"/>
  <c r="C106" i="5"/>
  <c r="D97" i="5"/>
  <c r="E97" i="5"/>
  <c r="F97" i="5"/>
  <c r="G97" i="5"/>
  <c r="C97" i="5"/>
  <c r="C92" i="5"/>
  <c r="D87" i="5"/>
  <c r="E87" i="5"/>
  <c r="F87" i="5"/>
  <c r="G87" i="5"/>
  <c r="C87" i="5"/>
  <c r="E82" i="5"/>
  <c r="F82" i="5"/>
  <c r="G82" i="5"/>
  <c r="H82" i="5"/>
  <c r="I82" i="5"/>
  <c r="J82" i="5"/>
  <c r="K82" i="5"/>
  <c r="L82" i="5"/>
  <c r="M82" i="5"/>
  <c r="N82" i="5"/>
  <c r="O82" i="5"/>
  <c r="P82" i="5"/>
  <c r="Q82" i="5"/>
  <c r="R82" i="5"/>
  <c r="E83" i="5"/>
  <c r="F83" i="5"/>
  <c r="G83" i="5"/>
  <c r="H83" i="5"/>
  <c r="I83" i="5"/>
  <c r="J83" i="5"/>
  <c r="K83" i="5"/>
  <c r="L83" i="5"/>
  <c r="M83" i="5"/>
  <c r="N83" i="5"/>
  <c r="O83" i="5"/>
  <c r="P83" i="5"/>
  <c r="Q83" i="5"/>
  <c r="R83" i="5"/>
  <c r="D83" i="5"/>
  <c r="D82" i="5"/>
  <c r="E81" i="5"/>
  <c r="F81" i="5"/>
  <c r="G81" i="5"/>
  <c r="H81" i="5"/>
  <c r="I81" i="5"/>
  <c r="J81" i="5"/>
  <c r="K81" i="5"/>
  <c r="L81" i="5"/>
  <c r="M81" i="5"/>
  <c r="N81" i="5"/>
  <c r="O81" i="5"/>
  <c r="P81" i="5"/>
  <c r="Q81" i="5"/>
  <c r="R81" i="5"/>
  <c r="D81" i="5"/>
  <c r="E80" i="5"/>
  <c r="F80" i="5"/>
  <c r="G80" i="5"/>
  <c r="H80" i="5"/>
  <c r="I80" i="5"/>
  <c r="J80" i="5"/>
  <c r="K80" i="5"/>
  <c r="L80" i="5"/>
  <c r="M80" i="5"/>
  <c r="N80" i="5"/>
  <c r="O80" i="5"/>
  <c r="P80" i="5"/>
  <c r="Q80" i="5"/>
  <c r="R80" i="5"/>
  <c r="D80" i="5"/>
  <c r="D71" i="5"/>
  <c r="E71" i="5"/>
  <c r="F71" i="5"/>
  <c r="G71" i="5"/>
  <c r="H71" i="5"/>
  <c r="I71" i="5"/>
  <c r="J71" i="5"/>
  <c r="K71" i="5"/>
  <c r="L71" i="5"/>
  <c r="M71" i="5"/>
  <c r="N71" i="5"/>
  <c r="O71" i="5"/>
  <c r="P71" i="5"/>
  <c r="Q71" i="5"/>
  <c r="R71" i="5"/>
  <c r="C71" i="5"/>
  <c r="D69" i="5"/>
  <c r="E69" i="5"/>
  <c r="F69" i="5"/>
  <c r="G69" i="5"/>
  <c r="H69" i="5"/>
  <c r="I69" i="5"/>
  <c r="J69" i="5"/>
  <c r="K69" i="5"/>
  <c r="L69" i="5"/>
  <c r="M69" i="5"/>
  <c r="N69" i="5"/>
  <c r="O69" i="5"/>
  <c r="P69" i="5"/>
  <c r="Q69" i="5"/>
  <c r="R69" i="5"/>
  <c r="C69" i="5"/>
  <c r="D54" i="5"/>
  <c r="E54" i="5"/>
  <c r="F54" i="5"/>
  <c r="G54" i="5"/>
  <c r="H54" i="5"/>
  <c r="I54" i="5"/>
  <c r="J54" i="5"/>
  <c r="K54" i="5"/>
  <c r="L54" i="5"/>
  <c r="M54" i="5"/>
  <c r="N54" i="5"/>
  <c r="O54" i="5"/>
  <c r="P54" i="5"/>
  <c r="Q54" i="5"/>
  <c r="R54" i="5"/>
  <c r="C54" i="5"/>
  <c r="D53" i="5"/>
  <c r="E53" i="5"/>
  <c r="F53" i="5"/>
  <c r="G53" i="5"/>
  <c r="H53" i="5"/>
  <c r="I53" i="5"/>
  <c r="J53" i="5"/>
  <c r="K53" i="5"/>
  <c r="L53" i="5"/>
  <c r="M53" i="5"/>
  <c r="N53" i="5"/>
  <c r="O53" i="5"/>
  <c r="P53" i="5"/>
  <c r="Q53" i="5"/>
  <c r="R53" i="5"/>
  <c r="C53" i="5"/>
  <c r="D47" i="5"/>
  <c r="E47" i="5"/>
  <c r="F47" i="5"/>
  <c r="G47" i="5"/>
  <c r="H47" i="5"/>
  <c r="I47" i="5"/>
  <c r="J47" i="5"/>
  <c r="K47" i="5"/>
  <c r="L47" i="5"/>
  <c r="M47" i="5"/>
  <c r="N47" i="5"/>
  <c r="O47" i="5"/>
  <c r="P47" i="5"/>
  <c r="Q47" i="5"/>
  <c r="R47" i="5"/>
  <c r="C47" i="5"/>
  <c r="D46" i="5"/>
  <c r="E46" i="5"/>
  <c r="F46" i="5"/>
  <c r="G46" i="5"/>
  <c r="H46" i="5"/>
  <c r="I46" i="5"/>
  <c r="J46" i="5"/>
  <c r="K46" i="5"/>
  <c r="L46" i="5"/>
  <c r="M46" i="5"/>
  <c r="N46" i="5"/>
  <c r="O46" i="5"/>
  <c r="P46" i="5"/>
  <c r="Q46" i="5"/>
  <c r="R46" i="5"/>
  <c r="C46" i="5"/>
  <c r="D45" i="5"/>
  <c r="D48" i="5" s="1"/>
  <c r="E45" i="5"/>
  <c r="E48" i="5" s="1"/>
  <c r="F45" i="5"/>
  <c r="F48" i="5" s="1"/>
  <c r="G45" i="5"/>
  <c r="G48" i="5" s="1"/>
  <c r="H45" i="5"/>
  <c r="H48" i="5" s="1"/>
  <c r="I45" i="5"/>
  <c r="I48" i="5" s="1"/>
  <c r="J45" i="5"/>
  <c r="J48" i="5" s="1"/>
  <c r="K45" i="5"/>
  <c r="K48" i="5" s="1"/>
  <c r="L45" i="5"/>
  <c r="L48" i="5" s="1"/>
  <c r="M45" i="5"/>
  <c r="M48" i="5" s="1"/>
  <c r="N45" i="5"/>
  <c r="N48" i="5" s="1"/>
  <c r="O45" i="5"/>
  <c r="O48" i="5" s="1"/>
  <c r="P45" i="5"/>
  <c r="P48" i="5" s="1"/>
  <c r="Q45" i="5"/>
  <c r="Q48" i="5" s="1"/>
  <c r="R45" i="5"/>
  <c r="R48" i="5" s="1"/>
  <c r="C45" i="5"/>
  <c r="C48" i="5" s="1"/>
  <c r="D26" i="5" l="1"/>
  <c r="E26" i="5"/>
  <c r="F26" i="5"/>
  <c r="G26" i="5"/>
  <c r="H26" i="5"/>
  <c r="I26" i="5"/>
  <c r="J26" i="5"/>
  <c r="K26" i="5"/>
  <c r="L26" i="5"/>
  <c r="M26" i="5"/>
  <c r="N26" i="5"/>
  <c r="O26" i="5"/>
  <c r="P26" i="5"/>
  <c r="Q26" i="5"/>
  <c r="R26" i="5"/>
  <c r="C26" i="5"/>
  <c r="D39" i="5"/>
  <c r="E39" i="5"/>
  <c r="F39" i="5"/>
  <c r="G39" i="5"/>
  <c r="H39" i="5"/>
  <c r="I39" i="5"/>
  <c r="J39" i="5"/>
  <c r="K39" i="5"/>
  <c r="L39" i="5"/>
  <c r="M39" i="5"/>
  <c r="N39" i="5"/>
  <c r="O39" i="5"/>
  <c r="P39" i="5"/>
  <c r="Q39" i="5"/>
  <c r="R39" i="5"/>
  <c r="C39" i="5"/>
  <c r="D28" i="5"/>
  <c r="E28" i="5"/>
  <c r="F28" i="5"/>
  <c r="G28" i="5"/>
  <c r="H28" i="5"/>
  <c r="I28" i="5"/>
  <c r="J28" i="5"/>
  <c r="K28" i="5"/>
  <c r="L28" i="5"/>
  <c r="M28" i="5"/>
  <c r="N28" i="5"/>
  <c r="O28" i="5"/>
  <c r="P28" i="5"/>
  <c r="Q28" i="5"/>
  <c r="R28" i="5"/>
  <c r="C28" i="5"/>
  <c r="D25" i="5"/>
  <c r="D27" i="5" s="1"/>
  <c r="E25" i="5"/>
  <c r="E27" i="5" s="1"/>
  <c r="F25" i="5"/>
  <c r="G25" i="5"/>
  <c r="G27" i="5" s="1"/>
  <c r="H25" i="5"/>
  <c r="I25" i="5"/>
  <c r="I27" i="5" s="1"/>
  <c r="J25" i="5"/>
  <c r="K25" i="5"/>
  <c r="K27" i="5" s="1"/>
  <c r="L25" i="5"/>
  <c r="L27" i="5" s="1"/>
  <c r="M25" i="5"/>
  <c r="M27" i="5" s="1"/>
  <c r="N25" i="5"/>
  <c r="O25" i="5"/>
  <c r="P25" i="5"/>
  <c r="Q25" i="5"/>
  <c r="Q27" i="5" s="1"/>
  <c r="R25" i="5"/>
  <c r="R27" i="5" s="1"/>
  <c r="C25" i="5"/>
  <c r="C27" i="5" s="1"/>
  <c r="M29" i="5" l="1"/>
  <c r="M30" i="5" s="1"/>
  <c r="C29" i="5"/>
  <c r="C30" i="5" s="1"/>
  <c r="L29" i="5"/>
  <c r="L30" i="5" s="1"/>
  <c r="G29" i="5"/>
  <c r="G30" i="5" s="1"/>
  <c r="E29" i="5"/>
  <c r="E30" i="5" s="1"/>
  <c r="D29" i="5"/>
  <c r="D30" i="5" s="1"/>
  <c r="K29" i="5"/>
  <c r="K30" i="5" s="1"/>
  <c r="R29" i="5"/>
  <c r="R30" i="5" s="1"/>
  <c r="Q30" i="5"/>
  <c r="Q70" i="5" s="1"/>
  <c r="Q72" i="5" s="1"/>
  <c r="R75" i="5" s="1"/>
  <c r="Q29" i="5"/>
  <c r="I29" i="5"/>
  <c r="I30" i="5" s="1"/>
  <c r="P27" i="5"/>
  <c r="F27" i="5"/>
  <c r="H27" i="5"/>
  <c r="J27" i="5"/>
  <c r="O27" i="5"/>
  <c r="N27" i="5"/>
  <c r="Q40" i="5"/>
  <c r="D17" i="5"/>
  <c r="E17" i="5"/>
  <c r="F17" i="5"/>
  <c r="G17" i="5"/>
  <c r="H17" i="5"/>
  <c r="I17" i="5"/>
  <c r="J17" i="5"/>
  <c r="K17" i="5"/>
  <c r="L17" i="5"/>
  <c r="M17" i="5"/>
  <c r="N17" i="5"/>
  <c r="O17" i="5"/>
  <c r="P17" i="5"/>
  <c r="Q17" i="5"/>
  <c r="R17" i="5"/>
  <c r="C17" i="5"/>
  <c r="D16" i="5"/>
  <c r="D18" i="5" s="1"/>
  <c r="E16" i="5"/>
  <c r="E18" i="5" s="1"/>
  <c r="F16" i="5"/>
  <c r="G16" i="5"/>
  <c r="H16" i="5"/>
  <c r="I16" i="5"/>
  <c r="J16" i="5"/>
  <c r="K16" i="5"/>
  <c r="L16" i="5"/>
  <c r="M16" i="5"/>
  <c r="M18" i="5" s="1"/>
  <c r="N16" i="5"/>
  <c r="N18" i="5" s="1"/>
  <c r="O16" i="5"/>
  <c r="P16" i="5"/>
  <c r="Q16" i="5"/>
  <c r="R16" i="5"/>
  <c r="C16" i="5"/>
  <c r="D8" i="5"/>
  <c r="D65" i="5" s="1"/>
  <c r="E8" i="5"/>
  <c r="E65" i="5" s="1"/>
  <c r="F8" i="5"/>
  <c r="F65" i="5" s="1"/>
  <c r="G8" i="5"/>
  <c r="G65" i="5" s="1"/>
  <c r="H8" i="5"/>
  <c r="H65" i="5" s="1"/>
  <c r="I8" i="5"/>
  <c r="I65" i="5" s="1"/>
  <c r="J8" i="5"/>
  <c r="J65" i="5" s="1"/>
  <c r="K8" i="5"/>
  <c r="K65" i="5" s="1"/>
  <c r="L8" i="5"/>
  <c r="L65" i="5" s="1"/>
  <c r="M8" i="5"/>
  <c r="M65" i="5" s="1"/>
  <c r="N8" i="5"/>
  <c r="N65" i="5" s="1"/>
  <c r="O8" i="5"/>
  <c r="O65" i="5" s="1"/>
  <c r="P8" i="5"/>
  <c r="P65" i="5" s="1"/>
  <c r="Q8" i="5"/>
  <c r="Q65" i="5" s="1"/>
  <c r="R8" i="5"/>
  <c r="R65" i="5" s="1"/>
  <c r="C8" i="5"/>
  <c r="C65" i="5" s="1"/>
  <c r="D6" i="5"/>
  <c r="E6" i="5"/>
  <c r="F6" i="5"/>
  <c r="G6" i="5"/>
  <c r="H6" i="5"/>
  <c r="I6" i="5"/>
  <c r="J6" i="5"/>
  <c r="K6" i="5"/>
  <c r="L6" i="5"/>
  <c r="M6" i="5"/>
  <c r="N6" i="5"/>
  <c r="O6" i="5"/>
  <c r="P6" i="5"/>
  <c r="Q6" i="5"/>
  <c r="R6" i="5"/>
  <c r="C6" i="5"/>
  <c r="D5" i="5"/>
  <c r="E5" i="5"/>
  <c r="F5" i="5"/>
  <c r="G5" i="5"/>
  <c r="H5" i="5"/>
  <c r="I5" i="5"/>
  <c r="J5" i="5"/>
  <c r="K5" i="5"/>
  <c r="L5" i="5"/>
  <c r="M5" i="5"/>
  <c r="N5" i="5"/>
  <c r="O5" i="5"/>
  <c r="P5" i="5"/>
  <c r="Q5" i="5"/>
  <c r="R5" i="5"/>
  <c r="C5" i="5"/>
  <c r="P4" i="5"/>
  <c r="P15" i="5" s="1"/>
  <c r="P24" i="5" s="1"/>
  <c r="P37" i="5" s="1"/>
  <c r="P44" i="5" s="1"/>
  <c r="P52" i="5" s="1"/>
  <c r="P60" i="5" s="1"/>
  <c r="P68" i="5" s="1"/>
  <c r="Q4" i="5"/>
  <c r="Q15" i="5" s="1"/>
  <c r="Q24" i="5" s="1"/>
  <c r="Q37" i="5" s="1"/>
  <c r="Q44" i="5" s="1"/>
  <c r="Q52" i="5" s="1"/>
  <c r="Q60" i="5" s="1"/>
  <c r="Q68" i="5" s="1"/>
  <c r="R4" i="5"/>
  <c r="R15" i="5" s="1"/>
  <c r="R24" i="5" s="1"/>
  <c r="R37" i="5" s="1"/>
  <c r="R44" i="5" s="1"/>
  <c r="R52" i="5" s="1"/>
  <c r="R60" i="5" s="1"/>
  <c r="R68" i="5" s="1"/>
  <c r="K4" i="5"/>
  <c r="K15" i="5" s="1"/>
  <c r="K24" i="5" s="1"/>
  <c r="K37" i="5" s="1"/>
  <c r="K44" i="5" s="1"/>
  <c r="K52" i="5" s="1"/>
  <c r="K60" i="5" s="1"/>
  <c r="K68" i="5" s="1"/>
  <c r="L4" i="5"/>
  <c r="L15" i="5" s="1"/>
  <c r="L24" i="5" s="1"/>
  <c r="L37" i="5" s="1"/>
  <c r="L44" i="5" s="1"/>
  <c r="L52" i="5" s="1"/>
  <c r="L60" i="5" s="1"/>
  <c r="L68" i="5" s="1"/>
  <c r="M4" i="5"/>
  <c r="M15" i="5" s="1"/>
  <c r="M24" i="5" s="1"/>
  <c r="M37" i="5" s="1"/>
  <c r="M44" i="5" s="1"/>
  <c r="M52" i="5" s="1"/>
  <c r="M60" i="5" s="1"/>
  <c r="M68" i="5" s="1"/>
  <c r="N4" i="5"/>
  <c r="N15" i="5" s="1"/>
  <c r="N24" i="5" s="1"/>
  <c r="N37" i="5" s="1"/>
  <c r="N44" i="5" s="1"/>
  <c r="N52" i="5" s="1"/>
  <c r="N60" i="5" s="1"/>
  <c r="N68" i="5" s="1"/>
  <c r="O4" i="5"/>
  <c r="O15" i="5" s="1"/>
  <c r="O24" i="5" s="1"/>
  <c r="O37" i="5" s="1"/>
  <c r="O44" i="5" s="1"/>
  <c r="O52" i="5" s="1"/>
  <c r="O60" i="5" s="1"/>
  <c r="O68" i="5" s="1"/>
  <c r="D4" i="5"/>
  <c r="D15" i="5" s="1"/>
  <c r="D24" i="5" s="1"/>
  <c r="D37" i="5" s="1"/>
  <c r="D44" i="5" s="1"/>
  <c r="D52" i="5" s="1"/>
  <c r="D60" i="5" s="1"/>
  <c r="D68" i="5" s="1"/>
  <c r="E4" i="5"/>
  <c r="E15" i="5" s="1"/>
  <c r="E24" i="5" s="1"/>
  <c r="E37" i="5" s="1"/>
  <c r="E44" i="5" s="1"/>
  <c r="E52" i="5" s="1"/>
  <c r="E60" i="5" s="1"/>
  <c r="E68" i="5" s="1"/>
  <c r="F4" i="5"/>
  <c r="F15" i="5" s="1"/>
  <c r="F24" i="5" s="1"/>
  <c r="F37" i="5" s="1"/>
  <c r="F44" i="5" s="1"/>
  <c r="F52" i="5" s="1"/>
  <c r="F60" i="5" s="1"/>
  <c r="F68" i="5" s="1"/>
  <c r="G4" i="5"/>
  <c r="G15" i="5" s="1"/>
  <c r="G24" i="5" s="1"/>
  <c r="G37" i="5" s="1"/>
  <c r="G44" i="5" s="1"/>
  <c r="G52" i="5" s="1"/>
  <c r="G60" i="5" s="1"/>
  <c r="G68" i="5" s="1"/>
  <c r="H4" i="5"/>
  <c r="H15" i="5" s="1"/>
  <c r="H24" i="5" s="1"/>
  <c r="H37" i="5" s="1"/>
  <c r="H44" i="5" s="1"/>
  <c r="H52" i="5" s="1"/>
  <c r="H60" i="5" s="1"/>
  <c r="H68" i="5" s="1"/>
  <c r="I4" i="5"/>
  <c r="I15" i="5" s="1"/>
  <c r="I24" i="5" s="1"/>
  <c r="I37" i="5" s="1"/>
  <c r="I44" i="5" s="1"/>
  <c r="I52" i="5" s="1"/>
  <c r="I60" i="5" s="1"/>
  <c r="I68" i="5" s="1"/>
  <c r="J4" i="5"/>
  <c r="J15" i="5" s="1"/>
  <c r="J24" i="5" s="1"/>
  <c r="J37" i="5" s="1"/>
  <c r="J44" i="5" s="1"/>
  <c r="J52" i="5" s="1"/>
  <c r="J60" i="5" s="1"/>
  <c r="J68" i="5" s="1"/>
  <c r="C4" i="5"/>
  <c r="C15" i="5" s="1"/>
  <c r="C24" i="5" s="1"/>
  <c r="C37" i="5" s="1"/>
  <c r="C44" i="5" s="1"/>
  <c r="C52" i="5" s="1"/>
  <c r="C60" i="5" s="1"/>
  <c r="C68" i="5" s="1"/>
  <c r="H25" i="2"/>
  <c r="G25" i="2"/>
  <c r="F25" i="2"/>
  <c r="E25" i="2"/>
  <c r="D25" i="2"/>
  <c r="C25" i="2"/>
  <c r="B25" i="2"/>
  <c r="I25" i="2"/>
  <c r="M70" i="5" l="1"/>
  <c r="M72" i="5" s="1"/>
  <c r="N75" i="5" s="1"/>
  <c r="M40" i="5"/>
  <c r="K70" i="5"/>
  <c r="K72" i="5" s="1"/>
  <c r="L75" i="5" s="1"/>
  <c r="K40" i="5"/>
  <c r="G70" i="5"/>
  <c r="G72" i="5" s="1"/>
  <c r="H75" i="5" s="1"/>
  <c r="G40" i="5"/>
  <c r="I70" i="5"/>
  <c r="I72" i="5" s="1"/>
  <c r="J75" i="5" s="1"/>
  <c r="I40" i="5"/>
  <c r="L70" i="5"/>
  <c r="L72" i="5" s="1"/>
  <c r="M75" i="5" s="1"/>
  <c r="L40" i="5"/>
  <c r="R70" i="5"/>
  <c r="R72" i="5" s="1"/>
  <c r="R40" i="5"/>
  <c r="R41" i="5" s="1"/>
  <c r="R55" i="5" s="1"/>
  <c r="R56" i="5" s="1"/>
  <c r="G126" i="5" s="1"/>
  <c r="D70" i="5"/>
  <c r="D72" i="5" s="1"/>
  <c r="E75" i="5" s="1"/>
  <c r="D40" i="5"/>
  <c r="E70" i="5"/>
  <c r="E72" i="5" s="1"/>
  <c r="F75" i="5" s="1"/>
  <c r="E40" i="5"/>
  <c r="C70" i="5"/>
  <c r="C72" i="5" s="1"/>
  <c r="D75" i="5" s="1"/>
  <c r="C40" i="5"/>
  <c r="N7" i="5"/>
  <c r="N63" i="5"/>
  <c r="D7" i="5"/>
  <c r="D63" i="5"/>
  <c r="H7" i="5"/>
  <c r="H63" i="5"/>
  <c r="O29" i="5"/>
  <c r="O30" i="5" s="1"/>
  <c r="E7" i="5"/>
  <c r="E63" i="5"/>
  <c r="G7" i="5"/>
  <c r="G63" i="5"/>
  <c r="P30" i="5"/>
  <c r="P29" i="5"/>
  <c r="L7" i="5"/>
  <c r="L63" i="5"/>
  <c r="K7" i="5"/>
  <c r="K63" i="5"/>
  <c r="C18" i="5"/>
  <c r="R7" i="5"/>
  <c r="R63" i="5"/>
  <c r="J7" i="5"/>
  <c r="J63" i="5"/>
  <c r="P7" i="5"/>
  <c r="P63" i="5"/>
  <c r="O7" i="5"/>
  <c r="O63" i="5"/>
  <c r="F7" i="5"/>
  <c r="F63" i="5"/>
  <c r="F18" i="5"/>
  <c r="J30" i="5"/>
  <c r="J29" i="5"/>
  <c r="M7" i="5"/>
  <c r="M63" i="5"/>
  <c r="C7" i="5"/>
  <c r="C64" i="5" s="1"/>
  <c r="C63" i="5"/>
  <c r="H29" i="5"/>
  <c r="H30" i="5" s="1"/>
  <c r="Q7" i="5"/>
  <c r="Q63" i="5"/>
  <c r="I7" i="5"/>
  <c r="I63" i="5"/>
  <c r="N29" i="5"/>
  <c r="N30" i="5" s="1"/>
  <c r="F30" i="5"/>
  <c r="F29" i="5"/>
  <c r="L18" i="5"/>
  <c r="R18" i="5"/>
  <c r="Q18" i="5"/>
  <c r="P18" i="5"/>
  <c r="O18" i="5"/>
  <c r="H18" i="5"/>
  <c r="G18" i="5"/>
  <c r="K18" i="5"/>
  <c r="J18" i="5"/>
  <c r="I18" i="5"/>
  <c r="E41" i="5" l="1"/>
  <c r="E55" i="5" s="1"/>
  <c r="E56" i="5" s="1"/>
  <c r="E57" i="5" s="1"/>
  <c r="L41" i="5"/>
  <c r="L55" i="5" s="1"/>
  <c r="L56" i="5" s="1"/>
  <c r="L57" i="5" s="1"/>
  <c r="D41" i="5"/>
  <c r="D55" i="5" s="1"/>
  <c r="D56" i="5" s="1"/>
  <c r="D57" i="5" s="1"/>
  <c r="N70" i="5"/>
  <c r="N72" i="5" s="1"/>
  <c r="O75" i="5" s="1"/>
  <c r="N40" i="5"/>
  <c r="O70" i="5"/>
  <c r="O72" i="5" s="1"/>
  <c r="P75" i="5" s="1"/>
  <c r="O40" i="5"/>
  <c r="O41" i="5" s="1"/>
  <c r="O55" i="5" s="1"/>
  <c r="O56" i="5" s="1"/>
  <c r="H70" i="5"/>
  <c r="H72" i="5" s="1"/>
  <c r="I75" i="5" s="1"/>
  <c r="H40" i="5"/>
  <c r="H41" i="5" s="1"/>
  <c r="H55" i="5" s="1"/>
  <c r="H56" i="5" s="1"/>
  <c r="H57" i="5" s="1"/>
  <c r="O74" i="5"/>
  <c r="O64" i="5"/>
  <c r="O76" i="5"/>
  <c r="D74" i="5"/>
  <c r="D64" i="5"/>
  <c r="D76" i="5"/>
  <c r="P70" i="5"/>
  <c r="P72" i="5" s="1"/>
  <c r="Q75" i="5" s="1"/>
  <c r="P40" i="5"/>
  <c r="F76" i="5"/>
  <c r="F74" i="5"/>
  <c r="F64" i="5"/>
  <c r="G74" i="5"/>
  <c r="G76" i="5"/>
  <c r="G64" i="5"/>
  <c r="I64" i="5"/>
  <c r="I76" i="5"/>
  <c r="M76" i="5"/>
  <c r="M64" i="5"/>
  <c r="M74" i="5"/>
  <c r="K64" i="5"/>
  <c r="K76" i="5"/>
  <c r="E76" i="5"/>
  <c r="E64" i="5"/>
  <c r="E74" i="5"/>
  <c r="R64" i="5"/>
  <c r="R74" i="5"/>
  <c r="R61" i="5"/>
  <c r="G88" i="5" s="1"/>
  <c r="R76" i="5"/>
  <c r="H64" i="5"/>
  <c r="H74" i="5"/>
  <c r="H76" i="5"/>
  <c r="P64" i="5"/>
  <c r="P74" i="5"/>
  <c r="P76" i="5"/>
  <c r="N76" i="5"/>
  <c r="N74" i="5"/>
  <c r="N64" i="5"/>
  <c r="N41" i="5"/>
  <c r="N55" i="5" s="1"/>
  <c r="N56" i="5" s="1"/>
  <c r="F70" i="5"/>
  <c r="F72" i="5" s="1"/>
  <c r="G75" i="5" s="1"/>
  <c r="F40" i="5"/>
  <c r="F41" i="5" s="1"/>
  <c r="F55" i="5" s="1"/>
  <c r="F56" i="5" s="1"/>
  <c r="F57" i="5" s="1"/>
  <c r="M41" i="5"/>
  <c r="M55" i="5" s="1"/>
  <c r="M56" i="5" s="1"/>
  <c r="M57" i="5" s="1"/>
  <c r="R57" i="5"/>
  <c r="Q64" i="5"/>
  <c r="Q76" i="5"/>
  <c r="J70" i="5"/>
  <c r="J72" i="5" s="1"/>
  <c r="K75" i="5" s="1"/>
  <c r="J40" i="5"/>
  <c r="J41" i="5" s="1"/>
  <c r="J55" i="5" s="1"/>
  <c r="J56" i="5" s="1"/>
  <c r="J57" i="5" s="1"/>
  <c r="L64" i="5"/>
  <c r="L74" i="5"/>
  <c r="L61" i="5"/>
  <c r="L76" i="5"/>
  <c r="J64" i="5"/>
  <c r="J74" i="5"/>
  <c r="J76" i="5"/>
  <c r="E61" i="5" l="1"/>
  <c r="D61" i="5"/>
  <c r="G107" i="5"/>
  <c r="C95" i="5"/>
  <c r="G98" i="5"/>
  <c r="M61" i="5"/>
  <c r="O57" i="5"/>
  <c r="D126" i="5"/>
  <c r="I41" i="5"/>
  <c r="I55" i="5" s="1"/>
  <c r="I56" i="5" s="1"/>
  <c r="I57" i="5" s="1"/>
  <c r="N57" i="5"/>
  <c r="C126" i="5"/>
  <c r="G41" i="5"/>
  <c r="G55" i="5" s="1"/>
  <c r="G56" i="5" s="1"/>
  <c r="G57" i="5" s="1"/>
  <c r="K74" i="5"/>
  <c r="I74" i="5"/>
  <c r="F61" i="5"/>
  <c r="G61" i="5"/>
  <c r="J61" i="5"/>
  <c r="Q74" i="5"/>
  <c r="N61" i="5"/>
  <c r="C88" i="5" s="1"/>
  <c r="K41" i="5"/>
  <c r="H61" i="5"/>
  <c r="P41" i="5"/>
  <c r="Q41" i="5"/>
  <c r="O61" i="5"/>
  <c r="D88" i="5" s="1"/>
  <c r="D98" i="5" l="1"/>
  <c r="D107" i="5"/>
  <c r="D108" i="5" s="1"/>
  <c r="C107" i="5"/>
  <c r="C108" i="5" s="1"/>
  <c r="C98" i="5"/>
  <c r="I61" i="5"/>
  <c r="H98" i="5"/>
  <c r="G115" i="5"/>
  <c r="G116" i="5" s="1"/>
  <c r="G99" i="5"/>
  <c r="G108" i="5"/>
  <c r="H107" i="5"/>
  <c r="H108" i="5" s="1"/>
  <c r="Q55" i="5"/>
  <c r="Q56" i="5" s="1"/>
  <c r="Q61" i="5"/>
  <c r="F88" i="5" s="1"/>
  <c r="P55" i="5"/>
  <c r="P56" i="5" s="1"/>
  <c r="P61" i="5"/>
  <c r="E88" i="5" s="1"/>
  <c r="K55" i="5"/>
  <c r="K56" i="5" s="1"/>
  <c r="K57" i="5" s="1"/>
  <c r="K61" i="5"/>
  <c r="E107" i="5" l="1"/>
  <c r="E108" i="5" s="1"/>
  <c r="E98" i="5"/>
  <c r="H99" i="5"/>
  <c r="H115" i="5"/>
  <c r="H116" i="5" s="1"/>
  <c r="P57" i="5"/>
  <c r="E126" i="5"/>
  <c r="F98" i="5"/>
  <c r="F107" i="5"/>
  <c r="F108" i="5" s="1"/>
  <c r="C115" i="5"/>
  <c r="C116" i="5" s="1"/>
  <c r="C99" i="5"/>
  <c r="Q57" i="5"/>
  <c r="F126" i="5"/>
  <c r="D115" i="5"/>
  <c r="D116" i="5" s="1"/>
  <c r="D99" i="5"/>
  <c r="C109" i="5" l="1"/>
  <c r="C111" i="5" s="1"/>
  <c r="F99" i="5"/>
  <c r="F115" i="5"/>
  <c r="F116" i="5" s="1"/>
  <c r="E99" i="5"/>
  <c r="E115" i="5"/>
  <c r="E116" i="5" s="1"/>
  <c r="C117" i="5" s="1"/>
  <c r="C119" i="5" s="1"/>
  <c r="C100" i="5" l="1"/>
  <c r="C103" i="5" s="1"/>
</calcChain>
</file>

<file path=xl/sharedStrings.xml><?xml version="1.0" encoding="utf-8"?>
<sst xmlns="http://schemas.openxmlformats.org/spreadsheetml/2006/main" count="139" uniqueCount="116">
  <si>
    <t>Financial Statement for: TWITTER INC</t>
  </si>
  <si>
    <t>ASSETS</t>
  </si>
  <si>
    <t>Cash and Short-Term Investments</t>
  </si>
  <si>
    <t>Receivables</t>
  </si>
  <si>
    <t>Inventories - Total</t>
  </si>
  <si>
    <t>Current Assets - Other</t>
  </si>
  <si>
    <t>Prop.Plant &amp; Equip.- Total (Net)</t>
  </si>
  <si>
    <t>Intangibles</t>
  </si>
  <si>
    <t>Assets - Other</t>
  </si>
  <si>
    <t>Assets - Total</t>
  </si>
  <si>
    <t>LIABILITIES</t>
  </si>
  <si>
    <t>Debt in Current Liabilities</t>
  </si>
  <si>
    <t>Accounts Payable</t>
  </si>
  <si>
    <t>Income Taxes Payable</t>
  </si>
  <si>
    <t>Current Liabilities - Other</t>
  </si>
  <si>
    <t>Long-Term Debt - Total</t>
  </si>
  <si>
    <t>Liabilities - Other</t>
  </si>
  <si>
    <t>Liabilities - Total</t>
  </si>
  <si>
    <t>SHAREHOLDERS' EQUITY</t>
  </si>
  <si>
    <t>Shareholders Equity - Total</t>
  </si>
  <si>
    <t>Total Liabilities and Shareholders Equity</t>
  </si>
  <si>
    <t>Sales (Net)</t>
  </si>
  <si>
    <t>Cost of Goods Sold</t>
  </si>
  <si>
    <t>Selling, General, and Administrative Expense</t>
  </si>
  <si>
    <t>Operating Income Before Depreciation</t>
  </si>
  <si>
    <t>Depreciation and Amortization</t>
  </si>
  <si>
    <t>Interest Expense</t>
  </si>
  <si>
    <t>Income Taxes - Total</t>
  </si>
  <si>
    <t>Net Income (Loss)</t>
  </si>
  <si>
    <t>Capital Expenditures</t>
  </si>
  <si>
    <t>Purchase of Common and Preferred Stock</t>
  </si>
  <si>
    <t>Cash Dividends</t>
  </si>
  <si>
    <t>Long Term Debt - Issuance</t>
  </si>
  <si>
    <t>Long Term Debt - Reduction</t>
  </si>
  <si>
    <t xml:space="preserve">Deferred Taxes            </t>
  </si>
  <si>
    <t>STATEMENT OF CASH FLOWS - Select Portions</t>
  </si>
  <si>
    <t>INCOME STATEMENT - Select Portions</t>
  </si>
  <si>
    <t>BALANCE SHEET - Consolidated</t>
  </si>
  <si>
    <t>Non-current Marketable Securities</t>
  </si>
  <si>
    <t>Forecasted</t>
  </si>
  <si>
    <t>Historic</t>
  </si>
  <si>
    <t>Parameter</t>
  </si>
  <si>
    <t>Value</t>
  </si>
  <si>
    <t>Marginal Tax Rate</t>
  </si>
  <si>
    <t>Market Premium</t>
  </si>
  <si>
    <t>Debt beta for all firms</t>
  </si>
  <si>
    <t>Perpetual growth rate</t>
  </si>
  <si>
    <t>US Treasury Yields</t>
  </si>
  <si>
    <t>(constant maturity)</t>
  </si>
  <si>
    <t xml:space="preserve">Maturity                </t>
  </si>
  <si>
    <t>Yield</t>
  </si>
  <si>
    <t>30 years</t>
  </si>
  <si>
    <t>Twitter asset beta</t>
  </si>
  <si>
    <t>NOP</t>
  </si>
  <si>
    <t>tax</t>
  </si>
  <si>
    <t>NOPAT</t>
  </si>
  <si>
    <t>Net Income</t>
  </si>
  <si>
    <t>Midterm 1 2022</t>
  </si>
  <si>
    <t>dist to equity</t>
  </si>
  <si>
    <t>dist to debt holders</t>
  </si>
  <si>
    <t>total dist</t>
  </si>
  <si>
    <t>current cash</t>
  </si>
  <si>
    <t>required cash model (2*SG&amp;A)</t>
  </si>
  <si>
    <t>Twitter is using cash in 2021 instead of growing it. They have much less excess cash than previous years. This is partly due to them paying out more equity distributions than their NOP.</t>
  </si>
  <si>
    <t>current liabilities - short term debt</t>
  </si>
  <si>
    <t>NWC</t>
  </si>
  <si>
    <t>Change in NWC</t>
  </si>
  <si>
    <t>long term cash</t>
  </si>
  <si>
    <t>total cash</t>
  </si>
  <si>
    <t>Inventory Days</t>
  </si>
  <si>
    <t>AR Days</t>
  </si>
  <si>
    <t>AP Days</t>
  </si>
  <si>
    <t>CCC</t>
  </si>
  <si>
    <t>capex</t>
  </si>
  <si>
    <t>depreciation</t>
  </si>
  <si>
    <t>NWC investment</t>
  </si>
  <si>
    <t>affected from above</t>
  </si>
  <si>
    <t>Net investment</t>
  </si>
  <si>
    <t>Investment Rate</t>
  </si>
  <si>
    <t>FCF</t>
  </si>
  <si>
    <t>Compared to:</t>
  </si>
  <si>
    <t>Invested Capital</t>
  </si>
  <si>
    <t>Net Debt</t>
  </si>
  <si>
    <t>Debt</t>
  </si>
  <si>
    <t>Book Equity</t>
  </si>
  <si>
    <t>ROIC</t>
  </si>
  <si>
    <t>Turnover</t>
  </si>
  <si>
    <t>Profit Margin</t>
  </si>
  <si>
    <t>Alternative</t>
  </si>
  <si>
    <t>Invested Capital Average</t>
  </si>
  <si>
    <t>Alternative using average Invested</t>
  </si>
  <si>
    <t>Forecasted FCF</t>
  </si>
  <si>
    <t>discount rate</t>
  </si>
  <si>
    <t>Terminal Value</t>
  </si>
  <si>
    <t>TV</t>
  </si>
  <si>
    <t>PV of FCF</t>
  </si>
  <si>
    <t>Purchase Price</t>
  </si>
  <si>
    <t>Total PV</t>
  </si>
  <si>
    <t>NPV</t>
  </si>
  <si>
    <t>IRR w/ variable TV</t>
  </si>
  <si>
    <t>Calculated this previously, show it here</t>
  </si>
  <si>
    <t>Net Investment</t>
  </si>
  <si>
    <t xml:space="preserve">ROIC is around 5% in 2021 and for their forecasted values. This is certainly lower than their cost of capital. Twitter needs to focus on generating higher ROIC. If they boost growth they will just be losing more money because they will be investing more capital in the business that is getting lower returns than the cost of that capital. </t>
  </si>
  <si>
    <t>current assets + non current cash - excess cash</t>
  </si>
  <si>
    <t>excess cash</t>
  </si>
  <si>
    <t>required cash on hand</t>
  </si>
  <si>
    <t>Twitter was not profitable in the early years by any measure. Since 2017 it has been profitable with respect to NOP. NOPAT and net income have been variable because the amount of taxes have been volatile.  NOP is the only measure that shows consistent profitability. NOPAT and Net Income do not help us give a consistent answer to that question.</t>
  </si>
  <si>
    <t>In 2020 and 2021, equity distributions were larger than NOP, NOPAT, and Net Income.  Debt distributions were negative these years, meaning they were increasing debt. They used increasing debt to fund the equity distributions. Since the total distributions were larger than NOPAT, they were using excess cash to pay distributions to equity.</t>
  </si>
  <si>
    <t>Twitter is not hoarding cash like Apple was. They had very little excess cash up to 2017. They started accruing some excess cash as their required cash was growing in 2017. They probably wanted to make sure they were meeting their required cash demands over the next few years, so they held onto some cash. As their cash demands stabilized, they started to get rid of their excess cash in 2021. They have little excess cash in 2021.</t>
  </si>
  <si>
    <t>Twitter normally has a positive CCC meaning that NWC is a use of cash. The is opposite of the Apple case where they had a large negative CCC which would be a source of cash.</t>
  </si>
  <si>
    <t>FCF is different from the other measures of profitability. It shows they are generally profitable in 2017-2019, but have large negative values for 2020 and 2021. This is due to the large net investments in 2020 and 2021. NOP was positive in 2020 and 2021. By just looking at the FCF, Twitter looks like it is not profitable in 2020 and 2021.</t>
  </si>
  <si>
    <t>The net investment goes from very large investment values in 2019 to 2021 (high of $2197 in 2021), down to a small value in 2022 ($93) followed by negative values for the rest of the forecast. This is not a reasonable forecast of net investment. It is hard to see how the firms strategy could go from such a large annual net investment to a negative net investment permanently. The low net investment in 2026 is boosting the 2026 FCF, artificially boosting the terminal value.</t>
  </si>
  <si>
    <t>The rising turnover and profit margin are both contributing to a rising ROIC. Previous years had high ROIC and negative ROIC. The forecasted ROIC values are small but positive which seams reasonable in comparison to its 2021 value. However, the ROIC values are somewhat low at around 5% which will make it difficult to attract investor capital making this forecast less reasonable. A firm at the stage of Twitter should be able to produce a competative ROIC in comparison to its cost of capital.</t>
  </si>
  <si>
    <t>Note: This analysis is not based on the knowledge of the Interest Tax Shield and valuation impact of leverage.</t>
  </si>
  <si>
    <t>The forecasts on net investment are already negative, which is probably a bad assumption. They will likely need to continue to have some positive net investment, putting more strain on their cash. Tech firms tend to need excess cash (like Apple) to quickly invest in new opportunities. They are not in a position to take on substatial debt right now.</t>
  </si>
  <si>
    <t xml:space="preserve">Twitter is a bad candidate to take on substantial more debt in a takeover. They may struggle to service the debt. They are not consistently profitable and profit margin is not high. Net debt has already substatially increased in 2021. They have little excess cash remaining in 2021. They are expected to have no excess cash in the forecasts.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</si>
</sst>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000"/>
    <numFmt numFmtId="166" formatCode="0_);\(0\)"/>
    <numFmt numFmtId="167" formatCode="&quot;$&quot;#,##0.00"/>
    <numFmt numFmtId="168" formatCode="0.00000000000000000%"/>
  </numFmts>
  <fonts count="16">
    <font>
      <sz val="10"/>
      <name val="Arial"/>
      <charset val="1"/>
    </font>
    <font>
      <b/>
      <sz val="10"/>
      <name val="Arial"/>
      <family val="2"/>
    </font>
    <font>
      <sz val="10"/>
      <name val="Arial"/>
      <family val="2"/>
    </font>
    <font>
      <sz val="10"/>
      <name val="Arial"/>
      <family val="2"/>
    </font>
    <font>
      <b/>
      <sz val="10"/>
      <name val="Arial"/>
      <family val="2"/>
    </font>
    <font>
      <sz val="10"/>
      <name val="Arial"/>
      <family val="2"/>
    </font>
    <font>
      <b/>
      <sz val="12"/>
      <color theme="1"/>
      <name val="Times New Roman"/>
      <family val="1"/>
    </font>
    <font>
      <b/>
      <sz val="12"/>
      <color rgb="FF000000"/>
      <name val="Times New Roman"/>
      <family val="1"/>
    </font>
    <font>
      <b/>
      <sz val="18"/>
      <color theme="1"/>
      <name val="Times New Roman"/>
      <family val="1"/>
    </font>
    <font>
      <sz val="8"/>
      <color theme="1"/>
      <name val="Times New Roman"/>
      <family val="2"/>
    </font>
    <font>
      <b/>
      <u/>
      <sz val="12"/>
      <color theme="1"/>
      <name val="Times New Roman"/>
      <family val="1"/>
    </font>
    <font>
      <sz val="12"/>
      <color theme="1"/>
      <name val="Times New Roman"/>
      <family val="2"/>
    </font>
    <font>
      <b/>
      <sz val="11"/>
      <color rgb="FF000000"/>
      <name val="Calibri"/>
      <family val="2"/>
      <scheme val="minor"/>
    </font>
    <font>
      <sz val="11"/>
      <name val="HelveticaNeue"/>
    </font>
    <font>
      <sz val="10"/>
      <color rgb="FFFF0000"/>
      <name val="Arial"/>
      <family val="2"/>
    </font>
    <font>
      <sz val="10"/>
      <color theme="1"/>
      <name val="Arial"/>
      <family val="2"/>
    </font>
  </fonts>
  <fills count="7">
    <fill>
      <patternFill patternType="none"/>
    </fill>
    <fill>
      <patternFill patternType="gray125"/>
    </fill>
    <fill>
      <patternFill patternType="solid">
        <fgColor indexed="22"/>
      </patternFill>
    </fill>
    <fill>
      <patternFill patternType="solid">
        <fgColor theme="0" tint="-0.34998626667073579"/>
        <bgColor indexed="64"/>
      </patternFill>
    </fill>
    <fill>
      <patternFill patternType="solid">
        <fgColor rgb="FFFFFFCC"/>
        <bgColor rgb="FF000000"/>
      </patternFill>
    </fill>
    <fill>
      <patternFill patternType="solid">
        <fgColor rgb="FFFFFF00"/>
        <bgColor indexed="64"/>
      </patternFill>
    </fill>
    <fill>
      <patternFill patternType="solid">
        <fgColor theme="2" tint="-9.9978637043366805E-2"/>
        <bgColor indexed="64"/>
      </patternFill>
    </fill>
  </fills>
  <borders count="9">
    <border>
      <left/>
      <right/>
      <top/>
      <bottom/>
      <diagonal/>
    </border>
    <border>
      <left/>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ck">
        <color auto="1"/>
      </right>
      <top style="thin">
        <color auto="1"/>
      </top>
      <bottom/>
      <diagonal/>
    </border>
    <border>
      <left/>
      <right style="thick">
        <color auto="1"/>
      </right>
      <top/>
      <bottom/>
      <diagonal/>
    </border>
    <border>
      <left/>
      <right/>
      <top/>
      <bottom style="medium">
        <color indexed="64"/>
      </bottom>
      <diagonal/>
    </border>
  </borders>
  <cellStyleXfs count="2">
    <xf numFmtId="0" fontId="0" fillId="0" borderId="0" applyNumberFormat="0" applyFill="0" applyBorder="0" applyAlignment="0" applyProtection="0"/>
    <xf numFmtId="0" fontId="9" fillId="0" borderId="0"/>
  </cellStyleXfs>
  <cellXfs count="52">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164" fontId="3" fillId="0" borderId="0" xfId="0" applyNumberFormat="1" applyFont="1" applyFill="1" applyBorder="1" applyAlignment="1" applyProtection="1"/>
    <xf numFmtId="0" fontId="4" fillId="0" borderId="0" xfId="0" applyFont="1" applyFill="1" applyBorder="1" applyAlignment="1" applyProtection="1"/>
    <xf numFmtId="164" fontId="4" fillId="0" borderId="0" xfId="0" applyNumberFormat="1" applyFont="1" applyFill="1" applyBorder="1" applyAlignment="1" applyProtection="1"/>
    <xf numFmtId="0" fontId="4" fillId="0" borderId="1" xfId="0" applyFont="1" applyFill="1" applyBorder="1" applyAlignment="1" applyProtection="1"/>
    <xf numFmtId="164" fontId="4" fillId="0" borderId="1" xfId="0" applyNumberFormat="1" applyFont="1" applyFill="1" applyBorder="1" applyAlignment="1" applyProtection="1"/>
    <xf numFmtId="0" fontId="4" fillId="0" borderId="1" xfId="0" applyFont="1" applyBorder="1"/>
    <xf numFmtId="0" fontId="5" fillId="0" borderId="0" xfId="0" applyFont="1" applyFill="1" applyBorder="1" applyAlignment="1" applyProtection="1"/>
    <xf numFmtId="0" fontId="4" fillId="0" borderId="0" xfId="0" applyFont="1" applyBorder="1"/>
    <xf numFmtId="0" fontId="4" fillId="2" borderId="0" xfId="0" applyFont="1" applyFill="1" applyBorder="1" applyAlignment="1" applyProtection="1"/>
    <xf numFmtId="166" fontId="6" fillId="3" borderId="2" xfId="0" applyNumberFormat="1" applyFont="1" applyFill="1" applyBorder="1"/>
    <xf numFmtId="166" fontId="6" fillId="3" borderId="3" xfId="0" applyNumberFormat="1" applyFont="1" applyFill="1" applyBorder="1"/>
    <xf numFmtId="166" fontId="6" fillId="3" borderId="4" xfId="0" applyNumberFormat="1" applyFont="1" applyFill="1" applyBorder="1"/>
    <xf numFmtId="0" fontId="0" fillId="0" borderId="0" xfId="0" applyFill="1"/>
    <xf numFmtId="165" fontId="0" fillId="0" borderId="0" xfId="0" applyNumberFormat="1" applyFill="1"/>
    <xf numFmtId="1" fontId="7" fillId="4" borderId="2" xfId="0" applyNumberFormat="1" applyFont="1" applyFill="1" applyBorder="1"/>
    <xf numFmtId="1" fontId="7" fillId="4" borderId="3" xfId="0" applyNumberFormat="1" applyFont="1" applyFill="1" applyBorder="1"/>
    <xf numFmtId="0" fontId="0" fillId="0" borderId="6" xfId="0" applyBorder="1"/>
    <xf numFmtId="0" fontId="0" fillId="0" borderId="7" xfId="0" applyBorder="1"/>
    <xf numFmtId="164" fontId="3" fillId="0" borderId="7" xfId="0" applyNumberFormat="1" applyFont="1" applyFill="1" applyBorder="1" applyAlignment="1" applyProtection="1"/>
    <xf numFmtId="164" fontId="4" fillId="0" borderId="6" xfId="0" applyNumberFormat="1" applyFont="1" applyFill="1" applyBorder="1" applyAlignment="1" applyProtection="1"/>
    <xf numFmtId="164" fontId="4" fillId="0" borderId="7" xfId="0" applyNumberFormat="1" applyFont="1" applyFill="1" applyBorder="1" applyAlignment="1" applyProtection="1"/>
    <xf numFmtId="0" fontId="10" fillId="0" borderId="0" xfId="1" applyFont="1"/>
    <xf numFmtId="0" fontId="11" fillId="0" borderId="0" xfId="1" applyFont="1"/>
    <xf numFmtId="9" fontId="11" fillId="0" borderId="0" xfId="1" applyNumberFormat="1" applyFont="1"/>
    <xf numFmtId="2" fontId="11" fillId="0" borderId="0" xfId="1" applyNumberFormat="1" applyFont="1"/>
    <xf numFmtId="0" fontId="12" fillId="0" borderId="5" xfId="1" applyFont="1" applyBorder="1" applyAlignment="1">
      <alignment vertical="center" wrapText="1"/>
    </xf>
    <xf numFmtId="0" fontId="12" fillId="0" borderId="5" xfId="1" applyFont="1" applyBorder="1" applyAlignment="1">
      <alignment horizontal="right" vertical="center" wrapText="1"/>
    </xf>
    <xf numFmtId="10" fontId="11" fillId="0" borderId="0" xfId="1" applyNumberFormat="1" applyFont="1"/>
    <xf numFmtId="0" fontId="10" fillId="0" borderId="0" xfId="1" applyFont="1" applyAlignment="1">
      <alignment horizontal="right"/>
    </xf>
    <xf numFmtId="0" fontId="2" fillId="0" borderId="0" xfId="0" applyFont="1"/>
    <xf numFmtId="4" fontId="0" fillId="0" borderId="0" xfId="0" applyNumberFormat="1"/>
    <xf numFmtId="0" fontId="1" fillId="0" borderId="0" xfId="0" applyFont="1"/>
    <xf numFmtId="167" fontId="0" fillId="0" borderId="0" xfId="0" applyNumberFormat="1"/>
    <xf numFmtId="0" fontId="1" fillId="5" borderId="0" xfId="0" applyFont="1" applyFill="1"/>
    <xf numFmtId="0" fontId="1" fillId="6" borderId="0" xfId="0" applyFont="1" applyFill="1"/>
    <xf numFmtId="0" fontId="14" fillId="0" borderId="0" xfId="0" applyFont="1"/>
    <xf numFmtId="2" fontId="0" fillId="0" borderId="0" xfId="0" applyNumberFormat="1"/>
    <xf numFmtId="10" fontId="0" fillId="0" borderId="0" xfId="0" applyNumberFormat="1"/>
    <xf numFmtId="168" fontId="0" fillId="0" borderId="0" xfId="0" applyNumberFormat="1"/>
    <xf numFmtId="10" fontId="1" fillId="0" borderId="0" xfId="0" applyNumberFormat="1" applyFont="1"/>
    <xf numFmtId="0" fontId="2" fillId="0" borderId="0" xfId="0" applyFont="1" applyAlignment="1">
      <alignment wrapText="1"/>
    </xf>
    <xf numFmtId="0" fontId="15" fillId="0" borderId="0" xfId="0" applyFont="1" applyAlignment="1">
      <alignment wrapText="1"/>
    </xf>
    <xf numFmtId="167" fontId="15" fillId="0" borderId="0" xfId="0" applyNumberFormat="1" applyFont="1"/>
    <xf numFmtId="0" fontId="2" fillId="0" borderId="0" xfId="0" applyFont="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top" wrapText="1"/>
    </xf>
    <xf numFmtId="0" fontId="12" fillId="0" borderId="0" xfId="1" applyFont="1" applyAlignment="1">
      <alignment horizontal="center" vertical="center" wrapText="1"/>
    </xf>
    <xf numFmtId="0" fontId="12" fillId="0" borderId="8" xfId="1" applyFont="1" applyBorder="1" applyAlignment="1">
      <alignment horizontal="center" vertical="center" wrapText="1"/>
    </xf>
    <xf numFmtId="0" fontId="8" fillId="0" borderId="5" xfId="0" applyFont="1" applyBorder="1" applyAlignment="1">
      <alignment horizontal="center"/>
    </xf>
  </cellXfs>
  <cellStyles count="2">
    <cellStyle name="Normal" xfId="0" builtinId="0"/>
    <cellStyle name="Normal 2" xfId="1" xr:uid="{54EF8E98-6F12-044E-966C-09954E229D71}"/>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0AAE2-E116-3841-82DA-A5B265732C36}">
  <dimension ref="A1:R144"/>
  <sheetViews>
    <sheetView tabSelected="1" topLeftCell="A137" zoomScale="130" zoomScaleNormal="130" workbookViewId="0">
      <selection activeCell="B146" sqref="B146"/>
    </sheetView>
  </sheetViews>
  <sheetFormatPr baseColWidth="10" defaultRowHeight="13"/>
  <cols>
    <col min="1" max="1" width="13" customWidth="1"/>
    <col min="2" max="2" width="29.33203125" customWidth="1"/>
    <col min="3" max="3" width="14" customWidth="1"/>
    <col min="4" max="4" width="13.83203125" customWidth="1"/>
    <col min="9" max="9" width="13.33203125" customWidth="1"/>
  </cols>
  <sheetData>
    <row r="1" spans="1:18">
      <c r="A1" s="34" t="s">
        <v>57</v>
      </c>
    </row>
    <row r="2" spans="1:18">
      <c r="A2" s="32">
        <v>1.1000000000000001</v>
      </c>
    </row>
    <row r="3" spans="1:18">
      <c r="A3" s="32"/>
    </row>
    <row r="4" spans="1:18">
      <c r="C4" s="37">
        <f>'Consolidated Statements'!B3</f>
        <v>2011</v>
      </c>
      <c r="D4" s="37">
        <f>'Consolidated Statements'!C3</f>
        <v>2012</v>
      </c>
      <c r="E4" s="37">
        <f>'Consolidated Statements'!D3</f>
        <v>2013</v>
      </c>
      <c r="F4" s="37">
        <f>'Consolidated Statements'!E3</f>
        <v>2014</v>
      </c>
      <c r="G4" s="37">
        <f>'Consolidated Statements'!F3</f>
        <v>2015</v>
      </c>
      <c r="H4" s="37">
        <f>'Consolidated Statements'!G3</f>
        <v>2016</v>
      </c>
      <c r="I4" s="37">
        <f>'Consolidated Statements'!H3</f>
        <v>2017</v>
      </c>
      <c r="J4" s="37">
        <f>'Consolidated Statements'!I3</f>
        <v>2018</v>
      </c>
      <c r="K4" s="37">
        <f>'Consolidated Statements'!J3</f>
        <v>2019</v>
      </c>
      <c r="L4" s="37">
        <f>'Consolidated Statements'!K3</f>
        <v>2020</v>
      </c>
      <c r="M4" s="37">
        <f>'Consolidated Statements'!L3</f>
        <v>2021</v>
      </c>
      <c r="N4" s="36">
        <f>'Consolidated Statements'!M3</f>
        <v>2022</v>
      </c>
      <c r="O4" s="36">
        <f>'Consolidated Statements'!N3</f>
        <v>2023</v>
      </c>
      <c r="P4" s="36">
        <f>'Consolidated Statements'!O3</f>
        <v>2024</v>
      </c>
      <c r="Q4" s="36">
        <f>'Consolidated Statements'!P3</f>
        <v>2025</v>
      </c>
      <c r="R4" s="36">
        <f>'Consolidated Statements'!Q3</f>
        <v>2026</v>
      </c>
    </row>
    <row r="5" spans="1:18">
      <c r="B5" s="32" t="s">
        <v>53</v>
      </c>
      <c r="C5" s="35">
        <f>'Consolidated Statements'!B33-'Consolidated Statements'!B34-'Consolidated Statements'!B35-'Consolidated Statements'!B37</f>
        <v>-92.711000000000013</v>
      </c>
      <c r="D5" s="35">
        <f>'Consolidated Statements'!C33-'Consolidated Statements'!C34-'Consolidated Statements'!C35-'Consolidated Statements'!C37</f>
        <v>-77.082999999999998</v>
      </c>
      <c r="E5" s="35">
        <f>'Consolidated Statements'!D33-'Consolidated Statements'!D34-'Consolidated Statements'!D35-'Consolidated Statements'!D37</f>
        <v>-635.83100000000002</v>
      </c>
      <c r="F5" s="35">
        <f>'Consolidated Statements'!E33-'Consolidated Statements'!E34-'Consolidated Statements'!E35-'Consolidated Statements'!E37</f>
        <v>-538.86599999999999</v>
      </c>
      <c r="G5" s="35">
        <f>'Consolidated Statements'!F33-'Consolidated Statements'!F34-'Consolidated Statements'!F35-'Consolidated Statements'!F37</f>
        <v>-437.1339999999999</v>
      </c>
      <c r="H5" s="35">
        <f>'Consolidated Statements'!G33-'Consolidated Statements'!G34-'Consolidated Statements'!G35-'Consolidated Statements'!G37</f>
        <v>-265.91199999999981</v>
      </c>
      <c r="I5" s="35">
        <f>'Consolidated Statements'!H33-'Consolidated Statements'!H34-'Consolidated Statements'!H35-'Consolidated Statements'!H37</f>
        <v>33.312999999999818</v>
      </c>
      <c r="J5" s="35">
        <f>'Consolidated Statements'!I33-'Consolidated Statements'!I34-'Consolidated Statements'!I35-'Consolidated Statements'!I37</f>
        <v>449.07</v>
      </c>
      <c r="K5" s="35">
        <f>'Consolidated Statements'!J33-'Consolidated Statements'!J34-'Consolidated Statements'!J35-'Consolidated Statements'!J37</f>
        <v>366.15600000000018</v>
      </c>
      <c r="L5" s="35">
        <f>'Consolidated Statements'!K33-'Consolidated Statements'!K34-'Consolidated Statements'!K35-'Consolidated Statements'!K37</f>
        <v>176.65800000000002</v>
      </c>
      <c r="M5" s="35">
        <f>'Consolidated Statements'!L33-'Consolidated Statements'!L34-'Consolidated Statements'!L35-'Consolidated Statements'!L37</f>
        <v>272.96200000000044</v>
      </c>
      <c r="N5" s="35">
        <f>'Consolidated Statements'!M33-'Consolidated Statements'!M34-'Consolidated Statements'!M35-'Consolidated Statements'!M37</f>
        <v>381.98539999999991</v>
      </c>
      <c r="O5" s="35">
        <f>'Consolidated Statements'!N33-'Consolidated Statements'!N34-'Consolidated Statements'!N35-'Consolidated Statements'!N37</f>
        <v>497.82477999999998</v>
      </c>
      <c r="P5" s="35">
        <f>'Consolidated Statements'!O33-'Consolidated Statements'!O34-'Consolidated Statements'!O35-'Consolidated Statements'!O37</f>
        <v>621.36605599999962</v>
      </c>
      <c r="Q5" s="35">
        <f>'Consolidated Statements'!P33-'Consolidated Statements'!P34-'Consolidated Statements'!P35-'Consolidated Statements'!P37</f>
        <v>753.57351969999979</v>
      </c>
      <c r="R5" s="35">
        <f>'Consolidated Statements'!Q33-'Consolidated Statements'!Q34-'Consolidated Statements'!Q35-'Consolidated Statements'!Q37</f>
        <v>895.49818686499952</v>
      </c>
    </row>
    <row r="6" spans="1:18">
      <c r="B6" s="32" t="s">
        <v>54</v>
      </c>
      <c r="C6" s="35">
        <f>'Consolidated Statements'!B39</f>
        <v>-1.444</v>
      </c>
      <c r="D6" s="35">
        <f>'Consolidated Statements'!C39</f>
        <v>0.22900000000000001</v>
      </c>
      <c r="E6" s="35">
        <f>'Consolidated Statements'!D39</f>
        <v>-1.823</v>
      </c>
      <c r="F6" s="35">
        <f>'Consolidated Statements'!E39</f>
        <v>-0.53100000000000003</v>
      </c>
      <c r="G6" s="35">
        <f>'Consolidated Statements'!F39</f>
        <v>-12.273999999999999</v>
      </c>
      <c r="H6" s="35">
        <f>'Consolidated Statements'!G39</f>
        <v>16.039000000000001</v>
      </c>
      <c r="I6" s="35">
        <f>'Consolidated Statements'!H39</f>
        <v>12.645</v>
      </c>
      <c r="J6" s="35">
        <f>'Consolidated Statements'!I39</f>
        <v>-782.05200000000002</v>
      </c>
      <c r="K6" s="35">
        <f>'Consolidated Statements'!J39</f>
        <v>-1075.52</v>
      </c>
      <c r="L6" s="35">
        <f>'Consolidated Statements'!K39</f>
        <v>1084.6869999999999</v>
      </c>
      <c r="M6" s="35">
        <f>'Consolidated Statements'!L39</f>
        <v>-189.70400000000001</v>
      </c>
      <c r="N6" s="35">
        <f>'Consolidated Statements'!M39</f>
        <v>76.397080000000003</v>
      </c>
      <c r="O6" s="35">
        <f>'Consolidated Statements'!N39</f>
        <v>99.564956000000024</v>
      </c>
      <c r="P6" s="35">
        <f>'Consolidated Statements'!O39</f>
        <v>124.27321120000002</v>
      </c>
      <c r="Q6" s="35">
        <f>'Consolidated Statements'!P39</f>
        <v>150.71470394000005</v>
      </c>
      <c r="R6" s="35">
        <f>'Consolidated Statements'!Q39</f>
        <v>179.09963737300009</v>
      </c>
    </row>
    <row r="7" spans="1:18">
      <c r="B7" s="32" t="s">
        <v>55</v>
      </c>
      <c r="C7" s="35">
        <f>C5-C6</f>
        <v>-91.26700000000001</v>
      </c>
      <c r="D7" s="35">
        <f t="shared" ref="D7:R7" si="0">D5-D6</f>
        <v>-77.311999999999998</v>
      </c>
      <c r="E7" s="35">
        <f t="shared" si="0"/>
        <v>-634.00800000000004</v>
      </c>
      <c r="F7" s="35">
        <f t="shared" si="0"/>
        <v>-538.33500000000004</v>
      </c>
      <c r="G7" s="35">
        <f t="shared" si="0"/>
        <v>-424.8599999999999</v>
      </c>
      <c r="H7" s="35">
        <f t="shared" si="0"/>
        <v>-281.95099999999979</v>
      </c>
      <c r="I7" s="35">
        <f t="shared" si="0"/>
        <v>20.667999999999818</v>
      </c>
      <c r="J7" s="35">
        <f t="shared" si="0"/>
        <v>1231.1220000000001</v>
      </c>
      <c r="K7" s="35">
        <f t="shared" si="0"/>
        <v>1441.6760000000002</v>
      </c>
      <c r="L7" s="35">
        <f t="shared" si="0"/>
        <v>-908.02899999999988</v>
      </c>
      <c r="M7" s="35">
        <f t="shared" si="0"/>
        <v>462.66600000000045</v>
      </c>
      <c r="N7" s="35">
        <f t="shared" si="0"/>
        <v>305.5883199999999</v>
      </c>
      <c r="O7" s="35">
        <f t="shared" si="0"/>
        <v>398.25982399999998</v>
      </c>
      <c r="P7" s="35">
        <f t="shared" si="0"/>
        <v>497.09284479999963</v>
      </c>
      <c r="Q7" s="35">
        <f t="shared" si="0"/>
        <v>602.85881575999974</v>
      </c>
      <c r="R7" s="35">
        <f t="shared" si="0"/>
        <v>716.39854949199946</v>
      </c>
    </row>
    <row r="8" spans="1:18">
      <c r="B8" s="32" t="s">
        <v>56</v>
      </c>
      <c r="C8" s="35">
        <f>'Consolidated Statements'!B40</f>
        <v>-128.30199999999999</v>
      </c>
      <c r="D8" s="35">
        <f>'Consolidated Statements'!C40</f>
        <v>-79.399000000000001</v>
      </c>
      <c r="E8" s="35">
        <f>'Consolidated Statements'!D40</f>
        <v>-645.32299999999998</v>
      </c>
      <c r="F8" s="35">
        <f>'Consolidated Statements'!E40</f>
        <v>-577.82000000000005</v>
      </c>
      <c r="G8" s="35">
        <f>'Consolidated Statements'!F40</f>
        <v>-521.03099999999995</v>
      </c>
      <c r="H8" s="35">
        <f>'Consolidated Statements'!G40</f>
        <v>-456.87299999999999</v>
      </c>
      <c r="I8" s="35">
        <f>'Consolidated Statements'!H40</f>
        <v>-108.063</v>
      </c>
      <c r="J8" s="35">
        <f>'Consolidated Statements'!I40</f>
        <v>1205.596</v>
      </c>
      <c r="K8" s="35">
        <f>'Consolidated Statements'!J40</f>
        <v>1465.6590000000001</v>
      </c>
      <c r="L8" s="35">
        <f>'Consolidated Statements'!K40</f>
        <v>-1135.626</v>
      </c>
      <c r="M8" s="35">
        <f>'Consolidated Statements'!L40</f>
        <v>-221.40899999999999</v>
      </c>
      <c r="N8" s="35">
        <f>'Consolidated Statements'!M40</f>
        <v>250</v>
      </c>
      <c r="O8" s="35">
        <f>'Consolidated Statements'!N40</f>
        <v>6143.7532200000005</v>
      </c>
      <c r="P8" s="35">
        <f>'Consolidated Statements'!O40</f>
        <v>6143.7532200000005</v>
      </c>
      <c r="Q8" s="35">
        <f>'Consolidated Statements'!P40</f>
        <v>6143.7532200000005</v>
      </c>
      <c r="R8" s="35">
        <f>'Consolidated Statements'!Q40</f>
        <v>6143.7532200000005</v>
      </c>
    </row>
    <row r="11" spans="1:18" ht="67" customHeight="1">
      <c r="B11" s="48" t="s">
        <v>106</v>
      </c>
      <c r="C11" s="48"/>
      <c r="D11" s="48"/>
      <c r="E11" s="48"/>
      <c r="F11" s="48"/>
      <c r="G11" s="48"/>
      <c r="H11" s="48"/>
    </row>
    <row r="14" spans="1:18">
      <c r="A14">
        <v>1.2</v>
      </c>
    </row>
    <row r="15" spans="1:18">
      <c r="C15" s="37">
        <f>C4</f>
        <v>2011</v>
      </c>
      <c r="D15" s="37">
        <f t="shared" ref="D15:R15" si="1">D4</f>
        <v>2012</v>
      </c>
      <c r="E15" s="37">
        <f t="shared" si="1"/>
        <v>2013</v>
      </c>
      <c r="F15" s="37">
        <f t="shared" si="1"/>
        <v>2014</v>
      </c>
      <c r="G15" s="37">
        <f t="shared" si="1"/>
        <v>2015</v>
      </c>
      <c r="H15" s="37">
        <f t="shared" si="1"/>
        <v>2016</v>
      </c>
      <c r="I15" s="37">
        <f t="shared" si="1"/>
        <v>2017</v>
      </c>
      <c r="J15" s="37">
        <f t="shared" si="1"/>
        <v>2018</v>
      </c>
      <c r="K15" s="37">
        <f t="shared" si="1"/>
        <v>2019</v>
      </c>
      <c r="L15" s="37">
        <f t="shared" si="1"/>
        <v>2020</v>
      </c>
      <c r="M15" s="37">
        <f t="shared" si="1"/>
        <v>2021</v>
      </c>
      <c r="N15" s="36">
        <f t="shared" si="1"/>
        <v>2022</v>
      </c>
      <c r="O15" s="36">
        <f t="shared" si="1"/>
        <v>2023</v>
      </c>
      <c r="P15" s="36">
        <f t="shared" si="1"/>
        <v>2024</v>
      </c>
      <c r="Q15" s="36">
        <f t="shared" si="1"/>
        <v>2025</v>
      </c>
      <c r="R15" s="36">
        <f t="shared" si="1"/>
        <v>2026</v>
      </c>
    </row>
    <row r="16" spans="1:18">
      <c r="B16" s="32" t="s">
        <v>58</v>
      </c>
      <c r="C16" s="35">
        <f>'Consolidated Statements'!B44+'Consolidated Statements'!B45</f>
        <v>0</v>
      </c>
      <c r="D16" s="35">
        <f>'Consolidated Statements'!C44+'Consolidated Statements'!C45</f>
        <v>0</v>
      </c>
      <c r="E16" s="35">
        <f>'Consolidated Statements'!D44+'Consolidated Statements'!D45</f>
        <v>0</v>
      </c>
      <c r="F16" s="35">
        <f>'Consolidated Statements'!E44+'Consolidated Statements'!E45</f>
        <v>0</v>
      </c>
      <c r="G16" s="35">
        <f>'Consolidated Statements'!F44+'Consolidated Statements'!F45</f>
        <v>0</v>
      </c>
      <c r="H16" s="35">
        <f>'Consolidated Statements'!G44+'Consolidated Statements'!G45</f>
        <v>0</v>
      </c>
      <c r="I16" s="35">
        <f>'Consolidated Statements'!H44+'Consolidated Statements'!H45</f>
        <v>8.9619999999999997</v>
      </c>
      <c r="J16" s="35">
        <f>'Consolidated Statements'!I44+'Consolidated Statements'!I45</f>
        <v>19.263000000000002</v>
      </c>
      <c r="K16" s="35">
        <f>'Consolidated Statements'!J44+'Consolidated Statements'!J45</f>
        <v>19.594000000000001</v>
      </c>
      <c r="L16" s="35">
        <f>'Consolidated Statements'!K44+'Consolidated Statements'!K45</f>
        <v>267.87900000000002</v>
      </c>
      <c r="M16" s="35">
        <f>'Consolidated Statements'!L44+'Consolidated Statements'!L45</f>
        <v>957.51199999999994</v>
      </c>
      <c r="N16" s="35">
        <f>'Consolidated Statements'!M44+'Consolidated Statements'!M45</f>
        <v>294.66690000000006</v>
      </c>
      <c r="O16" s="35">
        <f>'Consolidated Statements'!N44+'Consolidated Statements'!N45</f>
        <v>324.13359000000008</v>
      </c>
      <c r="P16" s="35">
        <f>'Consolidated Statements'!O44+'Consolidated Statements'!O45</f>
        <v>356.5469490000001</v>
      </c>
      <c r="Q16" s="35">
        <f>'Consolidated Statements'!P44+'Consolidated Statements'!P45</f>
        <v>392.20164390000014</v>
      </c>
      <c r="R16" s="35">
        <f>'Consolidated Statements'!Q44+'Consolidated Statements'!Q45</f>
        <v>431.42180829000017</v>
      </c>
    </row>
    <row r="17" spans="1:18">
      <c r="B17" s="32" t="s">
        <v>59</v>
      </c>
      <c r="C17" s="35">
        <f>'Consolidated Statements'!B38+'Consolidated Statements'!B47-'Consolidated Statements'!B46</f>
        <v>16.402999999999999</v>
      </c>
      <c r="D17" s="35">
        <f>'Consolidated Statements'!C38+'Consolidated Statements'!C47-'Consolidated Statements'!C46</f>
        <v>42.536000000000001</v>
      </c>
      <c r="E17" s="35">
        <f>'Consolidated Statements'!D38+'Consolidated Statements'!D47-'Consolidated Statements'!D46</f>
        <v>77.444999999999993</v>
      </c>
      <c r="F17" s="35">
        <f>'Consolidated Statements'!E38+'Consolidated Statements'!E47-'Consolidated Statements'!E46</f>
        <v>-1749.98</v>
      </c>
      <c r="G17" s="35">
        <f>'Consolidated Statements'!F38+'Consolidated Statements'!F47-'Consolidated Statements'!F46</f>
        <v>220.71299999999999</v>
      </c>
      <c r="H17" s="35">
        <f>'Consolidated Statements'!G38+'Consolidated Statements'!G47-'Consolidated Statements'!G46</f>
        <v>204.82600000000002</v>
      </c>
      <c r="I17" s="35">
        <f>'Consolidated Statements'!H38+'Consolidated Statements'!H47-'Consolidated Statements'!H46</f>
        <v>211.61200000000002</v>
      </c>
      <c r="J17" s="35">
        <f>'Consolidated Statements'!I38+'Consolidated Statements'!I47-'Consolidated Statements'!I46</f>
        <v>-923.34299999999996</v>
      </c>
      <c r="K17" s="35">
        <f>'Consolidated Statements'!J38+'Consolidated Statements'!J47-'Consolidated Statements'!J46</f>
        <v>444.45700000000011</v>
      </c>
      <c r="L17" s="35">
        <f>'Consolidated Statements'!K38+'Consolidated Statements'!K47-'Consolidated Statements'!K46</f>
        <v>-820.26</v>
      </c>
      <c r="M17" s="35">
        <f>'Consolidated Statements'!L38+'Consolidated Statements'!L47-'Consolidated Statements'!L46</f>
        <v>-430.24899999999991</v>
      </c>
      <c r="N17" s="35">
        <f>'Consolidated Statements'!M38+'Consolidated Statements'!M47-'Consolidated Statements'!M46</f>
        <v>-473.27390000000014</v>
      </c>
      <c r="O17" s="35">
        <f>'Consolidated Statements'!N38+'Consolidated Statements'!N47-'Consolidated Statements'!N46</f>
        <v>-520.60129000000029</v>
      </c>
      <c r="P17" s="35">
        <f>'Consolidated Statements'!O38+'Consolidated Statements'!O47-'Consolidated Statements'!O46</f>
        <v>-572.66141900000048</v>
      </c>
      <c r="Q17" s="35">
        <f>'Consolidated Statements'!P38+'Consolidated Statements'!P47-'Consolidated Statements'!P46</f>
        <v>-629.9275609000008</v>
      </c>
      <c r="R17" s="35">
        <f>'Consolidated Statements'!Q38+'Consolidated Statements'!Q47-'Consolidated Statements'!Q46</f>
        <v>-692.92031699000108</v>
      </c>
    </row>
    <row r="18" spans="1:18">
      <c r="B18" s="32" t="s">
        <v>60</v>
      </c>
      <c r="C18" s="35">
        <f>C16+C17</f>
        <v>16.402999999999999</v>
      </c>
      <c r="D18" s="35">
        <f t="shared" ref="D18:R18" si="2">D16+D17</f>
        <v>42.536000000000001</v>
      </c>
      <c r="E18" s="35">
        <f t="shared" si="2"/>
        <v>77.444999999999993</v>
      </c>
      <c r="F18" s="35">
        <f t="shared" si="2"/>
        <v>-1749.98</v>
      </c>
      <c r="G18" s="35">
        <f t="shared" si="2"/>
        <v>220.71299999999999</v>
      </c>
      <c r="H18" s="35">
        <f t="shared" si="2"/>
        <v>204.82600000000002</v>
      </c>
      <c r="I18" s="35">
        <f t="shared" si="2"/>
        <v>220.57400000000001</v>
      </c>
      <c r="J18" s="35">
        <f t="shared" si="2"/>
        <v>-904.07999999999993</v>
      </c>
      <c r="K18" s="35">
        <f t="shared" si="2"/>
        <v>464.0510000000001</v>
      </c>
      <c r="L18" s="35">
        <f t="shared" si="2"/>
        <v>-552.38099999999997</v>
      </c>
      <c r="M18" s="35">
        <f t="shared" si="2"/>
        <v>527.26300000000003</v>
      </c>
      <c r="N18" s="35">
        <f t="shared" si="2"/>
        <v>-178.60700000000008</v>
      </c>
      <c r="O18" s="35">
        <f t="shared" si="2"/>
        <v>-196.46770000000021</v>
      </c>
      <c r="P18" s="35">
        <f t="shared" si="2"/>
        <v>-216.11447000000038</v>
      </c>
      <c r="Q18" s="35">
        <f t="shared" si="2"/>
        <v>-237.72591700000066</v>
      </c>
      <c r="R18" s="35">
        <f t="shared" si="2"/>
        <v>-261.49850870000091</v>
      </c>
    </row>
    <row r="22" spans="1:18" ht="61" customHeight="1">
      <c r="B22" s="46" t="s">
        <v>107</v>
      </c>
      <c r="C22" s="46"/>
      <c r="D22" s="46"/>
      <c r="E22" s="46"/>
      <c r="F22" s="46"/>
      <c r="G22" s="46"/>
      <c r="H22" s="46"/>
    </row>
    <row r="24" spans="1:18">
      <c r="A24">
        <v>1.3</v>
      </c>
      <c r="C24" s="37">
        <f>C15</f>
        <v>2011</v>
      </c>
      <c r="D24" s="37">
        <f t="shared" ref="D24:R24" si="3">D15</f>
        <v>2012</v>
      </c>
      <c r="E24" s="37">
        <f t="shared" si="3"/>
        <v>2013</v>
      </c>
      <c r="F24" s="37">
        <f t="shared" si="3"/>
        <v>2014</v>
      </c>
      <c r="G24" s="37">
        <f t="shared" si="3"/>
        <v>2015</v>
      </c>
      <c r="H24" s="37">
        <f t="shared" si="3"/>
        <v>2016</v>
      </c>
      <c r="I24" s="37">
        <f t="shared" si="3"/>
        <v>2017</v>
      </c>
      <c r="J24" s="37">
        <f t="shared" si="3"/>
        <v>2018</v>
      </c>
      <c r="K24" s="37">
        <f t="shared" si="3"/>
        <v>2019</v>
      </c>
      <c r="L24" s="37">
        <f t="shared" si="3"/>
        <v>2020</v>
      </c>
      <c r="M24" s="37">
        <f t="shared" si="3"/>
        <v>2021</v>
      </c>
      <c r="N24" s="36">
        <f t="shared" si="3"/>
        <v>2022</v>
      </c>
      <c r="O24" s="36">
        <f t="shared" si="3"/>
        <v>2023</v>
      </c>
      <c r="P24" s="36">
        <f t="shared" si="3"/>
        <v>2024</v>
      </c>
      <c r="Q24" s="36">
        <f t="shared" si="3"/>
        <v>2025</v>
      </c>
      <c r="R24" s="36">
        <f t="shared" si="3"/>
        <v>2026</v>
      </c>
    </row>
    <row r="25" spans="1:18">
      <c r="B25" s="32" t="s">
        <v>61</v>
      </c>
      <c r="C25" s="35">
        <f>'Consolidated Statements'!B7</f>
        <v>549.53899999999999</v>
      </c>
      <c r="D25" s="35">
        <f>'Consolidated Statements'!C7</f>
        <v>424.85599999999999</v>
      </c>
      <c r="E25" s="35">
        <f>'Consolidated Statements'!D7</f>
        <v>2238.9540000000002</v>
      </c>
      <c r="F25" s="35">
        <f>'Consolidated Statements'!E7</f>
        <v>3624.4780000000001</v>
      </c>
      <c r="G25" s="35">
        <f>'Consolidated Statements'!F7</f>
        <v>3498.348</v>
      </c>
      <c r="H25" s="35">
        <f>'Consolidated Statements'!G7</f>
        <v>3783.9789999999998</v>
      </c>
      <c r="I25" s="35">
        <f>'Consolidated Statements'!H7</f>
        <v>4411.402</v>
      </c>
      <c r="J25" s="35">
        <f>'Consolidated Statements'!I7</f>
        <v>6211.0990000000002</v>
      </c>
      <c r="K25" s="35">
        <f>'Consolidated Statements'!J7</f>
        <v>6640.9139999999998</v>
      </c>
      <c r="L25" s="35">
        <f>'Consolidated Statements'!K7</f>
        <v>7474.5889999999999</v>
      </c>
      <c r="M25" s="35">
        <f>'Consolidated Statements'!L7</f>
        <v>6401.8220000000001</v>
      </c>
      <c r="N25" s="35">
        <f>'Consolidated Statements'!M7</f>
        <v>6081.7308999999996</v>
      </c>
      <c r="O25" s="35">
        <f>'Consolidated Statements'!N7</f>
        <v>5777.6443549999995</v>
      </c>
      <c r="P25" s="35">
        <f>'Consolidated Statements'!O7</f>
        <v>5488.7621372499989</v>
      </c>
      <c r="Q25" s="35">
        <f>'Consolidated Statements'!P7</f>
        <v>5214.3240303874991</v>
      </c>
      <c r="R25" s="35">
        <f>'Consolidated Statements'!Q7</f>
        <v>4953.6078288681238</v>
      </c>
    </row>
    <row r="26" spans="1:18">
      <c r="B26" s="32" t="s">
        <v>67</v>
      </c>
      <c r="C26" s="35">
        <f>'Consolidated Statements'!B12</f>
        <v>0</v>
      </c>
      <c r="D26" s="35">
        <f>'Consolidated Statements'!C12</f>
        <v>0</v>
      </c>
      <c r="E26" s="35">
        <f>'Consolidated Statements'!D12</f>
        <v>0</v>
      </c>
      <c r="F26" s="35">
        <f>'Consolidated Statements'!E12</f>
        <v>0</v>
      </c>
      <c r="G26" s="35">
        <f>'Consolidated Statements'!F12</f>
        <v>0</v>
      </c>
      <c r="H26" s="35">
        <f>'Consolidated Statements'!G12</f>
        <v>90.2</v>
      </c>
      <c r="I26" s="35">
        <f>'Consolidated Statements'!H12</f>
        <v>27.6</v>
      </c>
      <c r="J26" s="35">
        <f>'Consolidated Statements'!I12</f>
        <v>0</v>
      </c>
      <c r="K26" s="35">
        <f>'Consolidated Statements'!J12</f>
        <v>0</v>
      </c>
      <c r="L26" s="35">
        <f>'Consolidated Statements'!K12</f>
        <v>0</v>
      </c>
      <c r="M26" s="35">
        <f>'Consolidated Statements'!L12</f>
        <v>0</v>
      </c>
      <c r="N26" s="35">
        <f>'Consolidated Statements'!M12</f>
        <v>0</v>
      </c>
      <c r="O26" s="35">
        <f>'Consolidated Statements'!N12</f>
        <v>0</v>
      </c>
      <c r="P26" s="35">
        <f>'Consolidated Statements'!O12</f>
        <v>0</v>
      </c>
      <c r="Q26" s="35">
        <f>'Consolidated Statements'!P12</f>
        <v>0</v>
      </c>
      <c r="R26" s="35">
        <f>'Consolidated Statements'!Q12</f>
        <v>0</v>
      </c>
    </row>
    <row r="27" spans="1:18">
      <c r="B27" s="32" t="s">
        <v>68</v>
      </c>
      <c r="C27" s="35">
        <f>C25+C26</f>
        <v>549.53899999999999</v>
      </c>
      <c r="D27" s="35">
        <f t="shared" ref="D27:R27" si="4">D25+D26</f>
        <v>424.85599999999999</v>
      </c>
      <c r="E27" s="35">
        <f t="shared" si="4"/>
        <v>2238.9540000000002</v>
      </c>
      <c r="F27" s="35">
        <f t="shared" si="4"/>
        <v>3624.4780000000001</v>
      </c>
      <c r="G27" s="35">
        <f t="shared" si="4"/>
        <v>3498.348</v>
      </c>
      <c r="H27" s="35">
        <f t="shared" si="4"/>
        <v>3874.1789999999996</v>
      </c>
      <c r="I27" s="35">
        <f t="shared" si="4"/>
        <v>4439.0020000000004</v>
      </c>
      <c r="J27" s="35">
        <f t="shared" si="4"/>
        <v>6211.0990000000002</v>
      </c>
      <c r="K27" s="35">
        <f t="shared" si="4"/>
        <v>6640.9139999999998</v>
      </c>
      <c r="L27" s="35">
        <f t="shared" si="4"/>
        <v>7474.5889999999999</v>
      </c>
      <c r="M27" s="35">
        <f t="shared" si="4"/>
        <v>6401.8220000000001</v>
      </c>
      <c r="N27" s="35">
        <f t="shared" si="4"/>
        <v>6081.7308999999996</v>
      </c>
      <c r="O27" s="35">
        <f t="shared" si="4"/>
        <v>5777.6443549999995</v>
      </c>
      <c r="P27" s="35">
        <f t="shared" si="4"/>
        <v>5488.7621372499989</v>
      </c>
      <c r="Q27" s="35">
        <f t="shared" si="4"/>
        <v>5214.3240303874991</v>
      </c>
      <c r="R27" s="35">
        <f t="shared" si="4"/>
        <v>4953.6078288681238</v>
      </c>
    </row>
    <row r="28" spans="1:18">
      <c r="B28" s="32" t="s">
        <v>62</v>
      </c>
      <c r="C28" s="35">
        <f>'Consolidated Statements'!B35*2</f>
        <v>276.642</v>
      </c>
      <c r="D28" s="35">
        <f>'Consolidated Statements'!C35*2</f>
        <v>530.49599999999998</v>
      </c>
      <c r="E28" s="35">
        <f>'Consolidated Statements'!D35*2</f>
        <v>2064.7139999999999</v>
      </c>
      <c r="F28" s="35">
        <f>'Consolidated Statements'!E35*2</f>
        <v>2970.538</v>
      </c>
      <c r="G28" s="35">
        <f>'Consolidated Statements'!F35*2</f>
        <v>3821.694</v>
      </c>
      <c r="H28" s="35">
        <f>'Consolidated Statements'!G35*2</f>
        <v>3758.3040000000001</v>
      </c>
      <c r="I28" s="35">
        <f>'Consolidated Statements'!H35*2</f>
        <v>3063.4380000000001</v>
      </c>
      <c r="J28" s="35">
        <f>'Consolidated Statements'!I35*2</f>
        <v>3252.35</v>
      </c>
      <c r="K28" s="35">
        <f>'Consolidated Statements'!J35*2</f>
        <v>3910.998</v>
      </c>
      <c r="L28" s="35">
        <f>'Consolidated Statements'!K35*2</f>
        <v>4346.6059999999998</v>
      </c>
      <c r="M28" s="35">
        <f>'Consolidated Statements'!L35*2</f>
        <v>5987.5959999999995</v>
      </c>
      <c r="N28" s="35">
        <f>'Consolidated Statements'!M35*2</f>
        <v>6586.3555999999999</v>
      </c>
      <c r="O28" s="35">
        <f>'Consolidated Statements'!N35*2</f>
        <v>7244.9911600000005</v>
      </c>
      <c r="P28" s="35">
        <f>'Consolidated Statements'!O35*2</f>
        <v>7969.4902760000014</v>
      </c>
      <c r="Q28" s="35">
        <f>'Consolidated Statements'!P35*2</f>
        <v>8766.4393036000019</v>
      </c>
      <c r="R28" s="35">
        <f>'Consolidated Statements'!Q35*2</f>
        <v>9643.0832339600038</v>
      </c>
    </row>
    <row r="29" spans="1:18">
      <c r="B29" s="32" t="s">
        <v>105</v>
      </c>
      <c r="C29" s="35">
        <f>IF(C27&gt;=C28,C28,C27)</f>
        <v>276.642</v>
      </c>
      <c r="D29" s="35">
        <f t="shared" ref="D29:R29" si="5">IF(D27&gt;=D28,D28,D27)</f>
        <v>424.85599999999999</v>
      </c>
      <c r="E29" s="35">
        <f t="shared" si="5"/>
        <v>2064.7139999999999</v>
      </c>
      <c r="F29" s="35">
        <f t="shared" si="5"/>
        <v>2970.538</v>
      </c>
      <c r="G29" s="35">
        <f t="shared" si="5"/>
        <v>3498.348</v>
      </c>
      <c r="H29" s="35">
        <f t="shared" si="5"/>
        <v>3758.3040000000001</v>
      </c>
      <c r="I29" s="35">
        <f t="shared" si="5"/>
        <v>3063.4380000000001</v>
      </c>
      <c r="J29" s="35">
        <f t="shared" si="5"/>
        <v>3252.35</v>
      </c>
      <c r="K29" s="35">
        <f t="shared" si="5"/>
        <v>3910.998</v>
      </c>
      <c r="L29" s="35">
        <f t="shared" si="5"/>
        <v>4346.6059999999998</v>
      </c>
      <c r="M29" s="35">
        <f t="shared" si="5"/>
        <v>5987.5959999999995</v>
      </c>
      <c r="N29" s="35">
        <f t="shared" si="5"/>
        <v>6081.7308999999996</v>
      </c>
      <c r="O29" s="35">
        <f t="shared" si="5"/>
        <v>5777.6443549999995</v>
      </c>
      <c r="P29" s="35">
        <f t="shared" si="5"/>
        <v>5488.7621372499989</v>
      </c>
      <c r="Q29" s="35">
        <f t="shared" si="5"/>
        <v>5214.3240303874991</v>
      </c>
      <c r="R29" s="35">
        <f t="shared" si="5"/>
        <v>4953.6078288681238</v>
      </c>
    </row>
    <row r="30" spans="1:18">
      <c r="B30" s="32" t="s">
        <v>104</v>
      </c>
      <c r="C30" s="35">
        <f>C27-C29</f>
        <v>272.89699999999999</v>
      </c>
      <c r="D30" s="35">
        <f t="shared" ref="D30:R30" si="6">D27-D29</f>
        <v>0</v>
      </c>
      <c r="E30" s="35">
        <f t="shared" si="6"/>
        <v>174.24000000000024</v>
      </c>
      <c r="F30" s="35">
        <f t="shared" si="6"/>
        <v>653.94000000000005</v>
      </c>
      <c r="G30" s="35">
        <f t="shared" si="6"/>
        <v>0</v>
      </c>
      <c r="H30" s="35">
        <f t="shared" si="6"/>
        <v>115.87499999999955</v>
      </c>
      <c r="I30" s="35">
        <f t="shared" si="6"/>
        <v>1375.5640000000003</v>
      </c>
      <c r="J30" s="35">
        <f t="shared" si="6"/>
        <v>2958.7490000000003</v>
      </c>
      <c r="K30" s="35">
        <f t="shared" si="6"/>
        <v>2729.9159999999997</v>
      </c>
      <c r="L30" s="35">
        <f t="shared" si="6"/>
        <v>3127.9830000000002</v>
      </c>
      <c r="M30" s="35">
        <f t="shared" si="6"/>
        <v>414.22600000000057</v>
      </c>
      <c r="N30" s="35">
        <f t="shared" si="6"/>
        <v>0</v>
      </c>
      <c r="O30" s="35">
        <f t="shared" si="6"/>
        <v>0</v>
      </c>
      <c r="P30" s="35">
        <f t="shared" si="6"/>
        <v>0</v>
      </c>
      <c r="Q30" s="35">
        <f t="shared" si="6"/>
        <v>0</v>
      </c>
      <c r="R30" s="35">
        <f t="shared" si="6"/>
        <v>0</v>
      </c>
    </row>
    <row r="32" spans="1:18">
      <c r="H32" s="35"/>
    </row>
    <row r="33" spans="1:18" ht="30" customHeight="1">
      <c r="B33" s="46" t="s">
        <v>63</v>
      </c>
      <c r="C33" s="46"/>
      <c r="D33" s="46"/>
      <c r="E33" s="46"/>
      <c r="F33" s="46"/>
      <c r="G33" s="46"/>
      <c r="H33" s="46"/>
    </row>
    <row r="35" spans="1:18" ht="59" customHeight="1">
      <c r="B35" s="46" t="s">
        <v>108</v>
      </c>
      <c r="C35" s="46"/>
      <c r="D35" s="46"/>
      <c r="E35" s="46"/>
      <c r="F35" s="46"/>
      <c r="G35" s="46"/>
      <c r="H35" s="46"/>
    </row>
    <row r="37" spans="1:18">
      <c r="A37">
        <v>2.1</v>
      </c>
      <c r="C37" s="37">
        <f>C24</f>
        <v>2011</v>
      </c>
      <c r="D37" s="37">
        <f t="shared" ref="D37:R37" si="7">D24</f>
        <v>2012</v>
      </c>
      <c r="E37" s="37">
        <f t="shared" si="7"/>
        <v>2013</v>
      </c>
      <c r="F37" s="37">
        <f t="shared" si="7"/>
        <v>2014</v>
      </c>
      <c r="G37" s="37">
        <f t="shared" si="7"/>
        <v>2015</v>
      </c>
      <c r="H37" s="37">
        <f t="shared" si="7"/>
        <v>2016</v>
      </c>
      <c r="I37" s="37">
        <f t="shared" si="7"/>
        <v>2017</v>
      </c>
      <c r="J37" s="37">
        <f t="shared" si="7"/>
        <v>2018</v>
      </c>
      <c r="K37" s="37">
        <f t="shared" si="7"/>
        <v>2019</v>
      </c>
      <c r="L37" s="37">
        <f t="shared" si="7"/>
        <v>2020</v>
      </c>
      <c r="M37" s="37">
        <f t="shared" si="7"/>
        <v>2021</v>
      </c>
      <c r="N37" s="36">
        <f t="shared" si="7"/>
        <v>2022</v>
      </c>
      <c r="O37" s="36">
        <f t="shared" si="7"/>
        <v>2023</v>
      </c>
      <c r="P37" s="36">
        <f t="shared" si="7"/>
        <v>2024</v>
      </c>
      <c r="Q37" s="36">
        <f t="shared" si="7"/>
        <v>2025</v>
      </c>
      <c r="R37" s="36">
        <f t="shared" si="7"/>
        <v>2026</v>
      </c>
    </row>
    <row r="38" spans="1:18" s="38" customFormat="1" ht="28">
      <c r="B38" s="44" t="s">
        <v>103</v>
      </c>
      <c r="C38" s="45">
        <f>SUM('Consolidated Statements'!B7:B10)+'Consolidated Statements'!B12-C30</f>
        <v>323.17100000000011</v>
      </c>
      <c r="D38" s="45">
        <f>SUM('Consolidated Statements'!C7:C10)+'Consolidated Statements'!C12-D30</f>
        <v>554.46600000000001</v>
      </c>
      <c r="E38" s="45">
        <f>SUM('Consolidated Statements'!D7:D10)+'Consolidated Statements'!D12-E30</f>
        <v>2400.4389999999999</v>
      </c>
      <c r="F38" s="45">
        <f>SUM('Consolidated Statements'!E7:E10)+'Consolidated Statements'!E12-F30</f>
        <v>3601.913</v>
      </c>
      <c r="G38" s="45">
        <f>SUM('Consolidated Statements'!F7:F10)+'Consolidated Statements'!F12-G30</f>
        <v>4381.7919999999995</v>
      </c>
      <c r="H38" s="45">
        <f>SUM('Consolidated Statements'!G7:G10)+'Consolidated Statements'!G12-H30</f>
        <v>4626.5210000000006</v>
      </c>
      <c r="I38" s="45">
        <f>SUM('Consolidated Statements'!H7:H10)+'Consolidated Statements'!H12-I30</f>
        <v>3973.92</v>
      </c>
      <c r="J38" s="45">
        <f>SUM('Consolidated Statements'!I7:I10)+'Consolidated Statements'!I12-J30</f>
        <v>4152.2870000000003</v>
      </c>
      <c r="K38" s="45">
        <f>SUM('Consolidated Statements'!J7:J10)+'Consolidated Statements'!J12-K30</f>
        <v>4890.1589999999997</v>
      </c>
      <c r="L38" s="45">
        <f>SUM('Consolidated Statements'!K7:K10)+'Consolidated Statements'!K12-L30</f>
        <v>5509.125</v>
      </c>
      <c r="M38" s="45">
        <f>SUM('Consolidated Statements'!L7:L10)+'Consolidated Statements'!L12-M30</f>
        <v>7504.1440000000002</v>
      </c>
      <c r="N38" s="45">
        <f>SUM('Consolidated Statements'!M7:M10)+'Consolidated Statements'!M12-N30</f>
        <v>7522.4515000000001</v>
      </c>
      <c r="O38" s="45">
        <f>SUM('Consolidated Statements'!N7:N10)+'Consolidated Statements'!N12-O30</f>
        <v>7146.3289249999998</v>
      </c>
      <c r="P38" s="45">
        <f>SUM('Consolidated Statements'!O7:O10)+'Consolidated Statements'!O12-P30</f>
        <v>6789.0124787499981</v>
      </c>
      <c r="Q38" s="45">
        <f>SUM('Consolidated Statements'!P7:P10)+'Consolidated Statements'!P12-Q30</f>
        <v>6449.5618548124985</v>
      </c>
      <c r="R38" s="45">
        <f>SUM('Consolidated Statements'!Q7:Q10)+'Consolidated Statements'!Q12-R30</f>
        <v>6127.0837620718739</v>
      </c>
    </row>
    <row r="39" spans="1:18">
      <c r="B39" s="32" t="s">
        <v>64</v>
      </c>
      <c r="C39" s="35">
        <f>SUM('Consolidated Statements'!B18:B21)-'Consolidated Statements'!B18</f>
        <v>25.05</v>
      </c>
      <c r="D39" s="35">
        <f>SUM('Consolidated Statements'!C18:C21)-'Consolidated Statements'!C18</f>
        <v>61.042999999999992</v>
      </c>
      <c r="E39" s="35">
        <f>SUM('Consolidated Statements'!D18:D21)-'Consolidated Statements'!D18</f>
        <v>138.304</v>
      </c>
      <c r="F39" s="35">
        <f>SUM('Consolidated Statements'!E18:E21)-'Consolidated Statements'!E18</f>
        <v>281.47399999999999</v>
      </c>
      <c r="G39" s="35">
        <f>SUM('Consolidated Statements'!F18:F21)-'Consolidated Statements'!F18</f>
        <v>417.87299999999999</v>
      </c>
      <c r="H39" s="35">
        <f>SUM('Consolidated Statements'!G18:G21)-'Consolidated Statements'!G18</f>
        <v>503.17299999999994</v>
      </c>
      <c r="I39" s="35">
        <f>SUM('Consolidated Statements'!H18:H21)-'Consolidated Statements'!H18</f>
        <v>498.30200000000002</v>
      </c>
      <c r="J39" s="35">
        <f>SUM('Consolidated Statements'!I18:I21)-'Consolidated Statements'!I18</f>
        <v>550.9369999999999</v>
      </c>
      <c r="K39" s="35">
        <f>SUM('Consolidated Statements'!J18:J21)-'Consolidated Statements'!J18</f>
        <v>662.04099999999994</v>
      </c>
      <c r="L39" s="35">
        <f>SUM('Consolidated Statements'!K18:K21)-'Consolidated Statements'!K18</f>
        <v>857.24600000000009</v>
      </c>
      <c r="M39" s="35">
        <f>SUM('Consolidated Statements'!L18:L21)-'Consolidated Statements'!L18</f>
        <v>1121.521</v>
      </c>
      <c r="N39" s="35">
        <f>SUM('Consolidated Statements'!M18:M21)-'Consolidated Statements'!M18</f>
        <v>1065.4449499999996</v>
      </c>
      <c r="O39" s="35">
        <f>SUM('Consolidated Statements'!N18:N21)-'Consolidated Statements'!N18</f>
        <v>1012.1727024999998</v>
      </c>
      <c r="P39" s="35">
        <f>SUM('Consolidated Statements'!O18:O21)-'Consolidated Statements'!O18</f>
        <v>961.56406737499992</v>
      </c>
      <c r="Q39" s="35">
        <f>SUM('Consolidated Statements'!P18:P21)-'Consolidated Statements'!P18</f>
        <v>913.4858640062497</v>
      </c>
      <c r="R39" s="35">
        <f>SUM('Consolidated Statements'!Q18:Q21)-'Consolidated Statements'!Q18</f>
        <v>867.81157080593732</v>
      </c>
    </row>
    <row r="40" spans="1:18">
      <c r="B40" s="32" t="s">
        <v>65</v>
      </c>
      <c r="C40" s="35">
        <f>C38-C39</f>
        <v>298.12100000000009</v>
      </c>
      <c r="D40" s="35">
        <f t="shared" ref="D40:R40" si="8">D38-D39</f>
        <v>493.423</v>
      </c>
      <c r="E40" s="35">
        <f t="shared" si="8"/>
        <v>2262.1349999999998</v>
      </c>
      <c r="F40" s="35">
        <f t="shared" si="8"/>
        <v>3320.4389999999999</v>
      </c>
      <c r="G40" s="35">
        <f t="shared" si="8"/>
        <v>3963.9189999999994</v>
      </c>
      <c r="H40" s="35">
        <f t="shared" si="8"/>
        <v>4123.3480000000009</v>
      </c>
      <c r="I40" s="35">
        <f t="shared" si="8"/>
        <v>3475.6179999999999</v>
      </c>
      <c r="J40" s="35">
        <f t="shared" si="8"/>
        <v>3601.3500000000004</v>
      </c>
      <c r="K40" s="35">
        <f t="shared" si="8"/>
        <v>4228.1179999999995</v>
      </c>
      <c r="L40" s="35">
        <f t="shared" si="8"/>
        <v>4651.8789999999999</v>
      </c>
      <c r="M40" s="35">
        <f t="shared" si="8"/>
        <v>6382.6230000000005</v>
      </c>
      <c r="N40" s="35">
        <f t="shared" si="8"/>
        <v>6457.0065500000001</v>
      </c>
      <c r="O40" s="35">
        <f t="shared" si="8"/>
        <v>6134.1562224999998</v>
      </c>
      <c r="P40" s="35">
        <f t="shared" si="8"/>
        <v>5827.4484113749986</v>
      </c>
      <c r="Q40" s="35">
        <f t="shared" si="8"/>
        <v>5536.0759908062491</v>
      </c>
      <c r="R40" s="35">
        <f t="shared" si="8"/>
        <v>5259.2721912659363</v>
      </c>
    </row>
    <row r="41" spans="1:18">
      <c r="B41" s="32" t="s">
        <v>66</v>
      </c>
      <c r="D41" s="35">
        <f>D40-C40</f>
        <v>195.30199999999991</v>
      </c>
      <c r="E41" s="35">
        <f t="shared" ref="E41:R41" si="9">E40-D40</f>
        <v>1768.7119999999998</v>
      </c>
      <c r="F41" s="35">
        <f t="shared" si="9"/>
        <v>1058.3040000000001</v>
      </c>
      <c r="G41" s="35">
        <f t="shared" si="9"/>
        <v>643.47999999999956</v>
      </c>
      <c r="H41" s="35">
        <f t="shared" si="9"/>
        <v>159.42900000000145</v>
      </c>
      <c r="I41" s="35">
        <f t="shared" si="9"/>
        <v>-647.73000000000093</v>
      </c>
      <c r="J41" s="35">
        <f t="shared" si="9"/>
        <v>125.73200000000043</v>
      </c>
      <c r="K41" s="35">
        <f t="shared" si="9"/>
        <v>626.76799999999912</v>
      </c>
      <c r="L41" s="35">
        <f t="shared" si="9"/>
        <v>423.76100000000042</v>
      </c>
      <c r="M41" s="35">
        <f t="shared" si="9"/>
        <v>1730.7440000000006</v>
      </c>
      <c r="N41" s="35">
        <f t="shared" si="9"/>
        <v>74.383549999999559</v>
      </c>
      <c r="O41" s="35">
        <f t="shared" si="9"/>
        <v>-322.85032750000028</v>
      </c>
      <c r="P41" s="35">
        <f t="shared" si="9"/>
        <v>-306.70781112500117</v>
      </c>
      <c r="Q41" s="35">
        <f t="shared" si="9"/>
        <v>-291.37242056874948</v>
      </c>
      <c r="R41" s="35">
        <f t="shared" si="9"/>
        <v>-276.80379954031287</v>
      </c>
    </row>
    <row r="44" spans="1:18">
      <c r="A44">
        <v>2.2000000000000002</v>
      </c>
      <c r="C44" s="37">
        <f>C37</f>
        <v>2011</v>
      </c>
      <c r="D44" s="37">
        <f t="shared" ref="D44:R44" si="10">D37</f>
        <v>2012</v>
      </c>
      <c r="E44" s="37">
        <f t="shared" si="10"/>
        <v>2013</v>
      </c>
      <c r="F44" s="37">
        <f t="shared" si="10"/>
        <v>2014</v>
      </c>
      <c r="G44" s="37">
        <f t="shared" si="10"/>
        <v>2015</v>
      </c>
      <c r="H44" s="37">
        <f t="shared" si="10"/>
        <v>2016</v>
      </c>
      <c r="I44" s="37">
        <f t="shared" si="10"/>
        <v>2017</v>
      </c>
      <c r="J44" s="37">
        <f t="shared" si="10"/>
        <v>2018</v>
      </c>
      <c r="K44" s="37">
        <f t="shared" si="10"/>
        <v>2019</v>
      </c>
      <c r="L44" s="37">
        <f t="shared" si="10"/>
        <v>2020</v>
      </c>
      <c r="M44" s="37">
        <f t="shared" si="10"/>
        <v>2021</v>
      </c>
      <c r="N44" s="36">
        <f t="shared" si="10"/>
        <v>2022</v>
      </c>
      <c r="O44" s="36">
        <f t="shared" si="10"/>
        <v>2023</v>
      </c>
      <c r="P44" s="36">
        <f t="shared" si="10"/>
        <v>2024</v>
      </c>
      <c r="Q44" s="36">
        <f t="shared" si="10"/>
        <v>2025</v>
      </c>
      <c r="R44" s="36">
        <f t="shared" si="10"/>
        <v>2026</v>
      </c>
    </row>
    <row r="45" spans="1:18">
      <c r="B45" s="32" t="s">
        <v>69</v>
      </c>
      <c r="C45">
        <f>365*'Consolidated Statements'!B9/'Consolidated Statements'!B34</f>
        <v>0</v>
      </c>
      <c r="D45">
        <f>365*'Consolidated Statements'!C9/'Consolidated Statements'!C34</f>
        <v>0</v>
      </c>
      <c r="E45">
        <f>365*'Consolidated Statements'!D9/'Consolidated Statements'!D34</f>
        <v>0</v>
      </c>
      <c r="F45">
        <f>365*'Consolidated Statements'!E9/'Consolidated Statements'!E34</f>
        <v>0</v>
      </c>
      <c r="G45">
        <f>365*'Consolidated Statements'!F9/'Consolidated Statements'!F34</f>
        <v>0</v>
      </c>
      <c r="H45">
        <f>365*'Consolidated Statements'!G9/'Consolidated Statements'!G34</f>
        <v>0</v>
      </c>
      <c r="I45">
        <f>365*'Consolidated Statements'!H9/'Consolidated Statements'!H34</f>
        <v>0</v>
      </c>
      <c r="J45">
        <f>365*'Consolidated Statements'!I9/'Consolidated Statements'!I34</f>
        <v>0</v>
      </c>
      <c r="K45">
        <f>365*'Consolidated Statements'!J9/'Consolidated Statements'!J34</f>
        <v>0</v>
      </c>
      <c r="L45">
        <f>365*'Consolidated Statements'!K9/'Consolidated Statements'!K34</f>
        <v>0</v>
      </c>
      <c r="M45">
        <f>365*'Consolidated Statements'!L9/'Consolidated Statements'!L34</f>
        <v>0</v>
      </c>
      <c r="N45">
        <f>365*'Consolidated Statements'!M9/'Consolidated Statements'!M34</f>
        <v>0</v>
      </c>
      <c r="O45">
        <f>365*'Consolidated Statements'!N9/'Consolidated Statements'!N34</f>
        <v>0</v>
      </c>
      <c r="P45">
        <f>365*'Consolidated Statements'!O9/'Consolidated Statements'!O34</f>
        <v>0</v>
      </c>
      <c r="Q45">
        <f>365*'Consolidated Statements'!P9/'Consolidated Statements'!P34</f>
        <v>0</v>
      </c>
      <c r="R45">
        <f>365*'Consolidated Statements'!Q9/'Consolidated Statements'!Q34</f>
        <v>0</v>
      </c>
    </row>
    <row r="46" spans="1:18">
      <c r="B46" s="32" t="s">
        <v>70</v>
      </c>
      <c r="C46" s="39">
        <f>365*'Consolidated Statements'!B8/'Consolidated Statements'!B33</f>
        <v>136.76041500098765</v>
      </c>
      <c r="D46" s="39">
        <f>365*'Consolidated Statements'!C8/'Consolidated Statements'!C33</f>
        <v>129.16476037522125</v>
      </c>
      <c r="E46" s="39">
        <f>365*'Consolidated Statements'!D8/'Consolidated Statements'!D33</f>
        <v>135.77391749011116</v>
      </c>
      <c r="F46" s="39">
        <f>365*'Consolidated Statements'!E8/'Consolidated Statements'!E33</f>
        <v>108.86350126371879</v>
      </c>
      <c r="G46" s="39">
        <f>365*'Consolidated Statements'!F8/'Consolidated Statements'!F33</f>
        <v>105.10367298578198</v>
      </c>
      <c r="H46" s="39">
        <f>365*'Consolidated Statements'!G8/'Consolidated Statements'!G33</f>
        <v>93.882616314947029</v>
      </c>
      <c r="I46" s="39">
        <f>365*'Consolidated Statements'!H8/'Consolidated Statements'!H33</f>
        <v>99.233790051892953</v>
      </c>
      <c r="J46" s="39">
        <f>365*'Consolidated Statements'!I8/'Consolidated Statements'!I33</f>
        <v>94.622462372126364</v>
      </c>
      <c r="K46" s="39">
        <f>365*'Consolidated Statements'!J8/'Consolidated Statements'!J33</f>
        <v>89.704436900913436</v>
      </c>
      <c r="L46" s="39">
        <f>365*'Consolidated Statements'!K8/'Consolidated Statements'!K33</f>
        <v>102.3144475935925</v>
      </c>
      <c r="M46" s="39">
        <f>365*'Consolidated Statements'!L8/'Consolidated Statements'!L33</f>
        <v>87.514334861256032</v>
      </c>
      <c r="N46" s="39">
        <f>365*'Consolidated Statements'!M8/'Consolidated Statements'!M33</f>
        <v>75.580561925630207</v>
      </c>
      <c r="O46" s="39">
        <f>365*'Consolidated Statements'!N8/'Consolidated Statements'!N33</f>
        <v>65.274121663044255</v>
      </c>
      <c r="P46" s="39">
        <f>365*'Consolidated Statements'!O8/'Consolidated Statements'!O33</f>
        <v>56.373105072629116</v>
      </c>
      <c r="Q46" s="39">
        <f>365*'Consolidated Statements'!P8/'Consolidated Statements'!P33</f>
        <v>48.685863471816056</v>
      </c>
      <c r="R46" s="39">
        <f>365*'Consolidated Statements'!Q8/'Consolidated Statements'!Q33</f>
        <v>42.046882089295678</v>
      </c>
    </row>
    <row r="47" spans="1:18">
      <c r="B47" s="32" t="s">
        <v>71</v>
      </c>
      <c r="C47" s="39">
        <f>365*'Consolidated Statements'!B19/'Consolidated Statements'!B34</f>
        <v>45.416312892005152</v>
      </c>
      <c r="D47" s="39">
        <f>365*'Consolidated Statements'!C19/'Consolidated Statements'!C34</f>
        <v>54.702641214318724</v>
      </c>
      <c r="E47" s="39">
        <f>365*'Consolidated Statements'!D19/'Consolidated Statements'!D34</f>
        <v>64.887343621007176</v>
      </c>
      <c r="F47" s="39">
        <f>365*'Consolidated Statements'!E19/'Consolidated Statements'!E34</f>
        <v>78.221841615881885</v>
      </c>
      <c r="G47" s="39">
        <f>365*'Consolidated Statements'!F19/'Consolidated Statements'!F34</f>
        <v>113.41835150267904</v>
      </c>
      <c r="H47" s="39">
        <f>365*'Consolidated Statements'!G19/'Consolidated Statements'!G34</f>
        <v>86.766885709451643</v>
      </c>
      <c r="I47" s="39">
        <f>365*'Consolidated Statements'!H19/'Consolidated Statements'!H34</f>
        <v>129.36087271973466</v>
      </c>
      <c r="J47" s="39">
        <f>365*'Consolidated Statements'!I19/'Consolidated Statements'!I34</f>
        <v>97.842179699270332</v>
      </c>
      <c r="K47" s="39">
        <f>365*'Consolidated Statements'!J19/'Consolidated Statements'!J34</f>
        <v>87.512025292914259</v>
      </c>
      <c r="L47" s="39">
        <f>365*'Consolidated Statements'!K19/'Consolidated Statements'!K34</f>
        <v>81.395396752336694</v>
      </c>
      <c r="M47" s="39">
        <f>365*'Consolidated Statements'!L19/'Consolidated Statements'!L34</f>
        <v>58.58198762278078</v>
      </c>
      <c r="N47" s="39">
        <f>365*'Consolidated Statements'!M19/'Consolidated Statements'!M34</f>
        <v>50.593534765128844</v>
      </c>
      <c r="O47" s="39">
        <f>365*'Consolidated Statements'!N19/'Consolidated Statements'!N34</f>
        <v>43.694416388065818</v>
      </c>
      <c r="P47" s="39">
        <f>365*'Consolidated Statements'!O19/'Consolidated Statements'!O34</f>
        <v>37.736086880602286</v>
      </c>
      <c r="Q47" s="39">
        <f>365*'Consolidated Statements'!P19/'Consolidated Statements'!P34</f>
        <v>32.590256851429245</v>
      </c>
      <c r="R47" s="39">
        <f>365*'Consolidated Statements'!Q19/'Consolidated Statements'!Q34</f>
        <v>28.146130917143434</v>
      </c>
    </row>
    <row r="48" spans="1:18">
      <c r="B48" s="32" t="s">
        <v>72</v>
      </c>
      <c r="C48" s="39">
        <f>C45+C46-C47</f>
        <v>91.344102108982497</v>
      </c>
      <c r="D48" s="39">
        <f t="shared" ref="D48:R48" si="11">D45+D46-D47</f>
        <v>74.462119160902517</v>
      </c>
      <c r="E48" s="39">
        <f t="shared" si="11"/>
        <v>70.886573869103984</v>
      </c>
      <c r="F48" s="39">
        <f t="shared" si="11"/>
        <v>30.641659647836903</v>
      </c>
      <c r="G48" s="39">
        <f t="shared" si="11"/>
        <v>-8.3146785168970609</v>
      </c>
      <c r="H48" s="39">
        <f t="shared" si="11"/>
        <v>7.1157306054953864</v>
      </c>
      <c r="I48" s="39">
        <f t="shared" si="11"/>
        <v>-30.127082667841705</v>
      </c>
      <c r="J48" s="39">
        <f t="shared" si="11"/>
        <v>-3.2197173271439681</v>
      </c>
      <c r="K48" s="39">
        <f t="shared" si="11"/>
        <v>2.1924116079991762</v>
      </c>
      <c r="L48" s="39">
        <f t="shared" si="11"/>
        <v>20.91905084125581</v>
      </c>
      <c r="M48" s="39">
        <f t="shared" si="11"/>
        <v>28.932347238475252</v>
      </c>
      <c r="N48" s="39">
        <f t="shared" si="11"/>
        <v>24.987027160501363</v>
      </c>
      <c r="O48" s="39">
        <f t="shared" si="11"/>
        <v>21.579705274978437</v>
      </c>
      <c r="P48" s="39">
        <f t="shared" si="11"/>
        <v>18.637018192026829</v>
      </c>
      <c r="Q48" s="39">
        <f t="shared" si="11"/>
        <v>16.09560662038681</v>
      </c>
      <c r="R48" s="39">
        <f t="shared" si="11"/>
        <v>13.900751172152244</v>
      </c>
    </row>
    <row r="50" spans="1:18" ht="46" customHeight="1">
      <c r="B50" s="46" t="s">
        <v>109</v>
      </c>
      <c r="C50" s="46"/>
      <c r="D50" s="46"/>
      <c r="E50" s="46"/>
      <c r="F50" s="46"/>
      <c r="G50" s="46"/>
      <c r="H50" s="46"/>
    </row>
    <row r="52" spans="1:18">
      <c r="A52">
        <v>2.2999999999999998</v>
      </c>
      <c r="C52" s="37">
        <f>C44</f>
        <v>2011</v>
      </c>
      <c r="D52" s="37">
        <f t="shared" ref="D52:R52" si="12">D44</f>
        <v>2012</v>
      </c>
      <c r="E52" s="37">
        <f t="shared" si="12"/>
        <v>2013</v>
      </c>
      <c r="F52" s="37">
        <f t="shared" si="12"/>
        <v>2014</v>
      </c>
      <c r="G52" s="37">
        <f t="shared" si="12"/>
        <v>2015</v>
      </c>
      <c r="H52" s="37">
        <f t="shared" si="12"/>
        <v>2016</v>
      </c>
      <c r="I52" s="37">
        <f t="shared" si="12"/>
        <v>2017</v>
      </c>
      <c r="J52" s="37">
        <f t="shared" si="12"/>
        <v>2018</v>
      </c>
      <c r="K52" s="37">
        <f t="shared" si="12"/>
        <v>2019</v>
      </c>
      <c r="L52" s="37">
        <f t="shared" si="12"/>
        <v>2020</v>
      </c>
      <c r="M52" s="37">
        <f t="shared" si="12"/>
        <v>2021</v>
      </c>
      <c r="N52" s="36">
        <f t="shared" si="12"/>
        <v>2022</v>
      </c>
      <c r="O52" s="36">
        <f t="shared" si="12"/>
        <v>2023</v>
      </c>
      <c r="P52" s="36">
        <f t="shared" si="12"/>
        <v>2024</v>
      </c>
      <c r="Q52" s="36">
        <f t="shared" si="12"/>
        <v>2025</v>
      </c>
      <c r="R52" s="36">
        <f t="shared" si="12"/>
        <v>2026</v>
      </c>
    </row>
    <row r="53" spans="1:18">
      <c r="B53" s="32" t="s">
        <v>73</v>
      </c>
      <c r="C53" s="35">
        <f>'Consolidated Statements'!B43</f>
        <v>11.545999999999999</v>
      </c>
      <c r="D53" s="35">
        <f>'Consolidated Statements'!C43</f>
        <v>50.598999999999997</v>
      </c>
      <c r="E53" s="35">
        <f>'Consolidated Statements'!D43</f>
        <v>75.744</v>
      </c>
      <c r="F53" s="35">
        <f>'Consolidated Statements'!E43</f>
        <v>201.63</v>
      </c>
      <c r="G53" s="35">
        <f>'Consolidated Statements'!F43</f>
        <v>347.28</v>
      </c>
      <c r="H53" s="35">
        <f>'Consolidated Statements'!G43</f>
        <v>218.65700000000001</v>
      </c>
      <c r="I53" s="35">
        <f>'Consolidated Statements'!H43</f>
        <v>160.74199999999999</v>
      </c>
      <c r="J53" s="35">
        <f>'Consolidated Statements'!I43</f>
        <v>483.93400000000003</v>
      </c>
      <c r="K53" s="35">
        <f>'Consolidated Statements'!J43</f>
        <v>540.68799999999999</v>
      </c>
      <c r="L53" s="35">
        <f>'Consolidated Statements'!K43</f>
        <v>873.35400000000004</v>
      </c>
      <c r="M53" s="35">
        <f>'Consolidated Statements'!L43</f>
        <v>1011.546</v>
      </c>
      <c r="N53" s="35">
        <f>'Consolidated Statements'!M43</f>
        <v>536.16261000000088</v>
      </c>
      <c r="O53" s="35">
        <f>'Consolidated Statements'!N43</f>
        <v>563.32993950000014</v>
      </c>
      <c r="P53" s="35">
        <f>'Consolidated Statements'!O43</f>
        <v>594.53644852500133</v>
      </c>
      <c r="Q53" s="35">
        <f>'Consolidated Statements'!P43</f>
        <v>630.11993269874961</v>
      </c>
      <c r="R53" s="35">
        <f>'Consolidated Statements'!Q43</f>
        <v>670.45527332381266</v>
      </c>
    </row>
    <row r="54" spans="1:18">
      <c r="B54" s="32" t="s">
        <v>74</v>
      </c>
      <c r="C54" s="35">
        <f>'Consolidated Statements'!B37</f>
        <v>24.192</v>
      </c>
      <c r="D54" s="35">
        <f>'Consolidated Statements'!C37</f>
        <v>72.506</v>
      </c>
      <c r="E54" s="35">
        <f>'Consolidated Statements'!D37</f>
        <v>110.89400000000001</v>
      </c>
      <c r="F54" s="35">
        <f>'Consolidated Statements'!E37</f>
        <v>208.16499999999999</v>
      </c>
      <c r="G54" s="35">
        <f>'Consolidated Statements'!F37</f>
        <v>312.82299999999998</v>
      </c>
      <c r="H54" s="35">
        <f>'Consolidated Statements'!G37</f>
        <v>402.17200000000003</v>
      </c>
      <c r="I54" s="35">
        <f>'Consolidated Statements'!H37</f>
        <v>395.86700000000002</v>
      </c>
      <c r="J54" s="35">
        <f>'Consolidated Statements'!I37</f>
        <v>425.49799999999999</v>
      </c>
      <c r="K54" s="35">
        <f>'Consolidated Statements'!J37</f>
        <v>465.54899999999998</v>
      </c>
      <c r="L54" s="35">
        <f>'Consolidated Statements'!K37</f>
        <v>495.17700000000002</v>
      </c>
      <c r="M54" s="35">
        <f>'Consolidated Statements'!L37</f>
        <v>544.84799999999996</v>
      </c>
      <c r="N54" s="35">
        <f>'Consolidated Statements'!M37</f>
        <v>517.60559999999998</v>
      </c>
      <c r="O54" s="35">
        <f>'Consolidated Statements'!N37</f>
        <v>491.72531999999995</v>
      </c>
      <c r="P54" s="35">
        <f>'Consolidated Statements'!O37</f>
        <v>467.13905399999993</v>
      </c>
      <c r="Q54" s="35">
        <f>'Consolidated Statements'!P37</f>
        <v>443.78210129999991</v>
      </c>
      <c r="R54" s="35">
        <f>'Consolidated Statements'!Q37</f>
        <v>421.59299623499987</v>
      </c>
    </row>
    <row r="55" spans="1:18">
      <c r="A55" s="32" t="s">
        <v>76</v>
      </c>
      <c r="B55" s="32" t="s">
        <v>75</v>
      </c>
      <c r="C55" s="35"/>
      <c r="D55" s="35">
        <f>D41</f>
        <v>195.30199999999991</v>
      </c>
      <c r="E55" s="35">
        <f t="shared" ref="E55:R55" si="13">E41</f>
        <v>1768.7119999999998</v>
      </c>
      <c r="F55" s="35">
        <f t="shared" si="13"/>
        <v>1058.3040000000001</v>
      </c>
      <c r="G55" s="35">
        <f t="shared" si="13"/>
        <v>643.47999999999956</v>
      </c>
      <c r="H55" s="35">
        <f t="shared" si="13"/>
        <v>159.42900000000145</v>
      </c>
      <c r="I55" s="35">
        <f t="shared" si="13"/>
        <v>-647.73000000000093</v>
      </c>
      <c r="J55" s="35">
        <f t="shared" si="13"/>
        <v>125.73200000000043</v>
      </c>
      <c r="K55" s="35">
        <f t="shared" si="13"/>
        <v>626.76799999999912</v>
      </c>
      <c r="L55" s="35">
        <f t="shared" si="13"/>
        <v>423.76100000000042</v>
      </c>
      <c r="M55" s="35">
        <f t="shared" si="13"/>
        <v>1730.7440000000006</v>
      </c>
      <c r="N55" s="35">
        <f t="shared" si="13"/>
        <v>74.383549999999559</v>
      </c>
      <c r="O55" s="35">
        <f t="shared" si="13"/>
        <v>-322.85032750000028</v>
      </c>
      <c r="P55" s="35">
        <f t="shared" si="13"/>
        <v>-306.70781112500117</v>
      </c>
      <c r="Q55" s="35">
        <f t="shared" si="13"/>
        <v>-291.37242056874948</v>
      </c>
      <c r="R55" s="35">
        <f t="shared" si="13"/>
        <v>-276.80379954031287</v>
      </c>
    </row>
    <row r="56" spans="1:18">
      <c r="A56" s="32" t="s">
        <v>76</v>
      </c>
      <c r="B56" s="32" t="s">
        <v>77</v>
      </c>
      <c r="C56" s="35"/>
      <c r="D56" s="35">
        <f>D53-D54+D55</f>
        <v>173.3949999999999</v>
      </c>
      <c r="E56" s="35">
        <f t="shared" ref="E56:R56" si="14">E53-E54+E55</f>
        <v>1733.5619999999997</v>
      </c>
      <c r="F56" s="35">
        <f t="shared" si="14"/>
        <v>1051.769</v>
      </c>
      <c r="G56" s="35">
        <f t="shared" si="14"/>
        <v>677.93699999999956</v>
      </c>
      <c r="H56" s="35">
        <f t="shared" si="14"/>
        <v>-24.085999999998563</v>
      </c>
      <c r="I56" s="35">
        <f t="shared" si="14"/>
        <v>-882.85500000000093</v>
      </c>
      <c r="J56" s="35">
        <f t="shared" si="14"/>
        <v>184.16800000000046</v>
      </c>
      <c r="K56" s="35">
        <f t="shared" si="14"/>
        <v>701.90699999999913</v>
      </c>
      <c r="L56" s="35">
        <f t="shared" si="14"/>
        <v>801.93800000000044</v>
      </c>
      <c r="M56" s="35">
        <f t="shared" si="14"/>
        <v>2197.4420000000009</v>
      </c>
      <c r="N56" s="35">
        <f t="shared" si="14"/>
        <v>92.94056000000046</v>
      </c>
      <c r="O56" s="35">
        <f t="shared" si="14"/>
        <v>-251.24570800000009</v>
      </c>
      <c r="P56" s="35">
        <f t="shared" si="14"/>
        <v>-179.31041659999977</v>
      </c>
      <c r="Q56" s="35">
        <f t="shared" si="14"/>
        <v>-105.03458916999978</v>
      </c>
      <c r="R56" s="35">
        <f t="shared" si="14"/>
        <v>-27.941522451500077</v>
      </c>
    </row>
    <row r="57" spans="1:18">
      <c r="A57" s="32" t="s">
        <v>76</v>
      </c>
      <c r="B57" s="32" t="s">
        <v>78</v>
      </c>
      <c r="C57" s="39"/>
      <c r="D57" s="39">
        <f>D56/D7</f>
        <v>-2.242795426324502</v>
      </c>
      <c r="E57" s="39">
        <f t="shared" ref="E57:R57" si="15">E56/E7</f>
        <v>-2.7342904190483392</v>
      </c>
      <c r="F57" s="39">
        <f t="shared" si="15"/>
        <v>-1.9537444156519639</v>
      </c>
      <c r="G57" s="39">
        <f t="shared" si="15"/>
        <v>-1.5956715153226939</v>
      </c>
      <c r="H57" s="39">
        <f t="shared" si="15"/>
        <v>8.5426191075749267E-2</v>
      </c>
      <c r="I57" s="39">
        <f t="shared" si="15"/>
        <v>-42.716034449390783</v>
      </c>
      <c r="J57" s="39">
        <f t="shared" si="15"/>
        <v>0.14959362272788598</v>
      </c>
      <c r="K57" s="39">
        <f t="shared" si="15"/>
        <v>0.48686875553175546</v>
      </c>
      <c r="L57" s="39">
        <f t="shared" si="15"/>
        <v>-0.88316342319463426</v>
      </c>
      <c r="M57" s="39">
        <f t="shared" si="15"/>
        <v>4.7495212529124657</v>
      </c>
      <c r="N57" s="39">
        <f t="shared" si="15"/>
        <v>0.30413649317487162</v>
      </c>
      <c r="O57" s="39">
        <f t="shared" si="15"/>
        <v>-0.63085878328515532</v>
      </c>
      <c r="P57" s="39">
        <f t="shared" si="15"/>
        <v>-0.36071816055236833</v>
      </c>
      <c r="Q57" s="39">
        <f t="shared" si="15"/>
        <v>-0.17422750804031439</v>
      </c>
      <c r="R57" s="39">
        <f t="shared" si="15"/>
        <v>-3.9002762458569325E-2</v>
      </c>
    </row>
    <row r="60" spans="1:18">
      <c r="A60">
        <v>2.4</v>
      </c>
      <c r="C60" s="37">
        <f>C52</f>
        <v>2011</v>
      </c>
      <c r="D60" s="37">
        <f t="shared" ref="D60:R60" si="16">D52</f>
        <v>2012</v>
      </c>
      <c r="E60" s="37">
        <f t="shared" si="16"/>
        <v>2013</v>
      </c>
      <c r="F60" s="37">
        <f t="shared" si="16"/>
        <v>2014</v>
      </c>
      <c r="G60" s="37">
        <f t="shared" si="16"/>
        <v>2015</v>
      </c>
      <c r="H60" s="37">
        <f t="shared" si="16"/>
        <v>2016</v>
      </c>
      <c r="I60" s="37">
        <f t="shared" si="16"/>
        <v>2017</v>
      </c>
      <c r="J60" s="37">
        <f t="shared" si="16"/>
        <v>2018</v>
      </c>
      <c r="K60" s="37">
        <f t="shared" si="16"/>
        <v>2019</v>
      </c>
      <c r="L60" s="37">
        <f t="shared" si="16"/>
        <v>2020</v>
      </c>
      <c r="M60" s="37">
        <f t="shared" si="16"/>
        <v>2021</v>
      </c>
      <c r="N60" s="36">
        <f t="shared" si="16"/>
        <v>2022</v>
      </c>
      <c r="O60" s="36">
        <f t="shared" si="16"/>
        <v>2023</v>
      </c>
      <c r="P60" s="36">
        <f t="shared" si="16"/>
        <v>2024</v>
      </c>
      <c r="Q60" s="36">
        <f t="shared" si="16"/>
        <v>2025</v>
      </c>
      <c r="R60" s="36">
        <f t="shared" si="16"/>
        <v>2026</v>
      </c>
    </row>
    <row r="61" spans="1:18">
      <c r="B61" s="32" t="s">
        <v>79</v>
      </c>
      <c r="D61" s="35">
        <f>D7+D54-D53-D41</f>
        <v>-250.70699999999991</v>
      </c>
      <c r="E61" s="35">
        <f t="shared" ref="E61:R61" si="17">E7+E54-E53-E41</f>
        <v>-2367.5699999999997</v>
      </c>
      <c r="F61" s="35">
        <f t="shared" si="17"/>
        <v>-1590.1040000000003</v>
      </c>
      <c r="G61" s="35">
        <f t="shared" si="17"/>
        <v>-1102.7969999999996</v>
      </c>
      <c r="H61" s="35">
        <f t="shared" si="17"/>
        <v>-257.86500000000126</v>
      </c>
      <c r="I61" s="35">
        <f t="shared" si="17"/>
        <v>903.52300000000082</v>
      </c>
      <c r="J61" s="35">
        <f t="shared" si="17"/>
        <v>1046.9539999999997</v>
      </c>
      <c r="K61" s="35">
        <f t="shared" si="17"/>
        <v>739.76900000000114</v>
      </c>
      <c r="L61" s="35">
        <f t="shared" si="17"/>
        <v>-1709.9670000000003</v>
      </c>
      <c r="M61" s="35">
        <f t="shared" si="17"/>
        <v>-1734.7760000000003</v>
      </c>
      <c r="N61" s="35">
        <f t="shared" si="17"/>
        <v>212.64775999999949</v>
      </c>
      <c r="O61" s="35">
        <f t="shared" si="17"/>
        <v>649.50553200000013</v>
      </c>
      <c r="P61" s="35">
        <f t="shared" si="17"/>
        <v>676.40326139999934</v>
      </c>
      <c r="Q61" s="35">
        <f t="shared" si="17"/>
        <v>707.89340492999941</v>
      </c>
      <c r="R61" s="35">
        <f t="shared" si="17"/>
        <v>744.34007194349965</v>
      </c>
    </row>
    <row r="62" spans="1:18">
      <c r="B62" s="32" t="s">
        <v>80</v>
      </c>
    </row>
    <row r="63" spans="1:18">
      <c r="A63" s="32"/>
      <c r="B63" s="32" t="s">
        <v>53</v>
      </c>
      <c r="C63" s="35">
        <f>C5</f>
        <v>-92.711000000000013</v>
      </c>
      <c r="D63" s="35">
        <f t="shared" ref="D63:R63" si="18">D5</f>
        <v>-77.082999999999998</v>
      </c>
      <c r="E63" s="35">
        <f t="shared" si="18"/>
        <v>-635.83100000000002</v>
      </c>
      <c r="F63" s="35">
        <f t="shared" si="18"/>
        <v>-538.86599999999999</v>
      </c>
      <c r="G63" s="35">
        <f t="shared" si="18"/>
        <v>-437.1339999999999</v>
      </c>
      <c r="H63" s="35">
        <f t="shared" si="18"/>
        <v>-265.91199999999981</v>
      </c>
      <c r="I63" s="35">
        <f t="shared" si="18"/>
        <v>33.312999999999818</v>
      </c>
      <c r="J63" s="35">
        <f t="shared" si="18"/>
        <v>449.07</v>
      </c>
      <c r="K63" s="35">
        <f t="shared" si="18"/>
        <v>366.15600000000018</v>
      </c>
      <c r="L63" s="35">
        <f t="shared" si="18"/>
        <v>176.65800000000002</v>
      </c>
      <c r="M63" s="35">
        <f t="shared" si="18"/>
        <v>272.96200000000044</v>
      </c>
      <c r="N63" s="35">
        <f t="shared" si="18"/>
        <v>381.98539999999991</v>
      </c>
      <c r="O63" s="35">
        <f t="shared" si="18"/>
        <v>497.82477999999998</v>
      </c>
      <c r="P63" s="35">
        <f t="shared" si="18"/>
        <v>621.36605599999962</v>
      </c>
      <c r="Q63" s="35">
        <f t="shared" si="18"/>
        <v>753.57351969999979</v>
      </c>
      <c r="R63" s="35">
        <f t="shared" si="18"/>
        <v>895.49818686499952</v>
      </c>
    </row>
    <row r="64" spans="1:18">
      <c r="B64" s="32" t="s">
        <v>55</v>
      </c>
      <c r="C64" s="35">
        <f>C7</f>
        <v>-91.26700000000001</v>
      </c>
      <c r="D64" s="35">
        <f t="shared" ref="D64:R64" si="19">D7</f>
        <v>-77.311999999999998</v>
      </c>
      <c r="E64" s="35">
        <f t="shared" si="19"/>
        <v>-634.00800000000004</v>
      </c>
      <c r="F64" s="35">
        <f t="shared" si="19"/>
        <v>-538.33500000000004</v>
      </c>
      <c r="G64" s="35">
        <f t="shared" si="19"/>
        <v>-424.8599999999999</v>
      </c>
      <c r="H64" s="35">
        <f t="shared" si="19"/>
        <v>-281.95099999999979</v>
      </c>
      <c r="I64" s="35">
        <f t="shared" si="19"/>
        <v>20.667999999999818</v>
      </c>
      <c r="J64" s="35">
        <f t="shared" si="19"/>
        <v>1231.1220000000001</v>
      </c>
      <c r="K64" s="35">
        <f t="shared" si="19"/>
        <v>1441.6760000000002</v>
      </c>
      <c r="L64" s="35">
        <f t="shared" si="19"/>
        <v>-908.02899999999988</v>
      </c>
      <c r="M64" s="35">
        <f t="shared" si="19"/>
        <v>462.66600000000045</v>
      </c>
      <c r="N64" s="35">
        <f t="shared" si="19"/>
        <v>305.5883199999999</v>
      </c>
      <c r="O64" s="35">
        <f t="shared" si="19"/>
        <v>398.25982399999998</v>
      </c>
      <c r="P64" s="35">
        <f t="shared" si="19"/>
        <v>497.09284479999963</v>
      </c>
      <c r="Q64" s="35">
        <f t="shared" si="19"/>
        <v>602.85881575999974</v>
      </c>
      <c r="R64" s="35">
        <f t="shared" si="19"/>
        <v>716.39854949199946</v>
      </c>
    </row>
    <row r="65" spans="1:18">
      <c r="B65" s="32" t="s">
        <v>56</v>
      </c>
      <c r="C65" s="35">
        <f>C8</f>
        <v>-128.30199999999999</v>
      </c>
      <c r="D65" s="35">
        <f t="shared" ref="D65:R65" si="20">D8</f>
        <v>-79.399000000000001</v>
      </c>
      <c r="E65" s="35">
        <f t="shared" si="20"/>
        <v>-645.32299999999998</v>
      </c>
      <c r="F65" s="35">
        <f t="shared" si="20"/>
        <v>-577.82000000000005</v>
      </c>
      <c r="G65" s="35">
        <f t="shared" si="20"/>
        <v>-521.03099999999995</v>
      </c>
      <c r="H65" s="35">
        <f t="shared" si="20"/>
        <v>-456.87299999999999</v>
      </c>
      <c r="I65" s="35">
        <f t="shared" si="20"/>
        <v>-108.063</v>
      </c>
      <c r="J65" s="35">
        <f t="shared" si="20"/>
        <v>1205.596</v>
      </c>
      <c r="K65" s="35">
        <f t="shared" si="20"/>
        <v>1465.6590000000001</v>
      </c>
      <c r="L65" s="35">
        <f t="shared" si="20"/>
        <v>-1135.626</v>
      </c>
      <c r="M65" s="35">
        <f t="shared" si="20"/>
        <v>-221.40899999999999</v>
      </c>
      <c r="N65" s="35">
        <f t="shared" si="20"/>
        <v>250</v>
      </c>
      <c r="O65" s="35">
        <f t="shared" si="20"/>
        <v>6143.7532200000005</v>
      </c>
      <c r="P65" s="35">
        <f t="shared" si="20"/>
        <v>6143.7532200000005</v>
      </c>
      <c r="Q65" s="35">
        <f t="shared" si="20"/>
        <v>6143.7532200000005</v>
      </c>
      <c r="R65" s="35">
        <f t="shared" si="20"/>
        <v>6143.7532200000005</v>
      </c>
    </row>
    <row r="67" spans="1:18" ht="57" customHeight="1">
      <c r="B67" s="46" t="s">
        <v>110</v>
      </c>
      <c r="C67" s="46"/>
      <c r="D67" s="46"/>
      <c r="E67" s="46"/>
      <c r="F67" s="46"/>
      <c r="G67" s="46"/>
    </row>
    <row r="68" spans="1:18">
      <c r="A68">
        <v>2.5</v>
      </c>
      <c r="C68" s="37">
        <f>C60</f>
        <v>2011</v>
      </c>
      <c r="D68" s="37">
        <f t="shared" ref="D68:R68" si="21">D60</f>
        <v>2012</v>
      </c>
      <c r="E68" s="37">
        <f t="shared" si="21"/>
        <v>2013</v>
      </c>
      <c r="F68" s="37">
        <f t="shared" si="21"/>
        <v>2014</v>
      </c>
      <c r="G68" s="37">
        <f t="shared" si="21"/>
        <v>2015</v>
      </c>
      <c r="H68" s="37">
        <f t="shared" si="21"/>
        <v>2016</v>
      </c>
      <c r="I68" s="37">
        <f t="shared" si="21"/>
        <v>2017</v>
      </c>
      <c r="J68" s="37">
        <f t="shared" si="21"/>
        <v>2018</v>
      </c>
      <c r="K68" s="37">
        <f t="shared" si="21"/>
        <v>2019</v>
      </c>
      <c r="L68" s="37">
        <f t="shared" si="21"/>
        <v>2020</v>
      </c>
      <c r="M68" s="37">
        <f t="shared" si="21"/>
        <v>2021</v>
      </c>
      <c r="N68" s="36">
        <f t="shared" si="21"/>
        <v>2022</v>
      </c>
      <c r="O68" s="36">
        <f t="shared" si="21"/>
        <v>2023</v>
      </c>
      <c r="P68" s="36">
        <f t="shared" si="21"/>
        <v>2024</v>
      </c>
      <c r="Q68" s="36">
        <f t="shared" si="21"/>
        <v>2025</v>
      </c>
      <c r="R68" s="36">
        <f t="shared" si="21"/>
        <v>2026</v>
      </c>
    </row>
    <row r="69" spans="1:18">
      <c r="B69" s="32" t="s">
        <v>83</v>
      </c>
      <c r="C69" s="35">
        <f>'Consolidated Statements'!B18+'Consolidated Statements'!B22</f>
        <v>43.798000000000002</v>
      </c>
      <c r="D69" s="35">
        <f>'Consolidated Statements'!C18+'Consolidated Statements'!C22</f>
        <v>114.568</v>
      </c>
      <c r="E69" s="35">
        <f>'Consolidated Statements'!D18+'Consolidated Statements'!D22</f>
        <v>197.64600000000002</v>
      </c>
      <c r="F69" s="35">
        <f>'Consolidated Statements'!E18+'Consolidated Statements'!E22</f>
        <v>1607.29</v>
      </c>
      <c r="G69" s="35">
        <f>'Consolidated Statements'!F18+'Consolidated Statements'!F22</f>
        <v>1602.9559999999999</v>
      </c>
      <c r="H69" s="35">
        <f>'Consolidated Statements'!G18+'Consolidated Statements'!G22</f>
        <v>1686.652</v>
      </c>
      <c r="I69" s="35">
        <f>'Consolidated Statements'!H18+'Consolidated Statements'!H22</f>
        <v>1793.7440000000001</v>
      </c>
      <c r="J69" s="35">
        <f>'Consolidated Statements'!I18+'Consolidated Statements'!I22</f>
        <v>2720.69</v>
      </c>
      <c r="K69" s="35">
        <f>'Consolidated Statements'!J18+'Consolidated Statements'!J22</f>
        <v>3288.6849999999999</v>
      </c>
      <c r="L69" s="35">
        <f>'Consolidated Statements'!K18+'Consolidated Statements'!K22</f>
        <v>4484.2</v>
      </c>
      <c r="M69" s="35">
        <f>'Consolidated Statements'!L18+'Consolidated Statements'!L22</f>
        <v>5546.5740000000005</v>
      </c>
      <c r="N69" s="35">
        <f>'Consolidated Statements'!M18+'Consolidated Statements'!M22</f>
        <v>5269.2452999999996</v>
      </c>
      <c r="O69" s="35">
        <f>'Consolidated Statements'!N18+'Consolidated Statements'!N22</f>
        <v>5005.7830349999995</v>
      </c>
      <c r="P69" s="35">
        <f>'Consolidated Statements'!O18+'Consolidated Statements'!O22</f>
        <v>4755.4938832499993</v>
      </c>
      <c r="Q69" s="35">
        <f>'Consolidated Statements'!P18+'Consolidated Statements'!P22</f>
        <v>4517.7191890874992</v>
      </c>
      <c r="R69" s="35">
        <f>'Consolidated Statements'!Q18+'Consolidated Statements'!Q22</f>
        <v>4291.8332296331237</v>
      </c>
    </row>
    <row r="70" spans="1:18">
      <c r="B70" s="32" t="s">
        <v>82</v>
      </c>
      <c r="C70" s="35">
        <f>C69-C30</f>
        <v>-229.09899999999999</v>
      </c>
      <c r="D70" s="35">
        <f t="shared" ref="D70:R70" si="22">D69-D30</f>
        <v>114.568</v>
      </c>
      <c r="E70" s="35">
        <f t="shared" si="22"/>
        <v>23.405999999999779</v>
      </c>
      <c r="F70" s="35">
        <f t="shared" si="22"/>
        <v>953.34999999999991</v>
      </c>
      <c r="G70" s="35">
        <f t="shared" si="22"/>
        <v>1602.9559999999999</v>
      </c>
      <c r="H70" s="35">
        <f t="shared" si="22"/>
        <v>1570.7770000000005</v>
      </c>
      <c r="I70" s="35">
        <f t="shared" si="22"/>
        <v>418.17999999999984</v>
      </c>
      <c r="J70" s="35">
        <f t="shared" si="22"/>
        <v>-238.0590000000002</v>
      </c>
      <c r="K70" s="35">
        <f t="shared" si="22"/>
        <v>558.76900000000023</v>
      </c>
      <c r="L70" s="35">
        <f t="shared" si="22"/>
        <v>1356.2169999999996</v>
      </c>
      <c r="M70" s="35">
        <f t="shared" si="22"/>
        <v>5132.348</v>
      </c>
      <c r="N70" s="35">
        <f t="shared" si="22"/>
        <v>5269.2452999999996</v>
      </c>
      <c r="O70" s="35">
        <f t="shared" si="22"/>
        <v>5005.7830349999995</v>
      </c>
      <c r="P70" s="35">
        <f t="shared" si="22"/>
        <v>4755.4938832499993</v>
      </c>
      <c r="Q70" s="35">
        <f t="shared" si="22"/>
        <v>4517.7191890874992</v>
      </c>
      <c r="R70" s="35">
        <f t="shared" si="22"/>
        <v>4291.8332296331237</v>
      </c>
    </row>
    <row r="71" spans="1:18">
      <c r="B71" s="32" t="s">
        <v>84</v>
      </c>
      <c r="C71" s="35">
        <f>'Consolidated Statements'!B28</f>
        <v>633.28399999999999</v>
      </c>
      <c r="D71" s="35">
        <f>'Consolidated Statements'!C28</f>
        <v>624.36400000000003</v>
      </c>
      <c r="E71" s="35">
        <f>'Consolidated Statements'!D28</f>
        <v>2950.0059999999999</v>
      </c>
      <c r="F71" s="35">
        <f>'Consolidated Statements'!E28</f>
        <v>3626.4029999999998</v>
      </c>
      <c r="G71" s="35">
        <f>'Consolidated Statements'!F28</f>
        <v>4368.0469999999996</v>
      </c>
      <c r="H71" s="35">
        <f>'Consolidated Statements'!G28</f>
        <v>4604.9350000000004</v>
      </c>
      <c r="I71" s="35">
        <f>'Consolidated Statements'!H28</f>
        <v>5047.2179999999998</v>
      </c>
      <c r="J71" s="35">
        <f>'Consolidated Statements'!I28</f>
        <v>6805.5940000000001</v>
      </c>
      <c r="K71" s="35">
        <f>'Consolidated Statements'!J28</f>
        <v>8704.3860000000004</v>
      </c>
      <c r="L71" s="35">
        <f>'Consolidated Statements'!K28</f>
        <v>7970.0820000000003</v>
      </c>
      <c r="M71" s="35">
        <f>'Consolidated Statements'!L28</f>
        <v>7307.1989999999996</v>
      </c>
      <c r="N71" s="35">
        <f>'Consolidated Statements'!M28</f>
        <v>6941.8390499999996</v>
      </c>
      <c r="O71" s="35">
        <f>'Consolidated Statements'!N28</f>
        <v>6594.7470974999997</v>
      </c>
      <c r="P71" s="35">
        <f>'Consolidated Statements'!O28</f>
        <v>6265.0097426249995</v>
      </c>
      <c r="Q71" s="35">
        <f>'Consolidated Statements'!P28</f>
        <v>5951.7592554937492</v>
      </c>
      <c r="R71" s="35">
        <f>'Consolidated Statements'!Q28</f>
        <v>5654.1712927190611</v>
      </c>
    </row>
    <row r="72" spans="1:18">
      <c r="B72" s="32" t="s">
        <v>81</v>
      </c>
      <c r="C72" s="35">
        <f>C70+C71</f>
        <v>404.185</v>
      </c>
      <c r="D72" s="35">
        <f t="shared" ref="D72:R72" si="23">D70+D71</f>
        <v>738.93200000000002</v>
      </c>
      <c r="E72" s="35">
        <f t="shared" si="23"/>
        <v>2973.4119999999998</v>
      </c>
      <c r="F72" s="35">
        <f t="shared" si="23"/>
        <v>4579.7529999999997</v>
      </c>
      <c r="G72" s="35">
        <f t="shared" si="23"/>
        <v>5971.0029999999997</v>
      </c>
      <c r="H72" s="35">
        <f t="shared" si="23"/>
        <v>6175.7120000000014</v>
      </c>
      <c r="I72" s="35">
        <f t="shared" si="23"/>
        <v>5465.3979999999992</v>
      </c>
      <c r="J72" s="35">
        <f t="shared" si="23"/>
        <v>6567.5349999999999</v>
      </c>
      <c r="K72" s="35">
        <f t="shared" si="23"/>
        <v>9263.1550000000007</v>
      </c>
      <c r="L72" s="35">
        <f t="shared" si="23"/>
        <v>9326.2989999999991</v>
      </c>
      <c r="M72" s="35">
        <f t="shared" si="23"/>
        <v>12439.546999999999</v>
      </c>
      <c r="N72" s="35">
        <f t="shared" si="23"/>
        <v>12211.084349999999</v>
      </c>
      <c r="O72" s="35">
        <f t="shared" si="23"/>
        <v>11600.5301325</v>
      </c>
      <c r="P72" s="35">
        <f t="shared" si="23"/>
        <v>11020.503625874999</v>
      </c>
      <c r="Q72" s="35">
        <f t="shared" si="23"/>
        <v>10469.478444581247</v>
      </c>
      <c r="R72" s="35">
        <f t="shared" si="23"/>
        <v>9946.0045223521847</v>
      </c>
    </row>
    <row r="73" spans="1:18">
      <c r="B73" s="32"/>
      <c r="C73" s="35"/>
      <c r="D73" s="35"/>
      <c r="E73" s="35"/>
      <c r="F73" s="35"/>
      <c r="G73" s="35"/>
      <c r="H73" s="35"/>
      <c r="I73" s="35"/>
      <c r="J73" s="35"/>
      <c r="K73" s="35"/>
      <c r="L73" s="35"/>
      <c r="M73" s="35"/>
      <c r="N73" s="35"/>
      <c r="O73" s="35"/>
      <c r="P73" s="35"/>
      <c r="Q73" s="35"/>
      <c r="R73" s="35"/>
    </row>
    <row r="74" spans="1:18">
      <c r="B74" s="32" t="s">
        <v>85</v>
      </c>
      <c r="C74" s="35"/>
      <c r="D74" s="40">
        <f>D7/C72</f>
        <v>-0.19127874611873275</v>
      </c>
      <c r="E74" s="40">
        <f t="shared" ref="E74:R74" si="24">E7/D72</f>
        <v>-0.85800587875474332</v>
      </c>
      <c r="F74" s="40">
        <f t="shared" si="24"/>
        <v>-0.18104958209625846</v>
      </c>
      <c r="G74" s="40">
        <f t="shared" si="24"/>
        <v>-9.2769195194587983E-2</v>
      </c>
      <c r="H74" s="40">
        <f t="shared" si="24"/>
        <v>-4.7220039916241845E-2</v>
      </c>
      <c r="I74" s="40">
        <f t="shared" si="24"/>
        <v>3.3466586524759918E-3</v>
      </c>
      <c r="J74" s="40">
        <f t="shared" si="24"/>
        <v>0.22525752012936665</v>
      </c>
      <c r="K74" s="40">
        <f t="shared" si="24"/>
        <v>0.21951554121904188</v>
      </c>
      <c r="L74" s="40">
        <f t="shared" si="24"/>
        <v>-9.8025888587635612E-2</v>
      </c>
      <c r="M74" s="40">
        <f t="shared" si="24"/>
        <v>4.9608746191817404E-2</v>
      </c>
      <c r="N74" s="40">
        <f t="shared" si="24"/>
        <v>2.4565872053057877E-2</v>
      </c>
      <c r="O74" s="40">
        <f t="shared" si="24"/>
        <v>3.2614615752777104E-2</v>
      </c>
      <c r="P74" s="40">
        <f t="shared" si="24"/>
        <v>4.2850873117198866E-2</v>
      </c>
      <c r="Q74" s="40">
        <f t="shared" si="24"/>
        <v>5.4703381644424107E-2</v>
      </c>
      <c r="R74" s="40">
        <f t="shared" si="24"/>
        <v>6.8427338886474356E-2</v>
      </c>
    </row>
    <row r="75" spans="1:18">
      <c r="B75" s="32" t="s">
        <v>86</v>
      </c>
      <c r="D75" s="40">
        <f>'Consolidated Statements'!C33/C72</f>
        <v>0.78412855499338174</v>
      </c>
      <c r="E75" s="40">
        <f>'Consolidated Statements'!D33/D72</f>
        <v>0.8997986282905599</v>
      </c>
      <c r="F75" s="40">
        <f>'Consolidated Statements'!E33/E72</f>
        <v>0.47184917529087794</v>
      </c>
      <c r="G75" s="40">
        <f>'Consolidated Statements'!F33/F72</f>
        <v>0.48431258192308629</v>
      </c>
      <c r="H75" s="40">
        <f>'Consolidated Statements'!G33/G72</f>
        <v>0.42365059940515859</v>
      </c>
      <c r="I75" s="40">
        <f>'Consolidated Statements'!H33/H72</f>
        <v>0.39563033379794904</v>
      </c>
      <c r="J75" s="40">
        <f>'Consolidated Statements'!I33/I72</f>
        <v>0.55665827081577601</v>
      </c>
      <c r="K75" s="40">
        <f>'Consolidated Statements'!J33/J72</f>
        <v>0.52673171897827731</v>
      </c>
      <c r="L75" s="40">
        <f>'Consolidated Statements'!K33/K72</f>
        <v>0.40119689241948342</v>
      </c>
      <c r="M75" s="40">
        <f>'Consolidated Statements'!L33/L72</f>
        <v>0.54442625097050834</v>
      </c>
      <c r="N75" s="40">
        <f>'Consolidated Statements'!M33/M72</f>
        <v>0.44898983861711367</v>
      </c>
      <c r="O75" s="40">
        <f>'Consolidated Statements'!N33/N72</f>
        <v>0.50312920981501541</v>
      </c>
      <c r="P75" s="40">
        <f>'Consolidated Statements'!O33/O72</f>
        <v>0.58257066399633362</v>
      </c>
      <c r="Q75" s="40">
        <f>'Consolidated Statements'!P33/P72</f>
        <v>0.67455550567996536</v>
      </c>
      <c r="R75" s="40">
        <f>'Consolidated Statements'!Q33/Q72</f>
        <v>0.78106426973469689</v>
      </c>
    </row>
    <row r="76" spans="1:18">
      <c r="B76" s="32" t="s">
        <v>87</v>
      </c>
      <c r="D76" s="40">
        <f>D7/'Consolidated Statements'!C33</f>
        <v>-0.24393799320361084</v>
      </c>
      <c r="E76" s="40">
        <f>E7/'Consolidated Statements'!D33</f>
        <v>-0.9535532193295132</v>
      </c>
      <c r="F76" s="40">
        <f>F7/'Consolidated Statements'!E33</f>
        <v>-0.38370223278370241</v>
      </c>
      <c r="G76" s="40">
        <f>G7/'Consolidated Statements'!F33</f>
        <v>-0.19154818325434433</v>
      </c>
      <c r="H76" s="40">
        <f>H7/'Consolidated Statements'!G33</f>
        <v>-0.11145986806708828</v>
      </c>
      <c r="I76" s="40">
        <f>I7/'Consolidated Statements'!H33</f>
        <v>8.4590547452439591E-3</v>
      </c>
      <c r="J76" s="40">
        <f>J7/'Consolidated Statements'!I33</f>
        <v>0.40466033101287524</v>
      </c>
      <c r="K76" s="40">
        <f>K7/'Consolidated Statements'!J33</f>
        <v>0.41675018479017178</v>
      </c>
      <c r="L76" s="40">
        <f>L7/'Consolidated Statements'!K33</f>
        <v>-0.24433361882858684</v>
      </c>
      <c r="M76" s="40">
        <f>M7/'Consolidated Statements'!L33</f>
        <v>9.1121150207918111E-2</v>
      </c>
      <c r="N76" s="40">
        <f>N7/'Consolidated Statements'!M33</f>
        <v>5.4713648150079813E-2</v>
      </c>
      <c r="O76" s="40">
        <f>O7/'Consolidated Statements'!N33</f>
        <v>6.4823538599097563E-2</v>
      </c>
      <c r="P76" s="40">
        <f>P7/'Consolidated Statements'!O33</f>
        <v>7.3554807623249188E-2</v>
      </c>
      <c r="Q76" s="40">
        <f>Q7/'Consolidated Statements'!P33</f>
        <v>8.109544905319839E-2</v>
      </c>
      <c r="R76" s="40">
        <f>R7/'Consolidated Statements'!Q33</f>
        <v>8.7607821197245375E-2</v>
      </c>
    </row>
    <row r="77" spans="1:18">
      <c r="I77" s="41"/>
      <c r="J77" s="41"/>
      <c r="K77" s="41"/>
      <c r="L77" s="41"/>
      <c r="M77" s="41"/>
      <c r="N77" s="41"/>
      <c r="O77" s="41"/>
      <c r="P77" s="41"/>
      <c r="Q77" s="41"/>
      <c r="R77" s="41"/>
    </row>
    <row r="79" spans="1:18">
      <c r="B79" s="34" t="s">
        <v>90</v>
      </c>
    </row>
    <row r="80" spans="1:18">
      <c r="B80" s="32" t="s">
        <v>89</v>
      </c>
      <c r="D80" s="35">
        <f>(D72+C72)/2</f>
        <v>571.55849999999998</v>
      </c>
      <c r="E80" s="35">
        <f t="shared" ref="E80:R80" si="25">(E72+D72)/2</f>
        <v>1856.172</v>
      </c>
      <c r="F80" s="35">
        <f t="shared" si="25"/>
        <v>3776.5824999999995</v>
      </c>
      <c r="G80" s="35">
        <f t="shared" si="25"/>
        <v>5275.3779999999997</v>
      </c>
      <c r="H80" s="35">
        <f t="shared" si="25"/>
        <v>6073.3575000000001</v>
      </c>
      <c r="I80" s="35">
        <f t="shared" si="25"/>
        <v>5820.5550000000003</v>
      </c>
      <c r="J80" s="35">
        <f t="shared" si="25"/>
        <v>6016.4664999999995</v>
      </c>
      <c r="K80" s="35">
        <f t="shared" si="25"/>
        <v>7915.3450000000003</v>
      </c>
      <c r="L80" s="35">
        <f t="shared" si="25"/>
        <v>9294.726999999999</v>
      </c>
      <c r="M80" s="35">
        <f t="shared" si="25"/>
        <v>10882.922999999999</v>
      </c>
      <c r="N80" s="35">
        <f t="shared" si="25"/>
        <v>12325.315674999998</v>
      </c>
      <c r="O80" s="35">
        <f t="shared" si="25"/>
        <v>11905.807241250001</v>
      </c>
      <c r="P80" s="35">
        <f t="shared" si="25"/>
        <v>11310.5168791875</v>
      </c>
      <c r="Q80" s="35">
        <f t="shared" si="25"/>
        <v>10744.991035228122</v>
      </c>
      <c r="R80" s="35">
        <f t="shared" si="25"/>
        <v>10207.741483466716</v>
      </c>
    </row>
    <row r="81" spans="1:18">
      <c r="B81" s="32" t="s">
        <v>85</v>
      </c>
      <c r="D81" s="40">
        <f>D7/D80</f>
        <v>-0.13526524406513069</v>
      </c>
      <c r="E81" s="40">
        <f t="shared" ref="E81:R81" si="26">E7/E80</f>
        <v>-0.34156748404781456</v>
      </c>
      <c r="F81" s="40">
        <f t="shared" si="26"/>
        <v>-0.14254554216676057</v>
      </c>
      <c r="G81" s="40">
        <f t="shared" si="26"/>
        <v>-8.0536408954960184E-2</v>
      </c>
      <c r="H81" s="40">
        <f t="shared" si="26"/>
        <v>-4.6424238981485906E-2</v>
      </c>
      <c r="I81" s="40">
        <f t="shared" si="26"/>
        <v>3.5508641358083237E-3</v>
      </c>
      <c r="J81" s="40">
        <f t="shared" si="26"/>
        <v>0.20462542257984817</v>
      </c>
      <c r="K81" s="40">
        <f t="shared" si="26"/>
        <v>0.18213684937295849</v>
      </c>
      <c r="L81" s="40">
        <f t="shared" si="26"/>
        <v>-9.7692917715603692E-2</v>
      </c>
      <c r="M81" s="40">
        <f t="shared" si="26"/>
        <v>4.2513027060836553E-2</v>
      </c>
      <c r="N81" s="40">
        <f t="shared" si="26"/>
        <v>2.479354915183541E-2</v>
      </c>
      <c r="O81" s="40">
        <f t="shared" si="26"/>
        <v>3.3450887951566262E-2</v>
      </c>
      <c r="P81" s="40">
        <f t="shared" si="26"/>
        <v>4.3949613453537296E-2</v>
      </c>
      <c r="Q81" s="40">
        <f t="shared" si="26"/>
        <v>5.6106032455819604E-2</v>
      </c>
      <c r="R81" s="40">
        <f t="shared" si="26"/>
        <v>7.0181886037409602E-2</v>
      </c>
    </row>
    <row r="82" spans="1:18">
      <c r="B82" s="32" t="s">
        <v>86</v>
      </c>
      <c r="D82" s="40">
        <f>'Consolidated Statements'!C33/D80</f>
        <v>0.55450666904612567</v>
      </c>
      <c r="E82" s="40">
        <f>'Consolidated Statements'!D33/E80</f>
        <v>0.35820495083429765</v>
      </c>
      <c r="F82" s="40">
        <f>'Consolidated Statements'!E33/F80</f>
        <v>0.37150042399444477</v>
      </c>
      <c r="G82" s="40">
        <f>'Consolidated Statements'!F33/G80</f>
        <v>0.42044987108032833</v>
      </c>
      <c r="H82" s="40">
        <f>'Consolidated Statements'!G33/H80</f>
        <v>0.41651080148007097</v>
      </c>
      <c r="I82" s="40">
        <f>'Consolidated Statements'!H33/I80</f>
        <v>0.41977079505304904</v>
      </c>
      <c r="J82" s="40">
        <f>'Consolidated Statements'!I33/J80</f>
        <v>0.50567205850809605</v>
      </c>
      <c r="K82" s="40">
        <f>'Consolidated Statements'!J33/K80</f>
        <v>0.43704083650175701</v>
      </c>
      <c r="L82" s="40">
        <f>'Consolidated Statements'!K33/L80</f>
        <v>0.39983412100215537</v>
      </c>
      <c r="M82" s="40">
        <f>'Consolidated Statements'!L33/M80</f>
        <v>0.46655498711145899</v>
      </c>
      <c r="N82" s="40">
        <f>'Consolidated Statements'!M33/N80</f>
        <v>0.4531510873452741</v>
      </c>
      <c r="O82" s="40">
        <f>'Consolidated Statements'!N33/O80</f>
        <v>0.51602995878463109</v>
      </c>
      <c r="P82" s="40">
        <f>'Consolidated Statements'!O33/P80</f>
        <v>0.59750837332957296</v>
      </c>
      <c r="Q82" s="40">
        <f>'Consolidated Statements'!P33/Q80</f>
        <v>0.69185180069740049</v>
      </c>
      <c r="R82" s="40">
        <f>'Consolidated Statements'!Q33/R80</f>
        <v>0.80109155870225324</v>
      </c>
    </row>
    <row r="83" spans="1:18">
      <c r="B83" s="32" t="s">
        <v>87</v>
      </c>
      <c r="D83" s="40">
        <f>D7/'Consolidated Statements'!C33</f>
        <v>-0.24393799320361084</v>
      </c>
      <c r="E83" s="40">
        <f>E7/'Consolidated Statements'!D33</f>
        <v>-0.9535532193295132</v>
      </c>
      <c r="F83" s="40">
        <f>F7/'Consolidated Statements'!E33</f>
        <v>-0.38370223278370241</v>
      </c>
      <c r="G83" s="40">
        <f>G7/'Consolidated Statements'!F33</f>
        <v>-0.19154818325434433</v>
      </c>
      <c r="H83" s="40">
        <f>H7/'Consolidated Statements'!G33</f>
        <v>-0.11145986806708828</v>
      </c>
      <c r="I83" s="40">
        <f>I7/'Consolidated Statements'!H33</f>
        <v>8.4590547452439591E-3</v>
      </c>
      <c r="J83" s="40">
        <f>J7/'Consolidated Statements'!I33</f>
        <v>0.40466033101287524</v>
      </c>
      <c r="K83" s="40">
        <f>K7/'Consolidated Statements'!J33</f>
        <v>0.41675018479017178</v>
      </c>
      <c r="L83" s="40">
        <f>L7/'Consolidated Statements'!K33</f>
        <v>-0.24433361882858684</v>
      </c>
      <c r="M83" s="40">
        <f>M7/'Consolidated Statements'!L33</f>
        <v>9.1121150207918111E-2</v>
      </c>
      <c r="N83" s="40">
        <f>N7/'Consolidated Statements'!M33</f>
        <v>5.4713648150079813E-2</v>
      </c>
      <c r="O83" s="40">
        <f>O7/'Consolidated Statements'!N33</f>
        <v>6.4823538599097563E-2</v>
      </c>
      <c r="P83" s="40">
        <f>P7/'Consolidated Statements'!O33</f>
        <v>7.3554807623249188E-2</v>
      </c>
      <c r="Q83" s="40">
        <f>Q7/'Consolidated Statements'!P33</f>
        <v>8.109544905319839E-2</v>
      </c>
      <c r="R83" s="40">
        <f>R7/'Consolidated Statements'!Q33</f>
        <v>8.7607821197245375E-2</v>
      </c>
    </row>
    <row r="85" spans="1:18">
      <c r="D85" s="40"/>
      <c r="E85" s="40"/>
      <c r="F85" s="40"/>
      <c r="G85" s="40"/>
      <c r="H85" s="40"/>
      <c r="I85" s="40"/>
      <c r="J85" s="40"/>
      <c r="K85" s="40"/>
      <c r="L85" s="40"/>
      <c r="M85" s="40"/>
      <c r="N85" s="40"/>
      <c r="O85" s="40"/>
      <c r="P85" s="40"/>
      <c r="Q85" s="40"/>
      <c r="R85" s="40"/>
    </row>
    <row r="86" spans="1:18" ht="28">
      <c r="A86">
        <v>3.1</v>
      </c>
      <c r="B86" s="43" t="s">
        <v>100</v>
      </c>
    </row>
    <row r="87" spans="1:18">
      <c r="C87" s="36">
        <f>N60</f>
        <v>2022</v>
      </c>
      <c r="D87" s="36">
        <f t="shared" ref="D87:G87" si="27">O60</f>
        <v>2023</v>
      </c>
      <c r="E87" s="36">
        <f t="shared" si="27"/>
        <v>2024</v>
      </c>
      <c r="F87" s="36">
        <f t="shared" si="27"/>
        <v>2025</v>
      </c>
      <c r="G87" s="36">
        <f t="shared" si="27"/>
        <v>2026</v>
      </c>
    </row>
    <row r="88" spans="1:18">
      <c r="B88" s="32" t="s">
        <v>91</v>
      </c>
      <c r="C88" s="35">
        <f>N61</f>
        <v>212.64775999999949</v>
      </c>
      <c r="D88" s="35">
        <f t="shared" ref="D88" si="28">O61</f>
        <v>649.50553200000013</v>
      </c>
      <c r="E88" s="35">
        <f t="shared" ref="E88" si="29">P61</f>
        <v>676.40326139999934</v>
      </c>
      <c r="F88" s="35">
        <f t="shared" ref="F88" si="30">Q61</f>
        <v>707.89340492999941</v>
      </c>
      <c r="G88" s="35">
        <f t="shared" ref="G88" si="31">R61</f>
        <v>744.34007194349965</v>
      </c>
    </row>
    <row r="91" spans="1:18">
      <c r="A91">
        <v>3.2</v>
      </c>
    </row>
    <row r="92" spans="1:18">
      <c r="B92" s="32" t="s">
        <v>92</v>
      </c>
      <c r="C92" s="40">
        <f>Assumptions!B11+Assumptions!B5*Assumptions!B3</f>
        <v>0.08</v>
      </c>
    </row>
    <row r="94" spans="1:18">
      <c r="A94">
        <v>3.3</v>
      </c>
    </row>
    <row r="95" spans="1:18">
      <c r="B95" s="32" t="s">
        <v>93</v>
      </c>
      <c r="C95" s="35">
        <f>G88*(1+Assumptions!B6)/(C92-Assumptions!B6)</f>
        <v>15333.405482036093</v>
      </c>
    </row>
    <row r="97" spans="1:8">
      <c r="A97">
        <v>3.4</v>
      </c>
      <c r="C97" s="36">
        <f>C87</f>
        <v>2022</v>
      </c>
      <c r="D97" s="36">
        <f t="shared" ref="D97:G97" si="32">D87</f>
        <v>2023</v>
      </c>
      <c r="E97" s="36">
        <f t="shared" si="32"/>
        <v>2024</v>
      </c>
      <c r="F97" s="36">
        <f t="shared" si="32"/>
        <v>2025</v>
      </c>
      <c r="G97" s="36">
        <f t="shared" si="32"/>
        <v>2026</v>
      </c>
      <c r="H97" s="36" t="s">
        <v>94</v>
      </c>
    </row>
    <row r="98" spans="1:8">
      <c r="B98" s="32" t="s">
        <v>79</v>
      </c>
      <c r="C98" s="35">
        <f>C88</f>
        <v>212.64775999999949</v>
      </c>
      <c r="D98" s="35">
        <f t="shared" ref="D98:G98" si="33">D88</f>
        <v>649.50553200000013</v>
      </c>
      <c r="E98" s="35">
        <f t="shared" si="33"/>
        <v>676.40326139999934</v>
      </c>
      <c r="F98" s="35">
        <f t="shared" si="33"/>
        <v>707.89340492999941</v>
      </c>
      <c r="G98" s="35">
        <f t="shared" si="33"/>
        <v>744.34007194349965</v>
      </c>
      <c r="H98" s="35">
        <f>G98*(1+Assumptions!B6)/(C92-Assumptions!B6)</f>
        <v>15333.405482036093</v>
      </c>
    </row>
    <row r="99" spans="1:8">
      <c r="B99" s="32" t="s">
        <v>95</v>
      </c>
      <c r="C99" s="35">
        <f>C98/(1+$C$92)^(C97-2021)</f>
        <v>196.8960740740736</v>
      </c>
      <c r="D99" s="35">
        <f t="shared" ref="D99:G99" si="34">D98/(1+$C$92)^(D97-2021)</f>
        <v>556.8463065843622</v>
      </c>
      <c r="E99" s="35">
        <f t="shared" si="34"/>
        <v>536.95071683051299</v>
      </c>
      <c r="F99" s="35">
        <f t="shared" si="34"/>
        <v>520.32278522127751</v>
      </c>
      <c r="G99" s="35">
        <f t="shared" si="34"/>
        <v>506.58534584364071</v>
      </c>
      <c r="H99" s="35">
        <f>H98/(1+$C$92)^(G97-2021)</f>
        <v>10435.658124378999</v>
      </c>
    </row>
    <row r="100" spans="1:8">
      <c r="B100" s="32" t="s">
        <v>97</v>
      </c>
      <c r="C100" s="35">
        <f>SUM(C99:H99)</f>
        <v>12753.259352932866</v>
      </c>
    </row>
    <row r="101" spans="1:8">
      <c r="B101" s="32" t="s">
        <v>96</v>
      </c>
      <c r="C101" s="35">
        <v>43000</v>
      </c>
    </row>
    <row r="103" spans="1:8">
      <c r="B103" s="32" t="s">
        <v>98</v>
      </c>
      <c r="C103" s="35">
        <f>C100-C101</f>
        <v>-30246.740647067134</v>
      </c>
    </row>
    <row r="105" spans="1:8">
      <c r="A105">
        <v>3.5</v>
      </c>
    </row>
    <row r="106" spans="1:8">
      <c r="C106" s="36">
        <f>C97</f>
        <v>2022</v>
      </c>
      <c r="D106" s="36">
        <f t="shared" ref="D106:H106" si="35">D97</f>
        <v>2023</v>
      </c>
      <c r="E106" s="36">
        <f t="shared" si="35"/>
        <v>2024</v>
      </c>
      <c r="F106" s="36">
        <f t="shared" si="35"/>
        <v>2025</v>
      </c>
      <c r="G106" s="36">
        <f t="shared" si="35"/>
        <v>2026</v>
      </c>
      <c r="H106" s="36" t="str">
        <f t="shared" si="35"/>
        <v>TV</v>
      </c>
    </row>
    <row r="107" spans="1:8">
      <c r="B107" s="32" t="s">
        <v>79</v>
      </c>
      <c r="C107" s="35">
        <f>C88</f>
        <v>212.64775999999949</v>
      </c>
      <c r="D107" s="35">
        <f t="shared" ref="D107:G107" si="36">D88</f>
        <v>649.50553200000013</v>
      </c>
      <c r="E107" s="35">
        <f t="shared" si="36"/>
        <v>676.40326139999934</v>
      </c>
      <c r="F107" s="35">
        <f t="shared" si="36"/>
        <v>707.89340492999941</v>
      </c>
      <c r="G107" s="35">
        <f t="shared" si="36"/>
        <v>744.34007194349965</v>
      </c>
      <c r="H107" s="35">
        <f>G107*(1+Assumptions!B6)/(C112-Assumptions!B6)</f>
        <v>50419.987201765536</v>
      </c>
    </row>
    <row r="108" spans="1:8">
      <c r="B108" s="32" t="s">
        <v>95</v>
      </c>
      <c r="C108" s="35">
        <f>C107/(1+$C$112)^(C106-2021)</f>
        <v>203.45063534734157</v>
      </c>
      <c r="D108" s="35">
        <f t="shared" ref="D108:G108" si="37">D107/(1+$C$112)^(D106-2021)</f>
        <v>594.53760692788762</v>
      </c>
      <c r="E108" s="35">
        <f t="shared" si="37"/>
        <v>592.3800272997853</v>
      </c>
      <c r="F108" s="35">
        <f t="shared" si="37"/>
        <v>593.14492495340096</v>
      </c>
      <c r="G108" s="35">
        <f t="shared" si="37"/>
        <v>596.70900358630797</v>
      </c>
      <c r="H108" s="35">
        <f>H107/(1+$C$112)^(G106-2021)</f>
        <v>40419.777811295433</v>
      </c>
    </row>
    <row r="109" spans="1:8">
      <c r="B109" s="32" t="s">
        <v>97</v>
      </c>
      <c r="C109" s="35">
        <f>SUM(C108:H108)</f>
        <v>43000.000009410156</v>
      </c>
    </row>
    <row r="110" spans="1:8">
      <c r="B110" s="32" t="s">
        <v>96</v>
      </c>
      <c r="C110" s="35">
        <f>C101</f>
        <v>43000</v>
      </c>
    </row>
    <row r="111" spans="1:8">
      <c r="B111" s="32" t="s">
        <v>98</v>
      </c>
      <c r="C111" s="35">
        <f>C109-C110</f>
        <v>9.4101560534909368E-6</v>
      </c>
    </row>
    <row r="112" spans="1:8">
      <c r="B112" s="34" t="s">
        <v>99</v>
      </c>
      <c r="C112" s="42">
        <v>4.5205681648307884E-2</v>
      </c>
    </row>
    <row r="114" spans="1:8">
      <c r="B114" s="34" t="s">
        <v>88</v>
      </c>
      <c r="C114" s="36">
        <f>C106</f>
        <v>2022</v>
      </c>
      <c r="D114" s="36">
        <f t="shared" ref="D114:H114" si="38">D106</f>
        <v>2023</v>
      </c>
      <c r="E114" s="36">
        <f t="shared" si="38"/>
        <v>2024</v>
      </c>
      <c r="F114" s="36">
        <f t="shared" si="38"/>
        <v>2025</v>
      </c>
      <c r="G114" s="36">
        <f t="shared" si="38"/>
        <v>2026</v>
      </c>
      <c r="H114" s="36" t="str">
        <f t="shared" si="38"/>
        <v>TV</v>
      </c>
    </row>
    <row r="115" spans="1:8">
      <c r="B115" s="32" t="s">
        <v>79</v>
      </c>
      <c r="C115" s="35">
        <f>C98</f>
        <v>212.64775999999949</v>
      </c>
      <c r="D115" s="35">
        <f t="shared" ref="D115:H115" si="39">D98</f>
        <v>649.50553200000013</v>
      </c>
      <c r="E115" s="35">
        <f t="shared" si="39"/>
        <v>676.40326139999934</v>
      </c>
      <c r="F115" s="35">
        <f t="shared" si="39"/>
        <v>707.89340492999941</v>
      </c>
      <c r="G115" s="35">
        <f t="shared" si="39"/>
        <v>744.34007194349965</v>
      </c>
      <c r="H115" s="35">
        <f t="shared" si="39"/>
        <v>15333.405482036093</v>
      </c>
    </row>
    <row r="116" spans="1:8">
      <c r="B116" s="32" t="s">
        <v>95</v>
      </c>
      <c r="C116" s="35">
        <f>C115/(1+$C$120)^(C114-2021)</f>
        <v>254.16371650255465</v>
      </c>
      <c r="D116" s="35">
        <f t="shared" ref="D116:G116" si="40">D115/(1+$C$120)^(D114-2021)</f>
        <v>927.87256640716168</v>
      </c>
      <c r="E116" s="35">
        <f t="shared" si="40"/>
        <v>1154.951941079489</v>
      </c>
      <c r="F116" s="35">
        <f t="shared" si="40"/>
        <v>1444.7038376685375</v>
      </c>
      <c r="G116" s="35">
        <f t="shared" si="40"/>
        <v>1815.662401361873</v>
      </c>
      <c r="H116" s="35">
        <f>H115/(1+$C$120)^(G114-2021)</f>
        <v>37402.645468054579</v>
      </c>
    </row>
    <row r="117" spans="1:8">
      <c r="B117" s="32" t="s">
        <v>97</v>
      </c>
      <c r="C117" s="35">
        <f>SUM(C116:H116)</f>
        <v>42999.999931074199</v>
      </c>
    </row>
    <row r="118" spans="1:8">
      <c r="B118" s="32" t="s">
        <v>96</v>
      </c>
      <c r="C118" s="35">
        <f>C110</f>
        <v>43000</v>
      </c>
    </row>
    <row r="119" spans="1:8">
      <c r="B119" s="32" t="s">
        <v>98</v>
      </c>
      <c r="C119" s="35">
        <f>C117-C118</f>
        <v>-6.892580131534487E-5</v>
      </c>
    </row>
    <row r="120" spans="1:8">
      <c r="B120" s="34" t="s">
        <v>99</v>
      </c>
      <c r="C120" s="42">
        <v>-0.16334336416637141</v>
      </c>
    </row>
    <row r="123" spans="1:8">
      <c r="A123">
        <v>4.0999999999999996</v>
      </c>
    </row>
    <row r="124" spans="1:8" ht="28">
      <c r="B124" s="43" t="s">
        <v>100</v>
      </c>
    </row>
    <row r="125" spans="1:8">
      <c r="C125" s="36">
        <f>N52</f>
        <v>2022</v>
      </c>
      <c r="D125" s="36">
        <f t="shared" ref="D125:G125" si="41">O52</f>
        <v>2023</v>
      </c>
      <c r="E125" s="36">
        <f t="shared" si="41"/>
        <v>2024</v>
      </c>
      <c r="F125" s="36">
        <f t="shared" si="41"/>
        <v>2025</v>
      </c>
      <c r="G125" s="36">
        <f t="shared" si="41"/>
        <v>2026</v>
      </c>
    </row>
    <row r="126" spans="1:8">
      <c r="B126" s="32" t="s">
        <v>101</v>
      </c>
      <c r="C126" s="35">
        <f>N56</f>
        <v>92.94056000000046</v>
      </c>
      <c r="D126" s="35">
        <f t="shared" ref="D126:G126" si="42">O56</f>
        <v>-251.24570800000009</v>
      </c>
      <c r="E126" s="35">
        <f t="shared" si="42"/>
        <v>-179.31041659999977</v>
      </c>
      <c r="F126" s="35">
        <f t="shared" si="42"/>
        <v>-105.03458916999978</v>
      </c>
      <c r="G126" s="35">
        <f t="shared" si="42"/>
        <v>-27.941522451500077</v>
      </c>
    </row>
    <row r="128" spans="1:8" ht="88" customHeight="1">
      <c r="B128" s="46" t="s">
        <v>111</v>
      </c>
      <c r="C128" s="46"/>
      <c r="D128" s="46"/>
      <c r="E128" s="46"/>
    </row>
    <row r="130" spans="1:7" ht="28" customHeight="1">
      <c r="B130" s="46"/>
      <c r="C130" s="47"/>
      <c r="D130" s="47"/>
      <c r="E130" s="47"/>
    </row>
    <row r="132" spans="1:7">
      <c r="A132">
        <v>4.2</v>
      </c>
    </row>
    <row r="133" spans="1:7" ht="28">
      <c r="B133" s="43" t="s">
        <v>100</v>
      </c>
    </row>
    <row r="134" spans="1:7">
      <c r="C134" s="36">
        <f>N68</f>
        <v>2022</v>
      </c>
      <c r="D134" s="36">
        <f t="shared" ref="D134:G134" si="43">O68</f>
        <v>2023</v>
      </c>
      <c r="E134" s="36">
        <f t="shared" si="43"/>
        <v>2024</v>
      </c>
      <c r="F134" s="36">
        <f t="shared" si="43"/>
        <v>2025</v>
      </c>
      <c r="G134" s="36">
        <f t="shared" si="43"/>
        <v>2026</v>
      </c>
    </row>
    <row r="135" spans="1:7">
      <c r="B135" s="32" t="s">
        <v>85</v>
      </c>
      <c r="C135" s="40">
        <f>N74</f>
        <v>2.4565872053057877E-2</v>
      </c>
      <c r="D135" s="40">
        <f t="shared" ref="D135:G135" si="44">O74</f>
        <v>3.2614615752777104E-2</v>
      </c>
      <c r="E135" s="40">
        <f t="shared" si="44"/>
        <v>4.2850873117198866E-2</v>
      </c>
      <c r="F135" s="40">
        <f t="shared" si="44"/>
        <v>5.4703381644424107E-2</v>
      </c>
      <c r="G135" s="40">
        <f t="shared" si="44"/>
        <v>6.8427338886474356E-2</v>
      </c>
    </row>
    <row r="137" spans="1:7" ht="86" customHeight="1">
      <c r="B137" s="46" t="s">
        <v>112</v>
      </c>
      <c r="C137" s="47"/>
      <c r="D137" s="47"/>
      <c r="E137" s="47"/>
    </row>
    <row r="139" spans="1:7">
      <c r="A139">
        <v>4.3</v>
      </c>
    </row>
    <row r="140" spans="1:7" ht="66" customHeight="1">
      <c r="B140" s="46" t="s">
        <v>102</v>
      </c>
      <c r="C140" s="47"/>
      <c r="D140" s="47"/>
      <c r="E140" s="47"/>
    </row>
    <row r="142" spans="1:7">
      <c r="A142">
        <v>4.4000000000000004</v>
      </c>
      <c r="B142" t="s">
        <v>113</v>
      </c>
    </row>
    <row r="143" spans="1:7" ht="73" customHeight="1">
      <c r="B143" s="46" t="s">
        <v>115</v>
      </c>
      <c r="C143" s="47"/>
      <c r="D143" s="47"/>
      <c r="E143" s="47"/>
    </row>
    <row r="144" spans="1:7" ht="88" customHeight="1">
      <c r="B144" s="46" t="s">
        <v>114</v>
      </c>
      <c r="C144" s="47"/>
      <c r="D144" s="47"/>
      <c r="E144" s="47"/>
    </row>
  </sheetData>
  <mergeCells count="12">
    <mergeCell ref="B144:E144"/>
    <mergeCell ref="B11:H11"/>
    <mergeCell ref="B22:H22"/>
    <mergeCell ref="B33:H33"/>
    <mergeCell ref="B35:H35"/>
    <mergeCell ref="B50:H50"/>
    <mergeCell ref="B67:G67"/>
    <mergeCell ref="B128:E128"/>
    <mergeCell ref="B130:E130"/>
    <mergeCell ref="B137:E137"/>
    <mergeCell ref="B140:E140"/>
    <mergeCell ref="B143:E143"/>
  </mergeCells>
  <conditionalFormatting sqref="C61:M65">
    <cfRule type="cellIs" dxfId="1" priority="2" operator="greaterThan">
      <formula>0</formula>
    </cfRule>
  </conditionalFormatting>
  <conditionalFormatting sqref="C61:R6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BE946-276A-6144-8958-C8AF3A57424C}">
  <dimension ref="A1:B13"/>
  <sheetViews>
    <sheetView zoomScale="125" workbookViewId="0"/>
  </sheetViews>
  <sheetFormatPr baseColWidth="10" defaultRowHeight="16"/>
  <cols>
    <col min="1" max="1" width="19.6640625" style="25" customWidth="1"/>
    <col min="2" max="16384" width="10.83203125" style="25"/>
  </cols>
  <sheetData>
    <row r="1" spans="1:2">
      <c r="A1" s="24" t="s">
        <v>41</v>
      </c>
      <c r="B1" s="31" t="s">
        <v>42</v>
      </c>
    </row>
    <row r="2" spans="1:2">
      <c r="A2" s="25" t="s">
        <v>43</v>
      </c>
      <c r="B2" s="26">
        <v>0.2</v>
      </c>
    </row>
    <row r="3" spans="1:2">
      <c r="A3" s="25" t="s">
        <v>44</v>
      </c>
      <c r="B3" s="26">
        <v>0.06</v>
      </c>
    </row>
    <row r="4" spans="1:2">
      <c r="A4" s="25" t="s">
        <v>45</v>
      </c>
      <c r="B4" s="27">
        <v>0.2</v>
      </c>
    </row>
    <row r="5" spans="1:2">
      <c r="A5" s="25" t="s">
        <v>52</v>
      </c>
      <c r="B5" s="25">
        <v>1</v>
      </c>
    </row>
    <row r="6" spans="1:2">
      <c r="A6" s="25" t="s">
        <v>46</v>
      </c>
      <c r="B6" s="26">
        <v>0.03</v>
      </c>
    </row>
    <row r="8" spans="1:2">
      <c r="A8" s="49" t="s">
        <v>47</v>
      </c>
      <c r="B8" s="49"/>
    </row>
    <row r="9" spans="1:2" ht="17" thickBot="1">
      <c r="A9" s="50" t="s">
        <v>48</v>
      </c>
      <c r="B9" s="50"/>
    </row>
    <row r="10" spans="1:2">
      <c r="A10" s="28" t="s">
        <v>49</v>
      </c>
      <c r="B10" s="29" t="s">
        <v>50</v>
      </c>
    </row>
    <row r="11" spans="1:2">
      <c r="A11" s="25" t="s">
        <v>51</v>
      </c>
      <c r="B11" s="30">
        <v>0.02</v>
      </c>
    </row>
    <row r="13" spans="1:2">
      <c r="B13" s="30"/>
    </row>
  </sheetData>
  <mergeCells count="2">
    <mergeCell ref="A8:B8"/>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3310-8B8A-AE42-A0C7-456134E82989}">
  <sheetPr>
    <outlinePr summaryBelow="0" summaryRight="0"/>
  </sheetPr>
  <dimension ref="A1:Q57"/>
  <sheetViews>
    <sheetView topLeftCell="A21" zoomScale="150" zoomScaleNormal="150" workbookViewId="0">
      <selection activeCell="B36" sqref="B36"/>
    </sheetView>
  </sheetViews>
  <sheetFormatPr baseColWidth="10" defaultRowHeight="13"/>
  <cols>
    <col min="1" max="1" width="59.33203125" customWidth="1"/>
    <col min="2" max="12" width="16.33203125" customWidth="1"/>
    <col min="13" max="17" width="16.33203125" style="15" customWidth="1"/>
  </cols>
  <sheetData>
    <row r="1" spans="1:17">
      <c r="A1" s="1" t="s">
        <v>0</v>
      </c>
    </row>
    <row r="2" spans="1:17" ht="23">
      <c r="A2" s="1"/>
      <c r="G2" s="51" t="s">
        <v>40</v>
      </c>
      <c r="H2" s="51"/>
      <c r="I2" s="51"/>
      <c r="J2" s="51"/>
      <c r="K2" s="51"/>
      <c r="L2" s="51"/>
      <c r="M2" s="51" t="s">
        <v>39</v>
      </c>
      <c r="N2" s="51"/>
      <c r="O2" s="51"/>
      <c r="P2" s="51"/>
      <c r="Q2" s="51"/>
    </row>
    <row r="3" spans="1:17" ht="16">
      <c r="A3" s="1"/>
      <c r="B3" s="1">
        <v>2011</v>
      </c>
      <c r="C3" s="1">
        <v>2012</v>
      </c>
      <c r="D3" s="1">
        <v>2013</v>
      </c>
      <c r="E3" s="1">
        <v>2014</v>
      </c>
      <c r="F3" s="1">
        <v>2015</v>
      </c>
      <c r="G3" s="12">
        <v>2016</v>
      </c>
      <c r="H3" s="13">
        <v>2017</v>
      </c>
      <c r="I3" s="14">
        <v>2018</v>
      </c>
      <c r="J3" s="12">
        <v>2019</v>
      </c>
      <c r="K3" s="13">
        <v>2020</v>
      </c>
      <c r="L3" s="14">
        <v>2021</v>
      </c>
      <c r="M3" s="17">
        <v>2022</v>
      </c>
      <c r="N3" s="17">
        <v>2023</v>
      </c>
      <c r="O3" s="18">
        <v>2024</v>
      </c>
      <c r="P3" s="18">
        <v>2025</v>
      </c>
      <c r="Q3" s="18">
        <v>2026</v>
      </c>
    </row>
    <row r="4" spans="1:17">
      <c r="A4" s="1"/>
      <c r="L4" s="19"/>
    </row>
    <row r="5" spans="1:17">
      <c r="A5" s="11" t="s">
        <v>37</v>
      </c>
      <c r="L5" s="20"/>
    </row>
    <row r="6" spans="1:17">
      <c r="A6" s="1" t="s">
        <v>1</v>
      </c>
      <c r="L6" s="20"/>
    </row>
    <row r="7" spans="1:17">
      <c r="A7" s="2" t="s">
        <v>2</v>
      </c>
      <c r="B7" s="3">
        <v>549.53899999999999</v>
      </c>
      <c r="C7" s="3">
        <v>424.85599999999999</v>
      </c>
      <c r="D7" s="3">
        <v>2238.9540000000002</v>
      </c>
      <c r="E7" s="3">
        <v>3624.4780000000001</v>
      </c>
      <c r="F7" s="3">
        <v>3498.348</v>
      </c>
      <c r="G7" s="3">
        <v>3783.9789999999998</v>
      </c>
      <c r="H7" s="3">
        <v>4411.402</v>
      </c>
      <c r="I7" s="3">
        <v>6211.0990000000002</v>
      </c>
      <c r="J7" s="3">
        <v>6640.9139999999998</v>
      </c>
      <c r="K7" s="3">
        <v>7474.5889999999999</v>
      </c>
      <c r="L7" s="21">
        <v>6401.8220000000001</v>
      </c>
      <c r="M7" s="3">
        <v>6081.7308999999996</v>
      </c>
      <c r="N7" s="3">
        <v>5777.6443549999995</v>
      </c>
      <c r="O7" s="3">
        <v>5488.7621372499989</v>
      </c>
      <c r="P7" s="3">
        <v>5214.3240303874991</v>
      </c>
      <c r="Q7" s="3">
        <v>4953.6078288681238</v>
      </c>
    </row>
    <row r="8" spans="1:17">
      <c r="A8" s="2" t="s">
        <v>3</v>
      </c>
      <c r="B8" s="3">
        <v>39.834000000000003</v>
      </c>
      <c r="C8" s="3">
        <v>112.155</v>
      </c>
      <c r="D8" s="3">
        <v>247.328</v>
      </c>
      <c r="E8" s="3">
        <v>418.45400000000001</v>
      </c>
      <c r="F8" s="3">
        <v>638.69399999999996</v>
      </c>
      <c r="G8" s="3">
        <v>650.65</v>
      </c>
      <c r="H8" s="3">
        <v>664.26800000000003</v>
      </c>
      <c r="I8" s="3">
        <v>788.7</v>
      </c>
      <c r="J8" s="3">
        <v>850.18399999999997</v>
      </c>
      <c r="K8" s="3">
        <v>1041.7429999999999</v>
      </c>
      <c r="L8" s="21">
        <v>1217.404</v>
      </c>
      <c r="M8" s="3">
        <v>1156.5337999999999</v>
      </c>
      <c r="N8" s="3">
        <v>1098.7071099999998</v>
      </c>
      <c r="O8" s="3">
        <v>1043.7717544999998</v>
      </c>
      <c r="P8" s="3">
        <v>991.58316677499977</v>
      </c>
      <c r="Q8" s="3">
        <v>942.00400843624971</v>
      </c>
    </row>
    <row r="9" spans="1:17">
      <c r="A9" s="2" t="s">
        <v>4</v>
      </c>
      <c r="B9" s="3">
        <v>0</v>
      </c>
      <c r="C9" s="3">
        <v>0</v>
      </c>
      <c r="D9" s="3">
        <v>0</v>
      </c>
      <c r="E9" s="3">
        <v>0</v>
      </c>
      <c r="F9" s="3">
        <v>0</v>
      </c>
      <c r="G9" s="3">
        <v>0</v>
      </c>
      <c r="H9" s="3">
        <v>0</v>
      </c>
      <c r="I9" s="3">
        <v>0</v>
      </c>
      <c r="J9" s="3">
        <v>0</v>
      </c>
      <c r="K9" s="3">
        <v>0</v>
      </c>
      <c r="L9" s="21">
        <v>0</v>
      </c>
      <c r="M9" s="3">
        <v>0</v>
      </c>
      <c r="N9" s="3">
        <v>0</v>
      </c>
      <c r="O9" s="3">
        <v>0</v>
      </c>
      <c r="P9" s="3">
        <v>0</v>
      </c>
      <c r="Q9" s="3">
        <v>0</v>
      </c>
    </row>
    <row r="10" spans="1:17">
      <c r="A10" s="2" t="s">
        <v>5</v>
      </c>
      <c r="B10" s="3">
        <v>6.6950000000000003</v>
      </c>
      <c r="C10" s="3">
        <v>17.454999999999998</v>
      </c>
      <c r="D10" s="3">
        <v>88.397000000000006</v>
      </c>
      <c r="E10" s="3">
        <v>212.92099999999999</v>
      </c>
      <c r="F10" s="3">
        <v>244.75</v>
      </c>
      <c r="G10" s="3">
        <v>217.56700000000001</v>
      </c>
      <c r="H10" s="3">
        <v>246.214</v>
      </c>
      <c r="I10" s="3">
        <v>111.23699999999999</v>
      </c>
      <c r="J10" s="3">
        <v>128.977</v>
      </c>
      <c r="K10" s="3">
        <v>120.776</v>
      </c>
      <c r="L10" s="21">
        <v>299.14400000000001</v>
      </c>
      <c r="M10" s="3">
        <v>284.18680000000001</v>
      </c>
      <c r="N10" s="3">
        <v>269.97746000000001</v>
      </c>
      <c r="O10" s="3">
        <v>256.478587</v>
      </c>
      <c r="P10" s="3">
        <v>243.65465764999999</v>
      </c>
      <c r="Q10" s="3">
        <v>231.47192476749998</v>
      </c>
    </row>
    <row r="11" spans="1:17">
      <c r="A11" s="2" t="s">
        <v>6</v>
      </c>
      <c r="B11" s="3">
        <v>61.982999999999997</v>
      </c>
      <c r="C11" s="3">
        <v>185.57400000000001</v>
      </c>
      <c r="D11" s="3">
        <v>332.66199999999998</v>
      </c>
      <c r="E11" s="3">
        <v>557.01900000000001</v>
      </c>
      <c r="F11" s="3">
        <v>735.29899999999998</v>
      </c>
      <c r="G11" s="3">
        <v>783.90099999999995</v>
      </c>
      <c r="H11" s="3">
        <v>773.71500000000003</v>
      </c>
      <c r="I11" s="3">
        <v>885.07799999999997</v>
      </c>
      <c r="J11" s="3">
        <v>1728.876</v>
      </c>
      <c r="K11" s="3">
        <v>2423.933</v>
      </c>
      <c r="L11" s="21">
        <v>3277.2840000000001</v>
      </c>
      <c r="M11" s="3">
        <v>3113.4198000000001</v>
      </c>
      <c r="N11" s="3">
        <v>2957.74881</v>
      </c>
      <c r="O11" s="3">
        <v>2809.8613694999999</v>
      </c>
      <c r="P11" s="3">
        <v>2669.3683010249997</v>
      </c>
      <c r="Q11" s="3">
        <v>2535.8998859737494</v>
      </c>
    </row>
    <row r="12" spans="1:17">
      <c r="A12" s="9" t="s">
        <v>38</v>
      </c>
      <c r="B12" s="3">
        <v>0</v>
      </c>
      <c r="C12" s="3">
        <v>0</v>
      </c>
      <c r="D12" s="3">
        <v>0</v>
      </c>
      <c r="E12" s="3">
        <v>0</v>
      </c>
      <c r="F12" s="3">
        <v>0</v>
      </c>
      <c r="G12" s="3">
        <v>90.2</v>
      </c>
      <c r="H12" s="3">
        <v>27.6</v>
      </c>
      <c r="I12" s="3">
        <v>0</v>
      </c>
      <c r="J12" s="3">
        <v>0</v>
      </c>
      <c r="K12" s="3">
        <v>0</v>
      </c>
      <c r="L12" s="21">
        <v>0</v>
      </c>
      <c r="M12" s="3">
        <v>0</v>
      </c>
      <c r="N12" s="3">
        <v>0</v>
      </c>
      <c r="O12" s="3">
        <v>0</v>
      </c>
      <c r="P12" s="3">
        <v>0</v>
      </c>
      <c r="Q12" s="3">
        <v>0</v>
      </c>
    </row>
    <row r="13" spans="1:17">
      <c r="A13" s="2" t="s">
        <v>7</v>
      </c>
      <c r="B13" s="3">
        <v>43.179000000000002</v>
      </c>
      <c r="C13" s="3">
        <v>72.566000000000003</v>
      </c>
      <c r="D13" s="3">
        <v>441.10399999999998</v>
      </c>
      <c r="E13" s="3">
        <v>727.58100000000002</v>
      </c>
      <c r="F13" s="3">
        <v>1263.7429999999999</v>
      </c>
      <c r="G13" s="3">
        <v>1280.6489999999999</v>
      </c>
      <c r="H13" s="3">
        <v>1238.5889999999999</v>
      </c>
      <c r="I13" s="3">
        <v>1272.2940000000001</v>
      </c>
      <c r="J13" s="3">
        <v>1311.8050000000001</v>
      </c>
      <c r="K13" s="3">
        <v>1370.684</v>
      </c>
      <c r="L13" s="21">
        <v>1370.8440000000001</v>
      </c>
      <c r="M13" s="3">
        <v>1302.3018</v>
      </c>
      <c r="N13" s="3">
        <v>1237.1867099999999</v>
      </c>
      <c r="O13" s="3">
        <v>1175.3273744999999</v>
      </c>
      <c r="P13" s="3">
        <v>1116.5610057749998</v>
      </c>
      <c r="Q13" s="3">
        <v>1060.7329554862497</v>
      </c>
    </row>
    <row r="14" spans="1:17">
      <c r="A14" s="2" t="s">
        <v>8</v>
      </c>
      <c r="B14" s="3">
        <v>19.445</v>
      </c>
      <c r="C14" s="3">
        <v>18.962</v>
      </c>
      <c r="D14" s="3">
        <v>17.795000000000002</v>
      </c>
      <c r="E14" s="3">
        <v>42.628999999999998</v>
      </c>
      <c r="F14" s="3">
        <v>61.604999999999997</v>
      </c>
      <c r="G14" s="3">
        <v>63.418999999999997</v>
      </c>
      <c r="H14" s="3">
        <v>50.689</v>
      </c>
      <c r="I14" s="3">
        <v>894.16399999999999</v>
      </c>
      <c r="J14" s="3">
        <v>2042.633</v>
      </c>
      <c r="K14" s="3">
        <v>947.36500000000001</v>
      </c>
      <c r="L14" s="21">
        <v>1493.018</v>
      </c>
      <c r="M14" s="3">
        <v>1418.3670999999999</v>
      </c>
      <c r="N14" s="3">
        <v>1347.4487449999999</v>
      </c>
      <c r="O14" s="3">
        <v>1280.0763077499998</v>
      </c>
      <c r="P14" s="3">
        <v>1216.0724923624996</v>
      </c>
      <c r="Q14" s="3">
        <v>1155.2688677443746</v>
      </c>
    </row>
    <row r="15" spans="1:17" s="8" customFormat="1">
      <c r="A15" s="6" t="s">
        <v>9</v>
      </c>
      <c r="B15" s="7">
        <v>720.67499999999995</v>
      </c>
      <c r="C15" s="7">
        <v>831.56799999999998</v>
      </c>
      <c r="D15" s="7">
        <v>3366.24</v>
      </c>
      <c r="E15" s="7">
        <v>5583.0820000000003</v>
      </c>
      <c r="F15" s="7">
        <v>6442.4390000000003</v>
      </c>
      <c r="G15" s="7">
        <v>6870.3649999999998</v>
      </c>
      <c r="H15" s="7">
        <v>7412.4769999999999</v>
      </c>
      <c r="I15" s="7">
        <v>10162.572</v>
      </c>
      <c r="J15" s="7">
        <v>12703.388999999999</v>
      </c>
      <c r="K15" s="7">
        <v>13379.09</v>
      </c>
      <c r="L15" s="22">
        <v>14059.516</v>
      </c>
      <c r="M15" s="7">
        <v>13356.540199999999</v>
      </c>
      <c r="N15" s="7">
        <v>12688.713189999999</v>
      </c>
      <c r="O15" s="7">
        <v>12054.277530499998</v>
      </c>
      <c r="P15" s="7">
        <v>11451.563653974998</v>
      </c>
      <c r="Q15" s="7">
        <v>10878.985471276248</v>
      </c>
    </row>
    <row r="16" spans="1:17" ht="24" customHeight="1">
      <c r="A16" s="2"/>
      <c r="B16" s="3"/>
      <c r="C16" s="3"/>
      <c r="D16" s="3"/>
      <c r="E16" s="3"/>
      <c r="F16" s="3"/>
      <c r="G16" s="3"/>
      <c r="H16" s="3"/>
      <c r="I16" s="3"/>
      <c r="J16" s="3"/>
      <c r="K16" s="3"/>
      <c r="L16" s="21"/>
      <c r="M16" s="3"/>
      <c r="N16" s="3"/>
      <c r="O16" s="3"/>
      <c r="P16" s="3"/>
      <c r="Q16" s="3"/>
    </row>
    <row r="17" spans="1:17" ht="18" customHeight="1">
      <c r="A17" s="1" t="s">
        <v>10</v>
      </c>
      <c r="L17" s="20"/>
    </row>
    <row r="18" spans="1:17">
      <c r="A18" s="2" t="s">
        <v>11</v>
      </c>
      <c r="B18" s="3">
        <v>22.693999999999999</v>
      </c>
      <c r="C18" s="3">
        <v>48.835999999999999</v>
      </c>
      <c r="D18" s="3">
        <v>87.126000000000005</v>
      </c>
      <c r="E18" s="3">
        <v>112.32</v>
      </c>
      <c r="F18" s="3">
        <v>88.165999999999997</v>
      </c>
      <c r="G18" s="3">
        <v>80.847999999999999</v>
      </c>
      <c r="H18" s="3">
        <v>84.975999999999999</v>
      </c>
      <c r="I18" s="3">
        <v>965.37400000000002</v>
      </c>
      <c r="J18" s="3">
        <v>170.435</v>
      </c>
      <c r="K18" s="3">
        <v>1095.58</v>
      </c>
      <c r="L18" s="21">
        <v>222.346</v>
      </c>
      <c r="M18" s="3">
        <v>211.2287</v>
      </c>
      <c r="N18" s="3">
        <v>200.66726499999999</v>
      </c>
      <c r="O18" s="3">
        <v>190.63390174999998</v>
      </c>
      <c r="P18" s="3">
        <v>181.10220666249998</v>
      </c>
      <c r="Q18" s="3">
        <v>172.04709632937497</v>
      </c>
    </row>
    <row r="19" spans="1:17">
      <c r="A19" s="2" t="s">
        <v>12</v>
      </c>
      <c r="B19" s="3">
        <v>4.5430000000000001</v>
      </c>
      <c r="C19" s="3">
        <v>8.4320000000000004</v>
      </c>
      <c r="D19" s="3">
        <v>27.994</v>
      </c>
      <c r="E19" s="3">
        <v>53.241</v>
      </c>
      <c r="F19" s="3">
        <v>134.08099999999999</v>
      </c>
      <c r="G19" s="3">
        <v>122.236</v>
      </c>
      <c r="H19" s="3">
        <v>170.96899999999999</v>
      </c>
      <c r="I19" s="3">
        <v>145.18600000000001</v>
      </c>
      <c r="J19" s="3">
        <v>161.148</v>
      </c>
      <c r="K19" s="3">
        <v>194.28100000000001</v>
      </c>
      <c r="L19" s="21">
        <v>203.17099999999999</v>
      </c>
      <c r="M19" s="3">
        <v>193.01244999999997</v>
      </c>
      <c r="N19" s="3">
        <v>183.36182749999998</v>
      </c>
      <c r="O19" s="3">
        <v>174.19373612499996</v>
      </c>
      <c r="P19" s="3">
        <v>165.48404931874995</v>
      </c>
      <c r="Q19" s="3">
        <v>157.20984685281246</v>
      </c>
    </row>
    <row r="20" spans="1:17">
      <c r="A20" s="2" t="s">
        <v>13</v>
      </c>
      <c r="B20" s="3">
        <v>5.266</v>
      </c>
      <c r="C20" s="3">
        <v>5.7110000000000003</v>
      </c>
      <c r="D20" s="3">
        <v>9.5150000000000006</v>
      </c>
      <c r="E20" s="3">
        <v>18.38</v>
      </c>
      <c r="F20" s="3">
        <v>25.88</v>
      </c>
      <c r="G20" s="3">
        <v>29.558</v>
      </c>
      <c r="H20" s="3">
        <v>36.097000000000001</v>
      </c>
      <c r="I20" s="3">
        <v>39.728999999999999</v>
      </c>
      <c r="J20" s="3">
        <v>45.966999999999999</v>
      </c>
      <c r="K20" s="3">
        <v>40.384</v>
      </c>
      <c r="L20" s="21">
        <v>47.83</v>
      </c>
      <c r="M20" s="3">
        <v>45.438499999999998</v>
      </c>
      <c r="N20" s="3">
        <v>43.166574999999995</v>
      </c>
      <c r="O20" s="3">
        <v>41.008246249999992</v>
      </c>
      <c r="P20" s="3">
        <v>38.957833937499991</v>
      </c>
      <c r="Q20" s="3">
        <v>37.009942240624987</v>
      </c>
    </row>
    <row r="21" spans="1:17">
      <c r="A21" s="2" t="s">
        <v>14</v>
      </c>
      <c r="B21" s="3">
        <v>15.241</v>
      </c>
      <c r="C21" s="3">
        <v>46.9</v>
      </c>
      <c r="D21" s="3">
        <v>100.795</v>
      </c>
      <c r="E21" s="3">
        <v>209.85300000000001</v>
      </c>
      <c r="F21" s="3">
        <v>257.91199999999998</v>
      </c>
      <c r="G21" s="3">
        <v>351.37900000000002</v>
      </c>
      <c r="H21" s="3">
        <v>291.23599999999999</v>
      </c>
      <c r="I21" s="3">
        <v>366.02199999999999</v>
      </c>
      <c r="J21" s="3">
        <v>454.92599999999999</v>
      </c>
      <c r="K21" s="3">
        <v>622.58100000000002</v>
      </c>
      <c r="L21" s="21">
        <v>870.52</v>
      </c>
      <c r="M21" s="3">
        <v>826.99399999999991</v>
      </c>
      <c r="N21" s="3">
        <v>785.64429999999993</v>
      </c>
      <c r="O21" s="3">
        <v>746.36208499999987</v>
      </c>
      <c r="P21" s="3">
        <v>709.04398074999983</v>
      </c>
      <c r="Q21" s="3">
        <v>673.59178171249982</v>
      </c>
    </row>
    <row r="22" spans="1:17">
      <c r="A22" s="2" t="s">
        <v>15</v>
      </c>
      <c r="B22" s="3">
        <v>21.103999999999999</v>
      </c>
      <c r="C22" s="3">
        <v>65.731999999999999</v>
      </c>
      <c r="D22" s="3">
        <v>110.52</v>
      </c>
      <c r="E22" s="3">
        <v>1494.97</v>
      </c>
      <c r="F22" s="3">
        <v>1514.79</v>
      </c>
      <c r="G22" s="3">
        <v>1605.8040000000001</v>
      </c>
      <c r="H22" s="3">
        <v>1708.768</v>
      </c>
      <c r="I22" s="3">
        <v>1755.316</v>
      </c>
      <c r="J22" s="3">
        <v>3118.25</v>
      </c>
      <c r="K22" s="3">
        <v>3388.62</v>
      </c>
      <c r="L22" s="21">
        <v>5324.2280000000001</v>
      </c>
      <c r="M22" s="3">
        <v>5058.0165999999999</v>
      </c>
      <c r="N22" s="3">
        <v>4805.1157699999994</v>
      </c>
      <c r="O22" s="3">
        <v>4564.8599814999989</v>
      </c>
      <c r="P22" s="3">
        <v>4336.6169824249992</v>
      </c>
      <c r="Q22" s="3">
        <v>4119.786133303749</v>
      </c>
    </row>
    <row r="23" spans="1:17">
      <c r="A23" s="2" t="s">
        <v>16</v>
      </c>
      <c r="B23" s="3">
        <v>18.542999999999999</v>
      </c>
      <c r="C23" s="3">
        <v>31.593</v>
      </c>
      <c r="D23" s="3">
        <v>80.284000000000006</v>
      </c>
      <c r="E23" s="3">
        <v>67.915000000000006</v>
      </c>
      <c r="F23" s="3">
        <v>53.563000000000002</v>
      </c>
      <c r="G23" s="3">
        <v>75.605000000000004</v>
      </c>
      <c r="H23" s="3">
        <v>73.212999999999994</v>
      </c>
      <c r="I23" s="3">
        <v>85.350999999999999</v>
      </c>
      <c r="J23" s="3">
        <v>47.451000000000001</v>
      </c>
      <c r="K23" s="3">
        <v>66.531999999999996</v>
      </c>
      <c r="L23" s="21">
        <v>83.25</v>
      </c>
      <c r="M23" s="3">
        <v>79.087499999999991</v>
      </c>
      <c r="N23" s="3">
        <v>75.133124999999993</v>
      </c>
      <c r="O23" s="3">
        <v>71.376468749999987</v>
      </c>
      <c r="P23" s="3">
        <v>67.807645312499986</v>
      </c>
      <c r="Q23" s="3">
        <v>64.417263046874979</v>
      </c>
    </row>
    <row r="24" spans="1:17">
      <c r="A24" s="9" t="s">
        <v>34</v>
      </c>
      <c r="B24" s="3">
        <v>0</v>
      </c>
      <c r="C24" s="3">
        <v>0</v>
      </c>
      <c r="D24" s="3">
        <v>0</v>
      </c>
      <c r="E24" s="3">
        <v>0</v>
      </c>
      <c r="F24" s="3">
        <v>0</v>
      </c>
      <c r="G24" s="3">
        <v>0</v>
      </c>
      <c r="H24" s="3">
        <v>0</v>
      </c>
      <c r="I24" s="3">
        <v>0</v>
      </c>
      <c r="J24" s="3">
        <v>0.82599999999999996</v>
      </c>
      <c r="K24" s="3">
        <v>1.03</v>
      </c>
      <c r="L24" s="21">
        <v>0.97199999999999998</v>
      </c>
      <c r="M24" s="3">
        <v>0.92339999999999989</v>
      </c>
      <c r="N24" s="3">
        <v>0.87722999999999984</v>
      </c>
      <c r="O24" s="3">
        <v>0.83336849999999985</v>
      </c>
      <c r="P24" s="3">
        <v>0.79170007499999984</v>
      </c>
      <c r="Q24" s="3">
        <v>0.75211507124999977</v>
      </c>
    </row>
    <row r="25" spans="1:17" s="8" customFormat="1">
      <c r="A25" s="6" t="s">
        <v>17</v>
      </c>
      <c r="B25" s="7">
        <f t="shared" ref="B25:H25" si="0">SUM(B18:B24)</f>
        <v>87.390999999999991</v>
      </c>
      <c r="C25" s="7">
        <f t="shared" si="0"/>
        <v>207.20399999999998</v>
      </c>
      <c r="D25" s="7">
        <f t="shared" si="0"/>
        <v>416.23399999999998</v>
      </c>
      <c r="E25" s="7">
        <f t="shared" si="0"/>
        <v>1956.6790000000001</v>
      </c>
      <c r="F25" s="7">
        <f t="shared" si="0"/>
        <v>2074.3919999999998</v>
      </c>
      <c r="G25" s="7">
        <f t="shared" si="0"/>
        <v>2265.4299999999998</v>
      </c>
      <c r="H25" s="7">
        <f t="shared" si="0"/>
        <v>2365.2590000000005</v>
      </c>
      <c r="I25" s="7">
        <f>SUM(I18:I24)</f>
        <v>3356.9780000000001</v>
      </c>
      <c r="J25" s="7">
        <v>3999.0030000000002</v>
      </c>
      <c r="K25" s="7">
        <v>5409.0079999999998</v>
      </c>
      <c r="L25" s="22">
        <v>6752.317</v>
      </c>
      <c r="M25" s="7">
        <v>6414.7011499999999</v>
      </c>
      <c r="N25" s="7">
        <v>6093.9660924999998</v>
      </c>
      <c r="O25" s="7">
        <v>5789.2677878749992</v>
      </c>
      <c r="P25" s="7">
        <v>5499.8043984812493</v>
      </c>
      <c r="Q25" s="7">
        <v>5224.814178557187</v>
      </c>
    </row>
    <row r="26" spans="1:17" s="10" customFormat="1" ht="26" customHeight="1">
      <c r="A26" s="4"/>
      <c r="B26" s="5"/>
      <c r="C26" s="5"/>
      <c r="D26" s="5"/>
      <c r="E26" s="5"/>
      <c r="F26" s="5"/>
      <c r="G26" s="5"/>
      <c r="H26" s="5"/>
      <c r="I26" s="5"/>
      <c r="J26" s="5"/>
      <c r="K26" s="5"/>
      <c r="L26" s="23"/>
      <c r="M26" s="5"/>
      <c r="N26" s="5"/>
      <c r="O26" s="5"/>
      <c r="P26" s="5"/>
      <c r="Q26" s="5"/>
    </row>
    <row r="27" spans="1:17">
      <c r="A27" s="1" t="s">
        <v>18</v>
      </c>
      <c r="L27" s="20"/>
    </row>
    <row r="28" spans="1:17" s="8" customFormat="1">
      <c r="A28" s="6" t="s">
        <v>19</v>
      </c>
      <c r="B28" s="7">
        <v>633.28399999999999</v>
      </c>
      <c r="C28" s="7">
        <v>624.36400000000003</v>
      </c>
      <c r="D28" s="7">
        <v>2950.0059999999999</v>
      </c>
      <c r="E28" s="7">
        <v>3626.4029999999998</v>
      </c>
      <c r="F28" s="7">
        <v>4368.0469999999996</v>
      </c>
      <c r="G28" s="7">
        <v>4604.9350000000004</v>
      </c>
      <c r="H28" s="7">
        <v>5047.2179999999998</v>
      </c>
      <c r="I28" s="7">
        <v>6805.5940000000001</v>
      </c>
      <c r="J28" s="7">
        <v>8704.3860000000004</v>
      </c>
      <c r="K28" s="7">
        <v>7970.0820000000003</v>
      </c>
      <c r="L28" s="22">
        <v>7307.1989999999996</v>
      </c>
      <c r="M28" s="7">
        <v>6941.8390499999996</v>
      </c>
      <c r="N28" s="7">
        <v>6594.7470974999997</v>
      </c>
      <c r="O28" s="7">
        <v>6265.0097426249995</v>
      </c>
      <c r="P28" s="7">
        <v>5951.7592554937492</v>
      </c>
      <c r="Q28" s="7">
        <v>5654.1712927190611</v>
      </c>
    </row>
    <row r="29" spans="1:17" s="10" customFormat="1">
      <c r="A29" s="4"/>
      <c r="B29" s="5"/>
      <c r="C29" s="5"/>
      <c r="D29" s="5"/>
      <c r="E29" s="5"/>
      <c r="F29" s="5"/>
      <c r="G29" s="5"/>
      <c r="H29" s="5"/>
      <c r="I29" s="5"/>
      <c r="J29" s="5"/>
      <c r="K29" s="5"/>
      <c r="L29" s="23"/>
      <c r="M29" s="5"/>
      <c r="N29" s="5"/>
      <c r="O29" s="5"/>
      <c r="P29" s="5"/>
      <c r="Q29" s="5"/>
    </row>
    <row r="30" spans="1:17" s="8" customFormat="1">
      <c r="A30" s="6" t="s">
        <v>20</v>
      </c>
      <c r="B30" s="7">
        <v>720.67499999999995</v>
      </c>
      <c r="C30" s="7">
        <v>831.56799999999998</v>
      </c>
      <c r="D30" s="7">
        <v>3366.24</v>
      </c>
      <c r="E30" s="7">
        <v>5583.0820000000003</v>
      </c>
      <c r="F30" s="7">
        <v>6442.4390000000003</v>
      </c>
      <c r="G30" s="7">
        <v>6870.3649999999998</v>
      </c>
      <c r="H30" s="7">
        <v>7412.4769999999999</v>
      </c>
      <c r="I30" s="7">
        <v>10162.572</v>
      </c>
      <c r="J30" s="7">
        <v>12703.388999999999</v>
      </c>
      <c r="K30" s="7">
        <v>13379.09</v>
      </c>
      <c r="L30" s="22">
        <v>14059.516</v>
      </c>
      <c r="M30" s="7">
        <v>13356.540199999999</v>
      </c>
      <c r="N30" s="7">
        <v>12688.713189999999</v>
      </c>
      <c r="O30" s="7">
        <v>12054.277530499998</v>
      </c>
      <c r="P30" s="7">
        <v>11451.563653974998</v>
      </c>
      <c r="Q30" s="7">
        <v>10878.985471276248</v>
      </c>
    </row>
    <row r="31" spans="1:17" ht="25" customHeight="1">
      <c r="A31" s="1"/>
      <c r="L31" s="20"/>
    </row>
    <row r="32" spans="1:17">
      <c r="A32" s="11" t="s">
        <v>36</v>
      </c>
      <c r="L32" s="20"/>
    </row>
    <row r="33" spans="1:17">
      <c r="A33" s="2" t="s">
        <v>21</v>
      </c>
      <c r="B33" s="3">
        <v>106.313</v>
      </c>
      <c r="C33" s="3">
        <v>316.93299999999999</v>
      </c>
      <c r="D33" s="3">
        <v>664.89</v>
      </c>
      <c r="E33" s="3">
        <v>1403.002</v>
      </c>
      <c r="F33" s="3">
        <v>2218.0320000000002</v>
      </c>
      <c r="G33" s="3">
        <v>2529.6190000000001</v>
      </c>
      <c r="H33" s="3">
        <v>2443.299</v>
      </c>
      <c r="I33" s="3">
        <v>3042.3589999999999</v>
      </c>
      <c r="J33" s="3">
        <v>3459.3290000000002</v>
      </c>
      <c r="K33" s="3">
        <v>3716.3490000000002</v>
      </c>
      <c r="L33" s="21">
        <v>5077.482</v>
      </c>
      <c r="M33" s="3">
        <v>5585.2302</v>
      </c>
      <c r="N33" s="3">
        <v>6143.7532200000005</v>
      </c>
      <c r="O33" s="3">
        <v>6758.1285420000013</v>
      </c>
      <c r="P33" s="3">
        <v>7433.9413962000017</v>
      </c>
      <c r="Q33" s="3">
        <v>8177.3355358200024</v>
      </c>
    </row>
    <row r="34" spans="1:17">
      <c r="A34" s="2" t="s">
        <v>22</v>
      </c>
      <c r="B34" s="3">
        <v>36.511000000000003</v>
      </c>
      <c r="C34" s="3">
        <v>56.262</v>
      </c>
      <c r="D34" s="3">
        <v>157.47</v>
      </c>
      <c r="E34" s="3">
        <v>248.434</v>
      </c>
      <c r="F34" s="3">
        <v>431.49599999999998</v>
      </c>
      <c r="G34" s="3">
        <v>514.20699999999999</v>
      </c>
      <c r="H34" s="3">
        <v>482.4</v>
      </c>
      <c r="I34" s="3">
        <v>541.61599999999999</v>
      </c>
      <c r="J34" s="3">
        <v>672.125</v>
      </c>
      <c r="K34" s="3">
        <v>871.21100000000001</v>
      </c>
      <c r="L34" s="21">
        <v>1265.874</v>
      </c>
      <c r="M34" s="3">
        <v>1392.4614000000001</v>
      </c>
      <c r="N34" s="3">
        <v>1531.7075400000003</v>
      </c>
      <c r="O34" s="3">
        <v>1684.8782940000006</v>
      </c>
      <c r="P34" s="3">
        <v>1853.3661234000008</v>
      </c>
      <c r="Q34" s="3">
        <v>2038.7027357400011</v>
      </c>
    </row>
    <row r="35" spans="1:17">
      <c r="A35" s="2" t="s">
        <v>23</v>
      </c>
      <c r="B35" s="3">
        <v>138.321</v>
      </c>
      <c r="C35" s="3">
        <v>265.24799999999999</v>
      </c>
      <c r="D35" s="3">
        <v>1032.357</v>
      </c>
      <c r="E35" s="3">
        <v>1485.269</v>
      </c>
      <c r="F35" s="3">
        <v>1910.847</v>
      </c>
      <c r="G35" s="3">
        <v>1879.152</v>
      </c>
      <c r="H35" s="3">
        <v>1531.7190000000001</v>
      </c>
      <c r="I35" s="3">
        <v>1626.175</v>
      </c>
      <c r="J35" s="3">
        <v>1955.499</v>
      </c>
      <c r="K35" s="3">
        <v>2173.3029999999999</v>
      </c>
      <c r="L35" s="21">
        <v>2993.7979999999998</v>
      </c>
      <c r="M35" s="3">
        <v>3293.1777999999999</v>
      </c>
      <c r="N35" s="3">
        <v>3622.4955800000002</v>
      </c>
      <c r="O35" s="3">
        <v>3984.7451380000007</v>
      </c>
      <c r="P35" s="3">
        <v>4383.219651800001</v>
      </c>
      <c r="Q35" s="3">
        <v>4821.5416169800019</v>
      </c>
    </row>
    <row r="36" spans="1:17">
      <c r="A36" s="2" t="s">
        <v>24</v>
      </c>
      <c r="B36" s="3">
        <v>-68.519000000000005</v>
      </c>
      <c r="C36" s="3">
        <v>-4.577</v>
      </c>
      <c r="D36" s="3">
        <v>-524.93700000000001</v>
      </c>
      <c r="E36" s="3">
        <v>-330.70100000000002</v>
      </c>
      <c r="F36" s="3">
        <v>-124.31100000000001</v>
      </c>
      <c r="G36" s="3">
        <v>136.26</v>
      </c>
      <c r="H36" s="3">
        <v>429.18</v>
      </c>
      <c r="I36" s="3">
        <v>874.56799999999998</v>
      </c>
      <c r="J36" s="3">
        <v>831.70500000000004</v>
      </c>
      <c r="K36" s="3">
        <v>671.83500000000004</v>
      </c>
      <c r="L36" s="21">
        <v>817.81</v>
      </c>
      <c r="M36" s="3">
        <v>899.59100000000001</v>
      </c>
      <c r="N36" s="3">
        <v>989.55010000000004</v>
      </c>
      <c r="O36" s="3">
        <v>1088.5051100000001</v>
      </c>
      <c r="P36" s="3">
        <v>1197.3556210000002</v>
      </c>
      <c r="Q36" s="3">
        <v>1317.0911831000003</v>
      </c>
    </row>
    <row r="37" spans="1:17">
      <c r="A37" s="2" t="s">
        <v>25</v>
      </c>
      <c r="B37" s="3">
        <v>24.192</v>
      </c>
      <c r="C37" s="3">
        <v>72.506</v>
      </c>
      <c r="D37" s="3">
        <v>110.89400000000001</v>
      </c>
      <c r="E37" s="3">
        <v>208.16499999999999</v>
      </c>
      <c r="F37" s="3">
        <v>312.82299999999998</v>
      </c>
      <c r="G37" s="3">
        <v>402.17200000000003</v>
      </c>
      <c r="H37" s="3">
        <v>395.86700000000002</v>
      </c>
      <c r="I37" s="3">
        <v>425.49799999999999</v>
      </c>
      <c r="J37" s="3">
        <v>465.54899999999998</v>
      </c>
      <c r="K37" s="3">
        <v>495.17700000000002</v>
      </c>
      <c r="L37" s="21">
        <v>544.84799999999996</v>
      </c>
      <c r="M37" s="3">
        <v>517.60559999999998</v>
      </c>
      <c r="N37" s="3">
        <v>491.72531999999995</v>
      </c>
      <c r="O37" s="3">
        <v>467.13905399999993</v>
      </c>
      <c r="P37" s="3">
        <v>443.78210129999991</v>
      </c>
      <c r="Q37" s="3">
        <v>421.59299623499987</v>
      </c>
    </row>
    <row r="38" spans="1:17">
      <c r="A38" s="2" t="s">
        <v>26</v>
      </c>
      <c r="B38" s="3">
        <v>1.3</v>
      </c>
      <c r="C38" s="3">
        <v>3.1</v>
      </c>
      <c r="D38" s="3">
        <v>7</v>
      </c>
      <c r="E38" s="3">
        <v>35.884999999999998</v>
      </c>
      <c r="F38" s="3">
        <v>103.178</v>
      </c>
      <c r="G38" s="3">
        <v>104.268</v>
      </c>
      <c r="H38" s="3">
        <v>108.837</v>
      </c>
      <c r="I38" s="3">
        <v>136.30600000000001</v>
      </c>
      <c r="J38" s="3">
        <v>142.78</v>
      </c>
      <c r="K38" s="3">
        <v>156.678</v>
      </c>
      <c r="L38" s="21">
        <v>52.686</v>
      </c>
      <c r="M38" s="3">
        <v>57.954600000000006</v>
      </c>
      <c r="N38" s="3">
        <v>63.750060000000012</v>
      </c>
      <c r="O38" s="3">
        <v>70.125066000000018</v>
      </c>
      <c r="P38" s="3">
        <v>77.137572600000027</v>
      </c>
      <c r="Q38" s="3">
        <v>84.851329860000035</v>
      </c>
    </row>
    <row r="39" spans="1:17">
      <c r="A39" s="2" t="s">
        <v>27</v>
      </c>
      <c r="B39" s="3">
        <v>-1.444</v>
      </c>
      <c r="C39" s="3">
        <v>0.22900000000000001</v>
      </c>
      <c r="D39" s="3">
        <v>-1.823</v>
      </c>
      <c r="E39" s="3">
        <v>-0.53100000000000003</v>
      </c>
      <c r="F39" s="3">
        <v>-12.273999999999999</v>
      </c>
      <c r="G39" s="3">
        <v>16.039000000000001</v>
      </c>
      <c r="H39" s="3">
        <v>12.645</v>
      </c>
      <c r="I39" s="3">
        <v>-782.05200000000002</v>
      </c>
      <c r="J39" s="3">
        <v>-1075.52</v>
      </c>
      <c r="K39" s="3">
        <v>1084.6869999999999</v>
      </c>
      <c r="L39" s="21">
        <v>-189.70400000000001</v>
      </c>
      <c r="M39" s="3">
        <v>76.397080000000003</v>
      </c>
      <c r="N39" s="3">
        <v>99.564956000000024</v>
      </c>
      <c r="O39" s="3">
        <v>124.27321120000002</v>
      </c>
      <c r="P39" s="3">
        <v>150.71470394000005</v>
      </c>
      <c r="Q39" s="3">
        <v>179.09963737300009</v>
      </c>
    </row>
    <row r="40" spans="1:17">
      <c r="A40" s="2" t="s">
        <v>28</v>
      </c>
      <c r="B40" s="3">
        <v>-128.30199999999999</v>
      </c>
      <c r="C40" s="3">
        <v>-79.399000000000001</v>
      </c>
      <c r="D40" s="3">
        <v>-645.32299999999998</v>
      </c>
      <c r="E40" s="3">
        <v>-577.82000000000005</v>
      </c>
      <c r="F40" s="3">
        <v>-521.03099999999995</v>
      </c>
      <c r="G40" s="3">
        <v>-456.87299999999999</v>
      </c>
      <c r="H40" s="3">
        <v>-108.063</v>
      </c>
      <c r="I40" s="3">
        <v>1205.596</v>
      </c>
      <c r="J40" s="3">
        <v>1465.6590000000001</v>
      </c>
      <c r="K40" s="3">
        <v>-1135.626</v>
      </c>
      <c r="L40" s="21">
        <v>-221.40899999999999</v>
      </c>
      <c r="M40" s="3">
        <v>250</v>
      </c>
      <c r="N40" s="3">
        <v>6143.7532200000005</v>
      </c>
      <c r="O40" s="3">
        <v>6143.7532200000005</v>
      </c>
      <c r="P40" s="3">
        <v>6143.7532200000005</v>
      </c>
      <c r="Q40" s="3">
        <v>6143.7532200000005</v>
      </c>
    </row>
    <row r="41" spans="1:17" ht="28" customHeight="1">
      <c r="A41" s="1"/>
      <c r="G41" s="33"/>
      <c r="L41" s="20"/>
    </row>
    <row r="42" spans="1:17">
      <c r="A42" s="11" t="s">
        <v>35</v>
      </c>
      <c r="L42" s="20"/>
    </row>
    <row r="43" spans="1:17">
      <c r="A43" s="2" t="s">
        <v>29</v>
      </c>
      <c r="B43" s="3">
        <v>11.545999999999999</v>
      </c>
      <c r="C43" s="3">
        <v>50.598999999999997</v>
      </c>
      <c r="D43" s="3">
        <v>75.744</v>
      </c>
      <c r="E43" s="3">
        <v>201.63</v>
      </c>
      <c r="F43" s="3">
        <v>347.28</v>
      </c>
      <c r="G43" s="3">
        <v>218.65700000000001</v>
      </c>
      <c r="H43" s="3">
        <v>160.74199999999999</v>
      </c>
      <c r="I43" s="3">
        <v>483.93400000000003</v>
      </c>
      <c r="J43" s="3">
        <v>540.68799999999999</v>
      </c>
      <c r="K43" s="3">
        <v>873.35400000000004</v>
      </c>
      <c r="L43" s="21">
        <v>1011.546</v>
      </c>
      <c r="M43" s="3">
        <v>536.16261000000088</v>
      </c>
      <c r="N43" s="3">
        <v>563.32993950000014</v>
      </c>
      <c r="O43" s="3">
        <v>594.53644852500133</v>
      </c>
      <c r="P43" s="3">
        <v>630.11993269874961</v>
      </c>
      <c r="Q43" s="3">
        <v>670.45527332381266</v>
      </c>
    </row>
    <row r="44" spans="1:17">
      <c r="A44" s="2" t="s">
        <v>30</v>
      </c>
      <c r="B44" s="3">
        <v>0</v>
      </c>
      <c r="C44" s="3">
        <v>0</v>
      </c>
      <c r="D44" s="3">
        <v>0</v>
      </c>
      <c r="E44" s="3">
        <v>0</v>
      </c>
      <c r="F44" s="3">
        <v>0</v>
      </c>
      <c r="G44" s="3">
        <v>0</v>
      </c>
      <c r="H44" s="3">
        <v>8.9619999999999997</v>
      </c>
      <c r="I44" s="3">
        <v>19.263000000000002</v>
      </c>
      <c r="J44" s="3">
        <v>19.594000000000001</v>
      </c>
      <c r="K44" s="3">
        <v>267.87900000000002</v>
      </c>
      <c r="L44" s="21">
        <v>957.51199999999994</v>
      </c>
      <c r="M44" s="3">
        <v>294.66690000000006</v>
      </c>
      <c r="N44" s="3">
        <v>324.13359000000008</v>
      </c>
      <c r="O44" s="3">
        <v>356.5469490000001</v>
      </c>
      <c r="P44" s="3">
        <v>392.20164390000014</v>
      </c>
      <c r="Q44" s="3">
        <v>431.42180829000017</v>
      </c>
    </row>
    <row r="45" spans="1:17">
      <c r="A45" s="2" t="s">
        <v>31</v>
      </c>
      <c r="B45" s="3">
        <v>0</v>
      </c>
      <c r="C45" s="3">
        <v>0</v>
      </c>
      <c r="D45" s="3">
        <v>0</v>
      </c>
      <c r="E45" s="3">
        <v>0</v>
      </c>
      <c r="F45" s="3">
        <v>0</v>
      </c>
      <c r="G45" s="3">
        <v>0</v>
      </c>
      <c r="H45" s="3">
        <v>0</v>
      </c>
      <c r="I45" s="3">
        <v>0</v>
      </c>
      <c r="J45" s="3">
        <v>0</v>
      </c>
      <c r="K45" s="3">
        <v>0</v>
      </c>
      <c r="L45" s="21">
        <v>0</v>
      </c>
      <c r="M45" s="3">
        <v>0</v>
      </c>
      <c r="N45" s="3">
        <v>0</v>
      </c>
      <c r="O45" s="3">
        <v>0</v>
      </c>
      <c r="P45" s="3">
        <v>0</v>
      </c>
      <c r="Q45" s="3">
        <v>0</v>
      </c>
    </row>
    <row r="46" spans="1:17">
      <c r="A46" s="2" t="s">
        <v>32</v>
      </c>
      <c r="B46" s="3">
        <v>0</v>
      </c>
      <c r="C46" s="3">
        <v>0</v>
      </c>
      <c r="D46" s="3">
        <v>0</v>
      </c>
      <c r="E46" s="3">
        <v>1889</v>
      </c>
      <c r="F46" s="3">
        <v>0</v>
      </c>
      <c r="G46" s="3">
        <v>0</v>
      </c>
      <c r="H46" s="3">
        <v>0</v>
      </c>
      <c r="I46" s="3">
        <v>1150</v>
      </c>
      <c r="J46" s="3">
        <v>700</v>
      </c>
      <c r="K46" s="3">
        <v>1000</v>
      </c>
      <c r="L46" s="21">
        <v>1437.5</v>
      </c>
      <c r="M46" s="3">
        <v>1581.2500000000002</v>
      </c>
      <c r="N46" s="3">
        <v>1739.3750000000005</v>
      </c>
      <c r="O46" s="3">
        <v>1913.3125000000007</v>
      </c>
      <c r="P46" s="3">
        <v>2104.6437500000011</v>
      </c>
      <c r="Q46" s="3">
        <v>2315.1081250000016</v>
      </c>
    </row>
    <row r="47" spans="1:17">
      <c r="A47" s="2" t="s">
        <v>33</v>
      </c>
      <c r="B47" s="3">
        <v>15.103</v>
      </c>
      <c r="C47" s="3">
        <v>39.436</v>
      </c>
      <c r="D47" s="3">
        <v>70.444999999999993</v>
      </c>
      <c r="E47" s="3">
        <v>103.13500000000001</v>
      </c>
      <c r="F47" s="3">
        <v>117.535</v>
      </c>
      <c r="G47" s="3">
        <v>100.55800000000001</v>
      </c>
      <c r="H47" s="3">
        <v>102.77500000000001</v>
      </c>
      <c r="I47" s="3">
        <v>90.350999999999999</v>
      </c>
      <c r="J47" s="3">
        <v>1001.677</v>
      </c>
      <c r="K47" s="3">
        <v>23.062000000000001</v>
      </c>
      <c r="L47" s="21">
        <v>954.56500000000005</v>
      </c>
      <c r="M47" s="3">
        <v>1050.0215000000001</v>
      </c>
      <c r="N47" s="3">
        <v>1155.0236500000001</v>
      </c>
      <c r="O47" s="3">
        <v>1270.5260150000001</v>
      </c>
      <c r="P47" s="3">
        <v>1397.5786165000002</v>
      </c>
      <c r="Q47" s="3">
        <v>1537.3364781500004</v>
      </c>
    </row>
    <row r="48" spans="1:17">
      <c r="A48" s="1"/>
    </row>
    <row r="57" spans="17:17">
      <c r="Q57" s="16"/>
    </row>
  </sheetData>
  <mergeCells count="2">
    <mergeCell ref="M2:Q2"/>
    <mergeCell ref="G2:L2"/>
  </mergeCells>
  <printOptions horizontalCentered="1"/>
  <pageMargins left="0.3" right="0.3" top="0.61" bottom="0.37" header="0.1" footer="0.1"/>
  <pageSetup paperSize="9" pageOrder="overThenDown"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Solution</vt:lpstr>
      <vt:lpstr>Assumptions</vt:lpstr>
      <vt:lpstr>Consolidated Statements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Elliot Sykora</cp:lastModifiedBy>
  <dcterms:created xsi:type="dcterms:W3CDTF">2022-04-15T03:36:30Z</dcterms:created>
  <dcterms:modified xsi:type="dcterms:W3CDTF">2022-05-01T13:39:44Z</dcterms:modified>
</cp:coreProperties>
</file>