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codeName="ThisWorkbook" defaultThemeVersion="124226"/>
  <mc:AlternateContent xmlns:mc="http://schemas.openxmlformats.org/markup-compatibility/2006">
    <mc:Choice Requires="x15">
      <x15ac:absPath xmlns:x15ac="http://schemas.microsoft.com/office/spreadsheetml/2010/11/ac" url="/Users/spencerstires/Documents/"/>
    </mc:Choice>
  </mc:AlternateContent>
  <xr:revisionPtr revIDLastSave="0" documentId="8_{EB4A2B14-49FE-4A47-9E6A-A951DDFD719D}" xr6:coauthVersionLast="47" xr6:coauthVersionMax="47" xr10:uidLastSave="{00000000-0000-0000-0000-000000000000}"/>
  <bookViews>
    <workbookView xWindow="9200" yWindow="500" windowWidth="19600" windowHeight="16580" firstSheet="2" activeTab="6" xr2:uid="{00000000-000D-0000-FFFF-FFFF00000000}"/>
  </bookViews>
  <sheets>
    <sheet name="Copyright" sheetId="1" r:id="rId1"/>
    <sheet name="Table A" sheetId="29" r:id="rId2"/>
    <sheet name="Exhibit 1" sheetId="33" r:id="rId3"/>
    <sheet name="Exhibit 2" sheetId="34" r:id="rId4"/>
    <sheet name="Exhibit 3" sheetId="35" r:id="rId5"/>
    <sheet name="Exhibit 5" sheetId="36" r:id="rId6"/>
    <sheet name="Answers" sheetId="40" r:id="rId7"/>
    <sheet name="TA Review Examples" sheetId="41" r:id="rId8"/>
    <sheet name="Exhibit 8" sheetId="37" r:id="rId9"/>
    <sheet name="Exhibit 10" sheetId="38" r:id="rId10"/>
    <sheet name="Exhibit 11" sheetId="39" r:id="rId1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25" i="40" l="1"/>
  <c r="C122" i="40"/>
  <c r="C121" i="40"/>
  <c r="E17" i="41"/>
  <c r="F17" i="41" s="1"/>
  <c r="F15" i="41"/>
  <c r="E15" i="41"/>
  <c r="D15" i="41"/>
  <c r="L10" i="41"/>
  <c r="J10" i="41"/>
  <c r="F9" i="41"/>
  <c r="E9" i="41"/>
  <c r="L8" i="41"/>
  <c r="L12" i="41" s="1"/>
  <c r="L15" i="41" s="1"/>
  <c r="L18" i="41" s="1"/>
  <c r="L24" i="41" s="1"/>
  <c r="J8" i="41"/>
  <c r="J12" i="41" s="1"/>
  <c r="J15" i="41" s="1"/>
  <c r="J18" i="41" s="1"/>
  <c r="J24" i="41" s="1"/>
  <c r="F6" i="41"/>
  <c r="F10" i="41" s="1"/>
  <c r="E6" i="41"/>
  <c r="E10" i="41" s="1"/>
  <c r="D6" i="41"/>
  <c r="D36" i="40"/>
  <c r="D16" i="41" l="1"/>
  <c r="D18" i="41" s="1"/>
  <c r="E16" i="41"/>
  <c r="E18" i="41" s="1"/>
  <c r="E21" i="41" s="1"/>
  <c r="F16" i="41"/>
  <c r="F18" i="41" s="1"/>
  <c r="E20" i="41"/>
  <c r="F20" i="41"/>
  <c r="M86" i="40"/>
  <c r="M87" i="40"/>
  <c r="N87" i="40"/>
  <c r="O87" i="40" s="1"/>
  <c r="N86" i="40"/>
  <c r="O86" i="40" s="1"/>
  <c r="E86" i="40"/>
  <c r="I86" i="40" s="1"/>
  <c r="E36" i="40"/>
  <c r="F36" i="40"/>
  <c r="G36" i="40"/>
  <c r="H36" i="40"/>
  <c r="I36" i="40"/>
  <c r="C36" i="40"/>
  <c r="C106" i="40"/>
  <c r="F48" i="40"/>
  <c r="E48" i="40"/>
  <c r="D48" i="40"/>
  <c r="C48" i="40"/>
  <c r="F46" i="40"/>
  <c r="E46" i="40"/>
  <c r="D46" i="40"/>
  <c r="C46" i="40"/>
  <c r="F45" i="40"/>
  <c r="E45" i="40"/>
  <c r="D45" i="40"/>
  <c r="C45" i="40"/>
  <c r="I34" i="40"/>
  <c r="H34" i="40"/>
  <c r="G34" i="40"/>
  <c r="F34" i="40"/>
  <c r="E34" i="40"/>
  <c r="D34" i="40"/>
  <c r="I33" i="40"/>
  <c r="H33" i="40"/>
  <c r="G33" i="40"/>
  <c r="F33" i="40"/>
  <c r="E33" i="40"/>
  <c r="D33" i="40"/>
  <c r="I31" i="40"/>
  <c r="I32" i="40" s="1"/>
  <c r="H31" i="40"/>
  <c r="H32" i="40" s="1"/>
  <c r="G31" i="40"/>
  <c r="G32" i="40" s="1"/>
  <c r="F31" i="40"/>
  <c r="F32" i="40" s="1"/>
  <c r="E31" i="40"/>
  <c r="E32" i="40" s="1"/>
  <c r="D31" i="40"/>
  <c r="D32" i="40" s="1"/>
  <c r="C29" i="40"/>
  <c r="I43" i="40" s="1"/>
  <c r="C17" i="40"/>
  <c r="D17" i="40"/>
  <c r="B18" i="40"/>
  <c r="B19" i="40"/>
  <c r="B20" i="40"/>
  <c r="D11" i="40"/>
  <c r="D19" i="40" s="1"/>
  <c r="C11" i="40"/>
  <c r="C19" i="40" s="1"/>
  <c r="B6" i="40"/>
  <c r="D10" i="40" s="1"/>
  <c r="B4" i="40"/>
  <c r="C10" i="40" s="1"/>
  <c r="F49" i="35"/>
  <c r="F21" i="41" l="1"/>
  <c r="I45" i="40"/>
  <c r="P86" i="40"/>
  <c r="F35" i="40"/>
  <c r="F38" i="40" s="1"/>
  <c r="E35" i="40"/>
  <c r="E38" i="40" s="1"/>
  <c r="C12" i="40"/>
  <c r="I35" i="40"/>
  <c r="I38" i="40" s="1"/>
  <c r="C66" i="40"/>
  <c r="G35" i="40"/>
  <c r="G38" i="40" s="1"/>
  <c r="C50" i="40"/>
  <c r="D50" i="40"/>
  <c r="D51" i="40" s="1"/>
  <c r="E50" i="40"/>
  <c r="E51" i="40" s="1"/>
  <c r="E53" i="40" s="1"/>
  <c r="E55" i="40" s="1"/>
  <c r="I44" i="40"/>
  <c r="I46" i="40" s="1"/>
  <c r="F50" i="40"/>
  <c r="F51" i="40" s="1"/>
  <c r="F53" i="40" s="1"/>
  <c r="F55" i="40" s="1"/>
  <c r="H35" i="40"/>
  <c r="H38" i="40" s="1"/>
  <c r="D35" i="40"/>
  <c r="D38" i="40" s="1"/>
  <c r="D12" i="40"/>
  <c r="E12" i="40" s="1"/>
  <c r="E20" i="40" s="1"/>
  <c r="D18" i="40"/>
  <c r="C18" i="40"/>
  <c r="C105" i="40" l="1"/>
  <c r="C51" i="40"/>
  <c r="C53" i="40" s="1"/>
  <c r="C20" i="40"/>
  <c r="F20" i="40" s="1"/>
  <c r="F12" i="40"/>
  <c r="D53" i="40"/>
  <c r="H121" i="40"/>
  <c r="H135" i="40" s="1"/>
  <c r="H105" i="40"/>
  <c r="F121" i="40"/>
  <c r="F135" i="40" s="1"/>
  <c r="F105" i="40"/>
  <c r="D105" i="40"/>
  <c r="D121" i="40"/>
  <c r="D135" i="40" s="1"/>
  <c r="G121" i="40"/>
  <c r="G135" i="40" s="1"/>
  <c r="G105" i="40"/>
  <c r="E105" i="40"/>
  <c r="E121" i="40"/>
  <c r="E135" i="40" s="1"/>
  <c r="G69" i="40"/>
  <c r="H69" i="40"/>
  <c r="I69" i="40"/>
  <c r="C69" i="40"/>
  <c r="F69" i="40"/>
  <c r="C71" i="40" s="1"/>
  <c r="D69" i="40"/>
  <c r="E69" i="40"/>
  <c r="D20" i="40"/>
  <c r="I48" i="40"/>
  <c r="C126" i="40" l="1"/>
  <c r="D55" i="40"/>
  <c r="C56" i="40" s="1"/>
  <c r="C42" i="40" s="1"/>
  <c r="J38" i="40" s="1"/>
  <c r="I121" i="40" s="1"/>
  <c r="I135" i="40" s="1"/>
  <c r="C55" i="40"/>
  <c r="C60" i="40" s="1"/>
  <c r="C59" i="40"/>
  <c r="C135" i="40"/>
  <c r="G39" i="40" l="1"/>
  <c r="D39" i="40"/>
  <c r="F39" i="40"/>
  <c r="I39" i="40"/>
  <c r="H39" i="40"/>
  <c r="E39" i="40"/>
  <c r="J39" i="40"/>
  <c r="C63" i="40"/>
  <c r="C40" i="40" l="1"/>
  <c r="C94" i="40" s="1"/>
  <c r="C77" i="40" l="1"/>
  <c r="C79" i="40" s="1"/>
  <c r="C96" i="40"/>
  <c r="C130" i="40" s="1"/>
  <c r="C129" i="40" l="1"/>
  <c r="C127" i="40" s="1"/>
  <c r="C131" i="40" s="1"/>
  <c r="C100" i="40"/>
  <c r="D100" i="40"/>
  <c r="F100" i="40"/>
  <c r="G100" i="40"/>
  <c r="H100" i="40"/>
  <c r="I100" i="40"/>
  <c r="E100" i="40"/>
  <c r="C101" i="40" l="1"/>
  <c r="C102" i="40" s="1"/>
  <c r="C132" i="40" s="1"/>
  <c r="C145" i="40" l="1"/>
  <c r="C107" i="40"/>
  <c r="C113" i="40" s="1"/>
  <c r="C108" i="40" l="1"/>
  <c r="C139" i="40"/>
  <c r="C148" i="40"/>
  <c r="C149" i="40" s="1"/>
  <c r="C109" i="40" l="1"/>
  <c r="D106" i="40" s="1"/>
  <c r="D107" i="40" s="1"/>
  <c r="D148" i="40" s="1"/>
  <c r="D149" i="40" s="1"/>
  <c r="C136" i="40"/>
  <c r="I122" i="40"/>
  <c r="D122" i="40"/>
  <c r="G122" i="40"/>
  <c r="H122" i="40"/>
  <c r="F122" i="40"/>
  <c r="E122" i="40"/>
  <c r="C140" i="40"/>
  <c r="G136" i="40"/>
  <c r="E136" i="40"/>
  <c r="D136" i="40"/>
  <c r="F136" i="40"/>
  <c r="H136" i="40"/>
  <c r="I136" i="40"/>
  <c r="D139" i="40" l="1"/>
  <c r="D140" i="40" s="1"/>
  <c r="D113" i="40"/>
  <c r="D108" i="40"/>
  <c r="D109" i="40" s="1"/>
  <c r="C137" i="40"/>
  <c r="C123" i="40"/>
  <c r="E106" i="40" l="1"/>
  <c r="E107" i="40" l="1"/>
  <c r="E139" i="40" s="1"/>
  <c r="E140" i="40" s="1"/>
  <c r="E148" i="40" l="1"/>
  <c r="E149" i="40" s="1"/>
  <c r="E113" i="40"/>
  <c r="E108" i="40"/>
  <c r="E109" i="40" l="1"/>
  <c r="F106" i="40" s="1"/>
  <c r="F107" i="40" l="1"/>
  <c r="F113" i="40" s="1"/>
  <c r="F148" i="40" l="1"/>
  <c r="F149" i="40" s="1"/>
  <c r="F139" i="40"/>
  <c r="F140" i="40" s="1"/>
  <c r="F108" i="40"/>
  <c r="F109" i="40" s="1"/>
  <c r="G106" i="40" s="1"/>
  <c r="G107" i="40" s="1"/>
  <c r="G148" i="40" l="1"/>
  <c r="G149" i="40" s="1"/>
  <c r="G113" i="40"/>
  <c r="G139" i="40"/>
  <c r="G140" i="40" s="1"/>
  <c r="G108" i="40"/>
  <c r="G109" i="40" s="1"/>
  <c r="H106" i="40" l="1"/>
  <c r="H107" i="40" l="1"/>
  <c r="H108" i="40" l="1"/>
  <c r="H109" i="40" s="1"/>
  <c r="H113" i="40"/>
  <c r="H148" i="40"/>
  <c r="H139" i="40"/>
  <c r="I139" i="40" l="1"/>
  <c r="I140" i="40" s="1"/>
  <c r="H140" i="40"/>
  <c r="H149" i="40"/>
  <c r="I148" i="40"/>
  <c r="I149" i="40" s="1"/>
  <c r="C141" i="40" l="1"/>
  <c r="C143" i="40" s="1"/>
  <c r="C150" i="40"/>
  <c r="C152" i="40" s="1"/>
</calcChain>
</file>

<file path=xl/sharedStrings.xml><?xml version="1.0" encoding="utf-8"?>
<sst xmlns="http://schemas.openxmlformats.org/spreadsheetml/2006/main" count="385" uniqueCount="266">
  <si>
    <t>Copyright © 2010 President and Fellows of Harvard College.  No part of this product may be reproduced, stored in a retrieval system or transmitted in any form or by any means—electronic, mechanical, photocopying, recording or otherwise—without the permission of Harvard Business School.</t>
  </si>
  <si>
    <t>Enterprise</t>
  </si>
  <si>
    <t>Desktop</t>
  </si>
  <si>
    <t>Number of units shipped</t>
  </si>
  <si>
    <t>Seagate</t>
  </si>
  <si>
    <t>Quantum</t>
  </si>
  <si>
    <t>IBM</t>
  </si>
  <si>
    <t>Maxtor</t>
  </si>
  <si>
    <t>b</t>
  </si>
  <si>
    <t>Fujitsu</t>
  </si>
  <si>
    <t>Western Digital</t>
  </si>
  <si>
    <t>Samsung</t>
  </si>
  <si>
    <t>Total sales ($millions)</t>
  </si>
  <si>
    <t>Source: “Disk Drive Quarterly Report” (March 2000) by Salomon Smith Barney.</t>
  </si>
  <si>
    <r>
      <t>a</t>
    </r>
    <r>
      <rPr>
        <sz val="8"/>
        <rFont val="Arial"/>
        <family val="2"/>
      </rPr>
      <t>Includes mobile.</t>
    </r>
  </si>
  <si>
    <r>
      <t>b</t>
    </r>
    <r>
      <rPr>
        <sz val="8"/>
        <rFont val="Arial"/>
        <family val="2"/>
      </rPr>
      <t>Amount is not material.</t>
    </r>
  </si>
  <si>
    <r>
      <t>Table A</t>
    </r>
    <r>
      <rPr>
        <sz val="10"/>
        <rFont val="Arial"/>
      </rPr>
      <t xml:space="preserve">     Market Share in the Worldwide Disk Drive Industry, 1999</t>
    </r>
  </si>
  <si>
    <t>2000E</t>
  </si>
  <si>
    <t>2001E</t>
  </si>
  <si>
    <t>2002E</t>
  </si>
  <si>
    <t>2003E</t>
  </si>
  <si>
    <t>Total Sales (000s of units)</t>
  </si>
  <si>
    <t>Y/Y % Change</t>
  </si>
  <si>
    <t>Total Revenues (millions of $)</t>
  </si>
  <si>
    <r>
      <t>Exhibit 1</t>
    </r>
    <r>
      <rPr>
        <sz val="10"/>
        <rFont val="Arial"/>
      </rPr>
      <t xml:space="preserve">     Worldwide Hard Disk Drive Industry Historical Performance and Projections, 1991-2003E</t>
    </r>
  </si>
  <si>
    <r>
      <t xml:space="preserve">Source: </t>
    </r>
    <r>
      <rPr>
        <i/>
        <sz val="8"/>
        <rFont val="Arial"/>
        <family val="2"/>
      </rPr>
      <t>Computer Industry Abstracts</t>
    </r>
    <r>
      <rPr>
        <sz val="8"/>
        <rFont val="Arial"/>
        <family val="2"/>
      </rPr>
      <t xml:space="preserve"> (various issues) and “Disk Drive Quarterly Report” (June 1999) by Salomon Smith Barney.</t>
    </r>
  </si>
  <si>
    <t>Sales</t>
  </si>
  <si>
    <t>% Growth</t>
  </si>
  <si>
    <t>EBITDA</t>
  </si>
  <si>
    <t>% Sales</t>
  </si>
  <si>
    <t>EBIT</t>
  </si>
  <si>
    <t>Assets</t>
  </si>
  <si>
    <t>Depreciation &amp; Amortization</t>
  </si>
  <si>
    <t>CAPX</t>
  </si>
  <si>
    <t>Debt/Book Assets</t>
  </si>
  <si>
    <t>Debt/Mkt. Assets</t>
  </si>
  <si>
    <t>NA</t>
  </si>
  <si>
    <t>(Debt-Cash)/Book Assets</t>
  </si>
  <si>
    <t>(Debt-Cash)/Market Assets</t>
  </si>
  <si>
    <t>EBITDA Interest Coverage</t>
  </si>
  <si>
    <t>EBIT Interest Coverage</t>
  </si>
  <si>
    <t>Disk Drive Industry Medians</t>
  </si>
  <si>
    <t>EBITDA as % of Sales</t>
  </si>
  <si>
    <t>EBIT as % of Sales</t>
  </si>
  <si>
    <t>(Debt-Cash)/Mkt Assets</t>
  </si>
  <si>
    <t>Source: Casewriters’ estimates based on data compiled from Compustat.</t>
  </si>
  <si>
    <r>
      <t>Exhibit 2</t>
    </r>
    <r>
      <rPr>
        <sz val="10"/>
        <rFont val="Arial"/>
      </rPr>
      <t xml:space="preserve">     Historical Operating Performance and Capitalization Ratios for Seagate Technology and U.S. Disk Drive Industry (1981 to 1999)</t>
    </r>
  </si>
  <si>
    <t>Seagate Technology</t>
  </si>
  <si>
    <t>Income Statement ($ million)</t>
  </si>
  <si>
    <t>Cost of Goods Sold</t>
  </si>
  <si>
    <t>Gross Margin</t>
  </si>
  <si>
    <t>Depreciation + Amortization</t>
  </si>
  <si>
    <t>Operating Profit</t>
  </si>
  <si>
    <t>Interest Expense</t>
  </si>
  <si>
    <t>Net Income</t>
  </si>
  <si>
    <t>Capital Expenditures</t>
  </si>
  <si>
    <t>Balance Sheet ($ million)</t>
  </si>
  <si>
    <t>Cash and Equivalents</t>
  </si>
  <si>
    <t>Net Receivables</t>
  </si>
  <si>
    <t>Inventories</t>
  </si>
  <si>
    <t>Net Property, Plant, and Equipment</t>
  </si>
  <si>
    <t>TOTAL ASSETS</t>
  </si>
  <si>
    <t>Accounts Payable</t>
  </si>
  <si>
    <t>Short-term Debt</t>
  </si>
  <si>
    <t>Long-term Debt</t>
  </si>
  <si>
    <t>Shareholders’ Equity</t>
  </si>
  <si>
    <t>Capital Market Information ($ million)</t>
  </si>
  <si>
    <t>Year-end Market Equity Capitalization</t>
  </si>
  <si>
    <t>Total Book Debt (3/10/00)</t>
  </si>
  <si>
    <t>Debt Rating</t>
  </si>
  <si>
    <t>BBB</t>
  </si>
  <si>
    <t>B2</t>
  </si>
  <si>
    <t>B1</t>
  </si>
  <si>
    <t>Stock Price (3/10/00)—$/share</t>
  </si>
  <si>
    <t>Shares Outstanding (3/10/00)—millions</t>
  </si>
  <si>
    <t>Source: Data compiled from Compustat and SEC Filings.</t>
  </si>
  <si>
    <r>
      <t>a</t>
    </r>
    <r>
      <rPr>
        <sz val="8"/>
        <rFont val="Arial"/>
        <family val="2"/>
      </rPr>
      <t>Quantum HDD was floated in August 1999 as a separately traded subsidiary of Quantum Corporation, containing just the hard disk drive operations. As a result, there is no information on historical stock prices or market capitalization, prior to that date.</t>
    </r>
  </si>
  <si>
    <r>
      <t>b</t>
    </r>
    <r>
      <rPr>
        <sz val="8"/>
        <rFont val="Arial"/>
        <family val="2"/>
      </rPr>
      <t>Net Working Capital = Total Current Assets – Total Current Liabilities (excluding Short-Term Debt).</t>
    </r>
  </si>
  <si>
    <r>
      <t>c</t>
    </r>
    <r>
      <rPr>
        <sz val="8"/>
        <rFont val="Arial"/>
        <family val="2"/>
      </rPr>
      <t>Equity betas estimated using daily returns over the six-month period from 9/1/99 to 3/1/00.</t>
    </r>
  </si>
  <si>
    <t>Jun97</t>
  </si>
  <si>
    <t>Jun98</t>
  </si>
  <si>
    <t>Jun99</t>
  </si>
  <si>
    <t>Mar97</t>
  </si>
  <si>
    <t>Mar98</t>
  </si>
  <si>
    <t>Mar99</t>
  </si>
  <si>
    <t>Dec96</t>
  </si>
  <si>
    <t>Dec97</t>
  </si>
  <si>
    <t>Dec98</t>
  </si>
  <si>
    <r>
      <t>Exhibit 3</t>
    </r>
    <r>
      <rPr>
        <sz val="10"/>
        <rFont val="Arial"/>
      </rPr>
      <t xml:space="preserve">     Summary Financial Data on Publicly Traded Hard Disk Drive Manufacturers</t>
    </r>
  </si>
  <si>
    <r>
      <t>Equity Betas</t>
    </r>
    <r>
      <rPr>
        <vertAlign val="superscript"/>
        <sz val="10"/>
        <rFont val="Arial"/>
        <family val="2"/>
      </rPr>
      <t>c</t>
    </r>
  </si>
  <si>
    <r>
      <t>Net Working Capital</t>
    </r>
    <r>
      <rPr>
        <vertAlign val="superscript"/>
        <sz val="10"/>
        <rFont val="Arial"/>
        <family val="2"/>
      </rPr>
      <t>b</t>
    </r>
  </si>
  <si>
    <t>VERITAS Software</t>
  </si>
  <si>
    <t>Balance Sheet ($ Million)</t>
  </si>
  <si>
    <t>Stock Market Information</t>
  </si>
  <si>
    <t>Total Book Debt (3/10/00)—$ Millions</t>
  </si>
  <si>
    <t>Stock Price (3/10/00)—$/Share</t>
  </si>
  <si>
    <t>Shares Outstanding (3/10/00)—Millions</t>
  </si>
  <si>
    <t>Source: Compustat and SEC Filings.</t>
  </si>
  <si>
    <r>
      <t>a</t>
    </r>
    <r>
      <rPr>
        <sz val="8"/>
        <rFont val="Arial"/>
        <family val="2"/>
      </rPr>
      <t>Equity beta estimated using daily returns over the six-month period from 9/1/99 to 3/1/00.</t>
    </r>
  </si>
  <si>
    <r>
      <t>Equity Beta</t>
    </r>
    <r>
      <rPr>
        <vertAlign val="superscript"/>
        <sz val="10"/>
        <rFont val="Arial"/>
        <family val="2"/>
      </rPr>
      <t>a</t>
    </r>
  </si>
  <si>
    <r>
      <t>Exhibit 5</t>
    </r>
    <r>
      <rPr>
        <sz val="10"/>
        <rFont val="Arial"/>
      </rPr>
      <t xml:space="preserve">     Summary Financial Data on VERITAS Software</t>
    </r>
  </si>
  <si>
    <t>Year Ending June 30,</t>
  </si>
  <si>
    <t>Base Case ($ million)</t>
  </si>
  <si>
    <t>Revenues</t>
  </si>
  <si>
    <t>EBITA</t>
  </si>
  <si>
    <t>Depreciation</t>
  </si>
  <si>
    <t>Upside Case ($ million)</t>
  </si>
  <si>
    <t>Source: Casewriters’ estimates based on revenues and EBITA projections contained in SEC filings.</t>
  </si>
  <si>
    <r>
      <t>Exhibit 8</t>
    </r>
    <r>
      <rPr>
        <sz val="10"/>
        <rFont val="Arial"/>
      </rPr>
      <t xml:space="preserve">     Projeced Operating Performance of Seagate Disk Drive Business</t>
    </r>
  </si>
  <si>
    <r>
      <t>Downside Case ($ million)</t>
    </r>
    <r>
      <rPr>
        <b/>
        <vertAlign val="superscript"/>
        <sz val="10"/>
        <rFont val="Arial"/>
        <family val="2"/>
      </rPr>
      <t>a</t>
    </r>
  </si>
  <si>
    <r>
      <t>a</t>
    </r>
    <r>
      <rPr>
        <sz val="8"/>
        <rFont val="Arial"/>
        <family val="2"/>
      </rPr>
      <t>The “downside case” is based on the “buyer case” described in the first VERITAS and Seagate Joint Proxy Statement/Prospectus filed with the SEC in May 2000.</t>
    </r>
  </si>
  <si>
    <t>Corporate Long-term Bonds</t>
  </si>
  <si>
    <t>Government Securities</t>
  </si>
  <si>
    <t>AAA</t>
  </si>
  <si>
    <t>BB</t>
  </si>
  <si>
    <t>B</t>
  </si>
  <si>
    <t>3 Month</t>
  </si>
  <si>
    <t>6 Month</t>
  </si>
  <si>
    <t>30 Year</t>
  </si>
  <si>
    <t>Source: Standard &amp; Poor’s Datastream.</t>
  </si>
  <si>
    <t xml:space="preserve"> A</t>
  </si>
  <si>
    <t>AA</t>
  </si>
  <si>
    <r>
      <t>Exhibit 10</t>
    </r>
    <r>
      <rPr>
        <sz val="10"/>
        <rFont val="Arial"/>
      </rPr>
      <t xml:space="preserve">     Market Interest Rates (March 2000)</t>
    </r>
  </si>
  <si>
    <t>Three-Year Medians—1997 to 1999</t>
  </si>
  <si>
    <t>A</t>
  </si>
  <si>
    <t>CCC</t>
  </si>
  <si>
    <t>17.5x</t>
  </si>
  <si>
    <t>10.8x</t>
  </si>
  <si>
    <t>6.8x</t>
  </si>
  <si>
    <t>3.9x</t>
  </si>
  <si>
    <t>2.3x</t>
  </si>
  <si>
    <t>1.0x</t>
  </si>
  <si>
    <t>0.2x</t>
  </si>
  <si>
    <t>Source: Standard &amp; Poor’s Credit Week, September 2000.</t>
  </si>
  <si>
    <r>
      <t>Exhibit 11</t>
    </r>
    <r>
      <rPr>
        <sz val="10"/>
        <rFont val="Arial"/>
      </rPr>
      <t xml:space="preserve">     S&amp;P Key Industrial Financial Ratios by Long-Term Debt Rating</t>
    </r>
  </si>
  <si>
    <r>
      <t>a</t>
    </r>
    <r>
      <rPr>
        <sz val="8"/>
        <rFont val="Arial"/>
        <family val="2"/>
      </rPr>
      <t>Defined as the ratio of Total Debt (long term and short term) to Total Market Capitalization (the sum of total debt, minority interest, preferred equity and year-end market value of equity).</t>
    </r>
  </si>
  <si>
    <r>
      <t>Total Debt as % of Market Cap.</t>
    </r>
    <r>
      <rPr>
        <vertAlign val="superscript"/>
        <sz val="10"/>
        <rFont val="Arial"/>
        <family val="2"/>
      </rPr>
      <t>A</t>
    </r>
  </si>
  <si>
    <r>
      <t>Total Market</t>
    </r>
    <r>
      <rPr>
        <b/>
        <vertAlign val="superscript"/>
        <sz val="10"/>
        <rFont val="Arial"/>
        <family val="2"/>
      </rPr>
      <t>a</t>
    </r>
  </si>
  <si>
    <r>
      <t>Quantum HDD</t>
    </r>
    <r>
      <rPr>
        <b/>
        <vertAlign val="superscript"/>
        <sz val="10"/>
        <rFont val="Arial"/>
        <family val="2"/>
      </rPr>
      <t>a</t>
    </r>
  </si>
  <si>
    <t>Seagate Technology Buyout</t>
  </si>
  <si>
    <t>Harvard Business School Case #201-063</t>
  </si>
  <si>
    <t>Case Software #XLS042</t>
  </si>
  <si>
    <t>Asset</t>
  </si>
  <si>
    <t>Beta</t>
  </si>
  <si>
    <t>Market Risk Premium</t>
  </si>
  <si>
    <t>Risk Free</t>
  </si>
  <si>
    <t>Equity</t>
  </si>
  <si>
    <t>Debt</t>
  </si>
  <si>
    <t>Cost of Equity</t>
  </si>
  <si>
    <t>Weight of Equity</t>
  </si>
  <si>
    <t>Cost of Debt</t>
  </si>
  <si>
    <t>Weight of Debt</t>
  </si>
  <si>
    <t>Growth of Equity</t>
  </si>
  <si>
    <t>APV</t>
  </si>
  <si>
    <t>WACC</t>
  </si>
  <si>
    <t>ITS</t>
  </si>
  <si>
    <t>(a) What is the market value of Seagate’s equity (in March, 2000)?</t>
  </si>
  <si>
    <t>(b) What is the market value of Seagate’s stake in Veritas (in March, 2000)?</t>
  </si>
  <si>
    <t>(c) What is the implied market valuation of Seagate’s operating assets? (That is, what is the value of Seagate not including the Veritas shares owned by Seagat e?) And note that this is asking for the total asset value, not just the equity market capitalization. Thus, consider Seagate’s market equity value plus its total book liabilities. 1</t>
  </si>
  <si>
    <t>Veritas</t>
  </si>
  <si>
    <t>2. Is this a violation of LOOP?</t>
  </si>
  <si>
    <t>Seagate Implied Operating Value</t>
  </si>
  <si>
    <t>Seagate Implied Operating Value (Pre-tax)</t>
  </si>
  <si>
    <t>Assume a tax rate of 33%; calculate the tax liability and whether this could resolve the seeming violation of LOOP.</t>
  </si>
  <si>
    <t>Seagate Stake in Veritas</t>
  </si>
  <si>
    <t>Discussion Questions</t>
  </si>
  <si>
    <t>EBIT(1-t)</t>
  </si>
  <si>
    <t>DA</t>
  </si>
  <si>
    <t>CapEx</t>
  </si>
  <si>
    <t>dNWC</t>
  </si>
  <si>
    <t>NWC</t>
  </si>
  <si>
    <t>FCF</t>
  </si>
  <si>
    <t>Tax</t>
  </si>
  <si>
    <t>g</t>
  </si>
  <si>
    <t>Discount Rate</t>
  </si>
  <si>
    <t>Risk Free Rate</t>
  </si>
  <si>
    <t>Equity Beta</t>
  </si>
  <si>
    <t>Comps</t>
  </si>
  <si>
    <t>Debt Beta</t>
  </si>
  <si>
    <t>Debt Value</t>
  </si>
  <si>
    <t>Equity Value (Market Cap)</t>
  </si>
  <si>
    <t>Asset Beta</t>
  </si>
  <si>
    <t>Asset Discount Rate</t>
  </si>
  <si>
    <t>Competitor Average DR</t>
  </si>
  <si>
    <t>PV</t>
  </si>
  <si>
    <t>DFCF</t>
  </si>
  <si>
    <t>Valuation (answers below)</t>
  </si>
  <si>
    <t>1. Report the asset beta and asset cost of capital for Seagate’s operating assets.</t>
  </si>
  <si>
    <t>Asset Cost of Capital</t>
  </si>
  <si>
    <t>Or, alternatively…</t>
  </si>
  <si>
    <t>2. Report the Terminal Value based on the perpetual expected growth rate.</t>
  </si>
  <si>
    <t>3. What would be the Terminal Value if we used the Morgan Stanley analyst’s recommended 2006-EBITA multiples? What is the implied terminal growth rate in that?</t>
  </si>
  <si>
    <t>Terminal Value</t>
  </si>
  <si>
    <t>EBITDA (2006)</t>
  </si>
  <si>
    <t>Multiple</t>
  </si>
  <si>
    <t>6.0x-9.0x</t>
  </si>
  <si>
    <t>Midpoint</t>
  </si>
  <si>
    <t>Implied Terminal Growth Rate</t>
  </si>
  <si>
    <t>4. Report the Present Value of Seagate’s operating asset cash flows.</t>
  </si>
  <si>
    <t>Excess Cash</t>
  </si>
  <si>
    <t>Suez Value</t>
  </si>
  <si>
    <t>5. Exhibit 8 gives “Upside” case and “Downside” case EBITA. Would our analysis change much by averaging over simulated EBITA paths as opposed to using the expected EBITA path?</t>
  </si>
  <si>
    <t>Asset Value</t>
  </si>
  <si>
    <t>Leverage Ratio</t>
  </si>
  <si>
    <t>Report the leverage rate this implies for the LBO. (To calculate the leverage, you need to know the total asset valuation; just use the estimate from the previous section.)</t>
  </si>
  <si>
    <t>Credit Rating</t>
  </si>
  <si>
    <t>2. Report the credit-rating and interest rate this implies for the new debt, based on the data in Exhibit 10 and 11.</t>
  </si>
  <si>
    <t>Interest Rate</t>
  </si>
  <si>
    <t>Interest</t>
  </si>
  <si>
    <t>FCFAI</t>
  </si>
  <si>
    <t>3. Assume that each year all FCF remaining after paying interest are used to pay down the debt added to the debt balance, at the same interest rate.)</t>
  </si>
  <si>
    <t>4. Calculate the EBIT Interest Coverage from this forecast. Based on Exhibit 11, what credit rating does it imply? Does this match the credit rating estimated from the leverage ratio?</t>
  </si>
  <si>
    <t>Debt Weight</t>
  </si>
  <si>
    <t>Equity Weight</t>
  </si>
  <si>
    <t>PV Operating CFs</t>
  </si>
  <si>
    <t>PV ITS</t>
  </si>
  <si>
    <t>LOOP Discount Rate</t>
  </si>
  <si>
    <t>DITS</t>
  </si>
  <si>
    <t>Seagate 40% Stake in Veritas</t>
  </si>
  <si>
    <t>It would not change the analysis for asset value, but notably, for the value of debt and equity it would as those are structured claims on asset value.</t>
  </si>
  <si>
    <t>Consider the analogy of equity being a call option on asset value when equity is at the money.</t>
  </si>
  <si>
    <t>Probability</t>
  </si>
  <si>
    <t>Cash Flow</t>
  </si>
  <si>
    <t>What is the value to equity?</t>
  </si>
  <si>
    <t>Expected Value of Equity</t>
  </si>
  <si>
    <t>Equity Value</t>
  </si>
  <si>
    <t>Asset Expected Value (E[V])</t>
  </si>
  <si>
    <t>Given Debt is…</t>
  </si>
  <si>
    <t>Do you take (E[V] - Debt claim)?</t>
  </si>
  <si>
    <t>No, instead…</t>
  </si>
  <si>
    <t>Value equity across scenarios</t>
  </si>
  <si>
    <t>Hypothetical comparison of Expected Value vs Scenario methods:</t>
  </si>
  <si>
    <t>By the same logic, the debt value is 110</t>
  </si>
  <si>
    <t>So their sum (110 + 65) still equlas the Asset Expected Value of 175</t>
  </si>
  <si>
    <t>Difference</t>
  </si>
  <si>
    <t>via GoalSeek</t>
  </si>
  <si>
    <t>1. Use the initial debt funding level, (wD), calculated in the previous section, and revalue the assets from Section 2 using the WACC discount rate instead of the LOOP discount rate.</t>
  </si>
  <si>
    <t>Time</t>
  </si>
  <si>
    <t>Rev</t>
  </si>
  <si>
    <t>COGS</t>
  </si>
  <si>
    <t>SG&amp;A</t>
  </si>
  <si>
    <t>Variable</t>
  </si>
  <si>
    <t>Fixed</t>
  </si>
  <si>
    <t>Revenue Growth</t>
  </si>
  <si>
    <t>Op Profit Growth</t>
  </si>
  <si>
    <t>Copper</t>
  </si>
  <si>
    <t>Units</t>
  </si>
  <si>
    <t>Revenue</t>
  </si>
  <si>
    <t>Shares</t>
  </si>
  <si>
    <t>Earnings</t>
  </si>
  <si>
    <t>Earnings/Share</t>
  </si>
  <si>
    <t>P/E</t>
  </si>
  <si>
    <t>Share Price</t>
  </si>
  <si>
    <t>Growth of Asset Value</t>
  </si>
  <si>
    <t>Old</t>
  </si>
  <si>
    <t>Less efficient</t>
  </si>
  <si>
    <t>Costs</t>
  </si>
  <si>
    <t>Residual</t>
  </si>
  <si>
    <t>&lt;- Competitor Average</t>
  </si>
  <si>
    <t>TV</t>
  </si>
  <si>
    <t>Starting Debt Level</t>
  </si>
  <si>
    <t>Ending Debt Level</t>
  </si>
  <si>
    <t>The denominator of the perpetuity formula has a non-linear effect on valuation, so you can't average over perpetuity rates and use a singular exoected perpetuity.</t>
  </si>
  <si>
    <t>What about averaging over simulated perpetual growth rates versus using the expected perpetual growth?</t>
  </si>
  <si>
    <t>Upside</t>
  </si>
  <si>
    <t>Downside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</si>
</sst>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6" formatCode="&quot;$&quot;#,##0_);[Red]\(&quot;$&quot;#,##0\)"/>
    <numFmt numFmtId="44" formatCode="_(&quot;$&quot;* #,##0.00_);_(&quot;$&quot;* \(#,##0.00\);_(&quot;$&quot;* &quot;-&quot;??_);_(@_)"/>
    <numFmt numFmtId="164" formatCode="&quot;$&quot;#,##0;[Red]&quot;$&quot;#,##0"/>
    <numFmt numFmtId="165" formatCode="0.0"/>
    <numFmt numFmtId="166" formatCode="0.0%"/>
    <numFmt numFmtId="167" formatCode="0.0;[Red]0.0"/>
    <numFmt numFmtId="168" formatCode="0.00;[Red]0.00"/>
    <numFmt numFmtId="169" formatCode="&quot;$&quot;#,##0.0;[Red]&quot;$&quot;#,##0.0"/>
    <numFmt numFmtId="170" formatCode="_(&quot;$&quot;* #,##0.0_);_(&quot;$&quot;* \(#,##0.0\);_(&quot;$&quot;* &quot;-&quot;??_);_(@_)"/>
    <numFmt numFmtId="171" formatCode="_(&quot;$&quot;* #,##0_);_(&quot;$&quot;* \(#,##0\);_(&quot;$&quot;* &quot;-&quot;??_);_(@_)"/>
    <numFmt numFmtId="172" formatCode="&quot;$&quot;#,##0.00;[Red]&quot;$&quot;#,##0.00"/>
    <numFmt numFmtId="173" formatCode="0.000%"/>
    <numFmt numFmtId="174" formatCode="#,##0.0\x"/>
  </numFmts>
  <fonts count="15" x14ac:knownFonts="1">
    <font>
      <sz val="10"/>
      <name val="Arial"/>
    </font>
    <font>
      <sz val="10"/>
      <name val="Arial"/>
    </font>
    <font>
      <sz val="8"/>
      <name val="Arial"/>
      <family val="2"/>
    </font>
    <font>
      <b/>
      <sz val="10"/>
      <name val="Arial"/>
      <family val="2"/>
    </font>
    <font>
      <vertAlign val="superscript"/>
      <sz val="8"/>
      <name val="Arial"/>
      <family val="2"/>
    </font>
    <font>
      <i/>
      <sz val="10"/>
      <name val="Arial"/>
      <family val="2"/>
    </font>
    <font>
      <b/>
      <vertAlign val="superscript"/>
      <sz val="10"/>
      <name val="Arial"/>
      <family val="2"/>
    </font>
    <font>
      <i/>
      <sz val="8"/>
      <name val="Arial"/>
      <family val="2"/>
    </font>
    <font>
      <vertAlign val="superscript"/>
      <sz val="10"/>
      <name val="Arial"/>
      <family val="2"/>
    </font>
    <font>
      <vertAlign val="superscript"/>
      <sz val="8"/>
      <name val="Arial"/>
      <family val="2"/>
    </font>
    <font>
      <sz val="10"/>
      <name val="Arial"/>
      <family val="2"/>
    </font>
    <font>
      <sz val="10"/>
      <color theme="1"/>
      <name val="Arial"/>
      <family val="2"/>
    </font>
    <font>
      <sz val="10"/>
      <color rgb="FF000000"/>
      <name val="Arial"/>
      <family val="2"/>
    </font>
    <font>
      <b/>
      <sz val="10"/>
      <color theme="0"/>
      <name val="Arial"/>
      <family val="2"/>
    </font>
    <font>
      <sz val="10"/>
      <color theme="0"/>
      <name val="Arial"/>
      <family val="2"/>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5">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double">
        <color indexed="64"/>
      </bottom>
      <diagonal/>
    </border>
  </borders>
  <cellStyleXfs count="3">
    <xf numFmtId="0" fontId="0" fillId="0" borderId="0">
      <alignment horizontal="right"/>
    </xf>
    <xf numFmtId="44" fontId="1" fillId="0" borderId="0" applyFont="0" applyFill="0" applyBorder="0" applyAlignment="0" applyProtection="0"/>
    <xf numFmtId="9" fontId="1" fillId="0" borderId="0" applyFont="0" applyFill="0" applyBorder="0" applyAlignment="0" applyProtection="0"/>
  </cellStyleXfs>
  <cellXfs count="106">
    <xf numFmtId="0" fontId="0" fillId="0" borderId="0" xfId="0">
      <alignment horizontal="right"/>
    </xf>
    <xf numFmtId="6" fontId="0" fillId="0" borderId="0" xfId="0" applyNumberFormat="1">
      <alignment horizontal="right"/>
    </xf>
    <xf numFmtId="0" fontId="0" fillId="0" borderId="0" xfId="0" applyAlignment="1">
      <alignment horizontal="center"/>
    </xf>
    <xf numFmtId="0" fontId="0" fillId="0" borderId="0" xfId="0" applyAlignment="1">
      <alignment horizontal="left"/>
    </xf>
    <xf numFmtId="0" fontId="5" fillId="0" borderId="0" xfId="0" applyFont="1" applyAlignment="1">
      <alignment horizontal="left"/>
    </xf>
    <xf numFmtId="0" fontId="3" fillId="0" borderId="0" xfId="0" applyFont="1" applyAlignment="1">
      <alignment horizontal="left"/>
    </xf>
    <xf numFmtId="166" fontId="0" fillId="0" borderId="0" xfId="0" applyNumberFormat="1">
      <alignment horizontal="right"/>
    </xf>
    <xf numFmtId="167" fontId="0" fillId="0" borderId="0" xfId="0" applyNumberFormat="1">
      <alignment horizontal="right"/>
    </xf>
    <xf numFmtId="164" fontId="0" fillId="0" borderId="0" xfId="0" applyNumberFormat="1">
      <alignment horizontal="right"/>
    </xf>
    <xf numFmtId="0" fontId="3" fillId="0" borderId="1" xfId="0" applyFont="1" applyBorder="1">
      <alignment horizontal="right"/>
    </xf>
    <xf numFmtId="0" fontId="5" fillId="0" borderId="2" xfId="0" applyFont="1" applyBorder="1" applyAlignment="1">
      <alignment horizontal="left"/>
    </xf>
    <xf numFmtId="0" fontId="5" fillId="0" borderId="0" xfId="0" applyFont="1" applyAlignment="1">
      <alignment horizontal="left" indent="2"/>
    </xf>
    <xf numFmtId="0" fontId="0" fillId="0" borderId="1" xfId="0" applyBorder="1" applyAlignment="1">
      <alignment horizontal="left"/>
    </xf>
    <xf numFmtId="0" fontId="0" fillId="0" borderId="2" xfId="0" applyBorder="1" applyAlignment="1">
      <alignment horizontal="left"/>
    </xf>
    <xf numFmtId="0" fontId="0" fillId="0" borderId="2" xfId="0" applyBorder="1">
      <alignment horizontal="right"/>
    </xf>
    <xf numFmtId="166" fontId="5" fillId="0" borderId="0" xfId="0" applyNumberFormat="1" applyFont="1">
      <alignment horizontal="right"/>
    </xf>
    <xf numFmtId="0" fontId="3" fillId="0" borderId="1" xfId="0" applyFont="1" applyBorder="1" applyAlignment="1">
      <alignment horizontal="center"/>
    </xf>
    <xf numFmtId="4" fontId="0" fillId="0" borderId="0" xfId="0" applyNumberFormat="1">
      <alignment horizontal="right"/>
    </xf>
    <xf numFmtId="9" fontId="0" fillId="0" borderId="0" xfId="0" applyNumberFormat="1">
      <alignment horizontal="right"/>
    </xf>
    <xf numFmtId="0" fontId="5" fillId="0" borderId="0" xfId="0" applyFont="1">
      <alignment horizontal="right"/>
    </xf>
    <xf numFmtId="168" fontId="0" fillId="0" borderId="0" xfId="0" applyNumberFormat="1">
      <alignment horizontal="right"/>
    </xf>
    <xf numFmtId="3" fontId="0" fillId="0" borderId="0" xfId="0" applyNumberFormat="1">
      <alignment horizontal="right"/>
    </xf>
    <xf numFmtId="49" fontId="3" fillId="0" borderId="2" xfId="0" applyNumberFormat="1" applyFont="1" applyBorder="1" applyAlignment="1">
      <alignment horizontal="left"/>
    </xf>
    <xf numFmtId="49" fontId="3" fillId="0" borderId="2" xfId="0" applyNumberFormat="1" applyFont="1" applyBorder="1" applyAlignment="1">
      <alignment horizontal="center"/>
    </xf>
    <xf numFmtId="49" fontId="3" fillId="0" borderId="3" xfId="0" applyNumberFormat="1" applyFont="1" applyBorder="1" applyAlignment="1">
      <alignment horizontal="left"/>
    </xf>
    <xf numFmtId="0" fontId="0" fillId="0" borderId="0" xfId="0" applyAlignment="1">
      <alignment horizontal="left" vertical="top" indent="2"/>
    </xf>
    <xf numFmtId="169" fontId="0" fillId="0" borderId="0" xfId="0" applyNumberFormat="1">
      <alignment horizontal="right"/>
    </xf>
    <xf numFmtId="0" fontId="0" fillId="0" borderId="3" xfId="0" applyBorder="1" applyAlignment="1">
      <alignment horizontal="left"/>
    </xf>
    <xf numFmtId="0" fontId="3" fillId="0" borderId="2" xfId="0" applyFont="1" applyBorder="1" applyAlignment="1">
      <alignment horizontal="center"/>
    </xf>
    <xf numFmtId="10" fontId="0" fillId="0" borderId="2" xfId="0" applyNumberFormat="1" applyBorder="1" applyAlignment="1">
      <alignment horizontal="center"/>
    </xf>
    <xf numFmtId="0" fontId="0" fillId="0" borderId="3" xfId="0" applyBorder="1" applyAlignment="1">
      <alignment horizontal="center"/>
    </xf>
    <xf numFmtId="166" fontId="0" fillId="0" borderId="0" xfId="0" applyNumberFormat="1" applyAlignment="1">
      <alignment horizontal="center"/>
    </xf>
    <xf numFmtId="166" fontId="0" fillId="0" borderId="0" xfId="0" applyNumberFormat="1" applyAlignment="1">
      <alignment horizontal="right" indent="2"/>
    </xf>
    <xf numFmtId="0" fontId="0" fillId="0" borderId="0" xfId="0" applyAlignment="1">
      <alignment horizontal="right" indent="2"/>
    </xf>
    <xf numFmtId="167" fontId="0" fillId="0" borderId="0" xfId="0" applyNumberFormat="1" applyAlignment="1">
      <alignment horizontal="right" indent="2"/>
    </xf>
    <xf numFmtId="164" fontId="0" fillId="0" borderId="2" xfId="0" applyNumberFormat="1" applyBorder="1" applyAlignment="1">
      <alignment horizontal="right" indent="2"/>
    </xf>
    <xf numFmtId="2" fontId="0" fillId="0" borderId="0" xfId="0" applyNumberFormat="1">
      <alignment horizontal="right"/>
    </xf>
    <xf numFmtId="165" fontId="0" fillId="0" borderId="0" xfId="0" applyNumberFormat="1">
      <alignment horizontal="right"/>
    </xf>
    <xf numFmtId="0" fontId="10" fillId="0" borderId="0" xfId="0" applyFont="1">
      <alignment horizontal="right"/>
    </xf>
    <xf numFmtId="0" fontId="3" fillId="0" borderId="0" xfId="0" applyFont="1">
      <alignment horizontal="right"/>
    </xf>
    <xf numFmtId="9" fontId="0" fillId="0" borderId="0" xfId="2" applyFont="1" applyAlignment="1">
      <alignment horizontal="right"/>
    </xf>
    <xf numFmtId="0" fontId="10" fillId="0" borderId="0" xfId="0" applyFont="1" applyAlignment="1">
      <alignment horizontal="left"/>
    </xf>
    <xf numFmtId="0" fontId="10" fillId="0" borderId="0" xfId="0" applyFont="1" applyAlignment="1">
      <alignment horizontal="right"/>
    </xf>
    <xf numFmtId="171" fontId="0" fillId="0" borderId="0" xfId="0" applyNumberFormat="1">
      <alignment horizontal="right"/>
    </xf>
    <xf numFmtId="171" fontId="0" fillId="0" borderId="0" xfId="1" applyNumberFormat="1" applyFont="1" applyAlignment="1">
      <alignment horizontal="left"/>
    </xf>
    <xf numFmtId="0" fontId="12" fillId="0" borderId="0" xfId="0" applyFont="1" applyAlignment="1">
      <alignment horizontal="left"/>
    </xf>
    <xf numFmtId="171" fontId="0" fillId="0" borderId="0" xfId="0" applyNumberFormat="1" applyAlignment="1">
      <alignment horizontal="left"/>
    </xf>
    <xf numFmtId="44" fontId="0" fillId="0" borderId="0" xfId="0" applyNumberFormat="1" applyAlignment="1">
      <alignment horizontal="left"/>
    </xf>
    <xf numFmtId="0" fontId="10" fillId="0" borderId="0" xfId="0" applyFont="1" applyAlignment="1">
      <alignment horizontal="left" indent="1"/>
    </xf>
    <xf numFmtId="0" fontId="0" fillId="0" borderId="0" xfId="0" applyAlignment="1">
      <alignment horizontal="left" indent="1"/>
    </xf>
    <xf numFmtId="171" fontId="11" fillId="0" borderId="0" xfId="1" applyNumberFormat="1" applyFont="1" applyAlignment="1">
      <alignment horizontal="right"/>
    </xf>
    <xf numFmtId="10" fontId="0" fillId="0" borderId="0" xfId="0" applyNumberFormat="1">
      <alignment horizontal="right"/>
    </xf>
    <xf numFmtId="166" fontId="0" fillId="0" borderId="0" xfId="2" applyNumberFormat="1" applyFont="1" applyAlignment="1">
      <alignment horizontal="right"/>
    </xf>
    <xf numFmtId="165" fontId="10" fillId="0" borderId="0" xfId="0" applyNumberFormat="1" applyFont="1">
      <alignment horizontal="right"/>
    </xf>
    <xf numFmtId="10" fontId="0" fillId="0" borderId="0" xfId="0" applyNumberFormat="1" applyAlignment="1">
      <alignment horizontal="left"/>
    </xf>
    <xf numFmtId="10" fontId="0" fillId="2" borderId="0" xfId="0" applyNumberFormat="1" applyFill="1">
      <alignment horizontal="right"/>
    </xf>
    <xf numFmtId="10" fontId="0" fillId="0" borderId="0" xfId="2" applyNumberFormat="1" applyFont="1" applyAlignment="1">
      <alignment horizontal="right"/>
    </xf>
    <xf numFmtId="172" fontId="0" fillId="0" borderId="0" xfId="0" applyNumberFormat="1" applyAlignment="1">
      <alignment horizontal="left"/>
    </xf>
    <xf numFmtId="9" fontId="0" fillId="0" borderId="0" xfId="2" applyFont="1" applyAlignment="1">
      <alignment horizontal="left"/>
    </xf>
    <xf numFmtId="164" fontId="0" fillId="0" borderId="0" xfId="0" applyNumberFormat="1" applyAlignment="1">
      <alignment horizontal="right"/>
    </xf>
    <xf numFmtId="0" fontId="0" fillId="0" borderId="0" xfId="0" applyAlignment="1">
      <alignment horizontal="right"/>
    </xf>
    <xf numFmtId="174" fontId="0" fillId="0" borderId="0" xfId="0" applyNumberFormat="1" applyAlignment="1">
      <alignment horizontal="right"/>
    </xf>
    <xf numFmtId="165" fontId="10" fillId="0" borderId="0" xfId="0" applyNumberFormat="1" applyFont="1" applyAlignment="1">
      <alignment horizontal="right"/>
    </xf>
    <xf numFmtId="10" fontId="0" fillId="0" borderId="0" xfId="0" applyNumberFormat="1" applyAlignment="1">
      <alignment horizontal="right"/>
    </xf>
    <xf numFmtId="170" fontId="0" fillId="0" borderId="0" xfId="0" applyNumberFormat="1" applyAlignment="1">
      <alignment horizontal="left"/>
    </xf>
    <xf numFmtId="10" fontId="0" fillId="0" borderId="0" xfId="2" applyNumberFormat="1" applyFont="1" applyAlignment="1">
      <alignment horizontal="left"/>
    </xf>
    <xf numFmtId="2" fontId="0" fillId="0" borderId="0" xfId="0" applyNumberFormat="1" applyAlignment="1">
      <alignment horizontal="left"/>
    </xf>
    <xf numFmtId="171" fontId="10" fillId="0" borderId="0" xfId="0" applyNumberFormat="1" applyFont="1" applyAlignment="1">
      <alignment horizontal="left"/>
    </xf>
    <xf numFmtId="166" fontId="0" fillId="0" borderId="0" xfId="0" applyNumberFormat="1" applyAlignment="1">
      <alignment horizontal="left"/>
    </xf>
    <xf numFmtId="0" fontId="13" fillId="3" borderId="0" xfId="0" applyFont="1" applyFill="1" applyAlignment="1">
      <alignment horizontal="left"/>
    </xf>
    <xf numFmtId="0" fontId="14" fillId="3" borderId="0" xfId="0" applyFont="1" applyFill="1" applyAlignment="1">
      <alignment horizontal="left"/>
    </xf>
    <xf numFmtId="166" fontId="0" fillId="0" borderId="0" xfId="0" applyNumberFormat="1" applyAlignment="1">
      <alignment horizontal="right"/>
    </xf>
    <xf numFmtId="0" fontId="0" fillId="0" borderId="0" xfId="0" applyAlignment="1">
      <alignment horizontal="left" wrapText="1"/>
    </xf>
    <xf numFmtId="0" fontId="10" fillId="0" borderId="0" xfId="0" applyFont="1" applyAlignment="1">
      <alignment horizontal="center" vertical="center" wrapText="1"/>
    </xf>
    <xf numFmtId="0" fontId="0" fillId="0" borderId="0" xfId="0" applyAlignment="1">
      <alignment horizontal="center" vertical="center" wrapText="1"/>
    </xf>
    <xf numFmtId="170" fontId="3" fillId="0" borderId="0" xfId="0" applyNumberFormat="1" applyFont="1" applyAlignment="1">
      <alignment horizontal="left"/>
    </xf>
    <xf numFmtId="0" fontId="0" fillId="0" borderId="0" xfId="0" applyAlignment="1">
      <alignment horizontal="center" vertical="center"/>
    </xf>
    <xf numFmtId="9" fontId="10" fillId="0" borderId="0" xfId="2" applyFont="1" applyAlignment="1">
      <alignment horizontal="right"/>
    </xf>
    <xf numFmtId="166" fontId="10" fillId="0" borderId="0" xfId="2" applyNumberFormat="1" applyFont="1" applyAlignment="1">
      <alignment horizontal="right"/>
    </xf>
    <xf numFmtId="9" fontId="10" fillId="0" borderId="0" xfId="2" applyFont="1" applyAlignment="1">
      <alignment horizontal="left"/>
    </xf>
    <xf numFmtId="171" fontId="3" fillId="0" borderId="0" xfId="0" applyNumberFormat="1" applyFont="1">
      <alignment horizontal="right"/>
    </xf>
    <xf numFmtId="0" fontId="10" fillId="0" borderId="0" xfId="0" applyFont="1" applyAlignment="1">
      <alignment horizontal="center" vertical="center"/>
    </xf>
    <xf numFmtId="0" fontId="0" fillId="0" borderId="4" xfId="0" applyBorder="1">
      <alignment horizontal="right"/>
    </xf>
    <xf numFmtId="0" fontId="3" fillId="0" borderId="0" xfId="0" applyFont="1" applyAlignment="1">
      <alignment horizontal="center" vertical="center"/>
    </xf>
    <xf numFmtId="0" fontId="5" fillId="0" borderId="0" xfId="0" applyFont="1" applyAlignment="1">
      <alignment horizontal="center" vertical="center"/>
    </xf>
    <xf numFmtId="174" fontId="0" fillId="0" borderId="0" xfId="0" applyNumberFormat="1" applyAlignment="1">
      <alignment horizontal="center" vertical="center"/>
    </xf>
    <xf numFmtId="173" fontId="0" fillId="0" borderId="0" xfId="0" applyNumberFormat="1" applyAlignment="1">
      <alignment horizontal="left"/>
    </xf>
    <xf numFmtId="0" fontId="0" fillId="2" borderId="4" xfId="0" applyFill="1" applyBorder="1">
      <alignment horizontal="right"/>
    </xf>
    <xf numFmtId="2" fontId="0" fillId="0" borderId="0" xfId="0" applyNumberFormat="1" applyAlignment="1">
      <alignment horizontal="center" vertical="center"/>
    </xf>
    <xf numFmtId="0" fontId="0" fillId="0" borderId="0" xfId="0" applyAlignment="1">
      <alignment horizontal="justify" vertical="top" wrapText="1"/>
    </xf>
    <xf numFmtId="0" fontId="3"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4" fillId="0" borderId="0" xfId="0" applyFont="1" applyAlignment="1">
      <alignment horizontal="left"/>
    </xf>
    <xf numFmtId="0" fontId="4" fillId="0" borderId="0" xfId="0" applyFont="1" applyAlignment="1">
      <alignment horizontal="left" wrapText="1"/>
    </xf>
    <xf numFmtId="0" fontId="2" fillId="0" borderId="0" xfId="0" applyFont="1" applyAlignment="1">
      <alignment horizontal="left" wrapText="1"/>
    </xf>
    <xf numFmtId="49" fontId="3" fillId="0" borderId="1" xfId="0" applyNumberFormat="1" applyFont="1" applyBorder="1" applyAlignment="1">
      <alignment horizontal="center" wrapText="1"/>
    </xf>
    <xf numFmtId="0" fontId="0" fillId="0" borderId="1" xfId="0" applyBorder="1" applyAlignment="1">
      <alignment horizontal="center" wrapText="1"/>
    </xf>
    <xf numFmtId="49" fontId="9" fillId="0" borderId="0" xfId="0" applyNumberFormat="1" applyFont="1" applyAlignment="1">
      <alignment horizontal="left"/>
    </xf>
    <xf numFmtId="49" fontId="2" fillId="0" borderId="0" xfId="0" applyNumberFormat="1" applyFont="1" applyAlignment="1">
      <alignment horizontal="left"/>
    </xf>
    <xf numFmtId="0" fontId="3" fillId="0" borderId="1" xfId="0" applyFont="1" applyBorder="1" applyAlignment="1">
      <alignment horizontal="center"/>
    </xf>
    <xf numFmtId="0" fontId="2" fillId="0" borderId="0" xfId="0" applyFont="1" applyAlignment="1"/>
    <xf numFmtId="0" fontId="9" fillId="0" borderId="0" xfId="0" applyFont="1" applyAlignment="1">
      <alignment vertical="top" wrapText="1"/>
    </xf>
    <xf numFmtId="0" fontId="2" fillId="0" borderId="0" xfId="0" applyFont="1" applyAlignment="1">
      <alignment vertical="top" wrapText="1"/>
    </xf>
    <xf numFmtId="0" fontId="4" fillId="0" borderId="0" xfId="0" applyFont="1" applyAlignment="1">
      <alignment horizontal="left" vertical="top" wrapText="1"/>
    </xf>
    <xf numFmtId="0" fontId="2" fillId="0" borderId="0" xfId="0" applyFont="1" applyAlignment="1">
      <alignment horizontal="left" vertical="top" wrapText="1"/>
    </xf>
  </cellXfs>
  <cellStyles count="3">
    <cellStyle name="Currency" xfId="1" builtinId="4"/>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5"/>
  <sheetViews>
    <sheetView workbookViewId="0">
      <selection sqref="A1:A3"/>
    </sheetView>
  </sheetViews>
  <sheetFormatPr baseColWidth="10" defaultRowHeight="13" x14ac:dyDescent="0.15"/>
  <cols>
    <col min="1" max="1" width="60.33203125" customWidth="1"/>
    <col min="2" max="256" width="8.83203125" customWidth="1"/>
  </cols>
  <sheetData>
    <row r="1" spans="1:9" x14ac:dyDescent="0.15">
      <c r="A1" s="3" t="s">
        <v>139</v>
      </c>
    </row>
    <row r="2" spans="1:9" x14ac:dyDescent="0.15">
      <c r="A2" s="3" t="s">
        <v>140</v>
      </c>
    </row>
    <row r="3" spans="1:9" x14ac:dyDescent="0.15">
      <c r="A3" s="3" t="s">
        <v>141</v>
      </c>
    </row>
    <row r="5" spans="1:9" ht="52.5" customHeight="1" x14ac:dyDescent="0.15">
      <c r="A5" s="89" t="s">
        <v>0</v>
      </c>
      <c r="B5" s="89"/>
      <c r="C5" s="89"/>
      <c r="D5" s="89"/>
      <c r="E5" s="89"/>
      <c r="F5" s="89"/>
      <c r="G5" s="89"/>
      <c r="H5" s="89"/>
      <c r="I5" s="89"/>
    </row>
  </sheetData>
  <mergeCells count="1">
    <mergeCell ref="A5:I5"/>
  </mergeCells>
  <phoneticPr fontId="2"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selection sqref="A1:D1"/>
    </sheetView>
  </sheetViews>
  <sheetFormatPr baseColWidth="10" defaultRowHeight="13" x14ac:dyDescent="0.15"/>
  <cols>
    <col min="1" max="1" width="21.6640625" customWidth="1"/>
    <col min="2" max="2" width="12.83203125" customWidth="1"/>
    <col min="3" max="3" width="12.1640625" customWidth="1"/>
    <col min="4" max="4" width="12.5" customWidth="1"/>
    <col min="5" max="256" width="8.83203125" customWidth="1"/>
  </cols>
  <sheetData>
    <row r="1" spans="1:4" x14ac:dyDescent="0.15">
      <c r="A1" s="90" t="s">
        <v>16</v>
      </c>
      <c r="B1" s="91"/>
      <c r="C1" s="91"/>
      <c r="D1" s="91"/>
    </row>
    <row r="3" spans="1:4" ht="15" x14ac:dyDescent="0.15">
      <c r="A3" s="9"/>
      <c r="B3" s="9" t="s">
        <v>137</v>
      </c>
      <c r="C3" s="9" t="s">
        <v>1</v>
      </c>
      <c r="D3" s="9" t="s">
        <v>2</v>
      </c>
    </row>
    <row r="4" spans="1:4" x14ac:dyDescent="0.15">
      <c r="A4" s="3"/>
    </row>
    <row r="5" spans="1:4" x14ac:dyDescent="0.15">
      <c r="A5" s="4" t="s">
        <v>3</v>
      </c>
    </row>
    <row r="6" spans="1:4" x14ac:dyDescent="0.15">
      <c r="A6" s="3" t="s">
        <v>4</v>
      </c>
      <c r="B6" s="32">
        <v>0.21099999999999999</v>
      </c>
      <c r="C6" s="32">
        <v>0.41</v>
      </c>
      <c r="D6" s="32">
        <v>0.21099999999999999</v>
      </c>
    </row>
    <row r="7" spans="1:4" x14ac:dyDescent="0.15">
      <c r="A7" s="3" t="s">
        <v>5</v>
      </c>
      <c r="B7" s="33">
        <v>17.100000000000001</v>
      </c>
      <c r="C7" s="33">
        <v>7.2</v>
      </c>
      <c r="D7" s="33">
        <v>20.5</v>
      </c>
    </row>
    <row r="8" spans="1:4" x14ac:dyDescent="0.15">
      <c r="A8" s="3" t="s">
        <v>6</v>
      </c>
      <c r="B8" s="34">
        <v>14</v>
      </c>
      <c r="C8" s="33">
        <v>34.6</v>
      </c>
      <c r="D8" s="33">
        <v>6.1</v>
      </c>
    </row>
    <row r="9" spans="1:4" x14ac:dyDescent="0.15">
      <c r="A9" s="3" t="s">
        <v>7</v>
      </c>
      <c r="B9" s="33">
        <v>13.3</v>
      </c>
      <c r="C9" s="33" t="s">
        <v>8</v>
      </c>
      <c r="D9" s="33">
        <v>17.7</v>
      </c>
    </row>
    <row r="10" spans="1:4" x14ac:dyDescent="0.15">
      <c r="A10" s="3" t="s">
        <v>9</v>
      </c>
      <c r="B10" s="33">
        <v>12.3</v>
      </c>
      <c r="C10" s="33">
        <v>8.8000000000000007</v>
      </c>
      <c r="D10" s="33">
        <v>12.4</v>
      </c>
    </row>
    <row r="11" spans="1:4" x14ac:dyDescent="0.15">
      <c r="A11" s="3" t="s">
        <v>10</v>
      </c>
      <c r="B11" s="33">
        <v>11.1</v>
      </c>
      <c r="C11" s="33">
        <v>3.8</v>
      </c>
      <c r="D11" s="33">
        <v>14.6</v>
      </c>
    </row>
    <row r="12" spans="1:4" x14ac:dyDescent="0.15">
      <c r="A12" s="3" t="s">
        <v>11</v>
      </c>
      <c r="B12" s="33">
        <v>5.9</v>
      </c>
      <c r="C12" s="33" t="s">
        <v>8</v>
      </c>
      <c r="D12" s="33">
        <v>7.5</v>
      </c>
    </row>
    <row r="13" spans="1:4" x14ac:dyDescent="0.15">
      <c r="A13" s="3"/>
      <c r="B13" s="33"/>
      <c r="C13" s="33"/>
      <c r="D13" s="33"/>
    </row>
    <row r="14" spans="1:4" x14ac:dyDescent="0.15">
      <c r="A14" s="10" t="s">
        <v>12</v>
      </c>
      <c r="B14" s="35">
        <v>25273</v>
      </c>
      <c r="C14" s="35">
        <v>7438</v>
      </c>
      <c r="D14" s="35">
        <v>14627</v>
      </c>
    </row>
    <row r="16" spans="1:4" x14ac:dyDescent="0.15">
      <c r="A16" s="92" t="s">
        <v>13</v>
      </c>
      <c r="B16" s="92"/>
      <c r="C16" s="92"/>
      <c r="D16" s="92"/>
    </row>
    <row r="17" spans="1:4" x14ac:dyDescent="0.15">
      <c r="A17" s="93" t="s">
        <v>14</v>
      </c>
      <c r="B17" s="92"/>
      <c r="C17" s="92"/>
      <c r="D17" s="92"/>
    </row>
    <row r="18" spans="1:4" x14ac:dyDescent="0.15">
      <c r="A18" s="93" t="s">
        <v>15</v>
      </c>
      <c r="B18" s="92"/>
      <c r="C18" s="92"/>
      <c r="D18" s="92"/>
    </row>
  </sheetData>
  <mergeCells count="4">
    <mergeCell ref="A1:D1"/>
    <mergeCell ref="A16:D16"/>
    <mergeCell ref="A17:D17"/>
    <mergeCell ref="A18:D18"/>
  </mergeCells>
  <phoneticPr fontId="2" type="noConversion"/>
  <pageMargins left="0.75" right="0.75" top="1" bottom="1" header="0.5" footer="0.5"/>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2"/>
  <sheetViews>
    <sheetView workbookViewId="0">
      <selection sqref="A1:N1"/>
    </sheetView>
  </sheetViews>
  <sheetFormatPr baseColWidth="10" defaultRowHeight="13" x14ac:dyDescent="0.15"/>
  <cols>
    <col min="1" max="1" width="27.5" customWidth="1"/>
    <col min="2" max="2" width="8.1640625" bestFit="1" customWidth="1"/>
    <col min="3" max="3" width="9.33203125" customWidth="1"/>
    <col min="4" max="4" width="8.5" bestFit="1" customWidth="1"/>
    <col min="5" max="7" width="8.5" customWidth="1"/>
    <col min="8" max="8" width="8" customWidth="1"/>
    <col min="9" max="9" width="8.1640625" customWidth="1"/>
    <col min="10" max="10" width="7.83203125" customWidth="1"/>
    <col min="11" max="11" width="8.1640625" customWidth="1"/>
    <col min="12" max="12" width="7.83203125" customWidth="1"/>
    <col min="13" max="13" width="8" customWidth="1"/>
    <col min="14" max="14" width="7.83203125" customWidth="1"/>
    <col min="15" max="256" width="8.83203125" customWidth="1"/>
  </cols>
  <sheetData>
    <row r="1" spans="1:14" x14ac:dyDescent="0.15">
      <c r="A1" s="90" t="s">
        <v>24</v>
      </c>
      <c r="B1" s="91"/>
      <c r="C1" s="91"/>
      <c r="D1" s="91"/>
      <c r="E1" s="91"/>
      <c r="F1" s="91"/>
      <c r="G1" s="91"/>
      <c r="H1" s="91"/>
      <c r="I1" s="91"/>
      <c r="J1" s="91"/>
      <c r="K1" s="91"/>
      <c r="L1" s="91"/>
      <c r="M1" s="91"/>
      <c r="N1" s="91"/>
    </row>
    <row r="2" spans="1:14" x14ac:dyDescent="0.15">
      <c r="A2" s="3"/>
    </row>
    <row r="3" spans="1:14" x14ac:dyDescent="0.15">
      <c r="A3" s="12"/>
      <c r="B3" s="16">
        <v>1991</v>
      </c>
      <c r="C3" s="16">
        <v>1992</v>
      </c>
      <c r="D3" s="16">
        <v>1993</v>
      </c>
      <c r="E3" s="16">
        <v>1994</v>
      </c>
      <c r="F3" s="16">
        <v>1995</v>
      </c>
      <c r="G3" s="16">
        <v>1996</v>
      </c>
      <c r="H3" s="16">
        <v>1997</v>
      </c>
      <c r="I3" s="16">
        <v>1998</v>
      </c>
      <c r="J3" s="16">
        <v>1999</v>
      </c>
      <c r="K3" s="16" t="s">
        <v>17</v>
      </c>
      <c r="L3" s="16" t="s">
        <v>18</v>
      </c>
      <c r="M3" s="16" t="s">
        <v>19</v>
      </c>
      <c r="N3" s="16" t="s">
        <v>20</v>
      </c>
    </row>
    <row r="4" spans="1:14" x14ac:dyDescent="0.15">
      <c r="A4" s="3"/>
    </row>
    <row r="5" spans="1:14" x14ac:dyDescent="0.15">
      <c r="A5" s="5" t="s">
        <v>21</v>
      </c>
      <c r="B5">
        <v>33.1</v>
      </c>
      <c r="C5">
        <v>38.4</v>
      </c>
      <c r="D5">
        <v>51.8</v>
      </c>
      <c r="E5" s="7">
        <v>69</v>
      </c>
      <c r="F5" s="7">
        <v>90</v>
      </c>
      <c r="G5" s="7">
        <v>106.8</v>
      </c>
      <c r="H5" s="7">
        <v>129.30000000000001</v>
      </c>
      <c r="I5" s="7">
        <v>143.6</v>
      </c>
      <c r="J5" s="7">
        <v>165.9</v>
      </c>
      <c r="K5" s="7">
        <v>187.8</v>
      </c>
      <c r="L5" s="7">
        <v>212.5</v>
      </c>
      <c r="M5" s="7">
        <v>238.1</v>
      </c>
      <c r="N5" s="7">
        <v>268.2</v>
      </c>
    </row>
    <row r="6" spans="1:14" x14ac:dyDescent="0.15">
      <c r="A6" s="11" t="s">
        <v>22</v>
      </c>
      <c r="C6" s="15">
        <v>0.16</v>
      </c>
      <c r="D6" s="15">
        <v>0.34899999999999998</v>
      </c>
      <c r="E6" s="15">
        <v>0.33200000000000002</v>
      </c>
      <c r="F6" s="15">
        <v>0.30399999999999999</v>
      </c>
      <c r="G6" s="15">
        <v>0.187</v>
      </c>
      <c r="H6" s="15">
        <v>0.21</v>
      </c>
      <c r="I6" s="15">
        <v>0.111</v>
      </c>
      <c r="J6" s="15">
        <v>0.155</v>
      </c>
      <c r="K6" s="15">
        <v>0.13200000000000001</v>
      </c>
      <c r="L6" s="15">
        <v>0.13100000000000001</v>
      </c>
      <c r="M6" s="15">
        <v>0.121</v>
      </c>
      <c r="N6" s="15">
        <v>0.126</v>
      </c>
    </row>
    <row r="7" spans="1:14" x14ac:dyDescent="0.15">
      <c r="A7" s="3"/>
    </row>
    <row r="8" spans="1:14" x14ac:dyDescent="0.15">
      <c r="A8" s="5" t="s">
        <v>23</v>
      </c>
      <c r="B8" s="1">
        <v>24300</v>
      </c>
      <c r="C8" s="1">
        <v>26200</v>
      </c>
      <c r="D8" s="1">
        <v>21730</v>
      </c>
      <c r="E8" s="1">
        <v>22966</v>
      </c>
      <c r="F8" s="1">
        <v>22991</v>
      </c>
      <c r="G8" s="1">
        <v>27596</v>
      </c>
      <c r="H8" s="1">
        <v>27340</v>
      </c>
      <c r="I8" s="1">
        <v>25483</v>
      </c>
      <c r="J8" s="1">
        <v>25273</v>
      </c>
      <c r="K8" s="1">
        <v>26640</v>
      </c>
      <c r="L8" s="1">
        <v>28409</v>
      </c>
      <c r="M8" s="1">
        <v>30450</v>
      </c>
      <c r="N8" s="1">
        <v>32699</v>
      </c>
    </row>
    <row r="9" spans="1:14" x14ac:dyDescent="0.15">
      <c r="A9" s="11" t="s">
        <v>22</v>
      </c>
      <c r="C9" s="15">
        <v>7.8E-2</v>
      </c>
      <c r="D9" s="15">
        <v>-0.17100000000000001</v>
      </c>
      <c r="E9" s="15">
        <v>5.7000000000000002E-2</v>
      </c>
      <c r="F9" s="15">
        <v>1E-3</v>
      </c>
      <c r="G9" s="15">
        <v>0.2</v>
      </c>
      <c r="H9" s="15">
        <v>-8.9999999999999993E-3</v>
      </c>
      <c r="I9" s="15">
        <v>-6.8000000000000005E-2</v>
      </c>
      <c r="J9" s="15">
        <v>-8.0000000000000002E-3</v>
      </c>
      <c r="K9" s="15">
        <v>5.3999999999999999E-2</v>
      </c>
      <c r="L9" s="15">
        <v>6.6000000000000003E-2</v>
      </c>
      <c r="M9" s="15">
        <v>7.1999999999999995E-2</v>
      </c>
      <c r="N9" s="15">
        <v>7.3999999999999996E-2</v>
      </c>
    </row>
    <row r="10" spans="1:14" x14ac:dyDescent="0.15">
      <c r="A10" s="13"/>
      <c r="B10" s="14"/>
      <c r="C10" s="14"/>
      <c r="D10" s="14"/>
      <c r="E10" s="14"/>
      <c r="F10" s="14"/>
      <c r="G10" s="14"/>
      <c r="H10" s="14"/>
      <c r="I10" s="14"/>
      <c r="J10" s="14"/>
      <c r="K10" s="14"/>
      <c r="L10" s="14"/>
      <c r="M10" s="14"/>
      <c r="N10" s="14"/>
    </row>
    <row r="11" spans="1:14" x14ac:dyDescent="0.15">
      <c r="A11" s="3"/>
    </row>
    <row r="12" spans="1:14" x14ac:dyDescent="0.15">
      <c r="A12" s="92" t="s">
        <v>25</v>
      </c>
      <c r="B12" s="92"/>
      <c r="C12" s="92"/>
      <c r="D12" s="92"/>
      <c r="E12" s="92"/>
      <c r="F12" s="92"/>
      <c r="G12" s="92"/>
      <c r="H12" s="92"/>
      <c r="I12" s="92"/>
      <c r="J12" s="92"/>
      <c r="K12" s="92"/>
      <c r="L12" s="92"/>
      <c r="M12" s="92"/>
      <c r="N12" s="92"/>
    </row>
  </sheetData>
  <mergeCells count="2">
    <mergeCell ref="A1:N1"/>
    <mergeCell ref="A12:N12"/>
  </mergeCells>
  <phoneticPr fontId="2" type="noConversion"/>
  <pageMargins left="0.05" right="0.05" top="0.5" bottom="0.5" header="0.5" footer="0.5"/>
  <pageSetup orientation="landscape"/>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39"/>
  <sheetViews>
    <sheetView workbookViewId="0">
      <selection sqref="A1:T1"/>
    </sheetView>
  </sheetViews>
  <sheetFormatPr baseColWidth="10" defaultRowHeight="13" x14ac:dyDescent="0.15"/>
  <cols>
    <col min="1" max="1" width="26.5" customWidth="1"/>
    <col min="2" max="256" width="8.83203125" customWidth="1"/>
  </cols>
  <sheetData>
    <row r="1" spans="1:20" x14ac:dyDescent="0.15">
      <c r="A1" s="90" t="s">
        <v>46</v>
      </c>
      <c r="B1" s="91"/>
      <c r="C1" s="91"/>
      <c r="D1" s="91"/>
      <c r="E1" s="91"/>
      <c r="F1" s="91"/>
      <c r="G1" s="91"/>
      <c r="H1" s="91"/>
      <c r="I1" s="91"/>
      <c r="J1" s="91"/>
      <c r="K1" s="91"/>
      <c r="L1" s="91"/>
      <c r="M1" s="91"/>
      <c r="N1" s="91"/>
      <c r="O1" s="91"/>
      <c r="P1" s="91"/>
      <c r="Q1" s="91"/>
      <c r="R1" s="91"/>
      <c r="S1" s="91"/>
      <c r="T1" s="91"/>
    </row>
    <row r="2" spans="1:20" x14ac:dyDescent="0.15">
      <c r="A2" s="3"/>
    </row>
    <row r="3" spans="1:20" x14ac:dyDescent="0.15">
      <c r="A3" s="12"/>
      <c r="B3" s="16">
        <v>1981</v>
      </c>
      <c r="C3" s="16">
        <v>1982</v>
      </c>
      <c r="D3" s="16">
        <v>1983</v>
      </c>
      <c r="E3" s="16">
        <v>1984</v>
      </c>
      <c r="F3" s="16">
        <v>1985</v>
      </c>
      <c r="G3" s="16">
        <v>1986</v>
      </c>
      <c r="H3" s="16">
        <v>1987</v>
      </c>
      <c r="I3" s="16">
        <v>1988</v>
      </c>
      <c r="J3" s="16">
        <v>1989</v>
      </c>
      <c r="K3" s="16">
        <v>1990</v>
      </c>
      <c r="L3" s="16">
        <v>1991</v>
      </c>
      <c r="M3" s="16">
        <v>1992</v>
      </c>
      <c r="N3" s="16">
        <v>1993</v>
      </c>
      <c r="O3" s="16">
        <v>1994</v>
      </c>
      <c r="P3" s="16">
        <v>1995</v>
      </c>
      <c r="Q3" s="16">
        <v>1996</v>
      </c>
      <c r="R3" s="16">
        <v>1997</v>
      </c>
      <c r="S3" s="16">
        <v>1998</v>
      </c>
      <c r="T3" s="16">
        <v>1999</v>
      </c>
    </row>
    <row r="4" spans="1:20" x14ac:dyDescent="0.15">
      <c r="A4" s="3"/>
    </row>
    <row r="5" spans="1:20" x14ac:dyDescent="0.15">
      <c r="A5" s="5" t="s">
        <v>4</v>
      </c>
    </row>
    <row r="6" spans="1:20" x14ac:dyDescent="0.15">
      <c r="A6" s="3"/>
    </row>
    <row r="7" spans="1:20" x14ac:dyDescent="0.15">
      <c r="A7" s="3" t="s">
        <v>26</v>
      </c>
      <c r="B7">
        <v>9.7899999999999991</v>
      </c>
      <c r="C7">
        <v>40.450000000000003</v>
      </c>
      <c r="D7">
        <v>110.41</v>
      </c>
      <c r="E7" s="36">
        <v>343.9</v>
      </c>
      <c r="F7">
        <v>214.65</v>
      </c>
      <c r="G7">
        <v>459.84</v>
      </c>
      <c r="H7">
        <v>958.07</v>
      </c>
      <c r="I7" s="17">
        <v>1265.97</v>
      </c>
      <c r="J7" s="17">
        <v>1371.57</v>
      </c>
      <c r="K7" s="17">
        <v>2413.1799999999998</v>
      </c>
      <c r="L7" s="17">
        <v>2676.98</v>
      </c>
      <c r="M7" s="17">
        <v>2875.27</v>
      </c>
      <c r="N7" s="17">
        <v>3043.6</v>
      </c>
      <c r="O7" s="17">
        <v>3500.1</v>
      </c>
      <c r="P7" s="17">
        <v>4539.57</v>
      </c>
      <c r="Q7" s="17">
        <v>8588.35</v>
      </c>
      <c r="R7" s="17">
        <v>8940.02</v>
      </c>
      <c r="S7" s="17">
        <v>6819</v>
      </c>
      <c r="T7" s="17">
        <v>6802</v>
      </c>
    </row>
    <row r="8" spans="1:20" x14ac:dyDescent="0.15">
      <c r="A8" s="4" t="s">
        <v>27</v>
      </c>
      <c r="B8" s="19"/>
      <c r="C8" s="15">
        <v>3.1320000000000001</v>
      </c>
      <c r="D8" s="15">
        <v>1.73</v>
      </c>
      <c r="E8" s="15">
        <v>2.1150000000000002</v>
      </c>
      <c r="F8" s="15">
        <v>-0.376</v>
      </c>
      <c r="G8" s="15">
        <v>1.1419999999999999</v>
      </c>
      <c r="H8" s="15">
        <v>1.083</v>
      </c>
      <c r="I8" s="15">
        <v>0.32100000000000001</v>
      </c>
      <c r="J8" s="15">
        <v>8.3000000000000004E-2</v>
      </c>
      <c r="K8" s="15">
        <v>0.75900000000000001</v>
      </c>
      <c r="L8" s="15">
        <v>0.109</v>
      </c>
      <c r="M8" s="15">
        <v>7.3999999999999996E-2</v>
      </c>
      <c r="N8" s="15">
        <v>5.8999999999999997E-2</v>
      </c>
      <c r="O8" s="15">
        <v>0.15</v>
      </c>
      <c r="P8" s="15">
        <v>0.29699999999999999</v>
      </c>
      <c r="Q8" s="15">
        <v>0.89200000000000002</v>
      </c>
      <c r="R8" s="15">
        <v>4.1000000000000002E-2</v>
      </c>
      <c r="S8" s="15">
        <v>-0.23699999999999999</v>
      </c>
      <c r="T8" s="15">
        <v>-2E-3</v>
      </c>
    </row>
    <row r="9" spans="1:20" x14ac:dyDescent="0.15">
      <c r="A9" s="3"/>
    </row>
    <row r="10" spans="1:20" x14ac:dyDescent="0.15">
      <c r="A10" s="3" t="s">
        <v>28</v>
      </c>
      <c r="B10">
        <v>0.87</v>
      </c>
      <c r="C10" s="36">
        <v>10.7</v>
      </c>
      <c r="D10">
        <v>18.82</v>
      </c>
      <c r="E10">
        <v>63.51</v>
      </c>
      <c r="F10">
        <v>7.0000000000000007E-2</v>
      </c>
      <c r="G10">
        <v>58.34</v>
      </c>
      <c r="H10">
        <v>208.24</v>
      </c>
      <c r="I10">
        <v>150.77000000000001</v>
      </c>
      <c r="J10">
        <v>90.97</v>
      </c>
      <c r="K10">
        <v>297.24</v>
      </c>
      <c r="L10">
        <v>255.57</v>
      </c>
      <c r="M10">
        <v>309.04000000000002</v>
      </c>
      <c r="N10">
        <v>439.05</v>
      </c>
      <c r="O10">
        <v>449.17</v>
      </c>
      <c r="P10">
        <v>629.85</v>
      </c>
      <c r="Q10" s="17">
        <v>1004.53</v>
      </c>
      <c r="R10" s="17">
        <v>1521.03</v>
      </c>
      <c r="S10" s="36">
        <v>451</v>
      </c>
      <c r="T10" s="36">
        <v>1011</v>
      </c>
    </row>
    <row r="11" spans="1:20" x14ac:dyDescent="0.15">
      <c r="A11" s="4" t="s">
        <v>29</v>
      </c>
      <c r="B11" s="15">
        <v>8.8999999999999996E-2</v>
      </c>
      <c r="C11" s="15">
        <v>0.26500000000000001</v>
      </c>
      <c r="D11" s="15">
        <v>0.17</v>
      </c>
      <c r="E11" s="15">
        <v>0.185</v>
      </c>
      <c r="F11" s="15">
        <v>0</v>
      </c>
      <c r="G11" s="15">
        <v>0.127</v>
      </c>
      <c r="H11" s="15">
        <v>0.217</v>
      </c>
      <c r="I11" s="15">
        <v>0.11899999999999999</v>
      </c>
      <c r="J11" s="15">
        <v>6.6000000000000003E-2</v>
      </c>
      <c r="K11" s="15">
        <v>0.123</v>
      </c>
      <c r="L11" s="15">
        <v>9.5000000000000001E-2</v>
      </c>
      <c r="M11" s="15">
        <v>0.107</v>
      </c>
      <c r="N11" s="15">
        <v>0.14399999999999999</v>
      </c>
      <c r="O11" s="15">
        <v>0.128</v>
      </c>
      <c r="P11" s="15">
        <v>0.13900000000000001</v>
      </c>
      <c r="Q11" s="15">
        <v>0.11700000000000001</v>
      </c>
      <c r="R11" s="15">
        <v>0.17</v>
      </c>
      <c r="S11" s="15">
        <v>6.6000000000000003E-2</v>
      </c>
      <c r="T11" s="15">
        <v>0.14899999999999999</v>
      </c>
    </row>
    <row r="12" spans="1:20" x14ac:dyDescent="0.15">
      <c r="A12" s="3"/>
    </row>
    <row r="13" spans="1:20" x14ac:dyDescent="0.15">
      <c r="A13" s="3" t="s">
        <v>30</v>
      </c>
      <c r="B13">
        <v>0.65</v>
      </c>
      <c r="C13">
        <v>9.89</v>
      </c>
      <c r="D13">
        <v>16.16</v>
      </c>
      <c r="E13">
        <v>55.72</v>
      </c>
      <c r="F13">
        <v>-12.01</v>
      </c>
      <c r="G13">
        <v>39.18</v>
      </c>
      <c r="H13">
        <v>180.63</v>
      </c>
      <c r="I13" s="36">
        <v>100.4</v>
      </c>
      <c r="J13">
        <v>12.96</v>
      </c>
      <c r="K13">
        <v>179.32</v>
      </c>
      <c r="L13">
        <v>117.31</v>
      </c>
      <c r="M13">
        <v>139.91</v>
      </c>
      <c r="N13">
        <v>284.02999999999997</v>
      </c>
      <c r="O13">
        <v>310.95999999999998</v>
      </c>
      <c r="P13">
        <v>442.98</v>
      </c>
      <c r="Q13">
        <v>627.38</v>
      </c>
      <c r="R13" s="17">
        <v>1019.83</v>
      </c>
      <c r="S13" s="36">
        <v>-138</v>
      </c>
      <c r="T13" s="36">
        <v>398</v>
      </c>
    </row>
    <row r="14" spans="1:20" x14ac:dyDescent="0.15">
      <c r="A14" s="4" t="s">
        <v>29</v>
      </c>
      <c r="B14" s="15">
        <v>6.6000000000000003E-2</v>
      </c>
      <c r="C14" s="15">
        <v>0.24399999999999999</v>
      </c>
      <c r="D14" s="15">
        <v>0.14599999999999999</v>
      </c>
      <c r="E14" s="15">
        <v>0.16200000000000001</v>
      </c>
      <c r="F14" s="15">
        <v>-5.6000000000000001E-2</v>
      </c>
      <c r="G14" s="15">
        <v>8.5000000000000006E-2</v>
      </c>
      <c r="H14" s="15">
        <v>0.189</v>
      </c>
      <c r="I14" s="15">
        <v>7.9000000000000001E-2</v>
      </c>
      <c r="J14" s="15">
        <v>8.9999999999999993E-3</v>
      </c>
      <c r="K14" s="15">
        <v>7.3999999999999996E-2</v>
      </c>
      <c r="L14" s="15">
        <v>4.3999999999999997E-2</v>
      </c>
      <c r="M14" s="15">
        <v>4.9000000000000002E-2</v>
      </c>
      <c r="N14" s="15">
        <v>9.2999999999999999E-2</v>
      </c>
      <c r="O14" s="15">
        <v>8.8999999999999996E-2</v>
      </c>
      <c r="P14" s="15">
        <v>9.8000000000000004E-2</v>
      </c>
      <c r="Q14" s="15">
        <v>7.2999999999999995E-2</v>
      </c>
      <c r="R14" s="15">
        <v>0.114</v>
      </c>
      <c r="S14" s="15">
        <v>-0.02</v>
      </c>
      <c r="T14" s="15">
        <v>5.8999999999999997E-2</v>
      </c>
    </row>
    <row r="15" spans="1:20" x14ac:dyDescent="0.15">
      <c r="A15" s="3"/>
    </row>
    <row r="16" spans="1:20" x14ac:dyDescent="0.15">
      <c r="A16" s="3" t="s">
        <v>31</v>
      </c>
      <c r="B16">
        <v>9.4700000000000006</v>
      </c>
      <c r="C16">
        <v>43.47</v>
      </c>
      <c r="D16">
        <v>157.25</v>
      </c>
      <c r="E16">
        <v>214.72</v>
      </c>
      <c r="F16">
        <v>275.23</v>
      </c>
      <c r="G16">
        <v>305.08</v>
      </c>
      <c r="H16">
        <v>814.12</v>
      </c>
      <c r="I16" s="17">
        <v>1093.95</v>
      </c>
      <c r="J16" s="17">
        <v>1076.77</v>
      </c>
      <c r="K16" s="17">
        <v>1851.46</v>
      </c>
      <c r="L16" s="17">
        <v>1880.06</v>
      </c>
      <c r="M16" s="17">
        <v>1816.6</v>
      </c>
      <c r="N16" s="17">
        <v>2031.19</v>
      </c>
      <c r="O16" s="17">
        <v>2877.53</v>
      </c>
      <c r="P16" s="17">
        <v>3361.26</v>
      </c>
      <c r="Q16" s="17">
        <v>5239.6400000000003</v>
      </c>
      <c r="R16" s="17">
        <v>6722.88</v>
      </c>
      <c r="S16" s="17">
        <v>5645</v>
      </c>
      <c r="T16" s="17">
        <v>7072</v>
      </c>
    </row>
    <row r="17" spans="1:20" x14ac:dyDescent="0.15">
      <c r="A17" s="3" t="s">
        <v>32</v>
      </c>
      <c r="B17" s="20">
        <v>0.22</v>
      </c>
      <c r="C17" s="20">
        <v>0.81</v>
      </c>
      <c r="D17" s="20">
        <v>2.65</v>
      </c>
      <c r="E17" s="20">
        <v>7.8</v>
      </c>
      <c r="F17" s="20">
        <v>12.08</v>
      </c>
      <c r="G17" s="20">
        <v>19.170000000000002</v>
      </c>
      <c r="H17" s="20">
        <v>27.6</v>
      </c>
      <c r="I17" s="20">
        <v>50.37</v>
      </c>
      <c r="J17" s="20">
        <v>78.02</v>
      </c>
      <c r="K17" s="20">
        <v>117.91</v>
      </c>
      <c r="L17" s="20">
        <v>138.26</v>
      </c>
      <c r="M17" s="20">
        <v>169.13</v>
      </c>
      <c r="N17" s="20">
        <v>155.02000000000001</v>
      </c>
      <c r="O17" s="20">
        <v>138.21</v>
      </c>
      <c r="P17" s="20">
        <v>186.86</v>
      </c>
      <c r="Q17" s="20">
        <v>377.15</v>
      </c>
      <c r="R17" s="20">
        <v>501.2</v>
      </c>
      <c r="S17" s="20">
        <v>589</v>
      </c>
      <c r="T17" s="20">
        <v>613</v>
      </c>
    </row>
    <row r="18" spans="1:20" x14ac:dyDescent="0.15">
      <c r="A18" s="3" t="s">
        <v>33</v>
      </c>
      <c r="B18" s="20">
        <v>2.4500000000000002</v>
      </c>
      <c r="C18" s="20">
        <v>5.04</v>
      </c>
      <c r="D18" s="20">
        <v>38.83</v>
      </c>
      <c r="E18" s="20">
        <v>42.66</v>
      </c>
      <c r="F18" s="20">
        <v>31.22</v>
      </c>
      <c r="G18" s="20">
        <v>38.68</v>
      </c>
      <c r="H18" s="20">
        <v>78.400000000000006</v>
      </c>
      <c r="I18" s="20">
        <v>284.41000000000003</v>
      </c>
      <c r="J18" s="20">
        <v>78.09</v>
      </c>
      <c r="K18" s="20">
        <v>102.38</v>
      </c>
      <c r="L18" s="20">
        <v>90.87</v>
      </c>
      <c r="M18" s="20">
        <v>90.66</v>
      </c>
      <c r="N18" s="20">
        <v>173.57</v>
      </c>
      <c r="O18" s="20">
        <v>197.68</v>
      </c>
      <c r="P18" s="20">
        <v>353.43</v>
      </c>
      <c r="Q18" s="20">
        <v>906.94</v>
      </c>
      <c r="R18" s="20">
        <v>890.46</v>
      </c>
      <c r="S18" s="20">
        <v>709</v>
      </c>
      <c r="T18" s="20">
        <v>603</v>
      </c>
    </row>
    <row r="19" spans="1:20" x14ac:dyDescent="0.15">
      <c r="A19" s="3"/>
    </row>
    <row r="20" spans="1:20" x14ac:dyDescent="0.15">
      <c r="A20" s="3" t="s">
        <v>34</v>
      </c>
      <c r="B20" s="18">
        <v>0.19</v>
      </c>
      <c r="C20" s="18">
        <v>0.01</v>
      </c>
      <c r="D20" s="18">
        <v>0.05</v>
      </c>
      <c r="E20" s="18">
        <v>0.05</v>
      </c>
      <c r="F20" s="18">
        <v>0.13</v>
      </c>
      <c r="G20" s="18">
        <v>0.05</v>
      </c>
      <c r="H20" s="18">
        <v>0.37</v>
      </c>
      <c r="I20" s="18">
        <v>0.28000000000000003</v>
      </c>
      <c r="J20" s="18">
        <v>0.28999999999999998</v>
      </c>
      <c r="K20" s="18">
        <v>0.31</v>
      </c>
      <c r="L20" s="18">
        <v>0.23</v>
      </c>
      <c r="M20" s="18">
        <v>0.18</v>
      </c>
      <c r="N20" s="18">
        <v>0.14000000000000001</v>
      </c>
      <c r="O20" s="18">
        <v>0.19</v>
      </c>
      <c r="P20" s="18">
        <v>0.16</v>
      </c>
      <c r="Q20" s="18">
        <v>0.15</v>
      </c>
      <c r="R20" s="18">
        <v>0.1</v>
      </c>
      <c r="S20" s="18">
        <v>0.12</v>
      </c>
      <c r="T20" s="18">
        <v>0.1</v>
      </c>
    </row>
    <row r="21" spans="1:20" x14ac:dyDescent="0.15">
      <c r="A21" s="3" t="s">
        <v>35</v>
      </c>
      <c r="B21" t="s">
        <v>36</v>
      </c>
      <c r="C21" s="18">
        <v>0</v>
      </c>
      <c r="D21" s="18">
        <v>0.01</v>
      </c>
      <c r="E21" s="18">
        <v>0.02</v>
      </c>
      <c r="F21" s="18">
        <v>0.09</v>
      </c>
      <c r="G21" s="18">
        <v>0.02</v>
      </c>
      <c r="H21" s="18">
        <v>0.14000000000000001</v>
      </c>
      <c r="I21" s="18">
        <v>0.2</v>
      </c>
      <c r="J21" s="18">
        <v>0.24</v>
      </c>
      <c r="K21" s="18">
        <v>0.28000000000000003</v>
      </c>
      <c r="L21" s="18">
        <v>0.27</v>
      </c>
      <c r="M21" s="18">
        <v>0.16</v>
      </c>
      <c r="N21" s="18">
        <v>0.14000000000000001</v>
      </c>
      <c r="O21" s="18">
        <v>0.18</v>
      </c>
      <c r="P21" s="18">
        <v>0.12</v>
      </c>
      <c r="Q21" s="18">
        <v>0.11</v>
      </c>
      <c r="R21" s="18">
        <v>0.06</v>
      </c>
      <c r="S21" s="18">
        <v>0.08</v>
      </c>
      <c r="T21" s="18">
        <v>0.08</v>
      </c>
    </row>
    <row r="22" spans="1:20" x14ac:dyDescent="0.15">
      <c r="A22" s="3" t="s">
        <v>37</v>
      </c>
      <c r="B22" s="18">
        <v>0.18</v>
      </c>
      <c r="C22" s="18">
        <v>-0.27</v>
      </c>
      <c r="D22" s="18">
        <v>-0.1</v>
      </c>
      <c r="E22" s="18">
        <v>-0.02</v>
      </c>
      <c r="F22" s="18">
        <v>0.11</v>
      </c>
      <c r="G22" s="18">
        <v>-0.1</v>
      </c>
      <c r="H22" s="18">
        <v>-0.11</v>
      </c>
      <c r="I22" s="18">
        <v>0.2</v>
      </c>
      <c r="J22" s="18">
        <v>0.11</v>
      </c>
      <c r="K22" s="18">
        <v>0.17</v>
      </c>
      <c r="L22" s="18">
        <v>0.09</v>
      </c>
      <c r="M22" s="18">
        <v>-0.1</v>
      </c>
      <c r="N22" s="18">
        <v>-0.17</v>
      </c>
      <c r="O22" s="18">
        <v>-0.27</v>
      </c>
      <c r="P22" s="18">
        <v>-0.21</v>
      </c>
      <c r="Q22" s="18">
        <v>-7.0000000000000007E-2</v>
      </c>
      <c r="R22" s="18">
        <v>-0.24</v>
      </c>
      <c r="S22" s="18">
        <v>-0.2</v>
      </c>
      <c r="T22" s="18">
        <v>-0.13</v>
      </c>
    </row>
    <row r="23" spans="1:20" x14ac:dyDescent="0.15">
      <c r="A23" s="3" t="s">
        <v>38</v>
      </c>
      <c r="B23" t="s">
        <v>36</v>
      </c>
      <c r="C23" s="18">
        <v>-0.06</v>
      </c>
      <c r="D23" s="18">
        <v>-0.02</v>
      </c>
      <c r="E23" s="18">
        <v>-0.01</v>
      </c>
      <c r="F23" s="18">
        <v>7.0000000000000007E-2</v>
      </c>
      <c r="G23" s="18">
        <v>-0.05</v>
      </c>
      <c r="H23" s="18">
        <v>-0.04</v>
      </c>
      <c r="I23" s="18">
        <v>0.14000000000000001</v>
      </c>
      <c r="J23" s="18">
        <v>0.09</v>
      </c>
      <c r="K23" s="18">
        <v>0.15</v>
      </c>
      <c r="L23" s="18">
        <v>0.11</v>
      </c>
      <c r="M23" s="18">
        <v>-0.09</v>
      </c>
      <c r="N23" s="18">
        <v>-0.17</v>
      </c>
      <c r="O23" s="18">
        <v>-0.26</v>
      </c>
      <c r="P23" s="18">
        <v>-0.15</v>
      </c>
      <c r="Q23" s="18">
        <v>-0.05</v>
      </c>
      <c r="R23" s="18">
        <v>-0.13</v>
      </c>
      <c r="S23" s="18">
        <v>-0.13</v>
      </c>
      <c r="T23" s="18">
        <v>-0.1</v>
      </c>
    </row>
    <row r="24" spans="1:20" x14ac:dyDescent="0.15">
      <c r="A24" s="3" t="s">
        <v>39</v>
      </c>
      <c r="B24">
        <v>10.119999999999999</v>
      </c>
      <c r="C24">
        <v>57.84</v>
      </c>
      <c r="D24">
        <v>47.05</v>
      </c>
      <c r="E24">
        <v>73.510000000000005</v>
      </c>
      <c r="F24">
        <v>0.04</v>
      </c>
      <c r="G24">
        <v>20.260000000000002</v>
      </c>
      <c r="H24">
        <v>41.01</v>
      </c>
      <c r="I24">
        <v>6.88</v>
      </c>
      <c r="J24">
        <v>3.77</v>
      </c>
      <c r="K24" s="36">
        <v>6.1</v>
      </c>
      <c r="L24">
        <v>6.01</v>
      </c>
      <c r="M24">
        <v>9.09</v>
      </c>
      <c r="N24">
        <v>18.670000000000002</v>
      </c>
      <c r="O24">
        <v>17.05</v>
      </c>
      <c r="P24">
        <v>19.11</v>
      </c>
      <c r="Q24">
        <v>17.989999999999998</v>
      </c>
      <c r="R24">
        <v>43.66</v>
      </c>
      <c r="S24">
        <v>8.84</v>
      </c>
      <c r="T24">
        <v>20.25</v>
      </c>
    </row>
    <row r="25" spans="1:20" x14ac:dyDescent="0.15">
      <c r="A25" s="3" t="s">
        <v>40</v>
      </c>
      <c r="B25">
        <v>7.56</v>
      </c>
      <c r="C25">
        <v>53.46</v>
      </c>
      <c r="D25" s="36">
        <v>40.4</v>
      </c>
      <c r="E25">
        <v>64.489999999999995</v>
      </c>
      <c r="F25">
        <v>-6.84</v>
      </c>
      <c r="G25">
        <v>13.61</v>
      </c>
      <c r="H25">
        <v>35.57</v>
      </c>
      <c r="I25">
        <v>4.58</v>
      </c>
      <c r="J25">
        <v>0.54</v>
      </c>
      <c r="K25">
        <v>3.68</v>
      </c>
      <c r="L25">
        <v>2.76</v>
      </c>
      <c r="M25">
        <v>4.1100000000000003</v>
      </c>
      <c r="N25">
        <v>12.08</v>
      </c>
      <c r="O25">
        <v>11.81</v>
      </c>
      <c r="P25">
        <v>13.44</v>
      </c>
      <c r="Q25">
        <v>11.24</v>
      </c>
      <c r="R25">
        <v>29.27</v>
      </c>
      <c r="S25">
        <v>-2.71</v>
      </c>
      <c r="T25">
        <v>8.2899999999999991</v>
      </c>
    </row>
    <row r="26" spans="1:20" x14ac:dyDescent="0.15">
      <c r="A26" s="3"/>
    </row>
    <row r="27" spans="1:20" x14ac:dyDescent="0.15">
      <c r="A27" s="5" t="s">
        <v>41</v>
      </c>
    </row>
    <row r="28" spans="1:20" x14ac:dyDescent="0.15">
      <c r="A28" s="3"/>
    </row>
    <row r="29" spans="1:20" x14ac:dyDescent="0.15">
      <c r="A29" s="3" t="s">
        <v>42</v>
      </c>
      <c r="B29" s="6">
        <v>8.8999999999999996E-2</v>
      </c>
      <c r="C29" s="6">
        <v>6.2E-2</v>
      </c>
      <c r="D29" s="6">
        <v>7.2999999999999995E-2</v>
      </c>
      <c r="E29" s="6">
        <v>7.0000000000000001E-3</v>
      </c>
      <c r="F29" s="6">
        <v>-4.3999999999999997E-2</v>
      </c>
      <c r="G29" s="6">
        <v>8.5999999999999993E-2</v>
      </c>
      <c r="H29" s="6">
        <v>7.8E-2</v>
      </c>
      <c r="I29" s="6">
        <v>6.2E-2</v>
      </c>
      <c r="J29" s="6">
        <v>7.2999999999999995E-2</v>
      </c>
      <c r="K29" s="6">
        <v>9.6000000000000002E-2</v>
      </c>
      <c r="L29" s="6">
        <v>8.5999999999999993E-2</v>
      </c>
      <c r="M29" s="6">
        <v>8.8999999999999996E-2</v>
      </c>
      <c r="N29" s="6">
        <v>3.9E-2</v>
      </c>
      <c r="O29" s="6">
        <v>2.5000000000000001E-2</v>
      </c>
      <c r="P29" s="6">
        <v>4.7E-2</v>
      </c>
      <c r="Q29" s="6">
        <v>7.0000000000000007E-2</v>
      </c>
      <c r="R29" s="6">
        <v>9.2999999999999999E-2</v>
      </c>
      <c r="S29" s="6">
        <v>5.6000000000000001E-2</v>
      </c>
      <c r="T29" s="6">
        <v>6.0999999999999999E-2</v>
      </c>
    </row>
    <row r="30" spans="1:20" x14ac:dyDescent="0.15">
      <c r="A30" s="3" t="s">
        <v>43</v>
      </c>
      <c r="B30" s="6">
        <v>5.3999999999999999E-2</v>
      </c>
      <c r="C30" s="6">
        <v>3.2000000000000001E-2</v>
      </c>
      <c r="D30" s="6">
        <v>3.4000000000000002E-2</v>
      </c>
      <c r="E30" s="6">
        <v>-3.5000000000000003E-2</v>
      </c>
      <c r="F30" s="6">
        <v>-0.10299999999999999</v>
      </c>
      <c r="G30" s="6">
        <v>5.2999999999999999E-2</v>
      </c>
      <c r="H30" s="6">
        <v>4.4999999999999998E-2</v>
      </c>
      <c r="I30" s="6">
        <v>2.3E-2</v>
      </c>
      <c r="J30" s="6">
        <v>5.2999999999999999E-2</v>
      </c>
      <c r="K30" s="6">
        <v>5.8999999999999997E-2</v>
      </c>
      <c r="L30" s="6">
        <v>4.2999999999999997E-2</v>
      </c>
      <c r="M30" s="6">
        <v>5.8999999999999997E-2</v>
      </c>
      <c r="N30" s="6">
        <v>-3.0000000000000001E-3</v>
      </c>
      <c r="O30" s="6">
        <v>-2.4E-2</v>
      </c>
      <c r="P30" s="6">
        <v>1.9E-2</v>
      </c>
      <c r="Q30" s="6">
        <v>3.9E-2</v>
      </c>
      <c r="R30" s="6">
        <v>7.4999999999999997E-2</v>
      </c>
      <c r="S30" s="6">
        <v>-1.4E-2</v>
      </c>
      <c r="T30" s="6">
        <v>1.0999999999999999E-2</v>
      </c>
    </row>
    <row r="31" spans="1:20" x14ac:dyDescent="0.15">
      <c r="A31" s="3" t="s">
        <v>34</v>
      </c>
      <c r="B31" s="18">
        <v>0.19</v>
      </c>
      <c r="C31" s="18">
        <v>0.09</v>
      </c>
      <c r="D31" s="18">
        <v>0.05</v>
      </c>
      <c r="E31" s="18">
        <v>0.12</v>
      </c>
      <c r="F31" s="18">
        <v>0.19</v>
      </c>
      <c r="G31" s="18">
        <v>0.13</v>
      </c>
      <c r="H31" s="18">
        <v>0.16</v>
      </c>
      <c r="I31" s="18">
        <v>0.12</v>
      </c>
      <c r="J31" s="18">
        <v>0.13</v>
      </c>
      <c r="K31" s="18">
        <v>0.1</v>
      </c>
      <c r="L31" s="18">
        <v>0.13</v>
      </c>
      <c r="M31" s="18">
        <v>0.16</v>
      </c>
      <c r="N31" s="18">
        <v>0.19</v>
      </c>
      <c r="O31" s="18">
        <v>0.12</v>
      </c>
      <c r="P31" s="18">
        <v>0.1</v>
      </c>
      <c r="Q31" s="18">
        <v>0.13</v>
      </c>
      <c r="R31" s="18">
        <v>0.06</v>
      </c>
      <c r="S31" s="18">
        <v>0.14000000000000001</v>
      </c>
      <c r="T31" s="18">
        <v>0.09</v>
      </c>
    </row>
    <row r="32" spans="1:20" x14ac:dyDescent="0.15">
      <c r="A32" s="3" t="s">
        <v>35</v>
      </c>
      <c r="B32" s="18">
        <v>7.0000000000000007E-2</v>
      </c>
      <c r="C32" s="18">
        <v>0.04</v>
      </c>
      <c r="D32" s="18">
        <v>0.01</v>
      </c>
      <c r="E32" s="18">
        <v>0.05</v>
      </c>
      <c r="F32" s="18">
        <v>7.0000000000000007E-2</v>
      </c>
      <c r="G32" s="18">
        <v>0.05</v>
      </c>
      <c r="H32" s="18">
        <v>7.0000000000000007E-2</v>
      </c>
      <c r="I32" s="18">
        <v>0.08</v>
      </c>
      <c r="J32" s="18">
        <v>0.08</v>
      </c>
      <c r="K32" s="18">
        <v>0.09</v>
      </c>
      <c r="L32" s="18">
        <v>0.08</v>
      </c>
      <c r="M32" s="18">
        <v>0.16</v>
      </c>
      <c r="N32" s="18">
        <v>0.13</v>
      </c>
      <c r="O32" s="18">
        <v>7.0000000000000007E-2</v>
      </c>
      <c r="P32" s="18">
        <v>0.03</v>
      </c>
      <c r="Q32" s="18">
        <v>0.04</v>
      </c>
      <c r="R32" s="18">
        <v>0.01</v>
      </c>
      <c r="S32" s="18">
        <v>7.0000000000000007E-2</v>
      </c>
      <c r="T32" s="18">
        <v>0.04</v>
      </c>
    </row>
    <row r="33" spans="1:20" x14ac:dyDescent="0.15">
      <c r="A33" s="3" t="s">
        <v>37</v>
      </c>
      <c r="B33" s="18">
        <v>0.09</v>
      </c>
      <c r="C33" s="18">
        <v>-0.05</v>
      </c>
      <c r="D33" s="18">
        <v>-0.12</v>
      </c>
      <c r="E33" s="18">
        <v>-0.06</v>
      </c>
      <c r="F33" s="18">
        <v>-0.05</v>
      </c>
      <c r="G33" s="18">
        <v>-7.0000000000000007E-2</v>
      </c>
      <c r="H33" s="18">
        <v>-0.11</v>
      </c>
      <c r="I33" s="18">
        <v>0</v>
      </c>
      <c r="J33" s="18">
        <v>-0.05</v>
      </c>
      <c r="K33" s="18">
        <v>-7.0000000000000007E-2</v>
      </c>
      <c r="L33" s="18">
        <v>0.02</v>
      </c>
      <c r="M33" s="18">
        <v>-0.01</v>
      </c>
      <c r="N33" s="18">
        <v>-0.09</v>
      </c>
      <c r="O33" s="18">
        <v>-0.04</v>
      </c>
      <c r="P33" s="18">
        <v>-0.08</v>
      </c>
      <c r="Q33" s="18">
        <v>-0.06</v>
      </c>
      <c r="R33" s="18">
        <v>-0.21</v>
      </c>
      <c r="S33" s="18">
        <v>-0.09</v>
      </c>
      <c r="T33" s="18">
        <v>-0.23</v>
      </c>
    </row>
    <row r="34" spans="1:20" x14ac:dyDescent="0.15">
      <c r="A34" s="3" t="s">
        <v>44</v>
      </c>
      <c r="B34" s="18">
        <v>0</v>
      </c>
      <c r="C34" s="18">
        <v>-0.02</v>
      </c>
      <c r="D34" s="18">
        <v>-0.06</v>
      </c>
      <c r="E34" s="18">
        <v>-0.02</v>
      </c>
      <c r="F34" s="18">
        <v>-0.03</v>
      </c>
      <c r="G34" s="18">
        <v>-0.04</v>
      </c>
      <c r="H34" s="18">
        <v>-0.04</v>
      </c>
      <c r="I34" s="18">
        <v>-0.03</v>
      </c>
      <c r="J34" s="18">
        <v>-0.02</v>
      </c>
      <c r="K34" s="18">
        <v>-0.04</v>
      </c>
      <c r="L34" s="18">
        <v>-0.01</v>
      </c>
      <c r="M34" s="18">
        <v>-0.03</v>
      </c>
      <c r="N34" s="18">
        <v>-0.03</v>
      </c>
      <c r="O34" s="18">
        <v>-0.02</v>
      </c>
      <c r="P34" s="18">
        <v>-0.03</v>
      </c>
      <c r="Q34" s="18">
        <v>-0.05</v>
      </c>
      <c r="R34" s="18">
        <v>-0.08</v>
      </c>
      <c r="S34" s="18">
        <v>-0.05</v>
      </c>
      <c r="T34" s="18">
        <v>-0.05</v>
      </c>
    </row>
    <row r="35" spans="1:20" x14ac:dyDescent="0.15">
      <c r="A35" s="3" t="s">
        <v>39</v>
      </c>
      <c r="B35">
        <v>3.31</v>
      </c>
      <c r="C35">
        <v>3.46</v>
      </c>
      <c r="D35">
        <v>4.12</v>
      </c>
      <c r="E35">
        <v>-1.58</v>
      </c>
      <c r="F35">
        <v>-3.19</v>
      </c>
      <c r="G35" s="36">
        <v>6.2</v>
      </c>
      <c r="H35">
        <v>6.37</v>
      </c>
      <c r="I35">
        <v>8.15</v>
      </c>
      <c r="J35">
        <v>5.74</v>
      </c>
      <c r="K35">
        <v>6.03</v>
      </c>
      <c r="L35">
        <v>4.0599999999999996</v>
      </c>
      <c r="M35" s="20">
        <v>9</v>
      </c>
      <c r="N35">
        <v>4.38</v>
      </c>
      <c r="O35">
        <v>5.58</v>
      </c>
      <c r="P35">
        <v>3.59</v>
      </c>
      <c r="Q35">
        <v>7.06</v>
      </c>
      <c r="R35" s="20">
        <v>13</v>
      </c>
      <c r="S35" s="20">
        <v>4.2</v>
      </c>
      <c r="T35">
        <v>-0.09</v>
      </c>
    </row>
    <row r="36" spans="1:20" x14ac:dyDescent="0.15">
      <c r="A36" s="3" t="s">
        <v>40</v>
      </c>
      <c r="B36">
        <v>2.19</v>
      </c>
      <c r="C36">
        <v>1.42</v>
      </c>
      <c r="D36">
        <v>2.34</v>
      </c>
      <c r="E36">
        <v>-3.37</v>
      </c>
      <c r="F36">
        <v>-7.57</v>
      </c>
      <c r="G36">
        <v>2.25</v>
      </c>
      <c r="H36">
        <v>1.94</v>
      </c>
      <c r="I36">
        <v>4.58</v>
      </c>
      <c r="J36">
        <v>2.71</v>
      </c>
      <c r="K36" s="36">
        <v>3.3</v>
      </c>
      <c r="L36">
        <v>1.55</v>
      </c>
      <c r="M36">
        <v>4.3099999999999996</v>
      </c>
      <c r="N36">
        <v>-0.05</v>
      </c>
      <c r="O36">
        <v>0.37</v>
      </c>
      <c r="P36">
        <v>1.84</v>
      </c>
      <c r="Q36">
        <v>5.04</v>
      </c>
      <c r="R36">
        <v>8.52</v>
      </c>
      <c r="S36">
        <v>-2.04</v>
      </c>
      <c r="T36">
        <v>-2.91</v>
      </c>
    </row>
    <row r="37" spans="1:20" x14ac:dyDescent="0.15">
      <c r="A37" s="13"/>
      <c r="B37" s="14"/>
      <c r="C37" s="14"/>
      <c r="D37" s="14"/>
      <c r="E37" s="14"/>
      <c r="F37" s="14"/>
      <c r="G37" s="14"/>
      <c r="H37" s="14"/>
      <c r="I37" s="14"/>
      <c r="J37" s="14"/>
      <c r="K37" s="14"/>
      <c r="L37" s="14"/>
      <c r="M37" s="14"/>
      <c r="N37" s="14"/>
      <c r="O37" s="14"/>
      <c r="P37" s="14"/>
      <c r="Q37" s="14"/>
      <c r="R37" s="14"/>
      <c r="S37" s="14"/>
      <c r="T37" s="14"/>
    </row>
    <row r="38" spans="1:20" x14ac:dyDescent="0.15">
      <c r="A38" s="3"/>
    </row>
    <row r="39" spans="1:20" x14ac:dyDescent="0.15">
      <c r="A39" s="92" t="s">
        <v>45</v>
      </c>
      <c r="B39" s="92"/>
      <c r="C39" s="92"/>
      <c r="D39" s="92"/>
      <c r="E39" s="92"/>
      <c r="F39" s="92"/>
      <c r="G39" s="92"/>
      <c r="H39" s="92"/>
      <c r="I39" s="92"/>
      <c r="J39" s="92"/>
      <c r="K39" s="92"/>
      <c r="L39" s="92"/>
      <c r="M39" s="92"/>
      <c r="N39" s="92"/>
      <c r="O39" s="92"/>
      <c r="P39" s="92"/>
      <c r="Q39" s="92"/>
      <c r="R39" s="92"/>
      <c r="S39" s="92"/>
      <c r="T39" s="92"/>
    </row>
  </sheetData>
  <mergeCells count="2">
    <mergeCell ref="A1:T1"/>
    <mergeCell ref="A39:T39"/>
  </mergeCells>
  <phoneticPr fontId="0" type="noConversion"/>
  <pageMargins left="0.5" right="0.5" top="0.5" bottom="0.5" header="0.5" footer="0.5"/>
  <pageSetup paperSize="8"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54"/>
  <sheetViews>
    <sheetView workbookViewId="0">
      <selection activeCell="R9" sqref="R9"/>
    </sheetView>
  </sheetViews>
  <sheetFormatPr baseColWidth="10" defaultRowHeight="13" x14ac:dyDescent="0.15"/>
  <cols>
    <col min="1" max="1" width="35.1640625" customWidth="1"/>
    <col min="2" max="6" width="8.83203125" customWidth="1"/>
    <col min="7" max="7" width="10" customWidth="1"/>
    <col min="8" max="15" width="8.83203125" customWidth="1"/>
    <col min="16" max="16" width="13.6640625" customWidth="1"/>
    <col min="17" max="21" width="8.83203125" customWidth="1"/>
    <col min="22" max="22" width="12" customWidth="1"/>
    <col min="23" max="23" width="8.83203125" customWidth="1"/>
    <col min="24" max="24" width="6.6640625" customWidth="1"/>
    <col min="25" max="25" width="10.1640625" customWidth="1"/>
    <col min="26" max="256" width="8.83203125" customWidth="1"/>
  </cols>
  <sheetData>
    <row r="1" spans="1:21" x14ac:dyDescent="0.15">
      <c r="A1" s="90" t="s">
        <v>88</v>
      </c>
      <c r="B1" s="91"/>
      <c r="C1" s="91"/>
      <c r="D1" s="91"/>
      <c r="E1" s="91"/>
      <c r="F1" s="91"/>
      <c r="G1" s="91"/>
      <c r="H1" s="91"/>
      <c r="I1" s="91"/>
      <c r="J1" s="91"/>
      <c r="K1" s="91"/>
      <c r="L1" s="91"/>
      <c r="M1" s="91"/>
    </row>
    <row r="2" spans="1:21" x14ac:dyDescent="0.15">
      <c r="A2" s="3"/>
    </row>
    <row r="3" spans="1:21" x14ac:dyDescent="0.15">
      <c r="A3" s="24"/>
      <c r="B3" s="96" t="s">
        <v>47</v>
      </c>
      <c r="C3" s="96"/>
      <c r="D3" s="97"/>
      <c r="E3" s="96" t="s">
        <v>138</v>
      </c>
      <c r="F3" s="97"/>
      <c r="G3" s="97"/>
      <c r="H3" s="96" t="s">
        <v>10</v>
      </c>
      <c r="I3" s="97"/>
      <c r="J3" s="96"/>
      <c r="K3" s="96" t="s">
        <v>7</v>
      </c>
      <c r="L3" s="97"/>
      <c r="M3" s="96"/>
    </row>
    <row r="4" spans="1:21" x14ac:dyDescent="0.15">
      <c r="A4" s="22"/>
      <c r="B4" s="23" t="s">
        <v>79</v>
      </c>
      <c r="C4" s="23" t="s">
        <v>80</v>
      </c>
      <c r="D4" s="23" t="s">
        <v>81</v>
      </c>
      <c r="E4" s="23" t="s">
        <v>82</v>
      </c>
      <c r="F4" s="23" t="s">
        <v>83</v>
      </c>
      <c r="G4" s="23" t="s">
        <v>84</v>
      </c>
      <c r="H4" s="23" t="s">
        <v>79</v>
      </c>
      <c r="I4" s="23" t="s">
        <v>80</v>
      </c>
      <c r="J4" s="23" t="s">
        <v>81</v>
      </c>
      <c r="K4" s="23" t="s">
        <v>85</v>
      </c>
      <c r="L4" s="23" t="s">
        <v>86</v>
      </c>
      <c r="M4" s="23" t="s">
        <v>87</v>
      </c>
    </row>
    <row r="5" spans="1:21" x14ac:dyDescent="0.15">
      <c r="A5" s="3"/>
    </row>
    <row r="6" spans="1:21" x14ac:dyDescent="0.15">
      <c r="A6" s="5" t="s">
        <v>48</v>
      </c>
    </row>
    <row r="7" spans="1:21" x14ac:dyDescent="0.15">
      <c r="A7" s="3" t="s">
        <v>26</v>
      </c>
      <c r="B7" s="8">
        <v>8940</v>
      </c>
      <c r="C7" s="8">
        <v>6819</v>
      </c>
      <c r="D7" s="8">
        <v>6802</v>
      </c>
      <c r="E7" s="8">
        <v>4591</v>
      </c>
      <c r="F7" s="8">
        <v>4615</v>
      </c>
      <c r="G7" s="8">
        <v>3599</v>
      </c>
      <c r="H7" s="8">
        <v>4178</v>
      </c>
      <c r="I7" s="8">
        <v>3542</v>
      </c>
      <c r="J7" s="8">
        <v>2767</v>
      </c>
      <c r="K7" s="8">
        <v>799</v>
      </c>
      <c r="L7" s="8">
        <v>1424</v>
      </c>
      <c r="M7" s="8">
        <v>2409</v>
      </c>
      <c r="Q7" s="38"/>
      <c r="S7" s="38"/>
    </row>
    <row r="8" spans="1:21" x14ac:dyDescent="0.15">
      <c r="A8" s="3" t="s">
        <v>49</v>
      </c>
      <c r="B8" s="21">
        <v>6918</v>
      </c>
      <c r="C8" s="21">
        <v>5830</v>
      </c>
      <c r="D8" s="21">
        <v>5250</v>
      </c>
      <c r="E8" s="21">
        <v>4093</v>
      </c>
      <c r="F8" s="21">
        <v>4242</v>
      </c>
      <c r="G8" s="21">
        <v>3308</v>
      </c>
      <c r="H8" s="21">
        <v>3464</v>
      </c>
      <c r="I8" s="21">
        <v>3187</v>
      </c>
      <c r="J8" s="21">
        <v>2562</v>
      </c>
      <c r="K8">
        <v>842</v>
      </c>
      <c r="L8" s="21">
        <v>1287</v>
      </c>
      <c r="M8" s="21">
        <v>2034</v>
      </c>
      <c r="Q8" s="38"/>
      <c r="S8" s="38"/>
    </row>
    <row r="9" spans="1:21" x14ac:dyDescent="0.15">
      <c r="A9" s="25" t="s">
        <v>50</v>
      </c>
      <c r="B9" s="21">
        <v>2022</v>
      </c>
      <c r="C9">
        <v>989</v>
      </c>
      <c r="D9" s="21">
        <v>1552</v>
      </c>
      <c r="E9">
        <v>498</v>
      </c>
      <c r="F9">
        <v>373</v>
      </c>
      <c r="G9">
        <v>291</v>
      </c>
      <c r="H9">
        <v>714</v>
      </c>
      <c r="I9">
        <v>355</v>
      </c>
      <c r="J9">
        <v>205</v>
      </c>
      <c r="K9">
        <v>-43</v>
      </c>
      <c r="L9">
        <v>137</v>
      </c>
      <c r="M9">
        <v>375</v>
      </c>
      <c r="Q9" s="38"/>
      <c r="S9" s="38"/>
    </row>
    <row r="10" spans="1:21" x14ac:dyDescent="0.15">
      <c r="A10" s="25" t="s">
        <v>28</v>
      </c>
      <c r="B10" s="21">
        <v>1521</v>
      </c>
      <c r="C10">
        <v>451</v>
      </c>
      <c r="D10" s="21">
        <v>1011</v>
      </c>
      <c r="E10">
        <v>146</v>
      </c>
      <c r="F10">
        <v>-6</v>
      </c>
      <c r="G10">
        <v>-61</v>
      </c>
      <c r="H10">
        <v>365</v>
      </c>
      <c r="I10">
        <v>-41</v>
      </c>
      <c r="J10">
        <v>-188</v>
      </c>
      <c r="K10">
        <v>-191</v>
      </c>
      <c r="L10">
        <v>-32</v>
      </c>
      <c r="M10">
        <v>134</v>
      </c>
      <c r="P10" s="38"/>
      <c r="Q10" s="38"/>
    </row>
    <row r="11" spans="1:21" x14ac:dyDescent="0.15">
      <c r="A11" s="3" t="s">
        <v>51</v>
      </c>
      <c r="B11">
        <v>501</v>
      </c>
      <c r="C11">
        <v>589</v>
      </c>
      <c r="D11">
        <v>613</v>
      </c>
      <c r="E11">
        <v>109</v>
      </c>
      <c r="F11">
        <v>68</v>
      </c>
      <c r="G11">
        <v>71</v>
      </c>
      <c r="H11">
        <v>63</v>
      </c>
      <c r="I11">
        <v>107</v>
      </c>
      <c r="J11">
        <v>131</v>
      </c>
      <c r="K11">
        <v>47</v>
      </c>
      <c r="L11">
        <v>66</v>
      </c>
      <c r="M11">
        <v>74</v>
      </c>
    </row>
    <row r="12" spans="1:21" x14ac:dyDescent="0.15">
      <c r="A12" s="25" t="s">
        <v>52</v>
      </c>
      <c r="B12" s="21">
        <v>1020</v>
      </c>
      <c r="C12">
        <v>-138</v>
      </c>
      <c r="D12">
        <v>398</v>
      </c>
      <c r="E12">
        <v>37</v>
      </c>
      <c r="F12">
        <v>-74</v>
      </c>
      <c r="G12">
        <v>-133</v>
      </c>
      <c r="H12">
        <v>302</v>
      </c>
      <c r="I12">
        <v>-148</v>
      </c>
      <c r="J12">
        <v>-319</v>
      </c>
      <c r="K12">
        <v>-238</v>
      </c>
      <c r="L12">
        <v>-97</v>
      </c>
      <c r="M12">
        <v>60</v>
      </c>
      <c r="Q12" s="76"/>
      <c r="R12" s="76"/>
      <c r="S12" s="81"/>
      <c r="T12" s="38"/>
      <c r="U12" s="38"/>
    </row>
    <row r="13" spans="1:21" x14ac:dyDescent="0.15">
      <c r="A13" s="3" t="s">
        <v>53</v>
      </c>
      <c r="B13">
        <v>35</v>
      </c>
      <c r="C13">
        <v>51</v>
      </c>
      <c r="D13">
        <v>48</v>
      </c>
      <c r="E13">
        <v>20</v>
      </c>
      <c r="F13">
        <v>11</v>
      </c>
      <c r="G13">
        <v>9</v>
      </c>
      <c r="H13">
        <v>0</v>
      </c>
      <c r="I13">
        <v>12</v>
      </c>
      <c r="J13">
        <v>33</v>
      </c>
      <c r="K13">
        <v>18</v>
      </c>
      <c r="L13">
        <v>37</v>
      </c>
      <c r="M13">
        <v>29</v>
      </c>
    </row>
    <row r="14" spans="1:21" x14ac:dyDescent="0.15">
      <c r="A14" s="25" t="s">
        <v>54</v>
      </c>
      <c r="B14">
        <v>658</v>
      </c>
      <c r="C14">
        <v>-530</v>
      </c>
      <c r="D14" s="21">
        <v>1176</v>
      </c>
      <c r="E14">
        <v>41</v>
      </c>
      <c r="F14">
        <v>-53</v>
      </c>
      <c r="G14">
        <v>-153</v>
      </c>
      <c r="H14">
        <v>268</v>
      </c>
      <c r="I14">
        <v>-290</v>
      </c>
      <c r="J14">
        <v>-493</v>
      </c>
      <c r="K14">
        <v>-256</v>
      </c>
      <c r="L14">
        <v>-110</v>
      </c>
      <c r="M14">
        <v>31</v>
      </c>
    </row>
    <row r="15" spans="1:21" x14ac:dyDescent="0.15">
      <c r="A15" s="3" t="s">
        <v>55</v>
      </c>
      <c r="B15">
        <v>890</v>
      </c>
      <c r="C15">
        <v>709</v>
      </c>
      <c r="D15">
        <v>603</v>
      </c>
      <c r="E15">
        <v>164</v>
      </c>
      <c r="F15">
        <v>119</v>
      </c>
      <c r="G15">
        <v>82</v>
      </c>
      <c r="H15">
        <v>156</v>
      </c>
      <c r="I15">
        <v>199</v>
      </c>
      <c r="J15">
        <v>107</v>
      </c>
      <c r="K15">
        <v>54</v>
      </c>
      <c r="L15">
        <v>82</v>
      </c>
      <c r="M15">
        <v>95</v>
      </c>
    </row>
    <row r="16" spans="1:21" x14ac:dyDescent="0.15">
      <c r="A16" s="3"/>
    </row>
    <row r="17" spans="1:13" x14ac:dyDescent="0.15">
      <c r="A17" s="5" t="s">
        <v>56</v>
      </c>
    </row>
    <row r="18" spans="1:13" x14ac:dyDescent="0.15">
      <c r="A18" s="3" t="s">
        <v>57</v>
      </c>
      <c r="B18" s="8">
        <v>2284</v>
      </c>
      <c r="C18" s="8">
        <v>1827</v>
      </c>
      <c r="D18" s="8">
        <v>1623</v>
      </c>
      <c r="E18" t="s">
        <v>36</v>
      </c>
      <c r="F18" s="8">
        <v>325</v>
      </c>
      <c r="G18" s="8">
        <v>524</v>
      </c>
      <c r="H18" s="8">
        <v>208</v>
      </c>
      <c r="I18" s="8">
        <v>460</v>
      </c>
      <c r="J18" s="8">
        <v>226</v>
      </c>
      <c r="K18" s="8">
        <v>31</v>
      </c>
      <c r="L18" s="8">
        <v>33</v>
      </c>
      <c r="M18" s="8">
        <v>258</v>
      </c>
    </row>
    <row r="19" spans="1:13" x14ac:dyDescent="0.15">
      <c r="A19" s="3" t="s">
        <v>58</v>
      </c>
      <c r="B19" s="21">
        <v>1041</v>
      </c>
      <c r="C19">
        <v>799</v>
      </c>
      <c r="D19">
        <v>872</v>
      </c>
      <c r="E19" t="s">
        <v>36</v>
      </c>
      <c r="F19">
        <v>586</v>
      </c>
      <c r="G19">
        <v>392</v>
      </c>
      <c r="H19">
        <v>546</v>
      </c>
      <c r="I19">
        <v>369</v>
      </c>
      <c r="J19">
        <v>273</v>
      </c>
      <c r="K19">
        <v>89</v>
      </c>
      <c r="L19">
        <v>248</v>
      </c>
      <c r="M19">
        <v>318</v>
      </c>
    </row>
    <row r="20" spans="1:13" x14ac:dyDescent="0.15">
      <c r="A20" s="3" t="s">
        <v>59</v>
      </c>
      <c r="B20">
        <v>808</v>
      </c>
      <c r="C20">
        <v>508</v>
      </c>
      <c r="D20">
        <v>451</v>
      </c>
      <c r="E20" t="s">
        <v>36</v>
      </c>
      <c r="F20">
        <v>212</v>
      </c>
      <c r="G20">
        <v>148</v>
      </c>
      <c r="H20">
        <v>224</v>
      </c>
      <c r="I20">
        <v>187</v>
      </c>
      <c r="J20">
        <v>144</v>
      </c>
      <c r="K20">
        <v>81</v>
      </c>
      <c r="L20">
        <v>155</v>
      </c>
      <c r="M20">
        <v>153</v>
      </c>
    </row>
    <row r="21" spans="1:13" x14ac:dyDescent="0.15">
      <c r="A21" s="3" t="s">
        <v>60</v>
      </c>
      <c r="B21" s="21">
        <v>1787</v>
      </c>
      <c r="C21" s="21">
        <v>1669</v>
      </c>
      <c r="D21" s="21">
        <v>1687</v>
      </c>
      <c r="E21" t="s">
        <v>36</v>
      </c>
      <c r="F21">
        <v>228</v>
      </c>
      <c r="G21">
        <v>199</v>
      </c>
      <c r="H21">
        <v>248</v>
      </c>
      <c r="I21">
        <v>347</v>
      </c>
      <c r="J21">
        <v>238</v>
      </c>
      <c r="K21">
        <v>92</v>
      </c>
      <c r="L21">
        <v>99</v>
      </c>
      <c r="M21">
        <v>108</v>
      </c>
    </row>
    <row r="22" spans="1:13" x14ac:dyDescent="0.15">
      <c r="A22" s="3" t="s">
        <v>61</v>
      </c>
      <c r="B22" s="21">
        <v>6723</v>
      </c>
      <c r="C22" s="21">
        <v>5645</v>
      </c>
      <c r="D22" s="21">
        <v>7072</v>
      </c>
      <c r="E22" t="s">
        <v>36</v>
      </c>
      <c r="F22" s="21">
        <v>1646</v>
      </c>
      <c r="G22" s="21">
        <v>1470</v>
      </c>
      <c r="H22" s="21">
        <v>1307</v>
      </c>
      <c r="I22" s="21">
        <v>1443</v>
      </c>
      <c r="J22" s="21">
        <v>1022</v>
      </c>
      <c r="K22">
        <v>315</v>
      </c>
      <c r="L22">
        <v>555</v>
      </c>
      <c r="M22">
        <v>863</v>
      </c>
    </row>
    <row r="23" spans="1:13" x14ac:dyDescent="0.15">
      <c r="A23" s="3" t="s">
        <v>62</v>
      </c>
      <c r="B23">
        <v>863</v>
      </c>
      <c r="C23">
        <v>577</v>
      </c>
      <c r="D23">
        <v>714</v>
      </c>
      <c r="E23" t="s">
        <v>36</v>
      </c>
      <c r="F23">
        <v>401</v>
      </c>
      <c r="G23">
        <v>342</v>
      </c>
      <c r="H23">
        <v>418</v>
      </c>
      <c r="I23">
        <v>330</v>
      </c>
      <c r="J23">
        <v>336</v>
      </c>
      <c r="K23">
        <v>110</v>
      </c>
      <c r="L23">
        <v>207</v>
      </c>
      <c r="M23">
        <v>428</v>
      </c>
    </row>
    <row r="24" spans="1:13" x14ac:dyDescent="0.15">
      <c r="A24" s="3" t="s">
        <v>63</v>
      </c>
      <c r="B24">
        <v>1</v>
      </c>
      <c r="C24">
        <v>1</v>
      </c>
      <c r="D24">
        <v>1</v>
      </c>
      <c r="E24" t="s">
        <v>36</v>
      </c>
      <c r="F24">
        <v>0</v>
      </c>
      <c r="G24">
        <v>0</v>
      </c>
      <c r="H24">
        <v>0</v>
      </c>
      <c r="I24">
        <v>0</v>
      </c>
      <c r="J24">
        <v>10</v>
      </c>
      <c r="K24">
        <v>204</v>
      </c>
      <c r="L24">
        <v>245</v>
      </c>
      <c r="M24">
        <v>5</v>
      </c>
    </row>
    <row r="25" spans="1:13" x14ac:dyDescent="0.15">
      <c r="A25" s="3" t="s">
        <v>64</v>
      </c>
      <c r="B25">
        <v>702</v>
      </c>
      <c r="C25">
        <v>704</v>
      </c>
      <c r="D25">
        <v>703</v>
      </c>
      <c r="E25" t="s">
        <v>36</v>
      </c>
      <c r="F25">
        <v>109</v>
      </c>
      <c r="G25">
        <v>115</v>
      </c>
      <c r="H25">
        <v>0</v>
      </c>
      <c r="I25">
        <v>519</v>
      </c>
      <c r="J25">
        <v>534</v>
      </c>
      <c r="K25">
        <v>229</v>
      </c>
      <c r="L25">
        <v>224</v>
      </c>
      <c r="M25">
        <v>145</v>
      </c>
    </row>
    <row r="26" spans="1:13" x14ac:dyDescent="0.15">
      <c r="A26" s="3" t="s">
        <v>65</v>
      </c>
      <c r="B26" s="21">
        <v>3476</v>
      </c>
      <c r="C26" s="21">
        <v>2937</v>
      </c>
      <c r="D26" s="21">
        <v>3563</v>
      </c>
      <c r="E26" t="s">
        <v>36</v>
      </c>
      <c r="F26">
        <v>906</v>
      </c>
      <c r="G26">
        <v>791</v>
      </c>
      <c r="H26">
        <v>620</v>
      </c>
      <c r="I26">
        <v>318</v>
      </c>
      <c r="J26">
        <v>-154</v>
      </c>
      <c r="K26">
        <v>-327</v>
      </c>
      <c r="L26">
        <v>-221</v>
      </c>
      <c r="M26">
        <v>169</v>
      </c>
    </row>
    <row r="27" spans="1:13" ht="15" x14ac:dyDescent="0.15">
      <c r="A27" s="3" t="s">
        <v>90</v>
      </c>
      <c r="B27" s="21">
        <v>2717</v>
      </c>
      <c r="C27" s="21">
        <v>2241</v>
      </c>
      <c r="D27" s="21">
        <v>1773</v>
      </c>
      <c r="H27">
        <v>364</v>
      </c>
      <c r="I27">
        <v>464</v>
      </c>
      <c r="J27">
        <v>72</v>
      </c>
      <c r="K27">
        <v>93</v>
      </c>
      <c r="L27">
        <v>440</v>
      </c>
      <c r="M27">
        <v>170</v>
      </c>
    </row>
    <row r="28" spans="1:13" x14ac:dyDescent="0.15">
      <c r="A28" s="3"/>
      <c r="E28" t="s">
        <v>36</v>
      </c>
      <c r="F28">
        <v>739</v>
      </c>
      <c r="G28">
        <v>709</v>
      </c>
    </row>
    <row r="29" spans="1:13" x14ac:dyDescent="0.15">
      <c r="A29" s="5" t="s">
        <v>66</v>
      </c>
    </row>
    <row r="30" spans="1:13" x14ac:dyDescent="0.15">
      <c r="A30" s="3"/>
    </row>
    <row r="31" spans="1:13" x14ac:dyDescent="0.15">
      <c r="A31" s="3" t="s">
        <v>67</v>
      </c>
      <c r="B31" s="8">
        <v>5861</v>
      </c>
      <c r="C31" s="8">
        <v>5844</v>
      </c>
      <c r="D31" s="8">
        <v>8620</v>
      </c>
      <c r="E31" t="s">
        <v>36</v>
      </c>
      <c r="F31" t="s">
        <v>36</v>
      </c>
      <c r="G31" t="s">
        <v>36</v>
      </c>
      <c r="H31" s="8">
        <v>2716</v>
      </c>
      <c r="I31" s="8">
        <v>1043</v>
      </c>
      <c r="J31" s="8">
        <v>589</v>
      </c>
      <c r="K31" t="s">
        <v>36</v>
      </c>
      <c r="L31" t="s">
        <v>36</v>
      </c>
      <c r="M31" s="8">
        <v>1320</v>
      </c>
    </row>
    <row r="32" spans="1:13" ht="15" x14ac:dyDescent="0.15">
      <c r="A32" s="3" t="s">
        <v>89</v>
      </c>
      <c r="D32">
        <v>1.2</v>
      </c>
      <c r="G32">
        <v>0.8</v>
      </c>
      <c r="J32">
        <v>0.6</v>
      </c>
      <c r="M32" s="7">
        <v>1</v>
      </c>
    </row>
    <row r="33" spans="1:13" x14ac:dyDescent="0.15">
      <c r="A33" s="3" t="s">
        <v>68</v>
      </c>
      <c r="D33">
        <v>704</v>
      </c>
      <c r="G33">
        <v>110</v>
      </c>
      <c r="J33">
        <v>236</v>
      </c>
      <c r="M33">
        <v>114</v>
      </c>
    </row>
    <row r="34" spans="1:13" x14ac:dyDescent="0.15">
      <c r="A34" s="3" t="s">
        <v>69</v>
      </c>
      <c r="D34" t="s">
        <v>70</v>
      </c>
      <c r="G34" t="s">
        <v>71</v>
      </c>
      <c r="J34" t="s">
        <v>71</v>
      </c>
      <c r="M34" t="s">
        <v>72</v>
      </c>
    </row>
    <row r="35" spans="1:13" x14ac:dyDescent="0.15">
      <c r="A35" s="3" t="s">
        <v>73</v>
      </c>
      <c r="D35">
        <v>64.25</v>
      </c>
      <c r="G35">
        <v>8.875</v>
      </c>
      <c r="J35">
        <v>5.1875</v>
      </c>
      <c r="M35">
        <v>11.625</v>
      </c>
    </row>
    <row r="36" spans="1:13" ht="14.25" customHeight="1" x14ac:dyDescent="0.15">
      <c r="A36" s="3" t="s">
        <v>74</v>
      </c>
      <c r="D36">
        <v>227.2</v>
      </c>
      <c r="G36">
        <v>82.6</v>
      </c>
      <c r="J36">
        <v>129.1</v>
      </c>
      <c r="M36">
        <v>113.2</v>
      </c>
    </row>
    <row r="37" spans="1:13" x14ac:dyDescent="0.15">
      <c r="A37" s="13"/>
      <c r="B37" s="14"/>
      <c r="C37" s="14"/>
      <c r="D37" s="14"/>
      <c r="E37" s="14"/>
      <c r="F37" s="14"/>
      <c r="G37" s="14"/>
      <c r="H37" s="14"/>
      <c r="I37" s="14"/>
      <c r="J37" s="14"/>
      <c r="K37" s="14"/>
      <c r="L37" s="14"/>
      <c r="M37" s="14"/>
    </row>
    <row r="38" spans="1:13" x14ac:dyDescent="0.15">
      <c r="A38" s="95" t="s">
        <v>75</v>
      </c>
      <c r="B38" s="95"/>
      <c r="C38" s="95"/>
      <c r="D38" s="95"/>
      <c r="E38" s="95"/>
      <c r="F38" s="95"/>
      <c r="G38" s="95"/>
      <c r="H38" s="95"/>
      <c r="I38" s="95"/>
      <c r="J38" s="95"/>
      <c r="K38" s="95"/>
      <c r="L38" s="95"/>
      <c r="M38" s="95"/>
    </row>
    <row r="39" spans="1:13" ht="25.5" customHeight="1" x14ac:dyDescent="0.15">
      <c r="A39" s="94" t="s">
        <v>76</v>
      </c>
      <c r="B39" s="95"/>
      <c r="C39" s="95"/>
      <c r="D39" s="95"/>
      <c r="E39" s="95"/>
      <c r="F39" s="95"/>
      <c r="G39" s="95"/>
      <c r="H39" s="95"/>
      <c r="I39" s="95"/>
      <c r="J39" s="95"/>
      <c r="K39" s="95"/>
      <c r="L39" s="95"/>
      <c r="M39" s="95"/>
    </row>
    <row r="40" spans="1:13" x14ac:dyDescent="0.15">
      <c r="A40" s="94" t="s">
        <v>77</v>
      </c>
      <c r="B40" s="95"/>
      <c r="C40" s="95"/>
      <c r="D40" s="95"/>
      <c r="E40" s="95"/>
      <c r="F40" s="95"/>
      <c r="G40" s="95"/>
      <c r="H40" s="95"/>
      <c r="I40" s="95"/>
      <c r="J40" s="95"/>
      <c r="K40" s="95"/>
      <c r="L40" s="95"/>
      <c r="M40" s="95"/>
    </row>
    <row r="41" spans="1:13" x14ac:dyDescent="0.15">
      <c r="A41" s="94" t="s">
        <v>78</v>
      </c>
      <c r="B41" s="95"/>
      <c r="C41" s="95"/>
      <c r="D41" s="95"/>
      <c r="E41" s="95"/>
      <c r="F41" s="95"/>
      <c r="G41" s="95"/>
      <c r="H41" s="95"/>
      <c r="I41" s="95"/>
      <c r="J41" s="95"/>
      <c r="K41" s="95"/>
      <c r="L41" s="95"/>
      <c r="M41" s="95"/>
    </row>
    <row r="45" spans="1:13" x14ac:dyDescent="0.15">
      <c r="H45" s="38" t="s">
        <v>144</v>
      </c>
      <c r="I45">
        <v>0.06</v>
      </c>
    </row>
    <row r="46" spans="1:13" x14ac:dyDescent="0.15">
      <c r="D46" s="39" t="s">
        <v>142</v>
      </c>
      <c r="H46" s="38" t="s">
        <v>145</v>
      </c>
      <c r="I46">
        <v>0.03</v>
      </c>
    </row>
    <row r="47" spans="1:13" x14ac:dyDescent="0.15">
      <c r="E47" s="38" t="s">
        <v>143</v>
      </c>
      <c r="F47">
        <v>1</v>
      </c>
    </row>
    <row r="49" spans="4:7" x14ac:dyDescent="0.15">
      <c r="F49">
        <f>F47*I45+I46</f>
        <v>0.09</v>
      </c>
    </row>
    <row r="51" spans="4:7" x14ac:dyDescent="0.15">
      <c r="D51" s="38" t="s">
        <v>146</v>
      </c>
    </row>
    <row r="52" spans="4:7" x14ac:dyDescent="0.15">
      <c r="F52" s="38" t="s">
        <v>148</v>
      </c>
      <c r="G52" s="38" t="s">
        <v>149</v>
      </c>
    </row>
    <row r="53" spans="4:7" x14ac:dyDescent="0.15">
      <c r="D53" s="38" t="s">
        <v>147</v>
      </c>
    </row>
    <row r="54" spans="4:7" x14ac:dyDescent="0.15">
      <c r="F54" s="38" t="s">
        <v>150</v>
      </c>
      <c r="G54" s="38" t="s">
        <v>151</v>
      </c>
    </row>
  </sheetData>
  <mergeCells count="9">
    <mergeCell ref="A1:M1"/>
    <mergeCell ref="A38:M38"/>
    <mergeCell ref="A39:M39"/>
    <mergeCell ref="A40:M40"/>
    <mergeCell ref="A41:M41"/>
    <mergeCell ref="E3:G3"/>
    <mergeCell ref="H3:J3"/>
    <mergeCell ref="K3:M3"/>
    <mergeCell ref="B3:D3"/>
  </mergeCells>
  <phoneticPr fontId="0" type="noConversion"/>
  <pageMargins left="0.75" right="0.75" top="1" bottom="1" header="0.5" footer="0.5"/>
  <pageSetup paperSize="8" orientation="landscape"/>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9"/>
  <sheetViews>
    <sheetView workbookViewId="0">
      <selection sqref="A1:D1"/>
    </sheetView>
  </sheetViews>
  <sheetFormatPr baseColWidth="10" defaultRowHeight="13" x14ac:dyDescent="0.15"/>
  <cols>
    <col min="1" max="1" width="33.83203125" customWidth="1"/>
    <col min="2" max="2" width="12.83203125" customWidth="1"/>
    <col min="3" max="3" width="13.33203125" customWidth="1"/>
    <col min="4" max="4" width="14.83203125" customWidth="1"/>
    <col min="5" max="256" width="8.83203125" customWidth="1"/>
  </cols>
  <sheetData>
    <row r="1" spans="1:4" x14ac:dyDescent="0.15">
      <c r="A1" s="90" t="s">
        <v>100</v>
      </c>
      <c r="B1" s="91"/>
      <c r="C1" s="91"/>
      <c r="D1" s="91"/>
    </row>
    <row r="2" spans="1:4" x14ac:dyDescent="0.15">
      <c r="A2" s="3"/>
    </row>
    <row r="3" spans="1:4" x14ac:dyDescent="0.15">
      <c r="A3" s="27"/>
      <c r="B3" s="100" t="s">
        <v>91</v>
      </c>
      <c r="C3" s="100"/>
      <c r="D3" s="100"/>
    </row>
    <row r="4" spans="1:4" x14ac:dyDescent="0.15">
      <c r="A4" s="13"/>
      <c r="B4" s="23" t="s">
        <v>85</v>
      </c>
      <c r="C4" s="23" t="s">
        <v>86</v>
      </c>
      <c r="D4" s="23" t="s">
        <v>87</v>
      </c>
    </row>
    <row r="5" spans="1:4" x14ac:dyDescent="0.15">
      <c r="A5" s="3"/>
    </row>
    <row r="6" spans="1:4" x14ac:dyDescent="0.15">
      <c r="A6" s="3"/>
    </row>
    <row r="7" spans="1:4" x14ac:dyDescent="0.15">
      <c r="A7" s="5" t="s">
        <v>92</v>
      </c>
    </row>
    <row r="8" spans="1:4" x14ac:dyDescent="0.15">
      <c r="A8" s="3"/>
    </row>
    <row r="9" spans="1:4" x14ac:dyDescent="0.15">
      <c r="A9" s="3" t="s">
        <v>57</v>
      </c>
      <c r="B9" s="26">
        <v>67.599999999999994</v>
      </c>
      <c r="C9" s="26">
        <v>151.30000000000001</v>
      </c>
      <c r="D9" s="26">
        <v>278.2</v>
      </c>
    </row>
    <row r="10" spans="1:4" x14ac:dyDescent="0.15">
      <c r="A10" s="3" t="s">
        <v>58</v>
      </c>
      <c r="B10" s="7">
        <v>16</v>
      </c>
      <c r="C10">
        <v>30.3</v>
      </c>
      <c r="D10">
        <v>52.7</v>
      </c>
    </row>
    <row r="11" spans="1:4" x14ac:dyDescent="0.15">
      <c r="A11" s="3" t="s">
        <v>59</v>
      </c>
      <c r="B11" t="s">
        <v>36</v>
      </c>
      <c r="C11" t="s">
        <v>36</v>
      </c>
      <c r="D11" t="s">
        <v>36</v>
      </c>
    </row>
    <row r="12" spans="1:4" x14ac:dyDescent="0.15">
      <c r="A12" s="3" t="s">
        <v>60</v>
      </c>
      <c r="B12" s="7">
        <v>7</v>
      </c>
      <c r="C12">
        <v>10.1</v>
      </c>
      <c r="D12">
        <v>26.5</v>
      </c>
    </row>
    <row r="13" spans="1:4" x14ac:dyDescent="0.15">
      <c r="A13" s="3" t="s">
        <v>61</v>
      </c>
      <c r="B13">
        <v>94.5</v>
      </c>
      <c r="C13">
        <v>241.9</v>
      </c>
      <c r="D13">
        <v>349.1</v>
      </c>
    </row>
    <row r="14" spans="1:4" x14ac:dyDescent="0.15">
      <c r="A14" s="3" t="s">
        <v>62</v>
      </c>
      <c r="B14">
        <v>1.8</v>
      </c>
      <c r="C14">
        <v>1.6</v>
      </c>
      <c r="D14" s="7">
        <v>5</v>
      </c>
    </row>
    <row r="15" spans="1:4" x14ac:dyDescent="0.15">
      <c r="A15" s="3" t="s">
        <v>63</v>
      </c>
      <c r="B15">
        <v>0.1</v>
      </c>
      <c r="C15" s="7">
        <v>0</v>
      </c>
      <c r="D15" s="7">
        <v>0</v>
      </c>
    </row>
    <row r="16" spans="1:4" x14ac:dyDescent="0.15">
      <c r="A16" s="3" t="s">
        <v>64</v>
      </c>
      <c r="B16">
        <v>0.5</v>
      </c>
      <c r="C16" s="37">
        <v>100</v>
      </c>
      <c r="D16" s="37">
        <v>100</v>
      </c>
    </row>
    <row r="17" spans="1:4" x14ac:dyDescent="0.15">
      <c r="A17" s="3" t="s">
        <v>65</v>
      </c>
      <c r="B17" s="7">
        <v>75</v>
      </c>
      <c r="C17">
        <v>104.2</v>
      </c>
      <c r="D17">
        <v>169.9</v>
      </c>
    </row>
    <row r="18" spans="1:4" x14ac:dyDescent="0.15">
      <c r="A18" s="3"/>
    </row>
    <row r="19" spans="1:4" x14ac:dyDescent="0.15">
      <c r="A19" s="3"/>
    </row>
    <row r="20" spans="1:4" x14ac:dyDescent="0.15">
      <c r="A20" s="5" t="s">
        <v>93</v>
      </c>
    </row>
    <row r="21" spans="1:4" x14ac:dyDescent="0.15">
      <c r="A21" s="3"/>
    </row>
    <row r="22" spans="1:4" x14ac:dyDescent="0.15">
      <c r="A22" s="3" t="s">
        <v>94</v>
      </c>
      <c r="D22">
        <v>451</v>
      </c>
    </row>
    <row r="23" spans="1:4" ht="15" x14ac:dyDescent="0.15">
      <c r="A23" s="3" t="s">
        <v>99</v>
      </c>
      <c r="D23">
        <v>1.81</v>
      </c>
    </row>
    <row r="24" spans="1:4" x14ac:dyDescent="0.15">
      <c r="A24" s="3" t="s">
        <v>95</v>
      </c>
      <c r="D24">
        <v>168.69</v>
      </c>
    </row>
    <row r="25" spans="1:4" x14ac:dyDescent="0.15">
      <c r="A25" s="3" t="s">
        <v>96</v>
      </c>
      <c r="D25">
        <v>393.6</v>
      </c>
    </row>
    <row r="26" spans="1:4" x14ac:dyDescent="0.15">
      <c r="A26" s="13"/>
      <c r="B26" s="14"/>
      <c r="C26" s="14"/>
      <c r="D26" s="14"/>
    </row>
    <row r="27" spans="1:4" x14ac:dyDescent="0.15">
      <c r="A27" s="3"/>
    </row>
    <row r="28" spans="1:4" x14ac:dyDescent="0.15">
      <c r="A28" s="92" t="s">
        <v>97</v>
      </c>
      <c r="B28" s="92"/>
      <c r="C28" s="92"/>
      <c r="D28" s="92"/>
    </row>
    <row r="29" spans="1:4" x14ac:dyDescent="0.15">
      <c r="A29" s="98" t="s">
        <v>98</v>
      </c>
      <c r="B29" s="99"/>
      <c r="C29" s="99"/>
      <c r="D29" s="99"/>
    </row>
  </sheetData>
  <mergeCells count="4">
    <mergeCell ref="A1:D1"/>
    <mergeCell ref="A28:D28"/>
    <mergeCell ref="A29:D29"/>
    <mergeCell ref="B3:D3"/>
  </mergeCells>
  <phoneticPr fontId="0" type="noConversion"/>
  <pageMargins left="0.75" right="0.75" top="1" bottom="1" header="0.5" footer="0.5"/>
  <pageSetup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1"/>
  </sheetPr>
  <dimension ref="A1:R157"/>
  <sheetViews>
    <sheetView tabSelected="1" zoomScale="116" zoomScaleNormal="132" workbookViewId="0"/>
  </sheetViews>
  <sheetFormatPr baseColWidth="10" defaultRowHeight="13" x14ac:dyDescent="0.15"/>
  <cols>
    <col min="1" max="1" width="7.5" style="3" customWidth="1"/>
    <col min="2" max="2" width="19.1640625" style="3" customWidth="1"/>
    <col min="3" max="3" width="10.5" style="3" customWidth="1"/>
    <col min="4" max="5" width="11.1640625" style="3" customWidth="1"/>
    <col min="6" max="6" width="11.6640625" style="3" customWidth="1"/>
    <col min="7" max="7" width="10" style="3" customWidth="1"/>
    <col min="8" max="8" width="10.6640625" style="3" customWidth="1"/>
    <col min="9" max="9" width="9.33203125" style="3" customWidth="1"/>
    <col min="10" max="10" width="8.6640625" style="3" customWidth="1"/>
    <col min="11" max="16384" width="10.83203125" style="3"/>
  </cols>
  <sheetData>
    <row r="1" spans="1:11" x14ac:dyDescent="0.15">
      <c r="A1" s="69">
        <v>1</v>
      </c>
      <c r="B1" s="70"/>
      <c r="C1" s="70"/>
      <c r="D1" s="70"/>
      <c r="E1" s="70"/>
      <c r="F1" s="70"/>
      <c r="G1" s="70"/>
      <c r="H1" s="70"/>
      <c r="I1" s="70"/>
      <c r="J1" s="70"/>
      <c r="K1" s="70"/>
    </row>
    <row r="2" spans="1:11" x14ac:dyDescent="0.15">
      <c r="A2" s="49">
        <v>1</v>
      </c>
    </row>
    <row r="3" spans="1:11" x14ac:dyDescent="0.15">
      <c r="A3" s="48" t="s">
        <v>156</v>
      </c>
    </row>
    <row r="4" spans="1:11" x14ac:dyDescent="0.15">
      <c r="A4" s="49"/>
      <c r="B4" s="44">
        <f>'Exhibit 3'!D35*'Exhibit 3'!D36</f>
        <v>14597.599999999999</v>
      </c>
    </row>
    <row r="5" spans="1:11" x14ac:dyDescent="0.15">
      <c r="A5" s="48" t="s">
        <v>157</v>
      </c>
      <c r="B5" s="44"/>
    </row>
    <row r="6" spans="1:11" x14ac:dyDescent="0.15">
      <c r="A6" s="49"/>
      <c r="B6" s="44">
        <f>'Exhibit 5'!D24*'Exhibit 5'!D25</f>
        <v>66396.384000000005</v>
      </c>
    </row>
    <row r="7" spans="1:11" x14ac:dyDescent="0.15">
      <c r="A7" s="48" t="s">
        <v>158</v>
      </c>
    </row>
    <row r="8" spans="1:11" x14ac:dyDescent="0.15">
      <c r="A8" s="45"/>
    </row>
    <row r="9" spans="1:11" x14ac:dyDescent="0.15">
      <c r="C9" s="41" t="s">
        <v>4</v>
      </c>
      <c r="D9" s="41" t="s">
        <v>159</v>
      </c>
      <c r="E9" s="41" t="s">
        <v>218</v>
      </c>
      <c r="F9" s="41" t="s">
        <v>162</v>
      </c>
    </row>
    <row r="10" spans="1:11" x14ac:dyDescent="0.15">
      <c r="B10" s="45" t="s">
        <v>146</v>
      </c>
      <c r="C10" s="46">
        <f>B4</f>
        <v>14597.599999999999</v>
      </c>
      <c r="D10" s="46">
        <f>B6</f>
        <v>66396.384000000005</v>
      </c>
      <c r="E10" s="47"/>
    </row>
    <row r="11" spans="1:11" x14ac:dyDescent="0.15">
      <c r="B11" s="45" t="s">
        <v>147</v>
      </c>
      <c r="C11" s="44">
        <f>'Exhibit 3'!D33</f>
        <v>704</v>
      </c>
      <c r="D11" s="44">
        <f>'Exhibit 5'!D22</f>
        <v>451</v>
      </c>
    </row>
    <row r="12" spans="1:11" x14ac:dyDescent="0.15">
      <c r="B12" s="45" t="s">
        <v>142</v>
      </c>
      <c r="C12" s="46">
        <f>C10+C11</f>
        <v>15301.599999999999</v>
      </c>
      <c r="D12" s="46">
        <f>D10+D11</f>
        <v>66847.384000000005</v>
      </c>
      <c r="E12" s="46">
        <f>(D12-D11)*0.4</f>
        <v>26558.553600000003</v>
      </c>
      <c r="F12" s="46">
        <f>C12-E12</f>
        <v>-11256.953600000004</v>
      </c>
    </row>
    <row r="14" spans="1:11" x14ac:dyDescent="0.15">
      <c r="A14" s="49" t="s">
        <v>160</v>
      </c>
    </row>
    <row r="15" spans="1:11" x14ac:dyDescent="0.15">
      <c r="A15" s="48" t="s">
        <v>163</v>
      </c>
    </row>
    <row r="17" spans="1:11" ht="53" customHeight="1" x14ac:dyDescent="0.15">
      <c r="C17" s="73" t="str">
        <f t="shared" ref="C17:D20" si="0">C9</f>
        <v>Seagate</v>
      </c>
      <c r="D17" s="73" t="str">
        <f t="shared" si="0"/>
        <v>Veritas</v>
      </c>
      <c r="E17" s="73" t="s">
        <v>164</v>
      </c>
      <c r="F17" s="73" t="s">
        <v>161</v>
      </c>
    </row>
    <row r="18" spans="1:11" x14ac:dyDescent="0.15">
      <c r="B18" s="45" t="str">
        <f>B10</f>
        <v>Equity</v>
      </c>
      <c r="C18" s="46">
        <f t="shared" si="0"/>
        <v>14597.599999999999</v>
      </c>
      <c r="D18" s="46">
        <f t="shared" si="0"/>
        <v>66396.384000000005</v>
      </c>
      <c r="E18" s="47"/>
    </row>
    <row r="19" spans="1:11" x14ac:dyDescent="0.15">
      <c r="B19" s="45" t="str">
        <f>B11</f>
        <v>Debt</v>
      </c>
      <c r="C19" s="44">
        <f t="shared" si="0"/>
        <v>704</v>
      </c>
      <c r="D19" s="44">
        <f t="shared" si="0"/>
        <v>451</v>
      </c>
    </row>
    <row r="20" spans="1:11" x14ac:dyDescent="0.15">
      <c r="B20" s="45" t="str">
        <f>B12</f>
        <v>Asset</v>
      </c>
      <c r="C20" s="46">
        <f t="shared" si="0"/>
        <v>15301.599999999999</v>
      </c>
      <c r="D20" s="46">
        <f t="shared" si="0"/>
        <v>66847.384000000005</v>
      </c>
      <c r="E20" s="46">
        <f>E12*(1-0.33)</f>
        <v>17794.230911999999</v>
      </c>
      <c r="F20" s="46">
        <f>C20-E20</f>
        <v>-2492.6309120000005</v>
      </c>
    </row>
    <row r="22" spans="1:11" x14ac:dyDescent="0.15">
      <c r="A22" s="41" t="s">
        <v>165</v>
      </c>
    </row>
    <row r="24" spans="1:11" x14ac:dyDescent="0.15">
      <c r="A24" s="69">
        <v>2</v>
      </c>
      <c r="B24" s="70"/>
      <c r="C24" s="70"/>
      <c r="D24" s="70"/>
      <c r="E24" s="70"/>
      <c r="F24" s="70"/>
      <c r="G24" s="70"/>
      <c r="H24" s="70"/>
      <c r="I24" s="70"/>
      <c r="J24" s="70"/>
      <c r="K24" s="70"/>
    </row>
    <row r="25" spans="1:11" x14ac:dyDescent="0.15">
      <c r="A25" s="41" t="s">
        <v>186</v>
      </c>
    </row>
    <row r="26" spans="1:11" x14ac:dyDescent="0.15">
      <c r="B26" s="41" t="s">
        <v>172</v>
      </c>
      <c r="C26" s="52">
        <v>0.33</v>
      </c>
      <c r="D26"/>
      <c r="E26"/>
      <c r="F26"/>
      <c r="G26"/>
      <c r="H26"/>
      <c r="I26"/>
      <c r="J26"/>
    </row>
    <row r="27" spans="1:11" x14ac:dyDescent="0.15">
      <c r="B27" s="41" t="s">
        <v>173</v>
      </c>
      <c r="C27" s="52">
        <v>0.02</v>
      </c>
      <c r="D27"/>
      <c r="E27"/>
      <c r="F27"/>
      <c r="G27"/>
      <c r="H27"/>
      <c r="I27"/>
      <c r="J27"/>
    </row>
    <row r="28" spans="1:11" x14ac:dyDescent="0.15">
      <c r="B28" s="41" t="s">
        <v>144</v>
      </c>
      <c r="C28" s="78">
        <v>0.06</v>
      </c>
      <c r="D28"/>
      <c r="E28"/>
      <c r="F28"/>
      <c r="G28"/>
      <c r="H28"/>
      <c r="I28"/>
      <c r="J28"/>
    </row>
    <row r="29" spans="1:11" x14ac:dyDescent="0.15">
      <c r="B29" s="41" t="s">
        <v>175</v>
      </c>
      <c r="C29" s="6">
        <f>'Exhibit 10'!I6</f>
        <v>5.8400000000000001E-2</v>
      </c>
      <c r="D29"/>
      <c r="E29"/>
      <c r="F29"/>
      <c r="G29"/>
      <c r="H29"/>
      <c r="I29"/>
      <c r="J29" s="81" t="s">
        <v>259</v>
      </c>
    </row>
    <row r="30" spans="1:11" x14ac:dyDescent="0.15">
      <c r="C30"/>
      <c r="D30" s="76">
        <v>1</v>
      </c>
      <c r="E30" s="76">
        <v>2</v>
      </c>
      <c r="F30" s="76">
        <v>3</v>
      </c>
      <c r="G30" s="76">
        <v>4</v>
      </c>
      <c r="H30" s="76">
        <v>5</v>
      </c>
      <c r="I30" s="76">
        <v>6</v>
      </c>
      <c r="J30" s="76">
        <v>6</v>
      </c>
    </row>
    <row r="31" spans="1:11" x14ac:dyDescent="0.15">
      <c r="B31" s="41" t="s">
        <v>30</v>
      </c>
      <c r="C31" s="8"/>
      <c r="D31" s="8">
        <f>'Exhibit 8'!C11</f>
        <v>189</v>
      </c>
      <c r="E31" s="8">
        <f>'Exhibit 8'!D11</f>
        <v>316</v>
      </c>
      <c r="F31" s="8">
        <f>'Exhibit 8'!E11</f>
        <v>449</v>
      </c>
      <c r="G31" s="8">
        <f>'Exhibit 8'!F11</f>
        <v>499</v>
      </c>
      <c r="H31" s="8">
        <f>'Exhibit 8'!G11</f>
        <v>614</v>
      </c>
      <c r="I31" s="8">
        <f>'Exhibit 8'!H11</f>
        <v>724</v>
      </c>
      <c r="J31"/>
    </row>
    <row r="32" spans="1:11" x14ac:dyDescent="0.15">
      <c r="B32" s="41" t="s">
        <v>166</v>
      </c>
      <c r="C32" s="8"/>
      <c r="D32" s="8">
        <f t="shared" ref="D32:I32" si="1">D31*(1-$C$26)</f>
        <v>126.62999999999998</v>
      </c>
      <c r="E32" s="8">
        <f t="shared" si="1"/>
        <v>211.71999999999997</v>
      </c>
      <c r="F32" s="8">
        <f t="shared" si="1"/>
        <v>300.83</v>
      </c>
      <c r="G32" s="8">
        <f t="shared" si="1"/>
        <v>334.33</v>
      </c>
      <c r="H32" s="8">
        <f t="shared" si="1"/>
        <v>411.37999999999994</v>
      </c>
      <c r="I32" s="8">
        <f t="shared" si="1"/>
        <v>485.07999999999993</v>
      </c>
      <c r="J32"/>
    </row>
    <row r="33" spans="2:10" x14ac:dyDescent="0.15">
      <c r="B33" s="41" t="s">
        <v>167</v>
      </c>
      <c r="C33" s="8"/>
      <c r="D33" s="8">
        <f>'Exhibit 8'!C13</f>
        <v>626</v>
      </c>
      <c r="E33" s="8">
        <f>'Exhibit 8'!D13</f>
        <v>642</v>
      </c>
      <c r="F33" s="8">
        <f>'Exhibit 8'!E13</f>
        <v>666</v>
      </c>
      <c r="G33" s="8">
        <f>'Exhibit 8'!F13</f>
        <v>708</v>
      </c>
      <c r="H33" s="8">
        <f>'Exhibit 8'!G13</f>
        <v>726</v>
      </c>
      <c r="I33" s="8">
        <f>'Exhibit 8'!H13</f>
        <v>729</v>
      </c>
      <c r="J33"/>
    </row>
    <row r="34" spans="2:10" x14ac:dyDescent="0.15">
      <c r="B34" s="41" t="s">
        <v>168</v>
      </c>
      <c r="C34" s="8"/>
      <c r="D34" s="8">
        <f>'Exhibit 8'!C15</f>
        <v>690</v>
      </c>
      <c r="E34" s="8">
        <f>'Exhibit 8'!D15</f>
        <v>720</v>
      </c>
      <c r="F34" s="8">
        <f>'Exhibit 8'!E15</f>
        <v>795</v>
      </c>
      <c r="G34" s="8">
        <f>'Exhibit 8'!F15</f>
        <v>700</v>
      </c>
      <c r="H34" s="8">
        <f>'Exhibit 8'!G15</f>
        <v>725</v>
      </c>
      <c r="I34" s="8">
        <f>'Exhibit 8'!H15</f>
        <v>750</v>
      </c>
      <c r="J34"/>
    </row>
    <row r="35" spans="2:10" x14ac:dyDescent="0.15">
      <c r="B35" s="41" t="s">
        <v>169</v>
      </c>
      <c r="C35" s="8"/>
      <c r="D35" s="8">
        <f t="shared" ref="D35:I35" si="2">D36-C36</f>
        <v>183.53999999999996</v>
      </c>
      <c r="E35" s="8">
        <f t="shared" si="2"/>
        <v>263.80999999999995</v>
      </c>
      <c r="F35" s="8">
        <f t="shared" si="2"/>
        <v>216.20000000000005</v>
      </c>
      <c r="G35" s="8">
        <f t="shared" si="2"/>
        <v>209.76000000000022</v>
      </c>
      <c r="H35" s="8">
        <f t="shared" si="2"/>
        <v>216.88999999999987</v>
      </c>
      <c r="I35" s="8">
        <f t="shared" si="2"/>
        <v>227.92999999999984</v>
      </c>
      <c r="J35"/>
    </row>
    <row r="36" spans="2:10" x14ac:dyDescent="0.15">
      <c r="B36" s="48" t="s">
        <v>170</v>
      </c>
      <c r="C36" s="8">
        <f>0.23*'Exhibit 8'!B7</f>
        <v>1522.3700000000001</v>
      </c>
      <c r="D36" s="8">
        <f>0.23*'Exhibit 8'!C7</f>
        <v>1705.91</v>
      </c>
      <c r="E36" s="8">
        <f>0.23*'Exhibit 8'!D7</f>
        <v>1969.72</v>
      </c>
      <c r="F36" s="8">
        <f>0.23*'Exhibit 8'!E7</f>
        <v>2185.92</v>
      </c>
      <c r="G36" s="8">
        <f>0.23*'Exhibit 8'!F7</f>
        <v>2395.6800000000003</v>
      </c>
      <c r="H36" s="8">
        <f>0.23*'Exhibit 8'!G7</f>
        <v>2612.5700000000002</v>
      </c>
      <c r="I36" s="8">
        <f>0.23*'Exhibit 8'!H7</f>
        <v>2840.5</v>
      </c>
      <c r="J36"/>
    </row>
    <row r="37" spans="2:10" x14ac:dyDescent="0.15">
      <c r="C37" s="21"/>
      <c r="D37" s="21"/>
      <c r="E37" s="21"/>
      <c r="F37" s="21"/>
      <c r="G37" s="21"/>
      <c r="H37" s="21"/>
      <c r="I37" s="21"/>
      <c r="J37"/>
    </row>
    <row r="38" spans="2:10" x14ac:dyDescent="0.15">
      <c r="B38" s="41" t="s">
        <v>171</v>
      </c>
      <c r="C38" s="43"/>
      <c r="D38" s="50">
        <f t="shared" ref="D38:I38" si="3">D32+D33-D34-D35</f>
        <v>-120.90999999999997</v>
      </c>
      <c r="E38" s="50">
        <f t="shared" si="3"/>
        <v>-130.08999999999992</v>
      </c>
      <c r="F38" s="50">
        <f t="shared" si="3"/>
        <v>-44.370000000000118</v>
      </c>
      <c r="G38" s="50">
        <f t="shared" si="3"/>
        <v>132.56999999999971</v>
      </c>
      <c r="H38" s="50">
        <f t="shared" si="3"/>
        <v>195.49</v>
      </c>
      <c r="I38" s="50">
        <f t="shared" si="3"/>
        <v>236.15000000000009</v>
      </c>
      <c r="J38" s="43">
        <f>(I38*(1+C27))/(C42-C27)</f>
        <v>2922.6588433870543</v>
      </c>
    </row>
    <row r="39" spans="2:10" x14ac:dyDescent="0.15">
      <c r="B39" s="41" t="s">
        <v>185</v>
      </c>
      <c r="C39" s="43"/>
      <c r="D39" s="43">
        <f t="shared" ref="D39:J39" si="4">D38/(1+$C42)^D30</f>
        <v>-109.67731958169792</v>
      </c>
      <c r="E39" s="43">
        <f t="shared" si="4"/>
        <v>-107.04173199678874</v>
      </c>
      <c r="F39" s="43">
        <f t="shared" si="4"/>
        <v>-33.117172453757789</v>
      </c>
      <c r="G39" s="43">
        <f t="shared" si="4"/>
        <v>89.756040143758355</v>
      </c>
      <c r="H39" s="43">
        <f t="shared" si="4"/>
        <v>120.05979056506958</v>
      </c>
      <c r="I39" s="43">
        <f t="shared" si="4"/>
        <v>131.55749386359824</v>
      </c>
      <c r="J39" s="43">
        <f t="shared" si="4"/>
        <v>1628.1925591966267</v>
      </c>
    </row>
    <row r="40" spans="2:10" x14ac:dyDescent="0.15">
      <c r="B40" s="5" t="s">
        <v>184</v>
      </c>
      <c r="C40" s="80">
        <f>SUM(D39:J39)</f>
        <v>1719.7296597368083</v>
      </c>
      <c r="D40" s="43"/>
      <c r="E40" s="43"/>
      <c r="F40" s="43"/>
      <c r="G40" s="43"/>
      <c r="H40" s="43"/>
      <c r="I40" s="43"/>
      <c r="J40" s="43"/>
    </row>
    <row r="41" spans="2:10" x14ac:dyDescent="0.15">
      <c r="C41"/>
      <c r="D41"/>
      <c r="E41"/>
      <c r="F41"/>
      <c r="G41"/>
      <c r="H41"/>
      <c r="I41"/>
      <c r="J41"/>
    </row>
    <row r="42" spans="2:10" x14ac:dyDescent="0.15">
      <c r="B42" s="41" t="s">
        <v>174</v>
      </c>
      <c r="C42" s="51">
        <f>C56</f>
        <v>0.10241570874582599</v>
      </c>
      <c r="D42"/>
      <c r="E42"/>
      <c r="F42"/>
      <c r="G42"/>
      <c r="H42" s="5" t="s">
        <v>189</v>
      </c>
      <c r="I42"/>
      <c r="J42"/>
    </row>
    <row r="43" spans="2:10" x14ac:dyDescent="0.15">
      <c r="C43"/>
      <c r="D43"/>
      <c r="E43"/>
      <c r="F43"/>
      <c r="G43"/>
      <c r="H43" s="38" t="s">
        <v>148</v>
      </c>
      <c r="I43" s="52">
        <f>'Exhibit 3'!D32*Answers!C28+Answers!C29</f>
        <v>0.13039999999999999</v>
      </c>
      <c r="J43"/>
    </row>
    <row r="44" spans="2:10" x14ac:dyDescent="0.15">
      <c r="B44" s="5" t="s">
        <v>177</v>
      </c>
      <c r="C44" s="41" t="s">
        <v>4</v>
      </c>
      <c r="D44" s="41" t="s">
        <v>5</v>
      </c>
      <c r="E44" s="41" t="s">
        <v>10</v>
      </c>
      <c r="F44" s="41" t="s">
        <v>7</v>
      </c>
      <c r="G44"/>
      <c r="H44" s="38" t="s">
        <v>149</v>
      </c>
      <c r="I44" s="52">
        <f>Answers!C10/(Answers!C11+Answers!C10)</f>
        <v>0.9539917394259424</v>
      </c>
      <c r="J44"/>
    </row>
    <row r="45" spans="2:10" x14ac:dyDescent="0.15">
      <c r="B45" s="41" t="s">
        <v>176</v>
      </c>
      <c r="C45" s="36">
        <f>'Exhibit 3'!D32</f>
        <v>1.2</v>
      </c>
      <c r="D45" s="37">
        <f>'Exhibit 3'!G32</f>
        <v>0.8</v>
      </c>
      <c r="E45" s="37">
        <f>'Exhibit 3'!J32</f>
        <v>0.6</v>
      </c>
      <c r="F45" s="37">
        <f>'Exhibit 3'!M32</f>
        <v>1</v>
      </c>
      <c r="G45" s="37"/>
      <c r="H45" s="38" t="s">
        <v>150</v>
      </c>
      <c r="I45" s="6">
        <f>C47*C28+C29</f>
        <v>7.6399999999999996E-2</v>
      </c>
      <c r="J45"/>
    </row>
    <row r="46" spans="2:10" x14ac:dyDescent="0.15">
      <c r="B46" s="41" t="s">
        <v>180</v>
      </c>
      <c r="C46" s="37">
        <f>'Exhibit 3'!D35*'Exhibit 3'!D36</f>
        <v>14597.599999999999</v>
      </c>
      <c r="D46" s="37">
        <f>'Exhibit 3'!G35*'Exhibit 3'!G36</f>
        <v>733.07499999999993</v>
      </c>
      <c r="E46" s="37">
        <f>'Exhibit 3'!J35*'Exhibit 3'!J36</f>
        <v>669.70624999999995</v>
      </c>
      <c r="F46" s="37">
        <f>'Exhibit 3'!M35*'Exhibit 3'!M36</f>
        <v>1315.95</v>
      </c>
      <c r="G46" s="37"/>
      <c r="H46" s="38" t="s">
        <v>151</v>
      </c>
      <c r="I46" s="52">
        <f>1-I44</f>
        <v>4.6008260574057602E-2</v>
      </c>
      <c r="J46"/>
    </row>
    <row r="47" spans="2:10" x14ac:dyDescent="0.15">
      <c r="B47" s="41" t="s">
        <v>178</v>
      </c>
      <c r="C47" s="37">
        <v>0.3</v>
      </c>
      <c r="D47" s="37">
        <v>0.3</v>
      </c>
      <c r="E47" s="37">
        <v>0.3</v>
      </c>
      <c r="F47" s="37">
        <v>0.3</v>
      </c>
      <c r="G47" s="37"/>
      <c r="H47"/>
      <c r="I47"/>
      <c r="J47"/>
    </row>
    <row r="48" spans="2:10" x14ac:dyDescent="0.15">
      <c r="B48" s="41" t="s">
        <v>179</v>
      </c>
      <c r="C48" s="37">
        <f>'Exhibit 3'!D33</f>
        <v>704</v>
      </c>
      <c r="D48" s="37">
        <f>'Exhibit 3'!G33</f>
        <v>110</v>
      </c>
      <c r="E48" s="37">
        <f>'Exhibit 3'!J33</f>
        <v>236</v>
      </c>
      <c r="F48" s="37">
        <f>'Exhibit 3'!M33</f>
        <v>114</v>
      </c>
      <c r="G48" s="37"/>
      <c r="H48"/>
      <c r="I48" s="55">
        <f>I43*I44+I45*I46</f>
        <v>0.12791555392900086</v>
      </c>
      <c r="J48"/>
    </row>
    <row r="49" spans="1:10" x14ac:dyDescent="0.15">
      <c r="C49"/>
      <c r="D49"/>
      <c r="E49"/>
      <c r="F49"/>
      <c r="G49"/>
      <c r="H49"/>
      <c r="I49"/>
      <c r="J49"/>
    </row>
    <row r="50" spans="1:10" x14ac:dyDescent="0.15">
      <c r="B50" s="41" t="s">
        <v>149</v>
      </c>
      <c r="C50" s="77">
        <f>C46/(C46+C48)</f>
        <v>0.9539917394259424</v>
      </c>
      <c r="D50" s="77">
        <f>D46/(D46+D48)</f>
        <v>0.8695252498294932</v>
      </c>
      <c r="E50" s="77">
        <f>E46/(E46+E48)</f>
        <v>0.73942986481544093</v>
      </c>
      <c r="F50" s="77">
        <f>F46/(F46+F48)</f>
        <v>0.92027693275988676</v>
      </c>
      <c r="G50" s="53"/>
      <c r="H50"/>
      <c r="I50"/>
      <c r="J50"/>
    </row>
    <row r="51" spans="1:10" x14ac:dyDescent="0.15">
      <c r="B51" s="41" t="s">
        <v>151</v>
      </c>
      <c r="C51" s="40">
        <f>1-C50</f>
        <v>4.6008260574057602E-2</v>
      </c>
      <c r="D51" s="40">
        <f>1-D50</f>
        <v>0.1304747501705068</v>
      </c>
      <c r="E51" s="40">
        <f>1-E50</f>
        <v>0.26057013518455907</v>
      </c>
      <c r="F51" s="40">
        <f>1-F50</f>
        <v>7.9723067240113243E-2</v>
      </c>
      <c r="G51" s="37"/>
      <c r="H51"/>
      <c r="I51"/>
      <c r="J51"/>
    </row>
    <row r="52" spans="1:10" x14ac:dyDescent="0.15">
      <c r="C52" s="37"/>
      <c r="D52" s="37"/>
      <c r="E52" s="37"/>
      <c r="F52" s="37"/>
      <c r="G52" s="37"/>
      <c r="H52"/>
      <c r="I52"/>
      <c r="J52"/>
    </row>
    <row r="53" spans="1:10" x14ac:dyDescent="0.15">
      <c r="B53" s="41" t="s">
        <v>181</v>
      </c>
      <c r="C53" s="37">
        <f>C50*C45+C51*C47</f>
        <v>1.158592565483348</v>
      </c>
      <c r="D53" s="37">
        <f>D50*D45+D51*D47</f>
        <v>0.73476262491474664</v>
      </c>
      <c r="E53" s="37">
        <f>E50*E45+E51*E47</f>
        <v>0.52182895944463226</v>
      </c>
      <c r="F53" s="37">
        <f>F50*F45+F51*F47</f>
        <v>0.94419385293192071</v>
      </c>
      <c r="G53" s="37"/>
      <c r="H53"/>
      <c r="I53"/>
      <c r="J53"/>
    </row>
    <row r="54" spans="1:10" x14ac:dyDescent="0.15">
      <c r="C54"/>
      <c r="D54"/>
      <c r="E54"/>
      <c r="F54"/>
      <c r="G54"/>
      <c r="H54"/>
      <c r="I54"/>
      <c r="J54"/>
    </row>
    <row r="55" spans="1:10" x14ac:dyDescent="0.15">
      <c r="B55" s="41" t="s">
        <v>182</v>
      </c>
      <c r="C55" s="55">
        <f>C53*$C28+$C29</f>
        <v>0.12791555392900086</v>
      </c>
      <c r="D55" s="51">
        <f>D53*$C28+$C29</f>
        <v>0.1024857574948848</v>
      </c>
      <c r="E55" s="51">
        <f>E53*$C28+$C29</f>
        <v>8.9709737566677938E-2</v>
      </c>
      <c r="F55" s="51">
        <f>F53*$C28+$C29</f>
        <v>0.11505163117591524</v>
      </c>
      <c r="G55" s="51"/>
      <c r="H55"/>
      <c r="I55"/>
      <c r="J55"/>
    </row>
    <row r="56" spans="1:10" x14ac:dyDescent="0.15">
      <c r="B56" s="41" t="s">
        <v>183</v>
      </c>
      <c r="C56" s="51">
        <f>AVERAGE(D55:F55)</f>
        <v>0.10241570874582599</v>
      </c>
      <c r="D56"/>
      <c r="E56"/>
      <c r="F56"/>
      <c r="G56"/>
      <c r="H56"/>
      <c r="I56"/>
      <c r="J56"/>
    </row>
    <row r="57" spans="1:10" x14ac:dyDescent="0.15">
      <c r="D57"/>
      <c r="E57"/>
      <c r="F57"/>
      <c r="G57"/>
      <c r="H57"/>
      <c r="I57"/>
      <c r="J57"/>
    </row>
    <row r="58" spans="1:10" x14ac:dyDescent="0.15">
      <c r="A58" s="3" t="s">
        <v>187</v>
      </c>
    </row>
    <row r="59" spans="1:10" x14ac:dyDescent="0.15">
      <c r="B59" s="41" t="s">
        <v>181</v>
      </c>
      <c r="C59" s="62">
        <f>C53</f>
        <v>1.158592565483348</v>
      </c>
    </row>
    <row r="60" spans="1:10" x14ac:dyDescent="0.15">
      <c r="B60" s="41" t="s">
        <v>188</v>
      </c>
      <c r="C60" s="63">
        <f>C55</f>
        <v>0.12791555392900086</v>
      </c>
    </row>
    <row r="62" spans="1:10" x14ac:dyDescent="0.15">
      <c r="A62" s="3" t="s">
        <v>190</v>
      </c>
    </row>
    <row r="63" spans="1:10" x14ac:dyDescent="0.15">
      <c r="B63" s="41" t="s">
        <v>192</v>
      </c>
      <c r="C63" s="46">
        <f>J38</f>
        <v>2922.6588433870543</v>
      </c>
    </row>
    <row r="65" spans="1:9" x14ac:dyDescent="0.15">
      <c r="A65" s="41" t="s">
        <v>191</v>
      </c>
    </row>
    <row r="66" spans="1:9" x14ac:dyDescent="0.15">
      <c r="B66" s="41" t="s">
        <v>193</v>
      </c>
      <c r="C66" s="59">
        <f>I31+I33</f>
        <v>1453</v>
      </c>
      <c r="D66" s="60"/>
      <c r="E66" s="60"/>
      <c r="F66" s="60"/>
      <c r="G66" s="60"/>
      <c r="H66" s="60"/>
      <c r="I66" s="60"/>
    </row>
    <row r="67" spans="1:9" x14ac:dyDescent="0.15">
      <c r="B67" s="41" t="s">
        <v>194</v>
      </c>
      <c r="C67" s="42" t="s">
        <v>195</v>
      </c>
      <c r="D67" s="60"/>
      <c r="E67" s="60"/>
      <c r="F67" s="60"/>
      <c r="G67" s="60"/>
      <c r="H67" s="60"/>
      <c r="I67" s="60"/>
    </row>
    <row r="68" spans="1:9" x14ac:dyDescent="0.15">
      <c r="C68" s="61">
        <v>6</v>
      </c>
      <c r="D68" s="61">
        <v>6.5</v>
      </c>
      <c r="E68" s="61">
        <v>7</v>
      </c>
      <c r="F68" s="61">
        <v>7.5</v>
      </c>
      <c r="G68" s="61">
        <v>8</v>
      </c>
      <c r="H68" s="61">
        <v>8.5</v>
      </c>
      <c r="I68" s="61">
        <v>9</v>
      </c>
    </row>
    <row r="69" spans="1:9" x14ac:dyDescent="0.15">
      <c r="C69" s="59">
        <f>$C66*C68</f>
        <v>8718</v>
      </c>
      <c r="D69" s="59">
        <f t="shared" ref="D69:I69" si="5">$C66*D68</f>
        <v>9444.5</v>
      </c>
      <c r="E69" s="59">
        <f t="shared" si="5"/>
        <v>10171</v>
      </c>
      <c r="F69" s="59">
        <f t="shared" si="5"/>
        <v>10897.5</v>
      </c>
      <c r="G69" s="59">
        <f t="shared" si="5"/>
        <v>11624</v>
      </c>
      <c r="H69" s="59">
        <f t="shared" si="5"/>
        <v>12350.5</v>
      </c>
      <c r="I69" s="59">
        <f t="shared" si="5"/>
        <v>13077</v>
      </c>
    </row>
    <row r="70" spans="1:9" x14ac:dyDescent="0.15">
      <c r="C70" s="60"/>
      <c r="D70" s="60"/>
      <c r="E70" s="60"/>
      <c r="F70" s="60"/>
      <c r="G70" s="60"/>
      <c r="H70" s="60"/>
      <c r="I70" s="60"/>
    </row>
    <row r="71" spans="1:9" x14ac:dyDescent="0.15">
      <c r="B71" s="41" t="s">
        <v>196</v>
      </c>
      <c r="C71" s="59">
        <f>F69</f>
        <v>10897.5</v>
      </c>
      <c r="D71" s="60"/>
      <c r="E71" s="60"/>
      <c r="F71" s="60"/>
      <c r="G71" s="60"/>
      <c r="H71" s="60"/>
      <c r="I71" s="60"/>
    </row>
    <row r="72" spans="1:9" x14ac:dyDescent="0.15">
      <c r="C72" s="57"/>
    </row>
    <row r="73" spans="1:9" x14ac:dyDescent="0.15">
      <c r="B73" s="41" t="s">
        <v>197</v>
      </c>
    </row>
    <row r="74" spans="1:9" x14ac:dyDescent="0.15">
      <c r="B74" s="41" t="s">
        <v>235</v>
      </c>
      <c r="C74" s="56">
        <v>7.9033998456925159E-2</v>
      </c>
    </row>
    <row r="76" spans="1:9" x14ac:dyDescent="0.15">
      <c r="A76" s="3" t="s">
        <v>198</v>
      </c>
    </row>
    <row r="77" spans="1:9" x14ac:dyDescent="0.15">
      <c r="B77" s="41" t="s">
        <v>184</v>
      </c>
      <c r="C77" s="46">
        <f>C40</f>
        <v>1719.7296597368083</v>
      </c>
    </row>
    <row r="78" spans="1:9" x14ac:dyDescent="0.15">
      <c r="B78" s="41" t="s">
        <v>199</v>
      </c>
      <c r="C78" s="44">
        <v>765</v>
      </c>
    </row>
    <row r="79" spans="1:9" x14ac:dyDescent="0.15">
      <c r="B79" s="41" t="s">
        <v>200</v>
      </c>
      <c r="C79" s="46">
        <f>C77+C78</f>
        <v>2484.7296597368086</v>
      </c>
    </row>
    <row r="81" spans="1:18" x14ac:dyDescent="0.15">
      <c r="A81" s="41" t="s">
        <v>201</v>
      </c>
    </row>
    <row r="82" spans="1:18" x14ac:dyDescent="0.15">
      <c r="B82" s="41" t="s">
        <v>219</v>
      </c>
    </row>
    <row r="83" spans="1:18" x14ac:dyDescent="0.15">
      <c r="B83" s="41" t="s">
        <v>220</v>
      </c>
    </row>
    <row r="84" spans="1:18" x14ac:dyDescent="0.15">
      <c r="B84" s="41" t="s">
        <v>231</v>
      </c>
    </row>
    <row r="85" spans="1:18" ht="66" customHeight="1" x14ac:dyDescent="0.15">
      <c r="A85" s="72"/>
      <c r="C85" s="41" t="s">
        <v>221</v>
      </c>
      <c r="D85" s="41" t="s">
        <v>202</v>
      </c>
      <c r="E85" s="41" t="s">
        <v>226</v>
      </c>
      <c r="F85" s="74"/>
      <c r="G85" s="73" t="s">
        <v>227</v>
      </c>
      <c r="H85" s="73" t="s">
        <v>223</v>
      </c>
      <c r="I85" s="73" t="s">
        <v>228</v>
      </c>
      <c r="K85" s="73" t="s">
        <v>229</v>
      </c>
      <c r="L85" s="73" t="s">
        <v>230</v>
      </c>
      <c r="M85" s="41" t="s">
        <v>221</v>
      </c>
      <c r="N85" s="41" t="s">
        <v>222</v>
      </c>
      <c r="O85" s="41" t="s">
        <v>225</v>
      </c>
      <c r="P85" s="41" t="s">
        <v>224</v>
      </c>
      <c r="R85" s="73" t="s">
        <v>232</v>
      </c>
    </row>
    <row r="86" spans="1:18" x14ac:dyDescent="0.15">
      <c r="B86" s="41" t="s">
        <v>264</v>
      </c>
      <c r="C86" s="58">
        <v>0.5</v>
      </c>
      <c r="D86" s="3">
        <v>250</v>
      </c>
      <c r="E86" s="3">
        <f>SUMPRODUCT(C86:C87,D86:D87)</f>
        <v>175</v>
      </c>
      <c r="G86" s="3">
        <v>120</v>
      </c>
      <c r="I86" s="5">
        <f>E86-G86</f>
        <v>55</v>
      </c>
      <c r="M86" s="58">
        <f>C86</f>
        <v>0.5</v>
      </c>
      <c r="N86" s="3">
        <f>D86</f>
        <v>250</v>
      </c>
      <c r="O86" s="3">
        <f>N86-G86</f>
        <v>130</v>
      </c>
      <c r="P86" s="5">
        <f>SUMPRODUCT(M86:M87,O86:O87)</f>
        <v>65</v>
      </c>
      <c r="R86" s="41" t="s">
        <v>233</v>
      </c>
    </row>
    <row r="87" spans="1:18" x14ac:dyDescent="0.15">
      <c r="B87" s="41" t="s">
        <v>265</v>
      </c>
      <c r="C87" s="58">
        <v>0.5</v>
      </c>
      <c r="D87" s="3">
        <v>100</v>
      </c>
      <c r="I87" s="41"/>
      <c r="M87" s="58">
        <f>C87</f>
        <v>0.5</v>
      </c>
      <c r="N87" s="3">
        <f>D87</f>
        <v>100</v>
      </c>
      <c r="O87" s="3">
        <f>MAX(N87-G86,0)</f>
        <v>0</v>
      </c>
    </row>
    <row r="88" spans="1:18" x14ac:dyDescent="0.15">
      <c r="H88" s="41"/>
      <c r="P88" s="58"/>
    </row>
    <row r="89" spans="1:18" x14ac:dyDescent="0.15">
      <c r="B89" s="79" t="s">
        <v>263</v>
      </c>
      <c r="H89" s="41"/>
      <c r="K89" s="58"/>
    </row>
    <row r="90" spans="1:18" x14ac:dyDescent="0.15">
      <c r="B90" s="79" t="s">
        <v>262</v>
      </c>
    </row>
    <row r="91" spans="1:18" x14ac:dyDescent="0.15">
      <c r="B91" s="41"/>
    </row>
    <row r="92" spans="1:18" x14ac:dyDescent="0.15">
      <c r="A92" s="69">
        <v>3</v>
      </c>
      <c r="B92" s="70"/>
      <c r="C92" s="70"/>
      <c r="D92" s="70"/>
      <c r="E92" s="70"/>
      <c r="F92" s="70"/>
      <c r="G92" s="70"/>
      <c r="H92" s="70"/>
      <c r="I92" s="70"/>
      <c r="J92" s="70"/>
      <c r="K92" s="70"/>
    </row>
    <row r="93" spans="1:18" x14ac:dyDescent="0.15">
      <c r="A93" s="41" t="s">
        <v>204</v>
      </c>
    </row>
    <row r="94" spans="1:18" x14ac:dyDescent="0.15">
      <c r="B94" s="41" t="s">
        <v>202</v>
      </c>
      <c r="C94" s="46">
        <f>C40</f>
        <v>1719.7296597368083</v>
      </c>
    </row>
    <row r="95" spans="1:18" x14ac:dyDescent="0.15">
      <c r="B95" s="41" t="s">
        <v>147</v>
      </c>
      <c r="C95" s="46">
        <v>1000</v>
      </c>
    </row>
    <row r="96" spans="1:18" x14ac:dyDescent="0.15">
      <c r="B96" s="41" t="s">
        <v>203</v>
      </c>
      <c r="C96" s="52">
        <f>C95/C94</f>
        <v>0.58148674376706533</v>
      </c>
    </row>
    <row r="97" spans="1:9" x14ac:dyDescent="0.15">
      <c r="B97" s="41"/>
      <c r="C97" s="52"/>
    </row>
    <row r="98" spans="1:9" x14ac:dyDescent="0.15">
      <c r="A98" s="41" t="s">
        <v>206</v>
      </c>
    </row>
    <row r="99" spans="1:9" x14ac:dyDescent="0.15">
      <c r="A99" s="41"/>
      <c r="C99" s="76" t="s">
        <v>113</v>
      </c>
      <c r="D99" s="76" t="s">
        <v>121</v>
      </c>
      <c r="E99" s="76" t="s">
        <v>124</v>
      </c>
      <c r="F99" s="76" t="s">
        <v>70</v>
      </c>
      <c r="G99" s="76" t="s">
        <v>114</v>
      </c>
      <c r="H99" s="76" t="s">
        <v>115</v>
      </c>
      <c r="I99" s="76" t="s">
        <v>125</v>
      </c>
    </row>
    <row r="100" spans="1:9" x14ac:dyDescent="0.15">
      <c r="B100" s="41" t="s">
        <v>234</v>
      </c>
      <c r="C100" s="88">
        <f>ABS('Exhibit 11'!B7-Answers!$C96)</f>
        <v>0.5444867437670653</v>
      </c>
      <c r="D100" s="88">
        <f>ABS('Exhibit 11'!C7-Answers!$C96)</f>
        <v>0.48948674376706536</v>
      </c>
      <c r="E100" s="88">
        <f>ABS('Exhibit 11'!D7-Answers!$C96)</f>
        <v>0.41748674376706529</v>
      </c>
      <c r="F100" s="88">
        <f>ABS('Exhibit 11'!E7-Answers!$C96)</f>
        <v>0.27748674376706534</v>
      </c>
      <c r="G100" s="88">
        <f>ABS('Exhibit 11'!F7-Answers!$C96)</f>
        <v>0.10648674376706535</v>
      </c>
      <c r="H100" s="88">
        <f>ABS('Exhibit 11'!G7-Answers!$C96)</f>
        <v>1.1513256232934643E-2</v>
      </c>
      <c r="I100" s="88">
        <f>ABS('Exhibit 11'!H7-Answers!$C96)</f>
        <v>0.16151325623293467</v>
      </c>
    </row>
    <row r="101" spans="1:9" x14ac:dyDescent="0.15">
      <c r="B101" s="41" t="s">
        <v>205</v>
      </c>
      <c r="C101" s="3" t="str">
        <f>INDEX('Exhibit 11'!B4:H4,MATCH(MIN(C100:I100),C100:I100,0))</f>
        <v>B</v>
      </c>
    </row>
    <row r="102" spans="1:9" x14ac:dyDescent="0.15">
      <c r="B102" s="41" t="s">
        <v>207</v>
      </c>
      <c r="C102" s="65">
        <f>INDEX('Exhibit 10'!A6:F6,MATCH(C101,'Exhibit 10'!A4:F4,0))</f>
        <v>0.10440000000000001</v>
      </c>
    </row>
    <row r="104" spans="1:9" x14ac:dyDescent="0.15">
      <c r="A104" s="41" t="s">
        <v>210</v>
      </c>
    </row>
    <row r="105" spans="1:9" x14ac:dyDescent="0.15">
      <c r="A105" s="41"/>
      <c r="B105" s="41" t="s">
        <v>171</v>
      </c>
      <c r="C105" s="67">
        <f t="shared" ref="C105:H105" si="6">D38</f>
        <v>-120.90999999999997</v>
      </c>
      <c r="D105" s="67">
        <f t="shared" si="6"/>
        <v>-130.08999999999992</v>
      </c>
      <c r="E105" s="67">
        <f t="shared" si="6"/>
        <v>-44.370000000000118</v>
      </c>
      <c r="F105" s="67">
        <f t="shared" si="6"/>
        <v>132.56999999999971</v>
      </c>
      <c r="G105" s="67">
        <f t="shared" si="6"/>
        <v>195.49</v>
      </c>
      <c r="H105" s="67">
        <f t="shared" si="6"/>
        <v>236.15000000000009</v>
      </c>
    </row>
    <row r="106" spans="1:9" x14ac:dyDescent="0.15">
      <c r="B106" s="41" t="s">
        <v>260</v>
      </c>
      <c r="C106" s="46">
        <f>C95</f>
        <v>1000</v>
      </c>
      <c r="D106" s="46">
        <f>C109</f>
        <v>1225.31</v>
      </c>
      <c r="E106" s="46">
        <f t="shared" ref="E106:G106" si="7">D109</f>
        <v>1483.3223639999999</v>
      </c>
      <c r="F106" s="46">
        <f t="shared" si="7"/>
        <v>1682.5512188016</v>
      </c>
      <c r="G106" s="46">
        <f t="shared" si="7"/>
        <v>1725.6395660444873</v>
      </c>
      <c r="H106" s="46">
        <f t="shared" ref="H106" si="8">G109</f>
        <v>1710.3063367395318</v>
      </c>
    </row>
    <row r="107" spans="1:9" x14ac:dyDescent="0.15">
      <c r="B107" s="41" t="s">
        <v>208</v>
      </c>
      <c r="C107" s="46">
        <f>C106*$C102</f>
        <v>104.4</v>
      </c>
      <c r="D107" s="46">
        <f t="shared" ref="D107:H107" si="9">D106*$C102</f>
        <v>127.922364</v>
      </c>
      <c r="E107" s="46">
        <f t="shared" si="9"/>
        <v>154.85885480159999</v>
      </c>
      <c r="F107" s="46">
        <f>F106*$C102</f>
        <v>175.65834724288706</v>
      </c>
      <c r="G107" s="46">
        <f t="shared" si="9"/>
        <v>180.15677069504449</v>
      </c>
      <c r="H107" s="46">
        <f t="shared" si="9"/>
        <v>178.55598155560713</v>
      </c>
    </row>
    <row r="108" spans="1:9" x14ac:dyDescent="0.15">
      <c r="B108" s="41" t="s">
        <v>209</v>
      </c>
      <c r="C108" s="46">
        <f>C105-C107</f>
        <v>-225.30999999999997</v>
      </c>
      <c r="D108" s="46">
        <f t="shared" ref="D108:H108" si="10">D105-D107</f>
        <v>-258.01236399999993</v>
      </c>
      <c r="E108" s="46">
        <f t="shared" si="10"/>
        <v>-199.22885480160011</v>
      </c>
      <c r="F108" s="46">
        <f>F105-F107</f>
        <v>-43.088347242887352</v>
      </c>
      <c r="G108" s="46">
        <f t="shared" si="10"/>
        <v>15.333229304955523</v>
      </c>
      <c r="H108" s="46">
        <f t="shared" si="10"/>
        <v>57.594018444392958</v>
      </c>
    </row>
    <row r="109" spans="1:9" x14ac:dyDescent="0.15">
      <c r="B109" s="41" t="s">
        <v>261</v>
      </c>
      <c r="C109" s="46">
        <f>C106-C108</f>
        <v>1225.31</v>
      </c>
      <c r="D109" s="46">
        <f t="shared" ref="D109:H109" si="11">D106-D108</f>
        <v>1483.3223639999999</v>
      </c>
      <c r="E109" s="46">
        <f t="shared" si="11"/>
        <v>1682.5512188016</v>
      </c>
      <c r="F109" s="46">
        <f t="shared" si="11"/>
        <v>1725.6395660444873</v>
      </c>
      <c r="G109" s="46">
        <f t="shared" si="11"/>
        <v>1710.3063367395318</v>
      </c>
      <c r="H109" s="46">
        <f t="shared" si="11"/>
        <v>1652.7123182951389</v>
      </c>
    </row>
    <row r="111" spans="1:9" x14ac:dyDescent="0.15">
      <c r="A111" s="41" t="s">
        <v>211</v>
      </c>
    </row>
    <row r="113" spans="1:11" x14ac:dyDescent="0.15">
      <c r="C113" s="85">
        <f>D31/C107</f>
        <v>1.8103448275862069</v>
      </c>
      <c r="D113" s="85">
        <f t="shared" ref="D113:E113" si="12">E31/D107</f>
        <v>2.4702482827787642</v>
      </c>
      <c r="E113" s="85">
        <f t="shared" si="12"/>
        <v>2.8994144414618321</v>
      </c>
      <c r="F113" s="85">
        <f>G31/F107</f>
        <v>2.8407417457367998</v>
      </c>
      <c r="G113" s="85">
        <f>H31/G107</f>
        <v>3.4081427949179437</v>
      </c>
      <c r="H113" s="85">
        <f>I31/H107</f>
        <v>4.054750749274266</v>
      </c>
    </row>
    <row r="114" spans="1:11" x14ac:dyDescent="0.15">
      <c r="C114" s="81" t="s">
        <v>114</v>
      </c>
      <c r="D114" s="81" t="s">
        <v>114</v>
      </c>
      <c r="E114" s="81" t="s">
        <v>114</v>
      </c>
      <c r="F114" s="81" t="s">
        <v>114</v>
      </c>
      <c r="G114" s="81" t="s">
        <v>70</v>
      </c>
      <c r="H114" s="81" t="s">
        <v>70</v>
      </c>
    </row>
    <row r="116" spans="1:11" x14ac:dyDescent="0.15">
      <c r="A116" s="69">
        <v>4</v>
      </c>
      <c r="B116" s="70"/>
      <c r="C116" s="70"/>
      <c r="D116" s="70"/>
      <c r="E116" s="70"/>
      <c r="F116" s="70"/>
      <c r="G116" s="70"/>
      <c r="H116" s="70"/>
      <c r="I116" s="70"/>
      <c r="J116" s="70"/>
      <c r="K116" s="70"/>
    </row>
    <row r="117" spans="1:11" x14ac:dyDescent="0.15">
      <c r="A117" s="41" t="s">
        <v>236</v>
      </c>
    </row>
    <row r="119" spans="1:11" x14ac:dyDescent="0.15">
      <c r="A119" s="5" t="s">
        <v>154</v>
      </c>
    </row>
    <row r="120" spans="1:11" x14ac:dyDescent="0.15">
      <c r="C120" s="76">
        <v>1</v>
      </c>
      <c r="D120" s="76">
        <v>2</v>
      </c>
      <c r="E120" s="76">
        <v>3</v>
      </c>
      <c r="F120" s="76">
        <v>4</v>
      </c>
      <c r="G120" s="76">
        <v>5</v>
      </c>
      <c r="H120" s="76">
        <v>6</v>
      </c>
      <c r="I120" s="76">
        <v>6</v>
      </c>
    </row>
    <row r="121" spans="1:11" x14ac:dyDescent="0.15">
      <c r="B121" s="41" t="s">
        <v>171</v>
      </c>
      <c r="C121" s="64">
        <f>D38</f>
        <v>-120.90999999999997</v>
      </c>
      <c r="D121" s="64">
        <f t="shared" ref="C121:I121" si="13">E38</f>
        <v>-130.08999999999992</v>
      </c>
      <c r="E121" s="64">
        <f t="shared" si="13"/>
        <v>-44.370000000000118</v>
      </c>
      <c r="F121" s="64">
        <f t="shared" si="13"/>
        <v>132.56999999999971</v>
      </c>
      <c r="G121" s="64">
        <f t="shared" si="13"/>
        <v>195.49</v>
      </c>
      <c r="H121" s="64">
        <f t="shared" si="13"/>
        <v>236.15000000000009</v>
      </c>
      <c r="I121" s="64">
        <f t="shared" si="13"/>
        <v>2922.6588433870543</v>
      </c>
    </row>
    <row r="122" spans="1:11" x14ac:dyDescent="0.15">
      <c r="B122" s="41" t="s">
        <v>185</v>
      </c>
      <c r="C122" s="64">
        <f>C121/(1+$C125)^C120</f>
        <v>-110.05184916590748</v>
      </c>
      <c r="D122" s="64">
        <f t="shared" ref="D122:I122" si="14">D121/(1+$C125)^D120</f>
        <v>-107.77403921100797</v>
      </c>
      <c r="E122" s="64">
        <f t="shared" si="14"/>
        <v>-33.457601025817134</v>
      </c>
      <c r="F122" s="64">
        <f t="shared" si="14"/>
        <v>90.988341437435011</v>
      </c>
      <c r="G122" s="64">
        <f t="shared" si="14"/>
        <v>122.12375859250288</v>
      </c>
      <c r="H122" s="64">
        <f t="shared" si="14"/>
        <v>134.27609061151588</v>
      </c>
      <c r="I122" s="64">
        <f t="shared" si="14"/>
        <v>1661.8386774558041</v>
      </c>
    </row>
    <row r="123" spans="1:11" x14ac:dyDescent="0.15">
      <c r="B123" s="5" t="s">
        <v>184</v>
      </c>
      <c r="C123" s="75">
        <f>SUM(C122:I122)</f>
        <v>1757.9433786945253</v>
      </c>
      <c r="D123" s="64"/>
      <c r="E123" s="64"/>
      <c r="F123" s="64"/>
      <c r="G123" s="64"/>
      <c r="H123" s="64"/>
      <c r="I123" s="64"/>
    </row>
    <row r="125" spans="1:11" x14ac:dyDescent="0.15">
      <c r="B125" s="41" t="s">
        <v>154</v>
      </c>
      <c r="C125" s="54">
        <f>C131*C129+C132*C130*(1-C26)</f>
        <v>9.866395627504089E-2</v>
      </c>
    </row>
    <row r="126" spans="1:11" x14ac:dyDescent="0.15">
      <c r="B126" s="41" t="s">
        <v>181</v>
      </c>
      <c r="C126" s="66">
        <f>AVERAGE(D53:F53)</f>
        <v>0.73359514576376661</v>
      </c>
      <c r="D126" s="41" t="s">
        <v>258</v>
      </c>
      <c r="F126" s="47"/>
      <c r="G126" s="47"/>
      <c r="I126" s="54"/>
    </row>
    <row r="127" spans="1:11" x14ac:dyDescent="0.15">
      <c r="B127" s="41" t="s">
        <v>176</v>
      </c>
      <c r="C127" s="66">
        <f>(C126-C128*C130)/C129</f>
        <v>1.3360368263279998</v>
      </c>
      <c r="D127" s="41"/>
      <c r="F127" s="47"/>
      <c r="G127" s="47"/>
      <c r="I127" s="54"/>
    </row>
    <row r="128" spans="1:11" x14ac:dyDescent="0.15">
      <c r="B128" s="41" t="s">
        <v>178</v>
      </c>
      <c r="C128" s="41">
        <v>0.3</v>
      </c>
    </row>
    <row r="129" spans="1:9" x14ac:dyDescent="0.15">
      <c r="B129" s="41" t="s">
        <v>213</v>
      </c>
      <c r="C129" s="68">
        <f>1-C130</f>
        <v>0.41851325623293467</v>
      </c>
    </row>
    <row r="130" spans="1:9" x14ac:dyDescent="0.15">
      <c r="B130" s="41" t="s">
        <v>212</v>
      </c>
      <c r="C130" s="68">
        <f>C96</f>
        <v>0.58148674376706533</v>
      </c>
      <c r="H130" s="86"/>
    </row>
    <row r="131" spans="1:9" x14ac:dyDescent="0.15">
      <c r="B131" s="41" t="s">
        <v>148</v>
      </c>
      <c r="C131" s="54">
        <f>C127*C28+C29</f>
        <v>0.13856220957967999</v>
      </c>
    </row>
    <row r="132" spans="1:9" x14ac:dyDescent="0.15">
      <c r="B132" s="41" t="s">
        <v>150</v>
      </c>
      <c r="C132" s="54">
        <f>C102</f>
        <v>0.10440000000000001</v>
      </c>
    </row>
    <row r="134" spans="1:9" x14ac:dyDescent="0.15">
      <c r="A134" s="5" t="s">
        <v>153</v>
      </c>
    </row>
    <row r="135" spans="1:9" x14ac:dyDescent="0.15">
      <c r="C135" s="64">
        <f t="shared" ref="C135:I135" si="15">C121</f>
        <v>-120.90999999999997</v>
      </c>
      <c r="D135" s="64">
        <f t="shared" si="15"/>
        <v>-130.08999999999992</v>
      </c>
      <c r="E135" s="64">
        <f t="shared" si="15"/>
        <v>-44.370000000000118</v>
      </c>
      <c r="F135" s="64">
        <f t="shared" si="15"/>
        <v>132.56999999999971</v>
      </c>
      <c r="G135" s="64">
        <f t="shared" si="15"/>
        <v>195.49</v>
      </c>
      <c r="H135" s="64">
        <f t="shared" si="15"/>
        <v>236.15000000000009</v>
      </c>
      <c r="I135" s="64">
        <f t="shared" si="15"/>
        <v>2922.6588433870543</v>
      </c>
    </row>
    <row r="136" spans="1:9" x14ac:dyDescent="0.15">
      <c r="C136" s="64">
        <f t="shared" ref="C136:I136" si="16">C135/(1+$C145)^C120</f>
        <v>-108.08106530627492</v>
      </c>
      <c r="D136" s="64">
        <f t="shared" si="16"/>
        <v>-103.94861440099568</v>
      </c>
      <c r="E136" s="64">
        <f t="shared" si="16"/>
        <v>-31.692143611887296</v>
      </c>
      <c r="F136" s="64">
        <f t="shared" si="16"/>
        <v>84.643738796650723</v>
      </c>
      <c r="G136" s="64">
        <f t="shared" si="16"/>
        <v>111.57362005134458</v>
      </c>
      <c r="H136" s="64">
        <f t="shared" si="16"/>
        <v>120.47926876915267</v>
      </c>
      <c r="I136" s="64">
        <f t="shared" si="16"/>
        <v>1491.0853284478917</v>
      </c>
    </row>
    <row r="137" spans="1:9" x14ac:dyDescent="0.15">
      <c r="B137" s="41" t="s">
        <v>214</v>
      </c>
      <c r="C137" s="64">
        <f>SUM(C136:I136)</f>
        <v>1564.0601327458817</v>
      </c>
      <c r="D137" s="64"/>
      <c r="E137" s="64"/>
      <c r="F137" s="64"/>
      <c r="G137" s="64"/>
      <c r="H137" s="64"/>
      <c r="I137" s="64"/>
    </row>
    <row r="138" spans="1:9" x14ac:dyDescent="0.15">
      <c r="C138" s="64"/>
      <c r="D138" s="64"/>
      <c r="E138" s="64"/>
      <c r="F138" s="64"/>
      <c r="G138" s="64"/>
      <c r="H138" s="64"/>
      <c r="I138" s="64"/>
    </row>
    <row r="139" spans="1:9" x14ac:dyDescent="0.15">
      <c r="B139" s="41" t="s">
        <v>155</v>
      </c>
      <c r="C139" s="64">
        <f t="shared" ref="C139:H139" si="17">C107*$C26</f>
        <v>34.452000000000005</v>
      </c>
      <c r="D139" s="64">
        <f t="shared" si="17"/>
        <v>42.214380120000001</v>
      </c>
      <c r="E139" s="64">
        <f t="shared" si="17"/>
        <v>51.103422084527999</v>
      </c>
      <c r="F139" s="64">
        <f t="shared" si="17"/>
        <v>57.967254590152734</v>
      </c>
      <c r="G139" s="64">
        <f t="shared" si="17"/>
        <v>59.451734329364683</v>
      </c>
      <c r="H139" s="64">
        <f t="shared" si="17"/>
        <v>58.923473913350357</v>
      </c>
      <c r="I139" s="64">
        <f>(H139*(1+C27))/(C145-C27)</f>
        <v>608.9520231302771</v>
      </c>
    </row>
    <row r="140" spans="1:9" x14ac:dyDescent="0.15">
      <c r="B140" s="41" t="s">
        <v>217</v>
      </c>
      <c r="C140" s="64">
        <f t="shared" ref="C140:I140" si="18">C139/(1+$C145)^C120</f>
        <v>30.796533470612729</v>
      </c>
      <c r="D140" s="64">
        <f t="shared" si="18"/>
        <v>33.731465303028216</v>
      </c>
      <c r="E140" s="64">
        <f t="shared" si="18"/>
        <v>36.501622532381113</v>
      </c>
      <c r="F140" s="64">
        <f t="shared" si="18"/>
        <v>37.011127376388714</v>
      </c>
      <c r="G140" s="64">
        <f t="shared" si="18"/>
        <v>33.931378676443877</v>
      </c>
      <c r="H140" s="64">
        <f t="shared" si="18"/>
        <v>30.06164323700483</v>
      </c>
      <c r="I140" s="64">
        <f t="shared" si="18"/>
        <v>310.6758181758708</v>
      </c>
    </row>
    <row r="141" spans="1:9" x14ac:dyDescent="0.15">
      <c r="B141" s="41" t="s">
        <v>215</v>
      </c>
      <c r="C141" s="64">
        <f>SUM(C140:I140)</f>
        <v>512.7095887717303</v>
      </c>
      <c r="D141" s="64"/>
      <c r="E141" s="64"/>
      <c r="F141" s="64"/>
      <c r="G141" s="64"/>
      <c r="H141" s="64"/>
      <c r="I141" s="64"/>
    </row>
    <row r="142" spans="1:9" x14ac:dyDescent="0.15">
      <c r="C142" s="64"/>
      <c r="D142" s="64"/>
      <c r="E142" s="64"/>
      <c r="F142" s="64"/>
      <c r="G142" s="64"/>
      <c r="H142" s="64"/>
      <c r="I142" s="64"/>
    </row>
    <row r="143" spans="1:9" x14ac:dyDescent="0.15">
      <c r="B143" s="5" t="s">
        <v>184</v>
      </c>
      <c r="C143" s="75">
        <f>C137+C141</f>
        <v>2076.7697215176122</v>
      </c>
      <c r="D143" s="64"/>
      <c r="H143" s="64"/>
      <c r="I143" s="64"/>
    </row>
    <row r="144" spans="1:9" x14ac:dyDescent="0.15">
      <c r="C144" s="64"/>
      <c r="D144" s="64"/>
      <c r="F144" s="64"/>
      <c r="G144" s="64"/>
      <c r="H144" s="64"/>
      <c r="I144" s="64"/>
    </row>
    <row r="145" spans="2:9" x14ac:dyDescent="0.15">
      <c r="B145" s="41" t="s">
        <v>216</v>
      </c>
      <c r="C145" s="71">
        <f>C131*C129+C132*C130</f>
        <v>0.11869733757130382</v>
      </c>
      <c r="D145" s="64"/>
      <c r="E145" s="64"/>
      <c r="F145" s="64"/>
      <c r="G145" s="64"/>
      <c r="H145" s="64"/>
      <c r="I145" s="64"/>
    </row>
    <row r="146" spans="2:9" x14ac:dyDescent="0.15">
      <c r="C146" s="64"/>
      <c r="D146" s="64"/>
      <c r="E146" s="64"/>
      <c r="F146" s="64"/>
      <c r="G146" s="64"/>
      <c r="H146" s="64"/>
      <c r="I146" s="64"/>
    </row>
    <row r="147" spans="2:9" x14ac:dyDescent="0.15">
      <c r="C147" s="64"/>
      <c r="D147" s="64"/>
      <c r="E147" s="64"/>
      <c r="F147" s="64"/>
      <c r="G147" s="64"/>
      <c r="H147" s="64"/>
      <c r="I147" s="64"/>
    </row>
    <row r="148" spans="2:9" x14ac:dyDescent="0.15">
      <c r="B148" s="41" t="s">
        <v>155</v>
      </c>
      <c r="C148" s="64">
        <f t="shared" ref="C148:H148" si="19">C107*$C26</f>
        <v>34.452000000000005</v>
      </c>
      <c r="D148" s="64">
        <f t="shared" si="19"/>
        <v>42.214380120000001</v>
      </c>
      <c r="E148" s="64">
        <f t="shared" si="19"/>
        <v>51.103422084527999</v>
      </c>
      <c r="F148" s="64">
        <f t="shared" si="19"/>
        <v>57.967254590152734</v>
      </c>
      <c r="G148" s="64">
        <f t="shared" si="19"/>
        <v>59.451734329364683</v>
      </c>
      <c r="H148" s="64">
        <f t="shared" si="19"/>
        <v>58.923473913350357</v>
      </c>
      <c r="I148" s="64">
        <f>(H148*(1+C27))/(C132-C27)</f>
        <v>712.10833402390244</v>
      </c>
    </row>
    <row r="149" spans="2:9" x14ac:dyDescent="0.15">
      <c r="B149" s="41" t="s">
        <v>217</v>
      </c>
      <c r="C149" s="64">
        <f t="shared" ref="C149:I149" si="20">C148/(1+$C132)^C120</f>
        <v>31.195219123505979</v>
      </c>
      <c r="D149" s="64">
        <f t="shared" si="20"/>
        <v>34.610479848083216</v>
      </c>
      <c r="E149" s="64">
        <f t="shared" si="20"/>
        <v>37.937681770839731</v>
      </c>
      <c r="F149" s="64">
        <f t="shared" si="20"/>
        <v>38.965220678533697</v>
      </c>
      <c r="G149" s="64">
        <f t="shared" si="20"/>
        <v>36.185330078600394</v>
      </c>
      <c r="H149" s="64">
        <f t="shared" si="20"/>
        <v>32.473564009636441</v>
      </c>
      <c r="I149" s="64">
        <f t="shared" si="20"/>
        <v>392.45302476100915</v>
      </c>
    </row>
    <row r="150" spans="2:9" x14ac:dyDescent="0.15">
      <c r="B150" s="41" t="s">
        <v>215</v>
      </c>
      <c r="C150" s="64">
        <f>SUM(C149:I149)</f>
        <v>603.82052027020859</v>
      </c>
      <c r="D150" s="64"/>
      <c r="E150" s="64"/>
      <c r="F150" s="64"/>
      <c r="G150" s="64"/>
      <c r="H150" s="64"/>
      <c r="I150" s="64"/>
    </row>
    <row r="151" spans="2:9" x14ac:dyDescent="0.15">
      <c r="C151" s="64"/>
      <c r="D151" s="64"/>
      <c r="E151" s="64"/>
      <c r="F151" s="64"/>
      <c r="G151" s="64"/>
      <c r="H151" s="64"/>
      <c r="I151" s="64"/>
    </row>
    <row r="152" spans="2:9" x14ac:dyDescent="0.15">
      <c r="B152" s="5" t="s">
        <v>184</v>
      </c>
      <c r="C152" s="75">
        <f>C137+C150</f>
        <v>2167.88065301609</v>
      </c>
      <c r="D152" s="64"/>
      <c r="E152" s="64"/>
      <c r="F152" s="64"/>
      <c r="G152" s="64"/>
      <c r="H152" s="64"/>
      <c r="I152" s="64"/>
    </row>
    <row r="153" spans="2:9" x14ac:dyDescent="0.15">
      <c r="C153" s="64"/>
      <c r="D153" s="64"/>
      <c r="F153" s="64"/>
      <c r="G153" s="64"/>
      <c r="H153" s="64"/>
      <c r="I153" s="64"/>
    </row>
    <row r="157" spans="2:9" x14ac:dyDescent="0.15">
      <c r="D157" s="4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66BE1-C55F-E146-96E8-9200AEE9B497}">
  <dimension ref="B2:L24"/>
  <sheetViews>
    <sheetView workbookViewId="0">
      <selection activeCell="J3" sqref="J3"/>
    </sheetView>
  </sheetViews>
  <sheetFormatPr baseColWidth="10" defaultRowHeight="13" x14ac:dyDescent="0.15"/>
  <cols>
    <col min="1" max="1" width="3.33203125" customWidth="1"/>
  </cols>
  <sheetData>
    <row r="2" spans="2:12" x14ac:dyDescent="0.15">
      <c r="C2" s="38" t="s">
        <v>237</v>
      </c>
      <c r="D2" s="81">
        <v>1</v>
      </c>
      <c r="E2" s="76">
        <v>2</v>
      </c>
      <c r="F2" s="76">
        <v>3</v>
      </c>
      <c r="I2" s="41" t="s">
        <v>245</v>
      </c>
      <c r="J2">
        <v>5</v>
      </c>
    </row>
    <row r="3" spans="2:12" x14ac:dyDescent="0.15">
      <c r="C3" s="38" t="s">
        <v>202</v>
      </c>
      <c r="D3">
        <v>100</v>
      </c>
      <c r="E3">
        <v>110</v>
      </c>
      <c r="F3">
        <v>121</v>
      </c>
      <c r="I3" s="3"/>
      <c r="L3" s="4" t="s">
        <v>255</v>
      </c>
    </row>
    <row r="4" spans="2:12" x14ac:dyDescent="0.15">
      <c r="B4" s="38" t="s">
        <v>242</v>
      </c>
      <c r="C4" s="38" t="s">
        <v>147</v>
      </c>
      <c r="D4">
        <v>0</v>
      </c>
      <c r="E4">
        <v>0</v>
      </c>
      <c r="F4">
        <v>0</v>
      </c>
      <c r="I4" s="3"/>
      <c r="J4" s="83" t="s">
        <v>124</v>
      </c>
      <c r="K4" s="76"/>
      <c r="L4" s="83" t="s">
        <v>115</v>
      </c>
    </row>
    <row r="5" spans="2:12" x14ac:dyDescent="0.15">
      <c r="I5" s="3"/>
      <c r="J5" s="84"/>
      <c r="K5" s="76"/>
    </row>
    <row r="6" spans="2:12" x14ac:dyDescent="0.15">
      <c r="B6" s="38" t="s">
        <v>257</v>
      </c>
      <c r="C6" s="38" t="s">
        <v>146</v>
      </c>
      <c r="D6">
        <f>D3-D4</f>
        <v>100</v>
      </c>
      <c r="E6">
        <f>E3-E4</f>
        <v>110</v>
      </c>
      <c r="F6">
        <f>F3-F4</f>
        <v>121</v>
      </c>
      <c r="H6" s="38"/>
      <c r="I6" s="41" t="s">
        <v>246</v>
      </c>
      <c r="J6">
        <v>25</v>
      </c>
      <c r="L6">
        <v>25</v>
      </c>
    </row>
    <row r="7" spans="2:12" x14ac:dyDescent="0.15">
      <c r="I7" s="3"/>
    </row>
    <row r="8" spans="2:12" x14ac:dyDescent="0.15">
      <c r="I8" s="41" t="s">
        <v>247</v>
      </c>
      <c r="J8">
        <f>J2*J6</f>
        <v>125</v>
      </c>
      <c r="L8">
        <f>L6*J2</f>
        <v>125</v>
      </c>
    </row>
    <row r="9" spans="2:12" x14ac:dyDescent="0.15">
      <c r="C9" s="38" t="s">
        <v>253</v>
      </c>
      <c r="E9" s="40">
        <f>E3/D3-1</f>
        <v>0.10000000000000009</v>
      </c>
      <c r="F9" s="40">
        <f>F3/E3-1</f>
        <v>0.10000000000000009</v>
      </c>
      <c r="I9" s="41" t="s">
        <v>256</v>
      </c>
    </row>
    <row r="10" spans="2:12" x14ac:dyDescent="0.15">
      <c r="C10" s="38" t="s">
        <v>152</v>
      </c>
      <c r="E10" s="40">
        <f>E6/D6-1</f>
        <v>0.10000000000000009</v>
      </c>
      <c r="F10" s="40">
        <f>F6/E6-1</f>
        <v>0.10000000000000009</v>
      </c>
      <c r="I10" s="48" t="s">
        <v>241</v>
      </c>
      <c r="J10">
        <f>J6*2</f>
        <v>50</v>
      </c>
      <c r="L10">
        <f>L6*2</f>
        <v>50</v>
      </c>
    </row>
    <row r="11" spans="2:12" ht="14" thickBot="1" x14ac:dyDescent="0.2">
      <c r="I11" s="48" t="s">
        <v>242</v>
      </c>
      <c r="J11" s="82">
        <v>5</v>
      </c>
      <c r="L11" s="87">
        <v>50</v>
      </c>
    </row>
    <row r="12" spans="2:12" ht="14" thickTop="1" x14ac:dyDescent="0.15">
      <c r="I12" s="5" t="s">
        <v>249</v>
      </c>
      <c r="J12" s="39">
        <f>J8-J10-J11</f>
        <v>70</v>
      </c>
      <c r="K12" s="39"/>
      <c r="L12" s="39">
        <f>L8-L10-L11</f>
        <v>25</v>
      </c>
    </row>
    <row r="13" spans="2:12" x14ac:dyDescent="0.15">
      <c r="I13" s="3"/>
    </row>
    <row r="14" spans="2:12" x14ac:dyDescent="0.15">
      <c r="I14" s="41" t="s">
        <v>248</v>
      </c>
      <c r="J14">
        <v>100</v>
      </c>
      <c r="L14">
        <v>100</v>
      </c>
    </row>
    <row r="15" spans="2:12" x14ac:dyDescent="0.15">
      <c r="C15" s="38" t="s">
        <v>238</v>
      </c>
      <c r="D15">
        <f>D3</f>
        <v>100</v>
      </c>
      <c r="E15">
        <f>E3</f>
        <v>110</v>
      </c>
      <c r="F15">
        <f>F3</f>
        <v>121</v>
      </c>
      <c r="I15" s="41" t="s">
        <v>250</v>
      </c>
      <c r="J15">
        <f>J12/J14</f>
        <v>0.7</v>
      </c>
      <c r="L15">
        <f>L12/L14</f>
        <v>0.25</v>
      </c>
    </row>
    <row r="16" spans="2:12" x14ac:dyDescent="0.15">
      <c r="B16" s="38" t="s">
        <v>241</v>
      </c>
      <c r="C16" s="38" t="s">
        <v>239</v>
      </c>
      <c r="D16">
        <f>D15/2</f>
        <v>50</v>
      </c>
      <c r="E16">
        <f>E15/2</f>
        <v>55</v>
      </c>
      <c r="F16">
        <f>F15/2</f>
        <v>60.5</v>
      </c>
      <c r="I16" s="41" t="s">
        <v>251</v>
      </c>
      <c r="J16" s="61">
        <v>12</v>
      </c>
      <c r="K16" s="61"/>
      <c r="L16" s="61">
        <v>12</v>
      </c>
    </row>
    <row r="17" spans="2:12" x14ac:dyDescent="0.15">
      <c r="B17" s="38" t="s">
        <v>242</v>
      </c>
      <c r="C17" s="38" t="s">
        <v>240</v>
      </c>
      <c r="D17">
        <v>20</v>
      </c>
      <c r="E17">
        <f>D17</f>
        <v>20</v>
      </c>
      <c r="F17">
        <f>E17</f>
        <v>20</v>
      </c>
      <c r="I17" s="3"/>
    </row>
    <row r="18" spans="2:12" x14ac:dyDescent="0.15">
      <c r="C18" s="38" t="s">
        <v>52</v>
      </c>
      <c r="D18">
        <f>D15-D16-D17</f>
        <v>30</v>
      </c>
      <c r="E18">
        <f>E15-E16-E17</f>
        <v>35</v>
      </c>
      <c r="F18">
        <f>F15-F16-F17</f>
        <v>40.5</v>
      </c>
      <c r="I18" s="5" t="s">
        <v>252</v>
      </c>
      <c r="J18" s="39">
        <f>J15*J16</f>
        <v>8.3999999999999986</v>
      </c>
      <c r="K18" s="39"/>
      <c r="L18" s="39">
        <f>L15*L16</f>
        <v>3</v>
      </c>
    </row>
    <row r="19" spans="2:12" x14ac:dyDescent="0.15">
      <c r="I19" s="3"/>
    </row>
    <row r="20" spans="2:12" x14ac:dyDescent="0.15">
      <c r="C20" s="38" t="s">
        <v>243</v>
      </c>
      <c r="E20" s="40">
        <f>E15/D15-1</f>
        <v>0.10000000000000009</v>
      </c>
      <c r="F20" s="40">
        <f>F15/E15-1</f>
        <v>0.10000000000000009</v>
      </c>
    </row>
    <row r="21" spans="2:12" x14ac:dyDescent="0.15">
      <c r="C21" s="38" t="s">
        <v>244</v>
      </c>
      <c r="E21" s="40">
        <f>E18/D18-1</f>
        <v>0.16666666666666674</v>
      </c>
      <c r="F21" s="40">
        <f>F18/E18-1</f>
        <v>0.15714285714285725</v>
      </c>
    </row>
    <row r="22" spans="2:12" x14ac:dyDescent="0.15">
      <c r="D22" s="38"/>
      <c r="E22" s="38"/>
      <c r="F22" s="38"/>
      <c r="G22" s="38"/>
      <c r="H22" s="38"/>
      <c r="I22" s="41" t="s">
        <v>254</v>
      </c>
      <c r="J22">
        <v>8.4</v>
      </c>
      <c r="L22">
        <v>3</v>
      </c>
    </row>
    <row r="23" spans="2:12" x14ac:dyDescent="0.15">
      <c r="I23" s="3"/>
    </row>
    <row r="24" spans="2:12" x14ac:dyDescent="0.15">
      <c r="I24" s="41"/>
      <c r="J24" s="40">
        <f>J18/J22-1</f>
        <v>0</v>
      </c>
      <c r="L24" s="40">
        <f>L18/L22-1</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8"/>
  <sheetViews>
    <sheetView workbookViewId="0">
      <selection activeCell="J45" sqref="J45"/>
    </sheetView>
  </sheetViews>
  <sheetFormatPr baseColWidth="10" defaultRowHeight="13" x14ac:dyDescent="0.15"/>
  <cols>
    <col min="1" max="1" width="27.6640625" customWidth="1"/>
    <col min="2" max="256" width="8.83203125" customWidth="1"/>
  </cols>
  <sheetData>
    <row r="1" spans="1:8" x14ac:dyDescent="0.15">
      <c r="A1" s="90" t="s">
        <v>108</v>
      </c>
      <c r="B1" s="91"/>
      <c r="C1" s="91"/>
      <c r="D1" s="91"/>
      <c r="E1" s="91"/>
      <c r="F1" s="91"/>
      <c r="G1" s="91"/>
      <c r="H1" s="91"/>
    </row>
    <row r="2" spans="1:8" x14ac:dyDescent="0.15">
      <c r="A2" s="3"/>
    </row>
    <row r="3" spans="1:8" x14ac:dyDescent="0.15">
      <c r="A3" s="27"/>
      <c r="B3" s="100" t="s">
        <v>101</v>
      </c>
      <c r="C3" s="100"/>
      <c r="D3" s="100"/>
      <c r="E3" s="100"/>
      <c r="F3" s="100"/>
      <c r="G3" s="100"/>
      <c r="H3" s="100"/>
    </row>
    <row r="4" spans="1:8" x14ac:dyDescent="0.15">
      <c r="A4" s="13"/>
      <c r="B4" s="28">
        <v>2000</v>
      </c>
      <c r="C4" s="28">
        <v>2001</v>
      </c>
      <c r="D4" s="28">
        <v>2002</v>
      </c>
      <c r="E4" s="28">
        <v>2003</v>
      </c>
      <c r="F4" s="28">
        <v>2004</v>
      </c>
      <c r="G4" s="28">
        <v>2005</v>
      </c>
      <c r="H4" s="28">
        <v>2006</v>
      </c>
    </row>
    <row r="5" spans="1:8" x14ac:dyDescent="0.15">
      <c r="A5" s="3"/>
    </row>
    <row r="6" spans="1:8" x14ac:dyDescent="0.15">
      <c r="A6" s="5" t="s">
        <v>102</v>
      </c>
    </row>
    <row r="7" spans="1:8" x14ac:dyDescent="0.15">
      <c r="A7" s="3" t="s">
        <v>103</v>
      </c>
      <c r="B7" s="8">
        <v>6619</v>
      </c>
      <c r="C7" s="8">
        <v>7417</v>
      </c>
      <c r="D7" s="8">
        <v>8564</v>
      </c>
      <c r="E7" s="8">
        <v>9504</v>
      </c>
      <c r="F7" s="8">
        <v>10416</v>
      </c>
      <c r="G7" s="8">
        <v>11359</v>
      </c>
      <c r="H7" s="8">
        <v>12350</v>
      </c>
    </row>
    <row r="8" spans="1:8" x14ac:dyDescent="0.15">
      <c r="A8" s="3"/>
    </row>
    <row r="9" spans="1:8" x14ac:dyDescent="0.15">
      <c r="A9" s="3" t="s">
        <v>50</v>
      </c>
      <c r="B9" s="21">
        <v>1264</v>
      </c>
      <c r="C9" s="21">
        <v>1409</v>
      </c>
      <c r="D9" s="21">
        <v>1696</v>
      </c>
      <c r="E9" s="21">
        <v>2043</v>
      </c>
      <c r="F9" s="21">
        <v>2312</v>
      </c>
      <c r="G9" s="21">
        <v>2624</v>
      </c>
      <c r="H9" s="21">
        <v>3026</v>
      </c>
    </row>
    <row r="10" spans="1:8" x14ac:dyDescent="0.15">
      <c r="A10" s="3"/>
    </row>
    <row r="11" spans="1:8" x14ac:dyDescent="0.15">
      <c r="A11" s="3" t="s">
        <v>104</v>
      </c>
      <c r="B11">
        <v>141</v>
      </c>
      <c r="C11">
        <v>189</v>
      </c>
      <c r="D11">
        <v>316</v>
      </c>
      <c r="E11">
        <v>449</v>
      </c>
      <c r="F11">
        <v>499</v>
      </c>
      <c r="G11">
        <v>614</v>
      </c>
      <c r="H11">
        <v>724</v>
      </c>
    </row>
    <row r="12" spans="1:8" x14ac:dyDescent="0.15">
      <c r="A12" s="3"/>
    </row>
    <row r="13" spans="1:8" x14ac:dyDescent="0.15">
      <c r="A13" s="3" t="s">
        <v>105</v>
      </c>
      <c r="B13">
        <v>625</v>
      </c>
      <c r="C13">
        <v>626</v>
      </c>
      <c r="D13">
        <v>642</v>
      </c>
      <c r="E13">
        <v>666</v>
      </c>
      <c r="F13">
        <v>708</v>
      </c>
      <c r="G13">
        <v>726</v>
      </c>
      <c r="H13">
        <v>729</v>
      </c>
    </row>
    <row r="14" spans="1:8" x14ac:dyDescent="0.15">
      <c r="A14" s="3"/>
    </row>
    <row r="15" spans="1:8" x14ac:dyDescent="0.15">
      <c r="A15" s="3" t="s">
        <v>55</v>
      </c>
      <c r="B15">
        <v>627</v>
      </c>
      <c r="C15">
        <v>690</v>
      </c>
      <c r="D15">
        <v>720</v>
      </c>
      <c r="E15">
        <v>795</v>
      </c>
      <c r="F15">
        <v>700</v>
      </c>
      <c r="G15">
        <v>725</v>
      </c>
      <c r="H15">
        <v>750</v>
      </c>
    </row>
    <row r="16" spans="1:8" x14ac:dyDescent="0.15">
      <c r="A16" s="3"/>
    </row>
    <row r="17" spans="1:8" x14ac:dyDescent="0.15">
      <c r="A17" s="5" t="s">
        <v>106</v>
      </c>
    </row>
    <row r="18" spans="1:8" x14ac:dyDescent="0.15">
      <c r="A18" s="3" t="s">
        <v>103</v>
      </c>
      <c r="B18" s="8">
        <v>6619</v>
      </c>
      <c r="C18" s="8">
        <v>8185</v>
      </c>
      <c r="D18" s="8">
        <v>10146</v>
      </c>
      <c r="E18" s="8">
        <v>11283</v>
      </c>
      <c r="F18" s="8">
        <v>12626</v>
      </c>
      <c r="G18" s="8">
        <v>13961</v>
      </c>
      <c r="H18" s="8">
        <v>15404</v>
      </c>
    </row>
    <row r="19" spans="1:8" x14ac:dyDescent="0.15">
      <c r="A19" s="3"/>
    </row>
    <row r="20" spans="1:8" x14ac:dyDescent="0.15">
      <c r="A20" s="3" t="s">
        <v>104</v>
      </c>
      <c r="B20">
        <v>141</v>
      </c>
      <c r="C20">
        <v>365</v>
      </c>
      <c r="D20">
        <v>689</v>
      </c>
      <c r="E20">
        <v>783</v>
      </c>
      <c r="F20">
        <v>867</v>
      </c>
      <c r="G20" s="21">
        <v>1000</v>
      </c>
      <c r="H20" s="21">
        <v>1167</v>
      </c>
    </row>
    <row r="21" spans="1:8" x14ac:dyDescent="0.15">
      <c r="A21" s="3"/>
    </row>
    <row r="22" spans="1:8" ht="15" x14ac:dyDescent="0.15">
      <c r="A22" s="5" t="s">
        <v>109</v>
      </c>
    </row>
    <row r="23" spans="1:8" x14ac:dyDescent="0.15">
      <c r="A23" s="3" t="s">
        <v>103</v>
      </c>
      <c r="B23" s="8">
        <v>6619</v>
      </c>
      <c r="C23" s="8">
        <v>7393</v>
      </c>
      <c r="D23" s="8">
        <v>7797</v>
      </c>
      <c r="E23" s="8">
        <v>8310</v>
      </c>
      <c r="F23" s="8">
        <v>8801</v>
      </c>
      <c r="G23" s="8">
        <v>9269</v>
      </c>
      <c r="H23" s="8">
        <v>9759</v>
      </c>
    </row>
    <row r="24" spans="1:8" x14ac:dyDescent="0.15">
      <c r="A24" s="3"/>
    </row>
    <row r="25" spans="1:8" x14ac:dyDescent="0.15">
      <c r="A25" s="3" t="s">
        <v>104</v>
      </c>
      <c r="B25">
        <v>141</v>
      </c>
      <c r="C25">
        <v>189</v>
      </c>
      <c r="D25">
        <v>322</v>
      </c>
      <c r="E25">
        <v>363</v>
      </c>
      <c r="F25">
        <v>378</v>
      </c>
      <c r="G25">
        <v>403</v>
      </c>
      <c r="H25">
        <v>407</v>
      </c>
    </row>
    <row r="26" spans="1:8" x14ac:dyDescent="0.15">
      <c r="A26" s="13"/>
      <c r="B26" s="14"/>
      <c r="C26" s="14"/>
      <c r="D26" s="14"/>
      <c r="E26" s="14"/>
      <c r="F26" s="14"/>
      <c r="G26" s="14"/>
      <c r="H26" s="14"/>
    </row>
    <row r="27" spans="1:8" ht="15.75" customHeight="1" x14ac:dyDescent="0.15">
      <c r="A27" s="101" t="s">
        <v>107</v>
      </c>
      <c r="B27" s="101"/>
      <c r="C27" s="101"/>
      <c r="D27" s="101"/>
      <c r="E27" s="101"/>
      <c r="F27" s="101"/>
      <c r="G27" s="101"/>
      <c r="H27" s="101"/>
    </row>
    <row r="28" spans="1:8" ht="24.75" customHeight="1" x14ac:dyDescent="0.15">
      <c r="A28" s="102" t="s">
        <v>110</v>
      </c>
      <c r="B28" s="103"/>
      <c r="C28" s="103"/>
      <c r="D28" s="103"/>
      <c r="E28" s="103"/>
      <c r="F28" s="103"/>
      <c r="G28" s="103"/>
      <c r="H28" s="103"/>
    </row>
  </sheetData>
  <mergeCells count="4">
    <mergeCell ref="A1:H1"/>
    <mergeCell ref="B3:H3"/>
    <mergeCell ref="A27:H27"/>
    <mergeCell ref="A28:H28"/>
  </mergeCells>
  <phoneticPr fontId="0" type="noConversion"/>
  <pageMargins left="0.75" right="0.75" top="1" bottom="1" header="0.5" footer="0.5"/>
  <pageSetup orientation="landscape"/>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workbookViewId="0">
      <selection activeCell="F6" sqref="F6"/>
    </sheetView>
  </sheetViews>
  <sheetFormatPr baseColWidth="10" defaultRowHeight="13" x14ac:dyDescent="0.15"/>
  <cols>
    <col min="1" max="1" width="7.83203125" customWidth="1"/>
    <col min="2" max="2" width="6.83203125" customWidth="1"/>
    <col min="3" max="3" width="7.83203125" customWidth="1"/>
    <col min="4" max="4" width="8" customWidth="1"/>
    <col min="5" max="5" width="8.1640625" customWidth="1"/>
    <col min="6" max="6" width="8" customWidth="1"/>
    <col min="7" max="8" width="9.83203125" customWidth="1"/>
    <col min="9" max="9" width="10.33203125" customWidth="1"/>
    <col min="10" max="256" width="8.83203125" customWidth="1"/>
  </cols>
  <sheetData>
    <row r="1" spans="1:9" x14ac:dyDescent="0.15">
      <c r="A1" s="90" t="s">
        <v>122</v>
      </c>
      <c r="B1" s="91"/>
      <c r="C1" s="91"/>
      <c r="D1" s="91"/>
      <c r="E1" s="91"/>
      <c r="F1" s="91"/>
      <c r="G1" s="91"/>
      <c r="H1" s="91"/>
      <c r="I1" s="91"/>
    </row>
    <row r="2" spans="1:9" x14ac:dyDescent="0.15">
      <c r="A2" s="3"/>
      <c r="B2" s="3"/>
    </row>
    <row r="3" spans="1:9" x14ac:dyDescent="0.15">
      <c r="A3" s="100" t="s">
        <v>111</v>
      </c>
      <c r="B3" s="100"/>
      <c r="C3" s="100"/>
      <c r="D3" s="100"/>
      <c r="E3" s="100"/>
      <c r="F3" s="100"/>
      <c r="G3" s="100" t="s">
        <v>112</v>
      </c>
      <c r="H3" s="100"/>
      <c r="I3" s="100"/>
    </row>
    <row r="4" spans="1:9" x14ac:dyDescent="0.15">
      <c r="A4" s="28" t="s">
        <v>113</v>
      </c>
      <c r="B4" s="28" t="s">
        <v>121</v>
      </c>
      <c r="C4" s="28" t="s">
        <v>120</v>
      </c>
      <c r="D4" s="28" t="s">
        <v>70</v>
      </c>
      <c r="E4" s="28" t="s">
        <v>114</v>
      </c>
      <c r="F4" s="28" t="s">
        <v>115</v>
      </c>
      <c r="G4" s="28" t="s">
        <v>116</v>
      </c>
      <c r="H4" s="28" t="s">
        <v>117</v>
      </c>
      <c r="I4" s="28" t="s">
        <v>118</v>
      </c>
    </row>
    <row r="5" spans="1:9" x14ac:dyDescent="0.15">
      <c r="A5" s="3"/>
      <c r="B5" s="3"/>
    </row>
    <row r="6" spans="1:9" x14ac:dyDescent="0.15">
      <c r="A6" s="29">
        <v>7.0099999999999996E-2</v>
      </c>
      <c r="B6" s="29">
        <v>7.1400000000000005E-2</v>
      </c>
      <c r="C6" s="29">
        <v>7.3099999999999998E-2</v>
      </c>
      <c r="D6" s="29">
        <v>7.7200000000000005E-2</v>
      </c>
      <c r="E6" s="29">
        <v>9.1800000000000007E-2</v>
      </c>
      <c r="F6" s="29">
        <v>0.10440000000000001</v>
      </c>
      <c r="G6" s="29">
        <v>5.8799999999999998E-2</v>
      </c>
      <c r="H6" s="29">
        <v>6.1499999999999999E-2</v>
      </c>
      <c r="I6" s="29">
        <v>5.8400000000000001E-2</v>
      </c>
    </row>
    <row r="7" spans="1:9" x14ac:dyDescent="0.15">
      <c r="A7" s="3"/>
      <c r="B7" s="3"/>
    </row>
    <row r="8" spans="1:9" x14ac:dyDescent="0.15">
      <c r="A8" s="92" t="s">
        <v>119</v>
      </c>
      <c r="B8" s="92"/>
      <c r="C8" s="92"/>
      <c r="D8" s="92"/>
      <c r="E8" s="92"/>
      <c r="F8" s="92"/>
      <c r="G8" s="92"/>
      <c r="H8" s="92"/>
      <c r="I8" s="92"/>
    </row>
  </sheetData>
  <mergeCells count="4">
    <mergeCell ref="A1:I1"/>
    <mergeCell ref="A8:I8"/>
    <mergeCell ref="G3:I3"/>
    <mergeCell ref="A3:F3"/>
  </mergeCells>
  <phoneticPr fontId="0" type="noConversion"/>
  <pageMargins left="0.75" right="0.75" top="1" bottom="1" header="0.5" footer="0.5"/>
  <pageSetup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1"/>
  <sheetViews>
    <sheetView workbookViewId="0">
      <selection activeCell="B4" sqref="B4:H4"/>
    </sheetView>
  </sheetViews>
  <sheetFormatPr baseColWidth="10" defaultRowHeight="13" x14ac:dyDescent="0.15"/>
  <cols>
    <col min="1" max="1" width="29.1640625" customWidth="1"/>
    <col min="2" max="3" width="7.5" customWidth="1"/>
    <col min="4" max="4" width="8" customWidth="1"/>
    <col min="5" max="5" width="8.5" customWidth="1"/>
    <col min="6" max="6" width="8.1640625" customWidth="1"/>
    <col min="7" max="7" width="8.5" customWidth="1"/>
    <col min="8" max="256" width="8.83203125" customWidth="1"/>
  </cols>
  <sheetData>
    <row r="1" spans="1:8" x14ac:dyDescent="0.15">
      <c r="A1" s="90" t="s">
        <v>134</v>
      </c>
      <c r="B1" s="91"/>
      <c r="C1" s="91"/>
      <c r="D1" s="91"/>
      <c r="E1" s="91"/>
      <c r="F1" s="91"/>
      <c r="G1" s="91"/>
      <c r="H1" s="91"/>
    </row>
    <row r="2" spans="1:8" x14ac:dyDescent="0.15">
      <c r="A2" s="3"/>
    </row>
    <row r="3" spans="1:8" x14ac:dyDescent="0.15">
      <c r="A3" s="30"/>
      <c r="B3" s="100" t="s">
        <v>123</v>
      </c>
      <c r="C3" s="100"/>
      <c r="D3" s="100"/>
      <c r="E3" s="100"/>
      <c r="F3" s="100"/>
      <c r="G3" s="100"/>
      <c r="H3" s="100"/>
    </row>
    <row r="4" spans="1:8" x14ac:dyDescent="0.15">
      <c r="A4" s="28"/>
      <c r="B4" s="28" t="s">
        <v>113</v>
      </c>
      <c r="C4" s="28" t="s">
        <v>121</v>
      </c>
      <c r="D4" s="28" t="s">
        <v>124</v>
      </c>
      <c r="E4" s="28" t="s">
        <v>70</v>
      </c>
      <c r="F4" s="28" t="s">
        <v>114</v>
      </c>
      <c r="G4" s="28" t="s">
        <v>115</v>
      </c>
      <c r="H4" s="28" t="s">
        <v>125</v>
      </c>
    </row>
    <row r="5" spans="1:8" x14ac:dyDescent="0.15">
      <c r="A5" s="3"/>
    </row>
    <row r="6" spans="1:8" x14ac:dyDescent="0.15">
      <c r="A6" s="3" t="s">
        <v>40</v>
      </c>
      <c r="B6" s="2" t="s">
        <v>126</v>
      </c>
      <c r="C6" s="2" t="s">
        <v>127</v>
      </c>
      <c r="D6" s="2" t="s">
        <v>128</v>
      </c>
      <c r="E6" s="2" t="s">
        <v>129</v>
      </c>
      <c r="F6" s="2" t="s">
        <v>130</v>
      </c>
      <c r="G6" s="2" t="s">
        <v>131</v>
      </c>
      <c r="H6" s="2" t="s">
        <v>132</v>
      </c>
    </row>
    <row r="7" spans="1:8" ht="15" x14ac:dyDescent="0.15">
      <c r="A7" s="3" t="s">
        <v>136</v>
      </c>
      <c r="B7" s="31">
        <v>3.6999999999999998E-2</v>
      </c>
      <c r="C7" s="31">
        <v>9.1999999999999998E-2</v>
      </c>
      <c r="D7" s="31">
        <v>0.16400000000000001</v>
      </c>
      <c r="E7" s="31">
        <v>0.30399999999999999</v>
      </c>
      <c r="F7" s="31">
        <v>0.47499999999999998</v>
      </c>
      <c r="G7" s="31">
        <v>0.59299999999999997</v>
      </c>
      <c r="H7" s="31">
        <v>0.74299999999999999</v>
      </c>
    </row>
    <row r="8" spans="1:8" x14ac:dyDescent="0.15">
      <c r="A8" s="13"/>
      <c r="B8" s="14"/>
      <c r="C8" s="14"/>
      <c r="D8" s="14"/>
      <c r="E8" s="14"/>
      <c r="F8" s="14"/>
      <c r="G8" s="14"/>
      <c r="H8" s="14"/>
    </row>
    <row r="9" spans="1:8" x14ac:dyDescent="0.15">
      <c r="A9" s="3"/>
    </row>
    <row r="10" spans="1:8" x14ac:dyDescent="0.15">
      <c r="A10" s="95" t="s">
        <v>133</v>
      </c>
      <c r="B10" s="95"/>
      <c r="C10" s="95"/>
      <c r="D10" s="95"/>
      <c r="E10" s="95"/>
      <c r="F10" s="95"/>
      <c r="G10" s="95"/>
      <c r="H10" s="95"/>
    </row>
    <row r="11" spans="1:8" ht="24.75" customHeight="1" x14ac:dyDescent="0.15">
      <c r="A11" s="104" t="s">
        <v>135</v>
      </c>
      <c r="B11" s="105"/>
      <c r="C11" s="105"/>
      <c r="D11" s="105"/>
      <c r="E11" s="105"/>
      <c r="F11" s="105"/>
      <c r="G11" s="105"/>
      <c r="H11" s="105"/>
    </row>
  </sheetData>
  <mergeCells count="4">
    <mergeCell ref="A1:H1"/>
    <mergeCell ref="B3:H3"/>
    <mergeCell ref="A10:H10"/>
    <mergeCell ref="A11:H11"/>
  </mergeCells>
  <phoneticPr fontId="0" type="noConversion"/>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Copyright</vt:lpstr>
      <vt:lpstr>Table A</vt:lpstr>
      <vt:lpstr>Exhibit 1</vt:lpstr>
      <vt:lpstr>Exhibit 2</vt:lpstr>
      <vt:lpstr>Exhibit 3</vt:lpstr>
      <vt:lpstr>Exhibit 5</vt:lpstr>
      <vt:lpstr>Answers</vt:lpstr>
      <vt:lpstr>TA Review Examples</vt:lpstr>
      <vt:lpstr>Exhibit 8</vt:lpstr>
      <vt:lpstr>Exhibit 10</vt:lpstr>
      <vt:lpstr>Exhibit 11</vt:lpstr>
    </vt:vector>
  </TitlesOfParts>
  <Manager> </Manager>
  <Company>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title>
  <dc:subject> </dc:subject>
  <dc:creator> </dc:creator>
  <cp:lastModifiedBy>Spencer Stires</cp:lastModifiedBy>
  <cp:lastPrinted>2010-06-07T07:18:04Z</cp:lastPrinted>
  <dcterms:created xsi:type="dcterms:W3CDTF">2010-04-05T11:50:24Z</dcterms:created>
  <dcterms:modified xsi:type="dcterms:W3CDTF">2022-04-29T22:06:09Z</dcterms:modified>
</cp:coreProperties>
</file>