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mc:AlternateContent xmlns:mc="http://schemas.openxmlformats.org/markup-compatibility/2006">
    <mc:Choice Requires="x15">
      <x15ac:absPath xmlns:x15ac="http://schemas.microsoft.com/office/spreadsheetml/2010/11/ac" url="/Users/spencerstires/Documents/"/>
    </mc:Choice>
  </mc:AlternateContent>
  <xr:revisionPtr revIDLastSave="0" documentId="8_{BB4ECCF7-6688-A849-B1B3-98BBBB4E8339}" xr6:coauthVersionLast="47" xr6:coauthVersionMax="47" xr10:uidLastSave="{00000000-0000-0000-0000-000000000000}"/>
  <bookViews>
    <workbookView xWindow="0" yWindow="500" windowWidth="24400" windowHeight="16580" activeTab="3" xr2:uid="{00000000-000D-0000-FFFF-FFFF00000000}"/>
  </bookViews>
  <sheets>
    <sheet name="assumptions" sheetId="1" r:id="rId1"/>
    <sheet name="consolidated" sheetId="2" r:id="rId2"/>
    <sheet name="credit ratings" sheetId="3" r:id="rId3"/>
    <sheet name="Answers" sheetId="4" r:id="rId4"/>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4" i="4" l="1"/>
  <c r="F41" i="4"/>
  <c r="F19" i="4" l="1"/>
  <c r="L23" i="4"/>
  <c r="F38" i="4" l="1"/>
  <c r="B15" i="4" l="1"/>
  <c r="C98" i="4" l="1"/>
  <c r="G94" i="4" l="1"/>
  <c r="G99" i="4"/>
  <c r="C103" i="4"/>
  <c r="L56" i="4" l="1"/>
  <c r="G57" i="4"/>
  <c r="K137" i="4" l="1"/>
  <c r="G137" i="4"/>
  <c r="K135" i="4"/>
  <c r="G135" i="4"/>
  <c r="K103" i="4"/>
  <c r="J103" i="4"/>
  <c r="I103" i="4"/>
  <c r="H103" i="4"/>
  <c r="G103" i="4"/>
  <c r="F103" i="4"/>
  <c r="E103" i="4"/>
  <c r="D103" i="4"/>
  <c r="K95" i="4"/>
  <c r="J95" i="4"/>
  <c r="I95" i="4"/>
  <c r="H95" i="4"/>
  <c r="G95" i="4"/>
  <c r="F95" i="4"/>
  <c r="E95" i="4"/>
  <c r="D95" i="4"/>
  <c r="C95" i="4"/>
  <c r="B95" i="4"/>
  <c r="K55" i="4"/>
  <c r="K56" i="4" s="1"/>
  <c r="J55" i="4"/>
  <c r="J56" i="4" s="1"/>
  <c r="J57" i="4" s="1"/>
  <c r="I55" i="4"/>
  <c r="I56" i="4" s="1"/>
  <c r="I57" i="4" s="1"/>
  <c r="H55" i="4"/>
  <c r="H56" i="4" s="1"/>
  <c r="H57" i="4" s="1"/>
  <c r="G55" i="4"/>
  <c r="G56" i="4" s="1"/>
  <c r="F39" i="4"/>
  <c r="F37" i="4"/>
  <c r="F45" i="4" s="1"/>
  <c r="F28" i="4"/>
  <c r="K15" i="4"/>
  <c r="K100" i="4" s="1"/>
  <c r="J15" i="4"/>
  <c r="J100" i="4" s="1"/>
  <c r="I15" i="4"/>
  <c r="H15" i="4"/>
  <c r="G15" i="4"/>
  <c r="G100" i="4" s="1"/>
  <c r="F15" i="4"/>
  <c r="E15" i="4"/>
  <c r="E100" i="4" s="1"/>
  <c r="D15" i="4"/>
  <c r="D100" i="4" s="1"/>
  <c r="C15" i="4"/>
  <c r="C100" i="4" s="1"/>
  <c r="K10" i="4"/>
  <c r="J10" i="4"/>
  <c r="I10" i="4"/>
  <c r="H10" i="4"/>
  <c r="G10" i="4"/>
  <c r="F10" i="4"/>
  <c r="E10" i="4"/>
  <c r="D10" i="4"/>
  <c r="C10" i="4"/>
  <c r="B10" i="4"/>
  <c r="K7" i="4"/>
  <c r="K9" i="4" s="1"/>
  <c r="J7" i="4"/>
  <c r="J8" i="4" s="1"/>
  <c r="J94" i="4" s="1"/>
  <c r="I7" i="4"/>
  <c r="I9" i="4" s="1"/>
  <c r="H7" i="4"/>
  <c r="H8" i="4" s="1"/>
  <c r="H94" i="4" s="1"/>
  <c r="H96" i="4" s="1"/>
  <c r="I99" i="4" s="1"/>
  <c r="G7" i="4"/>
  <c r="G8" i="4" s="1"/>
  <c r="G96" i="4" s="1"/>
  <c r="H99" i="4" s="1"/>
  <c r="F7" i="4"/>
  <c r="F9" i="4" s="1"/>
  <c r="E7" i="4"/>
  <c r="E8" i="4" s="1"/>
  <c r="E94" i="4" s="1"/>
  <c r="D7" i="4"/>
  <c r="D8" i="4" s="1"/>
  <c r="D94" i="4" s="1"/>
  <c r="C7" i="4"/>
  <c r="C9" i="4" s="1"/>
  <c r="B7" i="4"/>
  <c r="B9" i="4" s="1"/>
  <c r="B11" i="4" s="1"/>
  <c r="B4" i="4"/>
  <c r="J96" i="4" l="1"/>
  <c r="K99" i="4" s="1"/>
  <c r="K11" i="4"/>
  <c r="C11" i="4"/>
  <c r="F11" i="4"/>
  <c r="H9" i="4"/>
  <c r="H11" i="4" s="1"/>
  <c r="H98" i="4"/>
  <c r="I11" i="4"/>
  <c r="J12" i="4" s="1"/>
  <c r="J102" i="4" s="1"/>
  <c r="J101" i="4" s="1"/>
  <c r="K139" i="4"/>
  <c r="K140" i="4" s="1"/>
  <c r="K141" i="4" s="1"/>
  <c r="J9" i="4"/>
  <c r="J11" i="4" s="1"/>
  <c r="K12" i="4" s="1"/>
  <c r="E96" i="4"/>
  <c r="F99" i="4" s="1"/>
  <c r="I8" i="4"/>
  <c r="I94" i="4" s="1"/>
  <c r="I96" i="4" s="1"/>
  <c r="J99" i="4" s="1"/>
  <c r="F100" i="4"/>
  <c r="B8" i="4"/>
  <c r="B94" i="4" s="1"/>
  <c r="B96" i="4" s="1"/>
  <c r="C99" i="4" s="1"/>
  <c r="C12" i="4"/>
  <c r="C102" i="4" s="1"/>
  <c r="C101" i="4" s="1"/>
  <c r="D96" i="4"/>
  <c r="E99" i="4" s="1"/>
  <c r="G9" i="4"/>
  <c r="G11" i="4" s="1"/>
  <c r="G139" i="4"/>
  <c r="G140" i="4" s="1"/>
  <c r="G141" i="4" s="1"/>
  <c r="I98" i="4"/>
  <c r="L57" i="4"/>
  <c r="K57" i="4"/>
  <c r="F57" i="4" s="1"/>
  <c r="F63" i="4" s="1"/>
  <c r="H100" i="4"/>
  <c r="K98" i="4"/>
  <c r="I100" i="4"/>
  <c r="C8" i="4"/>
  <c r="C94" i="4" s="1"/>
  <c r="C96" i="4" s="1"/>
  <c r="K8" i="4"/>
  <c r="K94" i="4" s="1"/>
  <c r="K96" i="4" s="1"/>
  <c r="D9" i="4"/>
  <c r="D11" i="4" s="1"/>
  <c r="D12" i="4" s="1"/>
  <c r="E9" i="4"/>
  <c r="E11" i="4" s="1"/>
  <c r="E12" i="4" s="1"/>
  <c r="E102" i="4" s="1"/>
  <c r="E101" i="4" s="1"/>
  <c r="F8" i="4"/>
  <c r="I12" i="4" l="1"/>
  <c r="I102" i="4" s="1"/>
  <c r="I101" i="4" s="1"/>
  <c r="G12" i="4"/>
  <c r="G16" i="4" s="1"/>
  <c r="G23" i="4" s="1"/>
  <c r="G70" i="4" s="1"/>
  <c r="E98" i="4"/>
  <c r="K102" i="4"/>
  <c r="K101" i="4" s="1"/>
  <c r="K16" i="4"/>
  <c r="H12" i="4"/>
  <c r="F98" i="4"/>
  <c r="J98" i="4"/>
  <c r="J16" i="4"/>
  <c r="J23" i="4" s="1"/>
  <c r="J70" i="4" s="1"/>
  <c r="F12" i="4"/>
  <c r="F102" i="4" s="1"/>
  <c r="F101" i="4" s="1"/>
  <c r="C16" i="4"/>
  <c r="D99" i="4"/>
  <c r="D98" i="4"/>
  <c r="J50" i="4"/>
  <c r="F94" i="4"/>
  <c r="F96" i="4" s="1"/>
  <c r="F33" i="4"/>
  <c r="B126" i="4"/>
  <c r="I16" i="4"/>
  <c r="I23" i="4" s="1"/>
  <c r="E16" i="4"/>
  <c r="D16" i="4"/>
  <c r="D102" i="4"/>
  <c r="D101" i="4" s="1"/>
  <c r="G50" i="4" l="1"/>
  <c r="K23" i="4"/>
  <c r="K70" i="4" s="1"/>
  <c r="G24" i="4"/>
  <c r="G28" i="4"/>
  <c r="G102" i="4"/>
  <c r="G101" i="4" s="1"/>
  <c r="H102" i="4"/>
  <c r="H101" i="4" s="1"/>
  <c r="H16" i="4"/>
  <c r="H23" i="4" s="1"/>
  <c r="F16" i="4"/>
  <c r="J24" i="4"/>
  <c r="J28" i="4"/>
  <c r="I28" i="4"/>
  <c r="I24" i="4"/>
  <c r="I50" i="4"/>
  <c r="I70" i="4"/>
  <c r="G73" i="4"/>
  <c r="G74" i="4" s="1"/>
  <c r="G80" i="4"/>
  <c r="G71" i="4"/>
  <c r="G81" i="4"/>
  <c r="J81" i="4"/>
  <c r="J73" i="4"/>
  <c r="J74" i="4" s="1"/>
  <c r="J80" i="4"/>
  <c r="J71" i="4"/>
  <c r="F36" i="4"/>
  <c r="K28" i="4"/>
  <c r="K24" i="4"/>
  <c r="K50" i="4"/>
  <c r="L70" i="4"/>
  <c r="L73" i="4" s="1"/>
  <c r="L24" i="4"/>
  <c r="G98" i="4"/>
  <c r="F42" i="4" l="1"/>
  <c r="F35" i="4"/>
  <c r="F46" i="4" s="1"/>
  <c r="H70" i="4"/>
  <c r="H28" i="4"/>
  <c r="B29" i="4" s="1"/>
  <c r="H24" i="4"/>
  <c r="H50" i="4"/>
  <c r="F24" i="4"/>
  <c r="F59" i="4" s="1"/>
  <c r="F43" i="4"/>
  <c r="K71" i="4"/>
  <c r="K80" i="4"/>
  <c r="K81" i="4"/>
  <c r="K73" i="4"/>
  <c r="K74" i="4" s="1"/>
  <c r="L71" i="4"/>
  <c r="L81" i="4"/>
  <c r="L84" i="4" s="1"/>
  <c r="L74" i="4"/>
  <c r="L80" i="4"/>
  <c r="L83" i="4" s="1"/>
  <c r="I81" i="4"/>
  <c r="I73" i="4"/>
  <c r="I74" i="4" s="1"/>
  <c r="I80" i="4"/>
  <c r="I71" i="4"/>
  <c r="F60" i="4" l="1"/>
  <c r="B121" i="4" s="1"/>
  <c r="F47" i="4"/>
  <c r="H51" i="4" s="1"/>
  <c r="F25" i="4"/>
  <c r="H73" i="4"/>
  <c r="H74" i="4" s="1"/>
  <c r="G77" i="4" s="1"/>
  <c r="H80" i="4"/>
  <c r="H71" i="4"/>
  <c r="G76" i="4" s="1"/>
  <c r="H81" i="4"/>
  <c r="B118" i="4"/>
  <c r="L86" i="4"/>
  <c r="G87" i="4" s="1"/>
  <c r="B122" i="4" s="1"/>
  <c r="B125" i="4" s="1"/>
  <c r="G51" i="4" l="1"/>
  <c r="F51" i="4" s="1"/>
  <c r="F62" i="4" s="1"/>
  <c r="I51" i="4"/>
  <c r="K51" i="4"/>
  <c r="L50" i="4"/>
  <c r="L51" i="4" s="1"/>
  <c r="J51" i="4"/>
  <c r="G78" i="4"/>
</calcChain>
</file>

<file path=xl/sharedStrings.xml><?xml version="1.0" encoding="utf-8"?>
<sst xmlns="http://schemas.openxmlformats.org/spreadsheetml/2006/main" count="159" uniqueCount="149">
  <si>
    <t>Value</t>
  </si>
  <si>
    <t>Tax Rate</t>
  </si>
  <si>
    <t>Risk-free rate</t>
  </si>
  <si>
    <t>Market Premium</t>
  </si>
  <si>
    <t>Debt beta for all firms</t>
  </si>
  <si>
    <t>activision asset beta</t>
  </si>
  <si>
    <t>ITS discount rate</t>
  </si>
  <si>
    <t>Perpetual growth rate</t>
  </si>
  <si>
    <t>Purchase price</t>
  </si>
  <si>
    <t>Cash and Short-Term Investments</t>
  </si>
  <si>
    <t>Receivables</t>
  </si>
  <si>
    <t>Inventories - Total</t>
  </si>
  <si>
    <t>Current Assets - Other</t>
  </si>
  <si>
    <t>Prop.Plant &amp; Equip.- Total (Net)</t>
  </si>
  <si>
    <t>Non-current Marketable Securities</t>
  </si>
  <si>
    <t>Intangibles</t>
  </si>
  <si>
    <t>Assets - Other</t>
  </si>
  <si>
    <t>Assets - Total</t>
  </si>
  <si>
    <t>Debt in Current Liabilities</t>
  </si>
  <si>
    <t>Accounts Payable</t>
  </si>
  <si>
    <t>Income Taxes Payable</t>
  </si>
  <si>
    <t>Current Liabilities - Other</t>
  </si>
  <si>
    <t>Long-Term Debt - Total</t>
  </si>
  <si>
    <t>Liabilities - Other</t>
  </si>
  <si>
    <t>Deferred Taxes</t>
  </si>
  <si>
    <t>Liabilities - Total</t>
  </si>
  <si>
    <t>Shareholders Equity - Total</t>
  </si>
  <si>
    <t>Total Liabilities and Shareholders Equity</t>
  </si>
  <si>
    <t>Sales (Net)</t>
  </si>
  <si>
    <t>Cost of Goods Sold</t>
  </si>
  <si>
    <t>Selling, General, and Administrative Expense</t>
  </si>
  <si>
    <t>Operating Income Before Depreciation</t>
  </si>
  <si>
    <t>Depreciation and Amortization</t>
  </si>
  <si>
    <t>Interest Expense</t>
  </si>
  <si>
    <t>Income Taxes - Total</t>
  </si>
  <si>
    <t>Net Income (Loss)</t>
  </si>
  <si>
    <t>Capital Expenditures</t>
  </si>
  <si>
    <t>Purchase of Common and Preferred Stock</t>
  </si>
  <si>
    <t>Cash Dividends</t>
  </si>
  <si>
    <t>Long Term Debt - Issuance</t>
  </si>
  <si>
    <t>Long Term Debt - Reduction</t>
  </si>
  <si>
    <t>Max Interest Coverage Ratio</t>
  </si>
  <si>
    <t>Interest Rate</t>
  </si>
  <si>
    <t>AAA</t>
  </si>
  <si>
    <t>inf</t>
  </si>
  <si>
    <t>AA</t>
  </si>
  <si>
    <t>A</t>
  </si>
  <si>
    <t>BBB</t>
  </si>
  <si>
    <t>BB</t>
  </si>
  <si>
    <t>B</t>
  </si>
  <si>
    <t>CCC</t>
  </si>
  <si>
    <t>CC</t>
  </si>
  <si>
    <t>C</t>
  </si>
  <si>
    <t>NWC</t>
  </si>
  <si>
    <t>dNWC</t>
  </si>
  <si>
    <t>NOPAT</t>
  </si>
  <si>
    <t>FCF</t>
  </si>
  <si>
    <t>TV</t>
  </si>
  <si>
    <t>IRR</t>
  </si>
  <si>
    <t>PV</t>
  </si>
  <si>
    <t>Weight of Debt</t>
  </si>
  <si>
    <t>Equity Beta</t>
  </si>
  <si>
    <t>Weight of Equity</t>
  </si>
  <si>
    <t>Debt Beta</t>
  </si>
  <si>
    <t>Asset Beta</t>
  </si>
  <si>
    <t>DR</t>
  </si>
  <si>
    <t>Equity DR</t>
  </si>
  <si>
    <t>Debt DR</t>
  </si>
  <si>
    <t>WACC</t>
  </si>
  <si>
    <t>ITS PV</t>
  </si>
  <si>
    <t>WACC PV</t>
  </si>
  <si>
    <t>LOOP PV</t>
  </si>
  <si>
    <t>APV PV</t>
  </si>
  <si>
    <t>Tax Shield via WACC</t>
  </si>
  <si>
    <t>Tax Shield via APV</t>
  </si>
  <si>
    <t>CF</t>
  </si>
  <si>
    <t>Base Case</t>
  </si>
  <si>
    <t>Option Case</t>
  </si>
  <si>
    <t>Strike</t>
  </si>
  <si>
    <t>Net Debt</t>
  </si>
  <si>
    <t>Book Equity</t>
  </si>
  <si>
    <t>Invested Capital</t>
  </si>
  <si>
    <t>ROIC</t>
  </si>
  <si>
    <t>Turnover</t>
  </si>
  <si>
    <t>INCOME STATEMENT - Select Portions</t>
  </si>
  <si>
    <t>STATEMENT OF CASH FLOWS - Select Portions</t>
  </si>
  <si>
    <t>Financial Statement for: ACTIVISION</t>
  </si>
  <si>
    <t>Historic</t>
  </si>
  <si>
    <t>Forecasted</t>
  </si>
  <si>
    <t>LIABILITIES</t>
  </si>
  <si>
    <t>BALANCE SHEET - Consolidated</t>
  </si>
  <si>
    <t>Investment</t>
  </si>
  <si>
    <t>Investment Rate</t>
  </si>
  <si>
    <t>Sales Growth</t>
  </si>
  <si>
    <t>Profit Margin</t>
  </si>
  <si>
    <t>Probability of Distress</t>
  </si>
  <si>
    <t>30% of APV</t>
  </si>
  <si>
    <t>100% of Expansion Option Value</t>
  </si>
  <si>
    <t>Expected Cost of Financial Distress</t>
  </si>
  <si>
    <t>PV ITS</t>
  </si>
  <si>
    <t>Debt</t>
  </si>
  <si>
    <t>Interest</t>
  </si>
  <si>
    <t>NOP</t>
  </si>
  <si>
    <t>Interest Coverage Ratio</t>
  </si>
  <si>
    <t>Asset beta for the target should be based on the target's systematic risk, not its parent company. Thus, unless we think the aquisition will somehow change ATVI's core risks, we would use ATVI beta, not MSFT.</t>
  </si>
  <si>
    <t>LOOP FCF ignore the tax deduction for interest payment. This is proper for our LOOP, APV, and WACC valuation procedures, but it is overstating taxes paid and thus understating true FCF available.</t>
  </si>
  <si>
    <t>The all-cash offer locks in the price, meaning that Activision is hedged against changes in the stock market. Microsoft bears the risk of a falling stock market between the deal being accepted and closed, (similar to the risk born by Dow in acquiring Rohm.) And in fact, the stock market (especially tech stocks) are substantially down since the deal was struck.</t>
  </si>
  <si>
    <t>To some degree, this also puts risk on Activision, in the case the market went down so much that Microsoft tried to get out of the deal, (like Dow.)</t>
  </si>
  <si>
    <t>We saw empirically that the acquiring firm's stock tends to go down when a deal is announced and the target's stock goes up.</t>
  </si>
  <si>
    <t>Accordingly, if the deal (unexpectedly) falls through, we expect to see Microsoft's stock go up and Activision's stock go down.</t>
  </si>
  <si>
    <t>This is similar to the valuations of Snap. As in that discussion, there is no obvious reason for the forecasted cashflows to correlate to the discount rate. (That is, for analysts making higher FCF forecasts to also calculate a higher discount rate.) Accordingly, we should view this as a problem, or at least a puzzle. And it might be explained by analysts tweaking the discount rates to get desired valuations.</t>
  </si>
  <si>
    <t>Corresponding Interest Rate</t>
  </si>
  <si>
    <t>Corresponding Rating</t>
  </si>
  <si>
    <t>Discount Rate</t>
  </si>
  <si>
    <t>Required Cash</t>
  </si>
  <si>
    <t>Excess Cash</t>
  </si>
  <si>
    <t>Adj Current Assets</t>
  </si>
  <si>
    <t>Adj Current Liabilities</t>
  </si>
  <si>
    <t>NPV</t>
  </si>
  <si>
    <t>ITS</t>
  </si>
  <si>
    <t>Option FV</t>
  </si>
  <si>
    <t>Scenario B Option PV</t>
  </si>
  <si>
    <t>Scenario A Option PV</t>
  </si>
  <si>
    <t>Year</t>
  </si>
  <si>
    <t>Downcase Option Exercise Value</t>
  </si>
  <si>
    <t>Upcase Option Exercise Value</t>
  </si>
  <si>
    <t>Base Case PV</t>
  </si>
  <si>
    <t>Option Case PV</t>
  </si>
  <si>
    <t>Discounted FCF</t>
  </si>
  <si>
    <t>Upcase FCF</t>
  </si>
  <si>
    <t>Downcase FCF</t>
  </si>
  <si>
    <t>Lag</t>
  </si>
  <si>
    <t>Average</t>
  </si>
  <si>
    <t>Current</t>
  </si>
  <si>
    <t>Choice:</t>
  </si>
  <si>
    <t>NPV Hurdle</t>
  </si>
  <si>
    <t>Discussion</t>
  </si>
  <si>
    <t>Discussion:</t>
  </si>
  <si>
    <t>Method</t>
  </si>
  <si>
    <t>We see that</t>
  </si>
  <si>
    <t>Profit margin continues nearly unchanged</t>
  </si>
  <si>
    <t>Turnover improves 5%</t>
  </si>
  <si>
    <t>Together, these boost ROIC 2%--not much.</t>
  </si>
  <si>
    <t>Seems forecasts do not rely on operational improvement.</t>
  </si>
  <si>
    <t>Cumulatively, this makes an even bigger difference.</t>
  </si>
  <si>
    <t>Investment rate in same range as in 2021 (though this is higher than preceding years).</t>
  </si>
  <si>
    <r>
      <rPr>
        <b/>
        <sz val="11"/>
        <color theme="1"/>
        <rFont val="Calibri"/>
        <family val="2"/>
        <scheme val="minor"/>
      </rPr>
      <t>Except </t>
    </r>
    <r>
      <rPr>
        <sz val="11"/>
        <color theme="1"/>
        <rFont val="Calibri"/>
        <family val="2"/>
        <scheme val="minor"/>
      </rPr>
      <t>sales growth. Growing every year at a rate nearly as high as the 5-year historic high.</t>
    </r>
  </si>
  <si>
    <r>
      <t xml:space="preserve">Answers are </t>
    </r>
    <r>
      <rPr>
        <b/>
        <sz val="11"/>
        <color theme="1"/>
        <rFont val="Calibri"/>
        <family val="2"/>
        <scheme val="minor"/>
      </rPr>
      <t>bold</t>
    </r>
  </si>
  <si>
    <t>The cost of financial distress is less than the value of the 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</si>
</sst>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_(* #,##0_);_(* \(#,##0\);_(* &quot;-&quot;??_);_(@_)"/>
    <numFmt numFmtId="166" formatCode="_(&quot;$&quot;* #,##0_);_(&quot;$&quot;* \(#,##0\);_(&quot;$&quot;* &quot;-&quot;??_);_(@_)"/>
    <numFmt numFmtId="167" formatCode="#,##0.00\x"/>
    <numFmt numFmtId="168" formatCode="0.0"/>
  </numFmts>
  <fonts count="15" x14ac:knownFonts="1">
    <font>
      <sz val="11"/>
      <color theme="1"/>
      <name val="Calibri"/>
      <family val="2"/>
      <scheme val="minor"/>
    </font>
    <font>
      <b/>
      <sz val="11"/>
      <name val="Calibri"/>
    </font>
    <font>
      <sz val="11"/>
      <color theme="1"/>
      <name val="Calibri"/>
      <family val="2"/>
      <scheme val="minor"/>
    </font>
    <font>
      <sz val="11"/>
      <color theme="1"/>
      <name val="Calibri"/>
      <family val="2"/>
    </font>
    <font>
      <b/>
      <sz val="11"/>
      <color theme="1"/>
      <name val="Calibri"/>
      <family val="2"/>
      <scheme val="minor"/>
    </font>
    <font>
      <b/>
      <sz val="11"/>
      <color theme="0"/>
      <name val="Calibri"/>
      <family val="2"/>
      <scheme val="minor"/>
    </font>
    <font>
      <sz val="11"/>
      <color theme="0"/>
      <name val="Calibri"/>
      <family val="2"/>
      <scheme val="minor"/>
    </font>
    <font>
      <sz val="8"/>
      <color theme="1"/>
      <name val="Times New Roman"/>
      <family val="2"/>
    </font>
    <font>
      <b/>
      <u/>
      <sz val="12"/>
      <color theme="1"/>
      <name val="Times New Roman"/>
      <family val="1"/>
    </font>
    <font>
      <sz val="12"/>
      <color theme="1"/>
      <name val="Times New Roman"/>
      <family val="2"/>
    </font>
    <font>
      <b/>
      <sz val="11"/>
      <name val="Calibri"/>
      <family val="2"/>
    </font>
    <font>
      <sz val="11"/>
      <name val="Calibri"/>
      <family val="2"/>
    </font>
    <font>
      <b/>
      <sz val="10"/>
      <name val="Arial"/>
      <family val="2"/>
    </font>
    <font>
      <b/>
      <sz val="18"/>
      <color theme="1"/>
      <name val="Times New Roman"/>
      <family val="1"/>
    </font>
    <font>
      <sz val="12"/>
      <color rgb="FF3F3F76"/>
      <name val="Calibri"/>
      <family val="2"/>
      <scheme val="minor"/>
    </font>
  </fonts>
  <fills count="8">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indexed="22"/>
      </patternFill>
    </fill>
    <fill>
      <patternFill patternType="solid">
        <fgColor rgb="FFFFCC99"/>
      </patternFill>
    </fill>
    <fill>
      <patternFill patternType="lightUp"/>
    </fill>
  </fills>
  <borders count="8">
    <border>
      <left/>
      <right/>
      <top/>
      <bottom/>
      <diagonal/>
    </border>
    <border>
      <left style="thin">
        <color auto="1"/>
      </left>
      <right style="thin">
        <color auto="1"/>
      </right>
      <top style="thin">
        <color auto="1"/>
      </top>
      <bottom style="thin">
        <color auto="1"/>
      </bottom>
      <diagonal/>
    </border>
    <border>
      <left/>
      <right style="thick">
        <color auto="1"/>
      </right>
      <top/>
      <bottom/>
      <diagonal/>
    </border>
    <border>
      <left/>
      <right/>
      <top/>
      <bottom style="thin">
        <color auto="1"/>
      </bottom>
      <diagonal/>
    </border>
    <border>
      <left/>
      <right style="thick">
        <color auto="1"/>
      </right>
      <top style="thin">
        <color auto="1"/>
      </top>
      <bottom/>
      <diagonal/>
    </border>
    <border>
      <left style="thin">
        <color rgb="FF7F7F7F"/>
      </left>
      <right style="thin">
        <color rgb="FF7F7F7F"/>
      </right>
      <top style="thin">
        <color rgb="FF7F7F7F"/>
      </top>
      <bottom style="thin">
        <color rgb="FF7F7F7F"/>
      </bottom>
      <diagonal/>
    </border>
    <border>
      <left/>
      <right style="thin">
        <color auto="1"/>
      </right>
      <top style="thin">
        <color auto="1"/>
      </top>
      <bottom style="thin">
        <color auto="1"/>
      </bottom>
      <diagonal/>
    </border>
    <border>
      <left/>
      <right style="thin">
        <color indexed="64"/>
      </right>
      <top/>
      <bottom/>
      <diagonal/>
    </border>
  </borders>
  <cellStyleXfs count="6">
    <xf numFmtId="0" fontId="0"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7" fillId="0" borderId="0"/>
    <xf numFmtId="0" fontId="14" fillId="6" borderId="5" applyNumberFormat="0" applyAlignment="0" applyProtection="0"/>
  </cellStyleXfs>
  <cellXfs count="78">
    <xf numFmtId="0" fontId="0" fillId="0" borderId="0" xfId="0"/>
    <xf numFmtId="2" fontId="0" fillId="0" borderId="0" xfId="0" applyNumberFormat="1"/>
    <xf numFmtId="1" fontId="0" fillId="0" borderId="0" xfId="0" applyNumberFormat="1"/>
    <xf numFmtId="0" fontId="4" fillId="0" borderId="0" xfId="0" applyFont="1"/>
    <xf numFmtId="10" fontId="4" fillId="0" borderId="0" xfId="0" applyNumberFormat="1" applyFont="1"/>
    <xf numFmtId="0" fontId="1" fillId="0" borderId="0" xfId="0" applyFont="1" applyBorder="1" applyAlignment="1">
      <alignment horizontal="center" vertical="top"/>
    </xf>
    <xf numFmtId="0" fontId="0" fillId="0" borderId="0" xfId="0" applyFill="1"/>
    <xf numFmtId="0" fontId="6" fillId="2" borderId="0" xfId="0" applyFont="1" applyFill="1"/>
    <xf numFmtId="0" fontId="5" fillId="2" borderId="0" xfId="0" applyFont="1" applyFill="1" applyAlignment="1">
      <alignment horizontal="left"/>
    </xf>
    <xf numFmtId="164" fontId="0" fillId="0" borderId="0" xfId="3" applyNumberFormat="1" applyFont="1"/>
    <xf numFmtId="0" fontId="0" fillId="0" borderId="0" xfId="0" applyAlignment="1">
      <alignment horizontal="left" indent="1"/>
    </xf>
    <xf numFmtId="0" fontId="0" fillId="0" borderId="0" xfId="0" applyAlignment="1">
      <alignment horizontal="left"/>
    </xf>
    <xf numFmtId="10" fontId="0" fillId="0" borderId="0" xfId="3" applyNumberFormat="1" applyFont="1"/>
    <xf numFmtId="165" fontId="0" fillId="0" borderId="0" xfId="1" applyNumberFormat="1" applyFont="1"/>
    <xf numFmtId="0" fontId="0" fillId="0" borderId="0" xfId="0" applyAlignment="1">
      <alignment horizontal="center" vertical="center"/>
    </xf>
    <xf numFmtId="165" fontId="0" fillId="0" borderId="0" xfId="0" applyNumberFormat="1"/>
    <xf numFmtId="165" fontId="4" fillId="0" borderId="0" xfId="0" applyNumberFormat="1" applyFont="1"/>
    <xf numFmtId="165" fontId="4" fillId="0" borderId="0" xfId="1" applyNumberFormat="1" applyFont="1"/>
    <xf numFmtId="0" fontId="8" fillId="0" borderId="0" xfId="4" applyFont="1"/>
    <xf numFmtId="0" fontId="8" fillId="0" borderId="0" xfId="4" applyFont="1" applyAlignment="1">
      <alignment horizontal="right"/>
    </xf>
    <xf numFmtId="0" fontId="9" fillId="0" borderId="0" xfId="4" applyFont="1"/>
    <xf numFmtId="9" fontId="9" fillId="0" borderId="0" xfId="4" applyNumberFormat="1" applyFont="1"/>
    <xf numFmtId="164" fontId="9" fillId="0" borderId="0" xfId="4" applyNumberFormat="1" applyFont="1"/>
    <xf numFmtId="2" fontId="9" fillId="0" borderId="0" xfId="4" applyNumberFormat="1" applyFont="1"/>
    <xf numFmtId="166" fontId="9" fillId="0" borderId="0" xfId="2" applyNumberFormat="1" applyFont="1"/>
    <xf numFmtId="0" fontId="10" fillId="3" borderId="1" xfId="0" applyFont="1" applyFill="1" applyBorder="1" applyAlignment="1">
      <alignment horizontal="center" vertical="top"/>
    </xf>
    <xf numFmtId="0" fontId="10" fillId="4" borderId="1" xfId="0" applyFont="1" applyFill="1" applyBorder="1" applyAlignment="1">
      <alignment horizontal="center" vertical="top"/>
    </xf>
    <xf numFmtId="0" fontId="11" fillId="0" borderId="1" xfId="0" applyFont="1" applyBorder="1" applyAlignment="1">
      <alignment horizontal="left" vertical="top"/>
    </xf>
    <xf numFmtId="0" fontId="10" fillId="0" borderId="1" xfId="0" applyFont="1" applyBorder="1" applyAlignment="1">
      <alignment horizontal="left" vertical="top"/>
    </xf>
    <xf numFmtId="0" fontId="3" fillId="0" borderId="0" xfId="0" applyFont="1"/>
    <xf numFmtId="0" fontId="12" fillId="5" borderId="0" xfId="0" applyFont="1" applyFill="1"/>
    <xf numFmtId="166" fontId="0" fillId="0" borderId="0" xfId="2" applyNumberFormat="1" applyFont="1"/>
    <xf numFmtId="166" fontId="0" fillId="0" borderId="2" xfId="2" applyNumberFormat="1" applyFont="1" applyBorder="1"/>
    <xf numFmtId="0" fontId="4" fillId="0" borderId="0" xfId="0" applyFont="1" applyAlignment="1">
      <alignment horizontal="left"/>
    </xf>
    <xf numFmtId="0" fontId="10" fillId="0" borderId="0" xfId="0" applyFont="1" applyAlignment="1">
      <alignment horizontal="center" vertical="top"/>
    </xf>
    <xf numFmtId="0" fontId="10" fillId="0" borderId="4" xfId="0" applyFont="1" applyBorder="1" applyAlignment="1">
      <alignment horizontal="center" vertical="top"/>
    </xf>
    <xf numFmtId="166" fontId="4" fillId="0" borderId="0" xfId="2" applyNumberFormat="1" applyFont="1"/>
    <xf numFmtId="166" fontId="4" fillId="0" borderId="2" xfId="2" applyNumberFormat="1" applyFont="1" applyBorder="1"/>
    <xf numFmtId="0" fontId="12" fillId="0" borderId="0" xfId="0" applyFont="1"/>
    <xf numFmtId="0" fontId="10" fillId="0" borderId="1" xfId="0" applyFont="1" applyBorder="1" applyAlignment="1">
      <alignment horizontal="center" vertical="top"/>
    </xf>
    <xf numFmtId="10" fontId="10" fillId="0" borderId="1" xfId="3" applyNumberFormat="1" applyFont="1" applyBorder="1" applyAlignment="1">
      <alignment horizontal="center" vertical="top"/>
    </xf>
    <xf numFmtId="0" fontId="0" fillId="0" borderId="0" xfId="0" applyAlignment="1">
      <alignment horizontal="right"/>
    </xf>
    <xf numFmtId="166" fontId="0" fillId="0" borderId="0" xfId="0" applyNumberFormat="1"/>
    <xf numFmtId="44" fontId="0" fillId="0" borderId="0" xfId="0" applyNumberFormat="1"/>
    <xf numFmtId="167" fontId="0" fillId="0" borderId="0" xfId="0" applyNumberFormat="1"/>
    <xf numFmtId="10" fontId="4" fillId="0" borderId="0" xfId="3" applyNumberFormat="1" applyFont="1"/>
    <xf numFmtId="164" fontId="4" fillId="0" borderId="0" xfId="3" applyNumberFormat="1" applyFont="1"/>
    <xf numFmtId="165" fontId="4" fillId="0" borderId="0" xfId="0" applyNumberFormat="1" applyFont="1" applyFill="1"/>
    <xf numFmtId="0" fontId="0" fillId="0" borderId="0" xfId="0" applyFont="1"/>
    <xf numFmtId="165" fontId="0" fillId="0" borderId="0" xfId="1" applyNumberFormat="1" applyFont="1" applyFill="1"/>
    <xf numFmtId="165" fontId="0" fillId="7" borderId="0" xfId="1" applyNumberFormat="1" applyFont="1" applyFill="1"/>
    <xf numFmtId="165" fontId="2" fillId="0" borderId="0" xfId="1" applyNumberFormat="1" applyFont="1"/>
    <xf numFmtId="0" fontId="0" fillId="0" borderId="0" xfId="0" applyAlignment="1">
      <alignment horizontal="center"/>
    </xf>
    <xf numFmtId="0" fontId="14" fillId="6" borderId="5" xfId="5" applyAlignment="1">
      <alignment horizontal="center"/>
    </xf>
    <xf numFmtId="44" fontId="4" fillId="0" borderId="0" xfId="2" applyFont="1"/>
    <xf numFmtId="0" fontId="0" fillId="0" borderId="0" xfId="0" applyFont="1" applyAlignment="1">
      <alignment horizontal="center"/>
    </xf>
    <xf numFmtId="9" fontId="0" fillId="0" borderId="0" xfId="3" applyFont="1"/>
    <xf numFmtId="0" fontId="0" fillId="0" borderId="0" xfId="0" quotePrefix="1"/>
    <xf numFmtId="0" fontId="4" fillId="0" borderId="0" xfId="0" applyFont="1" applyAlignment="1">
      <alignment horizontal="right"/>
    </xf>
    <xf numFmtId="0" fontId="0" fillId="0" borderId="0" xfId="0" applyFill="1" applyAlignment="1">
      <alignment horizontal="right"/>
    </xf>
    <xf numFmtId="0" fontId="0" fillId="0" borderId="0" xfId="0" applyFont="1" applyAlignment="1">
      <alignment horizontal="right"/>
    </xf>
    <xf numFmtId="0" fontId="4" fillId="0" borderId="0" xfId="0" applyFont="1" applyFill="1" applyAlignment="1">
      <alignment horizontal="right"/>
    </xf>
    <xf numFmtId="0" fontId="0" fillId="0" borderId="0" xfId="0" applyAlignment="1">
      <alignment horizontal="right" indent="1"/>
    </xf>
    <xf numFmtId="0" fontId="10" fillId="4" borderId="6" xfId="0" applyFont="1" applyFill="1" applyBorder="1" applyAlignment="1">
      <alignment horizontal="center" vertical="top"/>
    </xf>
    <xf numFmtId="0" fontId="6" fillId="2" borderId="7" xfId="0" applyFont="1" applyFill="1" applyBorder="1"/>
    <xf numFmtId="0" fontId="0" fillId="0" borderId="7" xfId="0" applyBorder="1"/>
    <xf numFmtId="165" fontId="0" fillId="0" borderId="7" xfId="1" applyNumberFormat="1" applyFont="1" applyBorder="1"/>
    <xf numFmtId="165" fontId="4" fillId="0" borderId="7" xfId="1" applyNumberFormat="1" applyFont="1" applyBorder="1"/>
    <xf numFmtId="165" fontId="0" fillId="0" borderId="7" xfId="1" applyNumberFormat="1" applyFont="1" applyFill="1" applyBorder="1"/>
    <xf numFmtId="165" fontId="4" fillId="0" borderId="7" xfId="0" applyNumberFormat="1" applyFont="1" applyBorder="1"/>
    <xf numFmtId="165" fontId="2" fillId="0" borderId="7" xfId="1" applyNumberFormat="1" applyFont="1" applyBorder="1"/>
    <xf numFmtId="164" fontId="4" fillId="0" borderId="7" xfId="3" applyNumberFormat="1" applyFont="1" applyFill="1" applyBorder="1"/>
    <xf numFmtId="2" fontId="4" fillId="0" borderId="7" xfId="0" applyNumberFormat="1" applyFont="1" applyBorder="1"/>
    <xf numFmtId="164" fontId="0" fillId="0" borderId="7" xfId="0" applyNumberFormat="1" applyBorder="1"/>
    <xf numFmtId="168" fontId="0" fillId="0" borderId="7" xfId="0" applyNumberFormat="1" applyBorder="1"/>
    <xf numFmtId="164" fontId="4" fillId="0" borderId="7" xfId="3" applyNumberFormat="1" applyFont="1" applyBorder="1"/>
    <xf numFmtId="166" fontId="0" fillId="0" borderId="7" xfId="0" applyNumberFormat="1" applyBorder="1"/>
    <xf numFmtId="0" fontId="13" fillId="0" borderId="3" xfId="0" applyFont="1" applyBorder="1" applyAlignment="1">
      <alignment horizontal="center"/>
    </xf>
  </cellXfs>
  <cellStyles count="6">
    <cellStyle name="Comma" xfId="1" builtinId="3"/>
    <cellStyle name="Currency" xfId="2" builtinId="4"/>
    <cellStyle name="Input" xfId="5" builtinId="20"/>
    <cellStyle name="Normal" xfId="0" builtinId="0"/>
    <cellStyle name="Normal 2" xfId="4" xr:uid="{B4DB2928-A81E-504E-BD7C-292313E66101}"/>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workbookViewId="0"/>
  </sheetViews>
  <sheetFormatPr baseColWidth="10" defaultColWidth="8.83203125" defaultRowHeight="15" x14ac:dyDescent="0.2"/>
  <cols>
    <col min="1" max="1" width="19.6640625" customWidth="1"/>
  </cols>
  <sheetData>
    <row r="1" spans="1:2" ht="16" x14ac:dyDescent="0.2">
      <c r="A1" s="18"/>
      <c r="B1" s="19" t="s">
        <v>0</v>
      </c>
    </row>
    <row r="2" spans="1:2" ht="16" x14ac:dyDescent="0.2">
      <c r="A2" s="20" t="s">
        <v>1</v>
      </c>
      <c r="B2" s="21">
        <v>0.2</v>
      </c>
    </row>
    <row r="3" spans="1:2" ht="16" x14ac:dyDescent="0.2">
      <c r="A3" s="20" t="s">
        <v>2</v>
      </c>
      <c r="B3" s="22">
        <v>2.5000000000000001E-2</v>
      </c>
    </row>
    <row r="4" spans="1:2" ht="16" x14ac:dyDescent="0.2">
      <c r="A4" s="20" t="s">
        <v>3</v>
      </c>
      <c r="B4" s="22">
        <v>0.06</v>
      </c>
    </row>
    <row r="5" spans="1:2" ht="16" x14ac:dyDescent="0.2">
      <c r="A5" s="20" t="s">
        <v>4</v>
      </c>
      <c r="B5" s="23">
        <v>0.3</v>
      </c>
    </row>
    <row r="6" spans="1:2" ht="16" x14ac:dyDescent="0.2">
      <c r="A6" s="20" t="s">
        <v>5</v>
      </c>
      <c r="B6" s="23">
        <v>1</v>
      </c>
    </row>
    <row r="7" spans="1:2" ht="16" x14ac:dyDescent="0.2">
      <c r="A7" s="20" t="s">
        <v>6</v>
      </c>
      <c r="B7" s="22">
        <v>6.5000000000000002E-2</v>
      </c>
    </row>
    <row r="8" spans="1:2" ht="16" x14ac:dyDescent="0.2">
      <c r="A8" s="20" t="s">
        <v>7</v>
      </c>
      <c r="B8" s="21">
        <v>0.03</v>
      </c>
    </row>
    <row r="9" spans="1:2" ht="16" x14ac:dyDescent="0.2">
      <c r="A9" s="20" t="s">
        <v>8</v>
      </c>
      <c r="B9" s="24">
        <v>68700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6"/>
  <sheetViews>
    <sheetView workbookViewId="0">
      <pane xSplit="1" ySplit="3" topLeftCell="B8" activePane="bottomRight" state="frozen"/>
      <selection pane="topRight" activeCell="B1" sqref="B1"/>
      <selection pane="bottomLeft" activeCell="A2" sqref="A2"/>
      <selection pane="bottomRight"/>
    </sheetView>
  </sheetViews>
  <sheetFormatPr baseColWidth="10" defaultColWidth="8.83203125" defaultRowHeight="15" x14ac:dyDescent="0.2"/>
  <cols>
    <col min="1" max="1" width="33" customWidth="1"/>
    <col min="2" max="2" width="11.33203125" bestFit="1" customWidth="1"/>
    <col min="3" max="6" width="10.1640625" bestFit="1" customWidth="1"/>
    <col min="7" max="7" width="10.33203125" bestFit="1" customWidth="1"/>
    <col min="8" max="12" width="10.1640625" bestFit="1" customWidth="1"/>
  </cols>
  <sheetData>
    <row r="1" spans="1:11" x14ac:dyDescent="0.2">
      <c r="A1" s="33" t="s">
        <v>86</v>
      </c>
    </row>
    <row r="2" spans="1:11" ht="23" x14ac:dyDescent="0.25">
      <c r="A2" s="11"/>
      <c r="B2" s="77" t="s">
        <v>87</v>
      </c>
      <c r="C2" s="77"/>
      <c r="D2" s="77"/>
      <c r="E2" s="77"/>
      <c r="F2" s="77"/>
      <c r="G2" s="77" t="s">
        <v>88</v>
      </c>
      <c r="H2" s="77"/>
      <c r="I2" s="77"/>
      <c r="J2" s="77"/>
      <c r="K2" s="77"/>
    </row>
    <row r="3" spans="1:11" x14ac:dyDescent="0.2">
      <c r="A3" s="11"/>
      <c r="B3" s="25">
        <v>2017</v>
      </c>
      <c r="C3" s="25">
        <v>2018</v>
      </c>
      <c r="D3" s="25">
        <v>2019</v>
      </c>
      <c r="E3" s="25">
        <v>2020</v>
      </c>
      <c r="F3" s="25">
        <v>2021</v>
      </c>
      <c r="G3" s="26">
        <v>2022</v>
      </c>
      <c r="H3" s="26">
        <v>2023</v>
      </c>
      <c r="I3" s="26">
        <v>2024</v>
      </c>
      <c r="J3" s="26">
        <v>2025</v>
      </c>
      <c r="K3" s="26">
        <v>2026</v>
      </c>
    </row>
    <row r="4" spans="1:11" x14ac:dyDescent="0.2">
      <c r="A4" s="30" t="s">
        <v>90</v>
      </c>
      <c r="B4" s="34"/>
      <c r="C4" s="34"/>
      <c r="D4" s="34"/>
      <c r="E4" s="34"/>
      <c r="F4" s="35"/>
      <c r="G4" s="34"/>
      <c r="H4" s="34"/>
      <c r="I4" s="34"/>
      <c r="J4" s="34"/>
      <c r="K4" s="34"/>
    </row>
    <row r="5" spans="1:11" x14ac:dyDescent="0.2">
      <c r="A5" s="27" t="s">
        <v>9</v>
      </c>
      <c r="B5" s="31">
        <v>4775</v>
      </c>
      <c r="C5" s="31">
        <v>4380</v>
      </c>
      <c r="D5" s="31">
        <v>5863</v>
      </c>
      <c r="E5" s="31">
        <v>8817</v>
      </c>
      <c r="F5" s="32">
        <v>6286</v>
      </c>
      <c r="G5" s="31">
        <v>7543.2000000000007</v>
      </c>
      <c r="H5" s="31">
        <v>9051.84</v>
      </c>
      <c r="I5" s="31">
        <v>10862.208000000001</v>
      </c>
      <c r="J5" s="31">
        <v>13034.649600000001</v>
      </c>
      <c r="K5" s="31">
        <v>15641.579519999999</v>
      </c>
    </row>
    <row r="6" spans="1:11" x14ac:dyDescent="0.2">
      <c r="A6" s="27" t="s">
        <v>10</v>
      </c>
      <c r="B6" s="31">
        <v>918</v>
      </c>
      <c r="C6" s="31">
        <v>1035</v>
      </c>
      <c r="D6" s="31">
        <v>848</v>
      </c>
      <c r="E6" s="31">
        <v>1052</v>
      </c>
      <c r="F6" s="32">
        <v>972</v>
      </c>
      <c r="G6" s="31">
        <v>1166.4000000000001</v>
      </c>
      <c r="H6" s="31">
        <v>1399.68</v>
      </c>
      <c r="I6" s="31">
        <v>1679.616</v>
      </c>
      <c r="J6" s="31">
        <v>2015.5391999999999</v>
      </c>
      <c r="K6" s="31">
        <v>2418.6470399999989</v>
      </c>
    </row>
    <row r="7" spans="1:11" x14ac:dyDescent="0.2">
      <c r="A7" s="27" t="s">
        <v>11</v>
      </c>
      <c r="B7" s="31">
        <v>46</v>
      </c>
      <c r="C7" s="31">
        <v>43</v>
      </c>
      <c r="D7" s="31">
        <v>32</v>
      </c>
      <c r="E7" s="31">
        <v>0</v>
      </c>
      <c r="F7" s="32">
        <v>0</v>
      </c>
      <c r="G7" s="31">
        <v>0</v>
      </c>
      <c r="H7" s="31">
        <v>0</v>
      </c>
      <c r="I7" s="31">
        <v>0</v>
      </c>
      <c r="J7" s="31">
        <v>0</v>
      </c>
      <c r="K7" s="31">
        <v>0</v>
      </c>
    </row>
    <row r="8" spans="1:11" x14ac:dyDescent="0.2">
      <c r="A8" s="27" t="s">
        <v>12</v>
      </c>
      <c r="B8" s="31">
        <v>781</v>
      </c>
      <c r="C8" s="31">
        <v>648</v>
      </c>
      <c r="D8" s="31">
        <v>549</v>
      </c>
      <c r="E8" s="31">
        <v>696</v>
      </c>
      <c r="F8" s="32">
        <v>966</v>
      </c>
      <c r="G8" s="31">
        <v>1159.2</v>
      </c>
      <c r="H8" s="31">
        <v>1391.04</v>
      </c>
      <c r="I8" s="31">
        <v>1669.248</v>
      </c>
      <c r="J8" s="31">
        <v>2003.0976000000001</v>
      </c>
      <c r="K8" s="31">
        <v>2403.7171199999989</v>
      </c>
    </row>
    <row r="9" spans="1:11" x14ac:dyDescent="0.2">
      <c r="A9" s="27" t="s">
        <v>13</v>
      </c>
      <c r="B9" s="31">
        <v>294</v>
      </c>
      <c r="C9" s="31">
        <v>282</v>
      </c>
      <c r="D9" s="31">
        <v>485</v>
      </c>
      <c r="E9" s="31">
        <v>452</v>
      </c>
      <c r="F9" s="32">
        <v>406</v>
      </c>
      <c r="G9" s="31">
        <v>487.2</v>
      </c>
      <c r="H9" s="31">
        <v>584.64</v>
      </c>
      <c r="I9" s="31">
        <v>701.56799999999998</v>
      </c>
      <c r="J9" s="31">
        <v>841.88159999999993</v>
      </c>
      <c r="K9" s="31">
        <v>1010.25792</v>
      </c>
    </row>
    <row r="10" spans="1:11" x14ac:dyDescent="0.2">
      <c r="A10" s="27" t="s">
        <v>14</v>
      </c>
      <c r="B10" s="31">
        <v>0</v>
      </c>
      <c r="C10" s="31">
        <v>0</v>
      </c>
      <c r="D10" s="31">
        <v>42</v>
      </c>
      <c r="E10" s="31">
        <v>0</v>
      </c>
      <c r="F10" s="32">
        <v>0</v>
      </c>
      <c r="G10" s="31">
        <v>0</v>
      </c>
      <c r="H10" s="31">
        <v>0</v>
      </c>
      <c r="I10" s="31">
        <v>0</v>
      </c>
      <c r="J10" s="31">
        <v>0</v>
      </c>
      <c r="K10" s="31">
        <v>0</v>
      </c>
    </row>
    <row r="11" spans="1:11" x14ac:dyDescent="0.2">
      <c r="A11" s="27" t="s">
        <v>15</v>
      </c>
      <c r="B11" s="31">
        <v>10955</v>
      </c>
      <c r="C11" s="31">
        <v>10562</v>
      </c>
      <c r="D11" s="31">
        <v>10349</v>
      </c>
      <c r="E11" s="31">
        <v>10376</v>
      </c>
      <c r="F11" s="32">
        <v>10457</v>
      </c>
      <c r="G11" s="31">
        <v>12548.4</v>
      </c>
      <c r="H11" s="31">
        <v>15058.08</v>
      </c>
      <c r="I11" s="31">
        <v>18069.696</v>
      </c>
      <c r="J11" s="31">
        <v>21683.63519999999</v>
      </c>
      <c r="K11" s="31">
        <v>26020.362239999991</v>
      </c>
    </row>
    <row r="12" spans="1:11" x14ac:dyDescent="0.2">
      <c r="A12" s="27" t="s">
        <v>16</v>
      </c>
      <c r="B12" s="31">
        <v>899</v>
      </c>
      <c r="C12" s="31">
        <v>885</v>
      </c>
      <c r="D12" s="31">
        <v>1677</v>
      </c>
      <c r="E12" s="31">
        <v>1716</v>
      </c>
      <c r="F12" s="32">
        <v>1637</v>
      </c>
      <c r="G12" s="31">
        <v>1964.4</v>
      </c>
      <c r="H12" s="31">
        <v>2357.2800000000002</v>
      </c>
      <c r="I12" s="31">
        <v>2828.735999999999</v>
      </c>
      <c r="J12" s="31">
        <v>3394.4831999999992</v>
      </c>
      <c r="K12" s="31">
        <v>4073.3798399999991</v>
      </c>
    </row>
    <row r="13" spans="1:11" x14ac:dyDescent="0.2">
      <c r="A13" s="28" t="s">
        <v>17</v>
      </c>
      <c r="B13" s="36">
        <v>18668</v>
      </c>
      <c r="C13" s="36">
        <v>17835</v>
      </c>
      <c r="D13" s="36">
        <v>19845</v>
      </c>
      <c r="E13" s="36">
        <v>23109</v>
      </c>
      <c r="F13" s="37">
        <v>20724</v>
      </c>
      <c r="G13" s="36">
        <v>24868.799999999999</v>
      </c>
      <c r="H13" s="36">
        <v>29842.560000000001</v>
      </c>
      <c r="I13" s="36">
        <v>35811.071999999993</v>
      </c>
      <c r="J13" s="36">
        <v>42973.286399999997</v>
      </c>
      <c r="K13" s="36">
        <v>51567.943679999989</v>
      </c>
    </row>
    <row r="14" spans="1:11" x14ac:dyDescent="0.2">
      <c r="A14" s="27"/>
      <c r="B14" s="31"/>
      <c r="C14" s="31"/>
      <c r="D14" s="31"/>
      <c r="E14" s="31"/>
      <c r="F14" s="32"/>
      <c r="G14" s="31"/>
      <c r="H14" s="31"/>
      <c r="I14" s="31"/>
      <c r="J14" s="31"/>
      <c r="K14" s="31"/>
    </row>
    <row r="15" spans="1:11" x14ac:dyDescent="0.2">
      <c r="A15" s="38" t="s">
        <v>89</v>
      </c>
      <c r="B15" s="31"/>
      <c r="C15" s="31"/>
      <c r="D15" s="31"/>
      <c r="E15" s="31"/>
      <c r="F15" s="32"/>
      <c r="G15" s="31"/>
      <c r="H15" s="31"/>
      <c r="I15" s="31"/>
      <c r="J15" s="31"/>
      <c r="K15" s="31"/>
    </row>
    <row r="16" spans="1:11" x14ac:dyDescent="0.2">
      <c r="A16" s="27" t="s">
        <v>18</v>
      </c>
      <c r="B16" s="31">
        <v>0</v>
      </c>
      <c r="C16" s="31">
        <v>0</v>
      </c>
      <c r="D16" s="31">
        <v>63</v>
      </c>
      <c r="E16" s="31">
        <v>66</v>
      </c>
      <c r="F16" s="32">
        <v>0</v>
      </c>
      <c r="G16" s="31">
        <v>0</v>
      </c>
      <c r="H16" s="31">
        <v>0</v>
      </c>
      <c r="I16" s="31">
        <v>0</v>
      </c>
      <c r="J16" s="31">
        <v>0</v>
      </c>
      <c r="K16" s="31">
        <v>0</v>
      </c>
    </row>
    <row r="17" spans="1:11" x14ac:dyDescent="0.2">
      <c r="A17" s="27" t="s">
        <v>19</v>
      </c>
      <c r="B17" s="31">
        <v>323</v>
      </c>
      <c r="C17" s="31">
        <v>253</v>
      </c>
      <c r="D17" s="31">
        <v>292</v>
      </c>
      <c r="E17" s="31">
        <v>295</v>
      </c>
      <c r="F17" s="32">
        <v>285</v>
      </c>
      <c r="G17" s="31">
        <v>342</v>
      </c>
      <c r="H17" s="31">
        <v>410.4</v>
      </c>
      <c r="I17" s="31">
        <v>492.48</v>
      </c>
      <c r="J17" s="31">
        <v>590.97599999999989</v>
      </c>
      <c r="K17" s="31">
        <v>709.17119999999989</v>
      </c>
    </row>
    <row r="18" spans="1:11" x14ac:dyDescent="0.2">
      <c r="A18" s="27" t="s">
        <v>20</v>
      </c>
      <c r="B18" s="31">
        <v>0</v>
      </c>
      <c r="C18" s="31">
        <v>203</v>
      </c>
      <c r="D18" s="31">
        <v>436</v>
      </c>
      <c r="E18" s="31">
        <v>100</v>
      </c>
      <c r="F18" s="32">
        <v>144</v>
      </c>
      <c r="G18" s="31">
        <v>172.8</v>
      </c>
      <c r="H18" s="31">
        <v>207.36</v>
      </c>
      <c r="I18" s="31">
        <v>248.83199999999999</v>
      </c>
      <c r="J18" s="31">
        <v>298.59840000000003</v>
      </c>
      <c r="K18" s="31">
        <v>358.31808000000001</v>
      </c>
    </row>
    <row r="19" spans="1:11" x14ac:dyDescent="0.2">
      <c r="A19" s="27" t="s">
        <v>21</v>
      </c>
      <c r="B19" s="31">
        <v>3340</v>
      </c>
      <c r="C19" s="31">
        <v>2186</v>
      </c>
      <c r="D19" s="31">
        <v>2124</v>
      </c>
      <c r="E19" s="31">
        <v>2639</v>
      </c>
      <c r="F19" s="32">
        <v>1905</v>
      </c>
      <c r="G19" s="31">
        <v>2286</v>
      </c>
      <c r="H19" s="31">
        <v>2743.2</v>
      </c>
      <c r="I19" s="31">
        <v>3291.84</v>
      </c>
      <c r="J19" s="31">
        <v>3950.2080000000001</v>
      </c>
      <c r="K19" s="31">
        <v>4740.2495999999992</v>
      </c>
    </row>
    <row r="20" spans="1:11" x14ac:dyDescent="0.2">
      <c r="A20" s="27" t="s">
        <v>22</v>
      </c>
      <c r="B20" s="31">
        <v>4390</v>
      </c>
      <c r="C20" s="31">
        <v>2671</v>
      </c>
      <c r="D20" s="31">
        <v>2885</v>
      </c>
      <c r="E20" s="31">
        <v>3829</v>
      </c>
      <c r="F20" s="32">
        <v>20000</v>
      </c>
      <c r="G20" s="31">
        <v>22000</v>
      </c>
      <c r="H20" s="31">
        <v>24200</v>
      </c>
      <c r="I20" s="31">
        <v>26620.000000000011</v>
      </c>
      <c r="J20" s="31">
        <v>29282.000000000011</v>
      </c>
      <c r="K20" s="31">
        <v>32210.200000000012</v>
      </c>
    </row>
    <row r="21" spans="1:11" x14ac:dyDescent="0.2">
      <c r="A21" s="27" t="s">
        <v>23</v>
      </c>
      <c r="B21" s="31">
        <v>1132</v>
      </c>
      <c r="C21" s="31">
        <v>1147</v>
      </c>
      <c r="D21" s="31">
        <v>735</v>
      </c>
      <c r="E21" s="31">
        <v>725</v>
      </c>
      <c r="F21" s="32">
        <v>720</v>
      </c>
      <c r="G21" s="31">
        <v>792.00000000000011</v>
      </c>
      <c r="H21" s="31">
        <v>871.20000000000016</v>
      </c>
      <c r="I21" s="31">
        <v>958.32000000000028</v>
      </c>
      <c r="J21" s="31">
        <v>1054.152</v>
      </c>
      <c r="K21" s="31">
        <v>1159.5672000000011</v>
      </c>
    </row>
    <row r="22" spans="1:11" x14ac:dyDescent="0.2">
      <c r="A22" s="27" t="s">
        <v>24</v>
      </c>
      <c r="B22" s="31">
        <v>21</v>
      </c>
      <c r="C22" s="31">
        <v>18</v>
      </c>
      <c r="D22" s="31">
        <v>505</v>
      </c>
      <c r="E22" s="31">
        <v>418</v>
      </c>
      <c r="F22" s="32">
        <v>506</v>
      </c>
      <c r="G22" s="31">
        <v>556.6</v>
      </c>
      <c r="H22" s="31">
        <v>612.2600000000001</v>
      </c>
      <c r="I22" s="31">
        <v>673.48600000000022</v>
      </c>
      <c r="J22" s="31">
        <v>740.83460000000025</v>
      </c>
      <c r="K22" s="31">
        <v>814.91806000000031</v>
      </c>
    </row>
    <row r="23" spans="1:11" x14ac:dyDescent="0.2">
      <c r="A23" s="28" t="s">
        <v>25</v>
      </c>
      <c r="B23" s="36">
        <v>9206</v>
      </c>
      <c r="C23" s="36">
        <v>6478</v>
      </c>
      <c r="D23" s="36">
        <v>7040</v>
      </c>
      <c r="E23" s="36">
        <v>8072</v>
      </c>
      <c r="F23" s="37">
        <v>23560</v>
      </c>
      <c r="G23" s="36">
        <v>26149.4</v>
      </c>
      <c r="H23" s="36">
        <v>29044.42</v>
      </c>
      <c r="I23" s="36">
        <v>32284.95800000001</v>
      </c>
      <c r="J23" s="36">
        <v>35916.769000000008</v>
      </c>
      <c r="K23" s="36">
        <v>39992.42414000001</v>
      </c>
    </row>
    <row r="24" spans="1:11" x14ac:dyDescent="0.2">
      <c r="A24" s="28"/>
      <c r="B24" s="36"/>
      <c r="C24" s="36"/>
      <c r="D24" s="36"/>
      <c r="E24" s="36"/>
      <c r="F24" s="37"/>
      <c r="G24" s="36"/>
      <c r="H24" s="36"/>
      <c r="I24" s="36"/>
      <c r="J24" s="36"/>
      <c r="K24" s="36"/>
    </row>
    <row r="25" spans="1:11" x14ac:dyDescent="0.2">
      <c r="A25" s="27" t="s">
        <v>26</v>
      </c>
      <c r="B25" s="31">
        <v>9462</v>
      </c>
      <c r="C25" s="31">
        <v>11357</v>
      </c>
      <c r="D25" s="31">
        <v>12805</v>
      </c>
      <c r="E25" s="31">
        <v>15037</v>
      </c>
      <c r="F25" s="32">
        <v>-2836</v>
      </c>
      <c r="G25" s="31">
        <v>-1280.5999999999949</v>
      </c>
      <c r="H25" s="31">
        <v>798.13999999999578</v>
      </c>
      <c r="I25" s="31">
        <v>3526.1139999999868</v>
      </c>
      <c r="J25" s="31">
        <v>7056.5173999999897</v>
      </c>
      <c r="K25" s="31">
        <v>11575.519539999979</v>
      </c>
    </row>
    <row r="26" spans="1:11" x14ac:dyDescent="0.2">
      <c r="A26" s="27"/>
      <c r="B26" s="31"/>
      <c r="C26" s="31"/>
      <c r="D26" s="31"/>
      <c r="E26" s="31"/>
      <c r="F26" s="32"/>
      <c r="G26" s="31"/>
      <c r="H26" s="31"/>
      <c r="I26" s="31"/>
      <c r="J26" s="31"/>
      <c r="K26" s="31"/>
    </row>
    <row r="27" spans="1:11" x14ac:dyDescent="0.2">
      <c r="A27" s="27" t="s">
        <v>27</v>
      </c>
      <c r="B27" s="31">
        <v>18668</v>
      </c>
      <c r="C27" s="31">
        <v>17835</v>
      </c>
      <c r="D27" s="31">
        <v>19845</v>
      </c>
      <c r="E27" s="31">
        <v>23109</v>
      </c>
      <c r="F27" s="32">
        <v>20724</v>
      </c>
      <c r="G27" s="31">
        <v>24868.799999999999</v>
      </c>
      <c r="H27" s="31">
        <v>29842.560000000001</v>
      </c>
      <c r="I27" s="31">
        <v>35811.071999999993</v>
      </c>
      <c r="J27" s="31">
        <v>42973.286399999997</v>
      </c>
      <c r="K27" s="31">
        <v>51567.943679999989</v>
      </c>
    </row>
    <row r="28" spans="1:11" x14ac:dyDescent="0.2">
      <c r="A28" s="27"/>
      <c r="B28" s="31"/>
      <c r="C28" s="31"/>
      <c r="D28" s="31"/>
      <c r="E28" s="31"/>
      <c r="F28" s="32"/>
      <c r="G28" s="31"/>
      <c r="H28" s="31"/>
      <c r="I28" s="31"/>
      <c r="J28" s="31"/>
      <c r="K28" s="31"/>
    </row>
    <row r="29" spans="1:11" s="29" customFormat="1" x14ac:dyDescent="0.2">
      <c r="A29" s="30" t="s">
        <v>84</v>
      </c>
      <c r="B29" s="31"/>
      <c r="C29" s="31"/>
      <c r="D29" s="31"/>
      <c r="E29" s="31"/>
      <c r="F29" s="32"/>
      <c r="G29" s="31"/>
      <c r="H29" s="31"/>
      <c r="I29" s="31"/>
      <c r="J29" s="31"/>
      <c r="K29" s="31"/>
    </row>
    <row r="30" spans="1:11" s="29" customFormat="1" x14ac:dyDescent="0.2">
      <c r="A30" s="27" t="s">
        <v>28</v>
      </c>
      <c r="B30" s="31">
        <v>7017</v>
      </c>
      <c r="C30" s="31">
        <v>7500</v>
      </c>
      <c r="D30" s="31">
        <v>6489</v>
      </c>
      <c r="E30" s="31">
        <v>8086</v>
      </c>
      <c r="F30" s="32">
        <v>8803</v>
      </c>
      <c r="G30" s="31">
        <v>10563.6</v>
      </c>
      <c r="H30" s="31">
        <v>12676.32</v>
      </c>
      <c r="I30" s="31">
        <v>15211.584000000001</v>
      </c>
      <c r="J30" s="31">
        <v>18253.900799999999</v>
      </c>
      <c r="K30" s="31">
        <v>21904.680960000002</v>
      </c>
    </row>
    <row r="31" spans="1:11" s="29" customFormat="1" x14ac:dyDescent="0.2">
      <c r="A31" s="27" t="s">
        <v>29</v>
      </c>
      <c r="B31" s="31">
        <v>1288</v>
      </c>
      <c r="C31" s="31">
        <v>1559</v>
      </c>
      <c r="D31" s="31">
        <v>1527</v>
      </c>
      <c r="E31" s="31">
        <v>1811</v>
      </c>
      <c r="F31" s="32">
        <v>1867</v>
      </c>
      <c r="G31" s="31">
        <v>2240.4</v>
      </c>
      <c r="H31" s="31">
        <v>2688.48</v>
      </c>
      <c r="I31" s="31">
        <v>3226.1759999999999</v>
      </c>
      <c r="J31" s="31">
        <v>3871.4112</v>
      </c>
      <c r="K31" s="31">
        <v>4645.69344</v>
      </c>
    </row>
    <row r="32" spans="1:11" s="29" customFormat="1" x14ac:dyDescent="0.2">
      <c r="A32" s="27" t="s">
        <v>30</v>
      </c>
      <c r="B32" s="31">
        <v>3148</v>
      </c>
      <c r="C32" s="31">
        <v>2933</v>
      </c>
      <c r="D32" s="31">
        <v>2649</v>
      </c>
      <c r="E32" s="31">
        <v>2987</v>
      </c>
      <c r="F32" s="32">
        <v>3143</v>
      </c>
      <c r="G32" s="31">
        <v>3771.6</v>
      </c>
      <c r="H32" s="31">
        <v>4525.92</v>
      </c>
      <c r="I32" s="31">
        <v>5431.1039999999994</v>
      </c>
      <c r="J32" s="31">
        <v>6517.3248000000003</v>
      </c>
      <c r="K32" s="31">
        <v>7820.7897599999997</v>
      </c>
    </row>
    <row r="33" spans="1:11" s="29" customFormat="1" x14ac:dyDescent="0.2">
      <c r="A33" s="27" t="s">
        <v>31</v>
      </c>
      <c r="B33" s="31">
        <v>2581</v>
      </c>
      <c r="C33" s="31">
        <v>3008</v>
      </c>
      <c r="D33" s="31">
        <v>2313</v>
      </c>
      <c r="E33" s="31">
        <v>3288</v>
      </c>
      <c r="F33" s="32">
        <v>3793</v>
      </c>
      <c r="G33" s="31">
        <v>4551.6000000000004</v>
      </c>
      <c r="H33" s="31">
        <v>5461.92</v>
      </c>
      <c r="I33" s="31">
        <v>6554.3040000000001</v>
      </c>
      <c r="J33" s="31">
        <v>7865.1647999999986</v>
      </c>
      <c r="K33" s="31">
        <v>9438.1977599999991</v>
      </c>
    </row>
    <row r="34" spans="1:11" s="29" customFormat="1" x14ac:dyDescent="0.2">
      <c r="A34" s="27" t="s">
        <v>32</v>
      </c>
      <c r="B34" s="31">
        <v>1203</v>
      </c>
      <c r="C34" s="31">
        <v>1010</v>
      </c>
      <c r="D34" s="31">
        <v>569</v>
      </c>
      <c r="E34" s="31">
        <v>460</v>
      </c>
      <c r="F34" s="32">
        <v>457</v>
      </c>
      <c r="G34" s="31">
        <v>502.7</v>
      </c>
      <c r="H34" s="31">
        <v>552.97000000000014</v>
      </c>
      <c r="I34" s="31">
        <v>608.26700000000017</v>
      </c>
      <c r="J34" s="31">
        <v>669.09370000000024</v>
      </c>
      <c r="K34" s="31">
        <v>736.00307000000032</v>
      </c>
    </row>
    <row r="35" spans="1:11" s="29" customFormat="1" x14ac:dyDescent="0.2">
      <c r="A35" s="27" t="s">
        <v>33</v>
      </c>
      <c r="B35" s="31">
        <v>162</v>
      </c>
      <c r="C35" s="31">
        <v>140</v>
      </c>
      <c r="D35" s="31">
        <v>90</v>
      </c>
      <c r="E35" s="31">
        <v>99</v>
      </c>
      <c r="F35" s="32">
        <v>108</v>
      </c>
      <c r="G35" s="31">
        <v>1000</v>
      </c>
      <c r="H35" s="31">
        <v>1100</v>
      </c>
      <c r="I35" s="31">
        <v>1210</v>
      </c>
      <c r="J35" s="31">
        <v>1331</v>
      </c>
      <c r="K35" s="31">
        <v>1464.1</v>
      </c>
    </row>
    <row r="36" spans="1:11" s="29" customFormat="1" x14ac:dyDescent="0.2">
      <c r="A36" s="27" t="s">
        <v>34</v>
      </c>
      <c r="B36" s="31">
        <v>878</v>
      </c>
      <c r="C36" s="31">
        <v>64</v>
      </c>
      <c r="D36" s="31">
        <v>130</v>
      </c>
      <c r="E36" s="31">
        <v>419</v>
      </c>
      <c r="F36" s="32">
        <v>465</v>
      </c>
      <c r="G36" s="31"/>
      <c r="H36" s="31"/>
      <c r="I36" s="31"/>
      <c r="J36" s="31"/>
      <c r="K36" s="31"/>
    </row>
    <row r="37" spans="1:11" s="29" customFormat="1" x14ac:dyDescent="0.2">
      <c r="A37" s="27" t="s">
        <v>35</v>
      </c>
      <c r="B37" s="31">
        <v>273</v>
      </c>
      <c r="C37" s="31">
        <v>1813</v>
      </c>
      <c r="D37" s="31">
        <v>1503</v>
      </c>
      <c r="E37" s="31">
        <v>2197</v>
      </c>
      <c r="F37" s="32">
        <v>2699</v>
      </c>
      <c r="G37" s="31">
        <v>2439.12</v>
      </c>
      <c r="H37" s="31">
        <v>3047.16</v>
      </c>
      <c r="I37" s="31">
        <v>3788.8296</v>
      </c>
      <c r="J37" s="31">
        <v>4692.0568799999983</v>
      </c>
      <c r="K37" s="31">
        <v>5790.4757519999976</v>
      </c>
    </row>
    <row r="38" spans="1:11" s="29" customFormat="1" x14ac:dyDescent="0.2">
      <c r="A38" s="27"/>
      <c r="B38" s="31"/>
      <c r="C38" s="31"/>
      <c r="D38" s="31"/>
      <c r="E38" s="31"/>
      <c r="F38" s="32"/>
      <c r="G38" s="31"/>
      <c r="H38" s="31"/>
      <c r="I38" s="31"/>
      <c r="J38" s="31"/>
      <c r="K38" s="31"/>
    </row>
    <row r="39" spans="1:11" s="29" customFormat="1" x14ac:dyDescent="0.2">
      <c r="A39" s="30" t="s">
        <v>85</v>
      </c>
      <c r="B39" s="31"/>
      <c r="C39" s="31"/>
      <c r="D39" s="31"/>
      <c r="E39" s="31"/>
      <c r="F39" s="32"/>
      <c r="G39" s="31"/>
      <c r="H39" s="31"/>
      <c r="I39" s="31"/>
      <c r="J39" s="31"/>
      <c r="K39" s="31"/>
    </row>
    <row r="40" spans="1:11" s="29" customFormat="1" x14ac:dyDescent="0.2">
      <c r="A40" s="27" t="s">
        <v>36</v>
      </c>
      <c r="B40" s="31">
        <v>155</v>
      </c>
      <c r="C40" s="31">
        <v>131</v>
      </c>
      <c r="D40" s="31">
        <v>116</v>
      </c>
      <c r="E40" s="31">
        <v>78</v>
      </c>
      <c r="F40" s="32">
        <v>80</v>
      </c>
      <c r="G40" s="31">
        <v>128</v>
      </c>
      <c r="H40" s="31">
        <v>192</v>
      </c>
      <c r="I40" s="31">
        <v>268.8</v>
      </c>
      <c r="J40" s="31">
        <v>349.43999999999988</v>
      </c>
      <c r="K40" s="31">
        <v>419.32799999999992</v>
      </c>
    </row>
    <row r="41" spans="1:11" s="29" customFormat="1" x14ac:dyDescent="0.2">
      <c r="A41" s="27" t="s">
        <v>37</v>
      </c>
      <c r="B41" s="31">
        <v>56</v>
      </c>
      <c r="C41" s="31">
        <v>94</v>
      </c>
      <c r="D41" s="31">
        <v>59</v>
      </c>
      <c r="E41" s="31">
        <v>39</v>
      </c>
      <c r="F41" s="32">
        <v>20246</v>
      </c>
      <c r="G41" s="31">
        <v>0</v>
      </c>
      <c r="H41" s="31">
        <v>0</v>
      </c>
      <c r="I41" s="31">
        <v>0</v>
      </c>
      <c r="J41" s="31">
        <v>0</v>
      </c>
      <c r="K41" s="31">
        <v>0</v>
      </c>
    </row>
    <row r="42" spans="1:11" s="29" customFormat="1" x14ac:dyDescent="0.2">
      <c r="A42" s="27" t="s">
        <v>38</v>
      </c>
      <c r="B42" s="31">
        <v>226</v>
      </c>
      <c r="C42" s="31">
        <v>259</v>
      </c>
      <c r="D42" s="31">
        <v>283</v>
      </c>
      <c r="E42" s="31">
        <v>316</v>
      </c>
      <c r="F42" s="32">
        <v>365</v>
      </c>
      <c r="G42" s="31">
        <v>365</v>
      </c>
      <c r="H42" s="31">
        <v>365</v>
      </c>
      <c r="I42" s="31">
        <v>365</v>
      </c>
      <c r="J42" s="31">
        <v>365</v>
      </c>
      <c r="K42" s="31">
        <v>365</v>
      </c>
    </row>
    <row r="43" spans="1:11" s="29" customFormat="1" x14ac:dyDescent="0.2">
      <c r="A43" s="27" t="s">
        <v>39</v>
      </c>
      <c r="B43" s="31">
        <v>3741</v>
      </c>
      <c r="C43" s="31">
        <v>0</v>
      </c>
      <c r="D43" s="31">
        <v>0</v>
      </c>
      <c r="E43" s="31">
        <v>1994</v>
      </c>
      <c r="F43" s="32">
        <v>20000</v>
      </c>
      <c r="G43" s="31">
        <v>2000</v>
      </c>
      <c r="H43" s="31">
        <v>2200.0000000000041</v>
      </c>
      <c r="I43" s="31">
        <v>2420.0000000000041</v>
      </c>
      <c r="J43" s="31">
        <v>2662</v>
      </c>
      <c r="K43" s="31">
        <v>2928.2000000000039</v>
      </c>
    </row>
    <row r="44" spans="1:11" s="29" customFormat="1" x14ac:dyDescent="0.2">
      <c r="A44" s="27" t="s">
        <v>40</v>
      </c>
      <c r="B44" s="31">
        <v>4251</v>
      </c>
      <c r="C44" s="31">
        <v>1740</v>
      </c>
      <c r="D44" s="31">
        <v>0</v>
      </c>
      <c r="E44" s="31">
        <v>1050</v>
      </c>
      <c r="F44" s="32">
        <v>3820</v>
      </c>
      <c r="G44" s="31">
        <v>0</v>
      </c>
      <c r="H44" s="31">
        <v>0</v>
      </c>
      <c r="I44" s="31">
        <v>0</v>
      </c>
      <c r="J44" s="31">
        <v>0</v>
      </c>
      <c r="K44" s="31">
        <v>0</v>
      </c>
    </row>
    <row r="45" spans="1:11" x14ac:dyDescent="0.2">
      <c r="A45" s="5"/>
    </row>
    <row r="46" spans="1:11" x14ac:dyDescent="0.2">
      <c r="A46" s="5"/>
    </row>
  </sheetData>
  <mergeCells count="2">
    <mergeCell ref="B2:F2"/>
    <mergeCell ref="G2:K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
  <sheetViews>
    <sheetView workbookViewId="0"/>
  </sheetViews>
  <sheetFormatPr baseColWidth="10" defaultColWidth="8.83203125" defaultRowHeight="15" x14ac:dyDescent="0.2"/>
  <cols>
    <col min="2" max="2" width="27.33203125" customWidth="1"/>
    <col min="3" max="3" width="16.1640625" customWidth="1"/>
  </cols>
  <sheetData>
    <row r="1" spans="1:3" x14ac:dyDescent="0.2">
      <c r="B1" s="39" t="s">
        <v>41</v>
      </c>
      <c r="C1" s="40" t="s">
        <v>42</v>
      </c>
    </row>
    <row r="2" spans="1:3" x14ac:dyDescent="0.2">
      <c r="A2" s="39" t="s">
        <v>43</v>
      </c>
      <c r="B2" s="41" t="s">
        <v>44</v>
      </c>
      <c r="C2" s="12">
        <v>3.1699999999999999E-2</v>
      </c>
    </row>
    <row r="3" spans="1:3" x14ac:dyDescent="0.2">
      <c r="A3" s="39" t="s">
        <v>45</v>
      </c>
      <c r="B3" s="1">
        <v>12.5</v>
      </c>
      <c r="C3" s="12">
        <v>3.32E-2</v>
      </c>
    </row>
    <row r="4" spans="1:3" x14ac:dyDescent="0.2">
      <c r="A4" s="39" t="s">
        <v>46</v>
      </c>
      <c r="B4" s="1">
        <v>7.5</v>
      </c>
      <c r="C4" s="12">
        <v>3.6400000000000002E-2</v>
      </c>
    </row>
    <row r="5" spans="1:3" x14ac:dyDescent="0.2">
      <c r="A5" s="39" t="s">
        <v>47</v>
      </c>
      <c r="B5" s="1">
        <v>4.5</v>
      </c>
      <c r="C5" s="12">
        <v>4.0900000000000013E-2</v>
      </c>
    </row>
    <row r="6" spans="1:3" x14ac:dyDescent="0.2">
      <c r="A6" s="39" t="s">
        <v>48</v>
      </c>
      <c r="B6" s="1">
        <v>3.5</v>
      </c>
      <c r="C6" s="12">
        <v>4.65E-2</v>
      </c>
    </row>
    <row r="7" spans="1:3" x14ac:dyDescent="0.2">
      <c r="A7" s="39" t="s">
        <v>49</v>
      </c>
      <c r="B7" s="1">
        <v>2.5</v>
      </c>
      <c r="C7" s="12">
        <v>6.2799999999999995E-2</v>
      </c>
    </row>
    <row r="8" spans="1:3" x14ac:dyDescent="0.2">
      <c r="A8" s="39" t="s">
        <v>50</v>
      </c>
      <c r="B8" s="1">
        <v>1.5</v>
      </c>
      <c r="C8" s="12">
        <v>0.1028</v>
      </c>
    </row>
    <row r="9" spans="1:3" x14ac:dyDescent="0.2">
      <c r="A9" s="39" t="s">
        <v>51</v>
      </c>
      <c r="B9" s="1">
        <v>1.25</v>
      </c>
      <c r="C9" s="12">
        <v>0.113</v>
      </c>
    </row>
    <row r="10" spans="1:3" x14ac:dyDescent="0.2">
      <c r="A10" s="39" t="s">
        <v>52</v>
      </c>
      <c r="B10" s="1">
        <v>0.8</v>
      </c>
      <c r="C10" s="12">
        <v>0.1326</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DAB39-395D-B44D-B719-5882D3BA42DA}">
  <dimension ref="A1:L159"/>
  <sheetViews>
    <sheetView tabSelected="1" workbookViewId="0">
      <pane xSplit="1" ySplit="1" topLeftCell="B2" activePane="bottomRight" state="frozen"/>
      <selection pane="topRight" activeCell="B1" sqref="B1"/>
      <selection pane="bottomLeft" activeCell="A2" sqref="A2"/>
      <selection pane="bottomRight" activeCell="D84" sqref="D84"/>
    </sheetView>
  </sheetViews>
  <sheetFormatPr baseColWidth="10" defaultRowHeight="15" x14ac:dyDescent="0.2"/>
  <cols>
    <col min="1" max="1" width="29" customWidth="1"/>
  </cols>
  <sheetData>
    <row r="1" spans="1:12" x14ac:dyDescent="0.2">
      <c r="A1" t="s">
        <v>147</v>
      </c>
      <c r="B1" s="25">
        <v>2017</v>
      </c>
      <c r="C1" s="25">
        <v>2018</v>
      </c>
      <c r="D1" s="25">
        <v>2019</v>
      </c>
      <c r="E1" s="25">
        <v>2020</v>
      </c>
      <c r="F1" s="25">
        <v>2021</v>
      </c>
      <c r="G1" s="63">
        <v>2022</v>
      </c>
      <c r="H1" s="26">
        <v>2023</v>
      </c>
      <c r="I1" s="26">
        <v>2024</v>
      </c>
      <c r="J1" s="26">
        <v>2025</v>
      </c>
      <c r="K1" s="26">
        <v>2026</v>
      </c>
    </row>
    <row r="2" spans="1:12" x14ac:dyDescent="0.2">
      <c r="A2" s="8">
        <v>1</v>
      </c>
      <c r="B2" s="7"/>
      <c r="C2" s="7"/>
      <c r="D2" s="7"/>
      <c r="E2" s="7"/>
      <c r="F2" s="64"/>
      <c r="G2" s="7"/>
      <c r="H2" s="7"/>
      <c r="I2" s="7"/>
      <c r="J2" s="7"/>
      <c r="K2" s="7"/>
      <c r="L2" s="7"/>
    </row>
    <row r="3" spans="1:12" x14ac:dyDescent="0.2">
      <c r="A3" s="33">
        <v>1</v>
      </c>
      <c r="F3" s="65"/>
    </row>
    <row r="4" spans="1:12" x14ac:dyDescent="0.2">
      <c r="A4" s="58" t="s">
        <v>113</v>
      </c>
      <c r="B4" s="46">
        <f>assumptions!B6*assumptions!B4+assumptions!B3</f>
        <v>8.4999999999999992E-2</v>
      </c>
      <c r="F4" s="65"/>
    </row>
    <row r="5" spans="1:12" x14ac:dyDescent="0.2">
      <c r="A5" s="58"/>
      <c r="B5" s="46"/>
      <c r="F5" s="65"/>
    </row>
    <row r="6" spans="1:12" x14ac:dyDescent="0.2">
      <c r="A6" s="33">
        <v>2</v>
      </c>
      <c r="B6" s="46"/>
      <c r="F6" s="65"/>
    </row>
    <row r="7" spans="1:12" x14ac:dyDescent="0.2">
      <c r="A7" s="41" t="s">
        <v>114</v>
      </c>
      <c r="B7" s="13">
        <f>MIN(consolidated!B32*2,consolidated!B5+consolidated!B10)</f>
        <v>4775</v>
      </c>
      <c r="C7" s="13">
        <f>MIN(consolidated!C32*2,consolidated!C5+consolidated!C10)</f>
        <v>4380</v>
      </c>
      <c r="D7" s="13">
        <f>MIN(consolidated!D32*2,consolidated!D5+consolidated!D10)</f>
        <v>5298</v>
      </c>
      <c r="E7" s="13">
        <f>MIN(consolidated!E32*2,consolidated!E5+consolidated!E10)</f>
        <v>5974</v>
      </c>
      <c r="F7" s="66">
        <f>MIN(consolidated!F32*2,consolidated!F5+consolidated!F10)</f>
        <v>6286</v>
      </c>
      <c r="G7" s="13">
        <f>MIN(consolidated!G32*2,consolidated!G5+consolidated!G10)</f>
        <v>7543.2</v>
      </c>
      <c r="H7" s="13">
        <f>MIN(consolidated!H32*2,consolidated!H5+consolidated!H10)</f>
        <v>9051.84</v>
      </c>
      <c r="I7" s="13">
        <f>MIN(consolidated!I32*2,consolidated!I5+consolidated!I10)</f>
        <v>10862.207999999999</v>
      </c>
      <c r="J7" s="13">
        <f>MIN(consolidated!J32*2,consolidated!J5+consolidated!J10)</f>
        <v>13034.649600000001</v>
      </c>
      <c r="K7" s="13">
        <f>MIN(consolidated!K32*2,consolidated!K5+consolidated!K10)</f>
        <v>15641.579519999999</v>
      </c>
    </row>
    <row r="8" spans="1:12" x14ac:dyDescent="0.2">
      <c r="A8" s="59" t="s">
        <v>115</v>
      </c>
      <c r="B8" s="13">
        <f>consolidated!B5-B7</f>
        <v>0</v>
      </c>
      <c r="C8" s="13">
        <f>consolidated!C5-C7</f>
        <v>0</v>
      </c>
      <c r="D8" s="13">
        <f>consolidated!D5-D7</f>
        <v>565</v>
      </c>
      <c r="E8" s="13">
        <f>consolidated!E5-E7</f>
        <v>2843</v>
      </c>
      <c r="F8" s="66">
        <f>consolidated!F5-F7</f>
        <v>0</v>
      </c>
      <c r="G8" s="13">
        <f>consolidated!G5-G7</f>
        <v>0</v>
      </c>
      <c r="H8" s="13">
        <f>consolidated!H5-H7</f>
        <v>0</v>
      </c>
      <c r="I8" s="13">
        <f>consolidated!I5-I7</f>
        <v>0</v>
      </c>
      <c r="J8" s="13">
        <f>consolidated!J5-J7</f>
        <v>0</v>
      </c>
      <c r="K8" s="13">
        <f>consolidated!K5-K7</f>
        <v>0</v>
      </c>
    </row>
    <row r="9" spans="1:12" x14ac:dyDescent="0.2">
      <c r="A9" s="41" t="s">
        <v>116</v>
      </c>
      <c r="B9" s="13">
        <f>SUM(consolidated!B6:B8)+B7</f>
        <v>6520</v>
      </c>
      <c r="C9" s="13">
        <f>SUM(consolidated!C6:C8)+C7</f>
        <v>6106</v>
      </c>
      <c r="D9" s="13">
        <f>SUM(consolidated!D6:D8)+D7</f>
        <v>6727</v>
      </c>
      <c r="E9" s="13">
        <f>SUM(consolidated!E6:E8)+E7</f>
        <v>7722</v>
      </c>
      <c r="F9" s="66">
        <f>SUM(consolidated!F6:F8)+F7</f>
        <v>8224</v>
      </c>
      <c r="G9" s="13">
        <f>SUM(consolidated!G6:G8)+G7</f>
        <v>9868.7999999999993</v>
      </c>
      <c r="H9" s="13">
        <f>SUM(consolidated!H6:H8)+H7</f>
        <v>11842.560000000001</v>
      </c>
      <c r="I9" s="13">
        <f>SUM(consolidated!I6:I8)+I7</f>
        <v>14211.071999999998</v>
      </c>
      <c r="J9" s="13">
        <f>SUM(consolidated!J6:J8)+J7</f>
        <v>17053.286400000001</v>
      </c>
      <c r="K9" s="13">
        <f>SUM(consolidated!K6:K8)+K7</f>
        <v>20463.943679999997</v>
      </c>
    </row>
    <row r="10" spans="1:12" x14ac:dyDescent="0.2">
      <c r="A10" s="41" t="s">
        <v>117</v>
      </c>
      <c r="B10" s="13">
        <f>SUM(consolidated!B17:B19)</f>
        <v>3663</v>
      </c>
      <c r="C10" s="13">
        <f>SUM(consolidated!C17:C19)</f>
        <v>2642</v>
      </c>
      <c r="D10" s="13">
        <f>SUM(consolidated!D17:D19)</f>
        <v>2852</v>
      </c>
      <c r="E10" s="13">
        <f>SUM(consolidated!E17:E19)</f>
        <v>3034</v>
      </c>
      <c r="F10" s="66">
        <f>SUM(consolidated!F17:F19)</f>
        <v>2334</v>
      </c>
      <c r="G10" s="13">
        <f>SUM(consolidated!G17:G19)</f>
        <v>2800.8</v>
      </c>
      <c r="H10" s="13">
        <f>SUM(consolidated!H17:H19)</f>
        <v>3360.96</v>
      </c>
      <c r="I10" s="13">
        <f>SUM(consolidated!I17:I19)</f>
        <v>4033.152</v>
      </c>
      <c r="J10" s="13">
        <f>SUM(consolidated!J17:J19)</f>
        <v>4839.7824000000001</v>
      </c>
      <c r="K10" s="13">
        <f>SUM(consolidated!K17:K19)</f>
        <v>5807.738879999999</v>
      </c>
    </row>
    <row r="11" spans="1:12" x14ac:dyDescent="0.2">
      <c r="A11" s="58" t="s">
        <v>53</v>
      </c>
      <c r="B11" s="17">
        <f t="shared" ref="B11:K11" si="0">B9-B10</f>
        <v>2857</v>
      </c>
      <c r="C11" s="17">
        <f t="shared" si="0"/>
        <v>3464</v>
      </c>
      <c r="D11" s="17">
        <f t="shared" si="0"/>
        <v>3875</v>
      </c>
      <c r="E11" s="17">
        <f t="shared" si="0"/>
        <v>4688</v>
      </c>
      <c r="F11" s="67">
        <f t="shared" si="0"/>
        <v>5890</v>
      </c>
      <c r="G11" s="17">
        <f t="shared" si="0"/>
        <v>7067.9999999999991</v>
      </c>
      <c r="H11" s="17">
        <f t="shared" si="0"/>
        <v>8481.6000000000022</v>
      </c>
      <c r="I11" s="17">
        <f t="shared" si="0"/>
        <v>10177.919999999998</v>
      </c>
      <c r="J11" s="17">
        <f t="shared" si="0"/>
        <v>12213.504000000001</v>
      </c>
      <c r="K11" s="17">
        <f t="shared" si="0"/>
        <v>14656.204799999998</v>
      </c>
    </row>
    <row r="12" spans="1:12" x14ac:dyDescent="0.2">
      <c r="A12" s="41" t="s">
        <v>54</v>
      </c>
      <c r="B12" s="50"/>
      <c r="C12" s="13">
        <f t="shared" ref="C12:K12" si="1">C11-B11</f>
        <v>607</v>
      </c>
      <c r="D12" s="13">
        <f t="shared" si="1"/>
        <v>411</v>
      </c>
      <c r="E12" s="13">
        <f t="shared" si="1"/>
        <v>813</v>
      </c>
      <c r="F12" s="66">
        <f t="shared" si="1"/>
        <v>1202</v>
      </c>
      <c r="G12" s="13">
        <f t="shared" si="1"/>
        <v>1177.9999999999991</v>
      </c>
      <c r="H12" s="13">
        <f t="shared" si="1"/>
        <v>1413.6000000000031</v>
      </c>
      <c r="I12" s="13">
        <f t="shared" si="1"/>
        <v>1696.3199999999961</v>
      </c>
      <c r="J12" s="13">
        <f t="shared" si="1"/>
        <v>2035.5840000000026</v>
      </c>
      <c r="K12" s="13">
        <f t="shared" si="1"/>
        <v>2442.7007999999969</v>
      </c>
    </row>
    <row r="13" spans="1:12" x14ac:dyDescent="0.2">
      <c r="A13" s="41"/>
      <c r="B13" s="13"/>
      <c r="C13" s="13"/>
      <c r="D13" s="13"/>
      <c r="E13" s="13"/>
      <c r="F13" s="66"/>
      <c r="G13" s="13"/>
      <c r="H13" s="13"/>
      <c r="I13" s="13"/>
      <c r="J13" s="13"/>
      <c r="K13" s="13"/>
    </row>
    <row r="14" spans="1:12" x14ac:dyDescent="0.2">
      <c r="A14" s="33">
        <v>3</v>
      </c>
      <c r="B14" s="13"/>
      <c r="C14" s="13"/>
      <c r="D14" s="13"/>
      <c r="E14" s="13"/>
      <c r="F14" s="66"/>
      <c r="G14" s="13"/>
      <c r="H14" s="13"/>
      <c r="I14" s="13"/>
      <c r="J14" s="13"/>
      <c r="K14" s="13"/>
    </row>
    <row r="15" spans="1:12" x14ac:dyDescent="0.2">
      <c r="A15" s="41" t="s">
        <v>55</v>
      </c>
      <c r="B15" s="49">
        <f>(consolidated!B33-consolidated!B34)-consolidated!B36</f>
        <v>500</v>
      </c>
      <c r="C15" s="49">
        <f>(consolidated!C33-consolidated!C34)-consolidated!C36</f>
        <v>1934</v>
      </c>
      <c r="D15" s="49">
        <f>(consolidated!D33-consolidated!D34)-consolidated!D36</f>
        <v>1614</v>
      </c>
      <c r="E15" s="49">
        <f>(consolidated!E33-consolidated!E34)-consolidated!E36</f>
        <v>2409</v>
      </c>
      <c r="F15" s="68">
        <f>(consolidated!F33-consolidated!F34)-consolidated!F36</f>
        <v>2871</v>
      </c>
      <c r="G15" s="49">
        <f>(consolidated!G33-consolidated!G34)*(1-assumptions!$B2)</f>
        <v>3239.1200000000008</v>
      </c>
      <c r="H15" s="49">
        <f>(consolidated!H33-consolidated!H34)*(1-assumptions!$B2)</f>
        <v>3927.16</v>
      </c>
      <c r="I15" s="49">
        <f>(consolidated!I33-consolidated!I34)*(1-assumptions!$B2)</f>
        <v>4756.8296</v>
      </c>
      <c r="J15" s="49">
        <f>(consolidated!J33-consolidated!J34)*(1-assumptions!$B2)</f>
        <v>5756.8568799999994</v>
      </c>
      <c r="K15" s="49">
        <f>(consolidated!K33-consolidated!K34)*(1-assumptions!$B2)</f>
        <v>6961.7557519999991</v>
      </c>
    </row>
    <row r="16" spans="1:12" x14ac:dyDescent="0.2">
      <c r="A16" s="58" t="s">
        <v>56</v>
      </c>
      <c r="B16" s="50"/>
      <c r="C16" s="17">
        <f>C15+consolidated!C34-consolidated!C40-C12</f>
        <v>2206</v>
      </c>
      <c r="D16" s="17">
        <f>D15+consolidated!D34-consolidated!D40-D12</f>
        <v>1656</v>
      </c>
      <c r="E16" s="17">
        <f>E15+consolidated!E34-consolidated!E40-E12</f>
        <v>1978</v>
      </c>
      <c r="F16" s="67">
        <f>F15+consolidated!F34-consolidated!F40-F12</f>
        <v>2046</v>
      </c>
      <c r="G16" s="17">
        <f>G15+consolidated!G34-consolidated!G40-G12</f>
        <v>2435.8200000000015</v>
      </c>
      <c r="H16" s="17">
        <f>H15+consolidated!H34-consolidated!H40-H12</f>
        <v>2874.529999999997</v>
      </c>
      <c r="I16" s="17">
        <f>I15+consolidated!I34-consolidated!I40-I12</f>
        <v>3399.9766000000036</v>
      </c>
      <c r="J16" s="17">
        <f>J15+consolidated!J34-consolidated!J40-J12</f>
        <v>4040.9265799999976</v>
      </c>
      <c r="K16" s="17">
        <f>K15+consolidated!K34-consolidated!K40-K12</f>
        <v>4835.7300220000034</v>
      </c>
    </row>
    <row r="17" spans="1:12" x14ac:dyDescent="0.2">
      <c r="A17" s="41"/>
      <c r="F17" s="65"/>
    </row>
    <row r="18" spans="1:12" x14ac:dyDescent="0.2">
      <c r="A18" s="33">
        <v>4</v>
      </c>
      <c r="F18" s="65"/>
    </row>
    <row r="19" spans="1:12" x14ac:dyDescent="0.2">
      <c r="A19" s="58" t="s">
        <v>57</v>
      </c>
      <c r="C19" s="2"/>
      <c r="D19" s="2"/>
      <c r="E19" s="2"/>
      <c r="F19" s="67">
        <f>K16*(1+assumptions!B8)/(Answers!B4-assumptions!B8)</f>
        <v>90560.034957454627</v>
      </c>
      <c r="G19" s="2"/>
      <c r="H19" s="2"/>
      <c r="I19" s="2"/>
      <c r="J19" s="2"/>
      <c r="K19" s="2"/>
    </row>
    <row r="20" spans="1:12" x14ac:dyDescent="0.2">
      <c r="A20" s="41"/>
      <c r="F20" s="65"/>
    </row>
    <row r="21" spans="1:12" x14ac:dyDescent="0.2">
      <c r="A21" s="33">
        <v>5</v>
      </c>
      <c r="F21" s="65"/>
    </row>
    <row r="22" spans="1:12" x14ac:dyDescent="0.2">
      <c r="A22" s="60" t="s">
        <v>123</v>
      </c>
      <c r="F22" s="65"/>
      <c r="G22" s="14">
        <v>1</v>
      </c>
      <c r="H22" s="14">
        <v>2</v>
      </c>
      <c r="I22" s="14">
        <v>3</v>
      </c>
      <c r="J22" s="14">
        <v>4</v>
      </c>
      <c r="K22" s="14">
        <v>5</v>
      </c>
      <c r="L22" s="14">
        <v>5</v>
      </c>
    </row>
    <row r="23" spans="1:12" x14ac:dyDescent="0.2">
      <c r="A23" s="41" t="s">
        <v>56</v>
      </c>
      <c r="F23" s="65"/>
      <c r="G23" s="13">
        <f>G16</f>
        <v>2435.8200000000015</v>
      </c>
      <c r="H23" s="13">
        <f>H16</f>
        <v>2874.529999999997</v>
      </c>
      <c r="I23" s="13">
        <f>I16</f>
        <v>3399.9766000000036</v>
      </c>
      <c r="J23" s="13">
        <f>J16</f>
        <v>4040.9265799999976</v>
      </c>
      <c r="K23" s="13">
        <f>K16</f>
        <v>4835.7300220000034</v>
      </c>
      <c r="L23" s="13">
        <f>F19</f>
        <v>90560.034957454627</v>
      </c>
    </row>
    <row r="24" spans="1:12" x14ac:dyDescent="0.2">
      <c r="A24" s="58" t="s">
        <v>59</v>
      </c>
      <c r="F24" s="67">
        <f>SUM(G24:L24)</f>
        <v>73706.994917306045</v>
      </c>
      <c r="G24" s="13">
        <f t="shared" ref="G24:L24" si="2">G23/(1+$B4)^G22</f>
        <v>2244.9953917050707</v>
      </c>
      <c r="H24" s="13">
        <f t="shared" si="2"/>
        <v>2441.7847055575589</v>
      </c>
      <c r="I24" s="13">
        <f t="shared" si="2"/>
        <v>2661.8692146149788</v>
      </c>
      <c r="J24" s="13">
        <f t="shared" si="2"/>
        <v>2915.8287047428466</v>
      </c>
      <c r="K24" s="13">
        <f t="shared" si="2"/>
        <v>3215.9801193895914</v>
      </c>
      <c r="L24" s="13">
        <f t="shared" si="2"/>
        <v>60226.536781295996</v>
      </c>
    </row>
    <row r="25" spans="1:12" x14ac:dyDescent="0.2">
      <c r="A25" s="58" t="s">
        <v>118</v>
      </c>
      <c r="F25" s="69">
        <f>F24-assumptions!B9</f>
        <v>5006.994917306045</v>
      </c>
    </row>
    <row r="26" spans="1:12" x14ac:dyDescent="0.2">
      <c r="A26" s="41"/>
      <c r="F26" s="65"/>
    </row>
    <row r="27" spans="1:12" x14ac:dyDescent="0.2">
      <c r="A27" s="33">
        <v>6</v>
      </c>
      <c r="F27" s="65"/>
    </row>
    <row r="28" spans="1:12" x14ac:dyDescent="0.2">
      <c r="A28" s="41" t="s">
        <v>56</v>
      </c>
      <c r="F28" s="70">
        <f>-assumptions!B9</f>
        <v>-68700</v>
      </c>
      <c r="G28" s="51">
        <f>G23</f>
        <v>2435.8200000000015</v>
      </c>
      <c r="H28" s="51">
        <f>H23</f>
        <v>2874.529999999997</v>
      </c>
      <c r="I28" s="51">
        <f>I23</f>
        <v>3399.9766000000036</v>
      </c>
      <c r="J28" s="51">
        <f>J23</f>
        <v>4040.9265799999976</v>
      </c>
      <c r="K28" s="51">
        <f>K23+L23</f>
        <v>95395.764979454631</v>
      </c>
      <c r="L28" s="2"/>
    </row>
    <row r="29" spans="1:12" x14ac:dyDescent="0.2">
      <c r="A29" s="58" t="s">
        <v>58</v>
      </c>
      <c r="B29" s="4">
        <f>IRR(F28:K28)</f>
        <v>0.10150216525532985</v>
      </c>
      <c r="F29" s="65"/>
    </row>
    <row r="30" spans="1:12" x14ac:dyDescent="0.2">
      <c r="F30" s="65"/>
    </row>
    <row r="31" spans="1:12" x14ac:dyDescent="0.2">
      <c r="A31" s="8">
        <v>2</v>
      </c>
      <c r="B31" s="7"/>
      <c r="C31" s="7"/>
      <c r="D31" s="7"/>
      <c r="E31" s="7"/>
      <c r="F31" s="64"/>
      <c r="G31" s="7"/>
      <c r="H31" s="7"/>
      <c r="I31" s="7"/>
      <c r="J31" s="7"/>
      <c r="K31" s="7"/>
      <c r="L31" s="7"/>
    </row>
    <row r="32" spans="1:12" x14ac:dyDescent="0.2">
      <c r="A32" s="33">
        <v>1</v>
      </c>
      <c r="F32" s="65"/>
    </row>
    <row r="33" spans="1:11" x14ac:dyDescent="0.2">
      <c r="A33" s="41" t="s">
        <v>100</v>
      </c>
      <c r="F33" s="66">
        <f>consolidated!F20-F8</f>
        <v>20000</v>
      </c>
      <c r="G33" s="2"/>
      <c r="H33" s="2"/>
      <c r="I33" s="2"/>
      <c r="J33" s="2"/>
      <c r="K33" s="2"/>
    </row>
    <row r="34" spans="1:11" x14ac:dyDescent="0.2">
      <c r="A34" s="41" t="s">
        <v>60</v>
      </c>
      <c r="F34" s="71">
        <f>F33/assumptions!B9</f>
        <v>0.29112081513828236</v>
      </c>
      <c r="G34" s="9"/>
      <c r="H34" s="9"/>
      <c r="I34" s="9"/>
      <c r="J34" s="9"/>
      <c r="K34" s="9"/>
    </row>
    <row r="35" spans="1:11" x14ac:dyDescent="0.2">
      <c r="A35" s="41" t="s">
        <v>61</v>
      </c>
      <c r="F35" s="72">
        <f>(F39-F37*F38)/F36</f>
        <v>1.2874743326488707</v>
      </c>
    </row>
    <row r="36" spans="1:11" x14ac:dyDescent="0.2">
      <c r="A36" s="62" t="s">
        <v>62</v>
      </c>
      <c r="F36" s="73">
        <f>1-F34</f>
        <v>0.70887918486171764</v>
      </c>
    </row>
    <row r="37" spans="1:11" x14ac:dyDescent="0.2">
      <c r="A37" s="62" t="s">
        <v>63</v>
      </c>
      <c r="F37" s="65">
        <f>assumptions!B5</f>
        <v>0.3</v>
      </c>
    </row>
    <row r="38" spans="1:11" x14ac:dyDescent="0.2">
      <c r="A38" s="62" t="s">
        <v>60</v>
      </c>
      <c r="F38" s="73">
        <f>F34</f>
        <v>0.29112081513828236</v>
      </c>
    </row>
    <row r="39" spans="1:11" x14ac:dyDescent="0.2">
      <c r="A39" s="62" t="s">
        <v>64</v>
      </c>
      <c r="F39" s="74">
        <f>assumptions!B6</f>
        <v>1</v>
      </c>
    </row>
    <row r="40" spans="1:11" x14ac:dyDescent="0.2">
      <c r="A40" s="41"/>
      <c r="F40" s="65"/>
    </row>
    <row r="41" spans="1:11" x14ac:dyDescent="0.2">
      <c r="A41" s="41" t="s">
        <v>65</v>
      </c>
      <c r="F41" s="73">
        <f>B4</f>
        <v>8.4999999999999992E-2</v>
      </c>
    </row>
    <row r="42" spans="1:11" x14ac:dyDescent="0.2">
      <c r="A42" s="62" t="s">
        <v>62</v>
      </c>
      <c r="F42" s="73">
        <f>F36</f>
        <v>0.70887918486171764</v>
      </c>
    </row>
    <row r="43" spans="1:11" x14ac:dyDescent="0.2">
      <c r="A43" s="62" t="s">
        <v>60</v>
      </c>
      <c r="F43" s="73">
        <f>F38</f>
        <v>0.29112081513828236</v>
      </c>
    </row>
    <row r="44" spans="1:11" x14ac:dyDescent="0.2">
      <c r="A44" s="41"/>
      <c r="F44" s="65"/>
    </row>
    <row r="45" spans="1:11" x14ac:dyDescent="0.2">
      <c r="A45" s="41" t="s">
        <v>67</v>
      </c>
      <c r="F45" s="75">
        <f>F37*assumptions!B4+assumptions!B3</f>
        <v>4.2999999999999997E-2</v>
      </c>
    </row>
    <row r="46" spans="1:11" x14ac:dyDescent="0.2">
      <c r="A46" s="41" t="s">
        <v>66</v>
      </c>
      <c r="F46" s="75">
        <f>F35*assumptions!B4+assumptions!B3</f>
        <v>0.10224845995893225</v>
      </c>
    </row>
    <row r="47" spans="1:11" x14ac:dyDescent="0.2">
      <c r="A47" s="41" t="s">
        <v>68</v>
      </c>
      <c r="F47" s="75">
        <f>F42*F46+F43*F45*(1-assumptions!B2)</f>
        <v>8.249636098981078E-2</v>
      </c>
    </row>
    <row r="48" spans="1:11" x14ac:dyDescent="0.2">
      <c r="A48" s="41"/>
      <c r="F48" s="65"/>
    </row>
    <row r="49" spans="1:12" x14ac:dyDescent="0.2">
      <c r="A49" s="41"/>
      <c r="F49" s="65"/>
      <c r="G49" s="14">
        <v>1</v>
      </c>
      <c r="H49" s="14">
        <v>2</v>
      </c>
      <c r="I49" s="14">
        <v>3</v>
      </c>
      <c r="J49" s="14">
        <v>4</v>
      </c>
      <c r="K49" s="14">
        <v>5</v>
      </c>
      <c r="L49" s="14">
        <v>5</v>
      </c>
    </row>
    <row r="50" spans="1:12" x14ac:dyDescent="0.2">
      <c r="A50" s="41" t="s">
        <v>75</v>
      </c>
      <c r="F50" s="65"/>
      <c r="G50" s="15">
        <f>G23</f>
        <v>2435.8200000000015</v>
      </c>
      <c r="H50" s="15">
        <f>H23</f>
        <v>2874.529999999997</v>
      </c>
      <c r="I50" s="15">
        <f>I23</f>
        <v>3399.9766000000036</v>
      </c>
      <c r="J50" s="15">
        <f>J23</f>
        <v>4040.9265799999976</v>
      </c>
      <c r="K50" s="15">
        <f>K23</f>
        <v>4835.7300220000034</v>
      </c>
      <c r="L50" s="15">
        <f>K50*(1+assumptions!B8)/(F47-assumptions!B8)</f>
        <v>94878.994062593149</v>
      </c>
    </row>
    <row r="51" spans="1:12" x14ac:dyDescent="0.2">
      <c r="A51" s="41" t="s">
        <v>70</v>
      </c>
      <c r="F51" s="69">
        <f>SUM(G51:L51)</f>
        <v>77411.813259059418</v>
      </c>
      <c r="G51" s="15">
        <f t="shared" ref="G51:L51" si="3">G50/(1+$F47)^G49</f>
        <v>2250.1877029616444</v>
      </c>
      <c r="H51" s="15">
        <f t="shared" si="3"/>
        <v>2453.0926734285663</v>
      </c>
      <c r="I51" s="15">
        <f t="shared" si="3"/>
        <v>2680.3813832894439</v>
      </c>
      <c r="J51" s="15">
        <f t="shared" si="3"/>
        <v>2942.8977944552789</v>
      </c>
      <c r="K51" s="15">
        <f t="shared" si="3"/>
        <v>3253.3427570754725</v>
      </c>
      <c r="L51" s="15">
        <f t="shared" si="3"/>
        <v>63831.910947849021</v>
      </c>
    </row>
    <row r="52" spans="1:12" x14ac:dyDescent="0.2">
      <c r="A52" s="41"/>
      <c r="F52" s="65"/>
    </row>
    <row r="53" spans="1:12" x14ac:dyDescent="0.2">
      <c r="A53" s="33">
        <v>2</v>
      </c>
      <c r="F53" s="65"/>
    </row>
    <row r="54" spans="1:12" x14ac:dyDescent="0.2">
      <c r="A54" s="41"/>
      <c r="F54" s="65"/>
      <c r="G54" s="14">
        <v>1</v>
      </c>
      <c r="H54" s="14">
        <v>2</v>
      </c>
      <c r="I54" s="14">
        <v>3</v>
      </c>
      <c r="J54" s="14">
        <v>4</v>
      </c>
      <c r="K54" s="14">
        <v>5</v>
      </c>
      <c r="L54" s="14">
        <v>5</v>
      </c>
    </row>
    <row r="55" spans="1:12" x14ac:dyDescent="0.2">
      <c r="A55" s="41" t="s">
        <v>101</v>
      </c>
      <c r="F55" s="65"/>
      <c r="G55" s="15">
        <f>consolidated!G35</f>
        <v>1000</v>
      </c>
      <c r="H55" s="15">
        <f>consolidated!H35</f>
        <v>1100</v>
      </c>
      <c r="I55" s="15">
        <f>consolidated!I35</f>
        <v>1210</v>
      </c>
      <c r="J55" s="15">
        <f>consolidated!J35</f>
        <v>1331</v>
      </c>
      <c r="K55" s="15">
        <f>consolidated!K35</f>
        <v>1464.1</v>
      </c>
      <c r="L55" s="15"/>
    </row>
    <row r="56" spans="1:12" x14ac:dyDescent="0.2">
      <c r="A56" s="58" t="s">
        <v>119</v>
      </c>
      <c r="F56" s="65"/>
      <c r="G56" s="16">
        <f>G55*assumptions!$B2</f>
        <v>200</v>
      </c>
      <c r="H56" s="16">
        <f>H55*assumptions!$B2</f>
        <v>220</v>
      </c>
      <c r="I56" s="16">
        <f>I55*assumptions!$B2</f>
        <v>242</v>
      </c>
      <c r="J56" s="16">
        <f>J55*assumptions!$B2</f>
        <v>266.2</v>
      </c>
      <c r="K56" s="16">
        <f>K55*assumptions!$B2</f>
        <v>292.82</v>
      </c>
      <c r="L56" s="16">
        <f>K56*(1+assumptions!B8)/(assumptions!B7-assumptions!B8)</f>
        <v>8617.2742857142857</v>
      </c>
    </row>
    <row r="57" spans="1:12" x14ac:dyDescent="0.2">
      <c r="A57" s="41" t="s">
        <v>69</v>
      </c>
      <c r="F57" s="69">
        <f>SUM(G57:L57)</f>
        <v>7292.3284271897301</v>
      </c>
      <c r="G57" s="15">
        <f>G56/(1+assumptions!$B7)^G54</f>
        <v>187.79342723004694</v>
      </c>
      <c r="H57" s="15">
        <f>H56/(1+assumptions!$B7)^H54</f>
        <v>193.9650422094382</v>
      </c>
      <c r="I57" s="15">
        <f>I56/(1+assumptions!$B7)^I54</f>
        <v>200.33948021632116</v>
      </c>
      <c r="J57" s="15">
        <f>J56/(1+assumptions!$B7)^J54</f>
        <v>206.92340679620025</v>
      </c>
      <c r="K57" s="15">
        <f>K56/(1+assumptions!$B7)^K54</f>
        <v>213.723706550066</v>
      </c>
      <c r="L57" s="15">
        <f>L56/(1+assumptions!$B7)^L54</f>
        <v>6289.583364187657</v>
      </c>
    </row>
    <row r="58" spans="1:12" x14ac:dyDescent="0.2">
      <c r="A58" s="41"/>
      <c r="F58" s="69"/>
      <c r="G58" s="15"/>
      <c r="H58" s="15"/>
      <c r="I58" s="15"/>
      <c r="J58" s="15"/>
      <c r="K58" s="15"/>
      <c r="L58" s="15"/>
    </row>
    <row r="59" spans="1:12" x14ac:dyDescent="0.2">
      <c r="A59" s="41" t="s">
        <v>71</v>
      </c>
      <c r="F59" s="66">
        <f>F24</f>
        <v>73706.994917306045</v>
      </c>
    </row>
    <row r="60" spans="1:12" x14ac:dyDescent="0.2">
      <c r="A60" s="41" t="s">
        <v>72</v>
      </c>
      <c r="F60" s="69">
        <f>F57+F24</f>
        <v>80999.323344495773</v>
      </c>
    </row>
    <row r="61" spans="1:12" x14ac:dyDescent="0.2">
      <c r="A61" s="41"/>
      <c r="F61" s="65"/>
    </row>
    <row r="62" spans="1:12" x14ac:dyDescent="0.2">
      <c r="A62" s="41" t="s">
        <v>73</v>
      </c>
      <c r="F62" s="69">
        <f>F51-F24</f>
        <v>3704.8183417533728</v>
      </c>
    </row>
    <row r="63" spans="1:12" x14ac:dyDescent="0.2">
      <c r="A63" s="41" t="s">
        <v>74</v>
      </c>
      <c r="F63" s="69">
        <f>F57</f>
        <v>7292.3284271897301</v>
      </c>
    </row>
    <row r="64" spans="1:12" x14ac:dyDescent="0.2">
      <c r="F64" s="65"/>
    </row>
    <row r="65" spans="1:12" x14ac:dyDescent="0.2">
      <c r="A65" s="8">
        <v>3</v>
      </c>
      <c r="B65" s="7"/>
      <c r="C65" s="7"/>
      <c r="D65" s="7"/>
      <c r="E65" s="7"/>
      <c r="F65" s="64"/>
      <c r="G65" s="7"/>
      <c r="H65" s="7"/>
      <c r="I65" s="7"/>
      <c r="J65" s="7"/>
      <c r="K65" s="7"/>
      <c r="L65" s="7"/>
    </row>
    <row r="66" spans="1:12" x14ac:dyDescent="0.2">
      <c r="A66" s="33">
        <v>1</v>
      </c>
      <c r="F66" s="65"/>
    </row>
    <row r="67" spans="1:12" x14ac:dyDescent="0.2">
      <c r="A67" s="41" t="s">
        <v>78</v>
      </c>
      <c r="B67" s="13">
        <v>75000</v>
      </c>
      <c r="F67" s="65"/>
    </row>
    <row r="68" spans="1:12" x14ac:dyDescent="0.2">
      <c r="A68" s="41"/>
      <c r="F68" s="65"/>
    </row>
    <row r="69" spans="1:12" x14ac:dyDescent="0.2">
      <c r="A69" s="41"/>
      <c r="F69" s="65"/>
      <c r="G69" s="14">
        <v>1</v>
      </c>
      <c r="H69" s="14">
        <v>2</v>
      </c>
      <c r="I69" s="14">
        <v>3</v>
      </c>
      <c r="J69" s="14">
        <v>4</v>
      </c>
      <c r="K69" s="14">
        <v>5</v>
      </c>
      <c r="L69" s="14">
        <v>5</v>
      </c>
    </row>
    <row r="70" spans="1:12" x14ac:dyDescent="0.2">
      <c r="A70" s="41" t="s">
        <v>76</v>
      </c>
      <c r="F70" s="65"/>
      <c r="G70" s="15">
        <f t="shared" ref="G70:L70" si="4">G23</f>
        <v>2435.8200000000015</v>
      </c>
      <c r="H70" s="15">
        <f t="shared" si="4"/>
        <v>2874.529999999997</v>
      </c>
      <c r="I70" s="15">
        <f t="shared" si="4"/>
        <v>3399.9766000000036</v>
      </c>
      <c r="J70" s="15">
        <f t="shared" si="4"/>
        <v>4040.9265799999976</v>
      </c>
      <c r="K70" s="15">
        <f t="shared" si="4"/>
        <v>4835.7300220000034</v>
      </c>
      <c r="L70" s="15">
        <f t="shared" si="4"/>
        <v>90560.034957454627</v>
      </c>
    </row>
    <row r="71" spans="1:12" x14ac:dyDescent="0.2">
      <c r="A71" s="41" t="s">
        <v>128</v>
      </c>
      <c r="F71" s="65"/>
      <c r="G71" s="15">
        <f t="shared" ref="G71:L71" si="5">G70/(1+$B$4)^G$69</f>
        <v>2244.9953917050707</v>
      </c>
      <c r="H71" s="15">
        <f t="shared" si="5"/>
        <v>2441.7847055575589</v>
      </c>
      <c r="I71" s="15">
        <f t="shared" si="5"/>
        <v>2661.8692146149788</v>
      </c>
      <c r="J71" s="15">
        <f t="shared" si="5"/>
        <v>2915.8287047428466</v>
      </c>
      <c r="K71" s="15">
        <f t="shared" si="5"/>
        <v>3215.9801193895914</v>
      </c>
      <c r="L71" s="15">
        <f t="shared" si="5"/>
        <v>60226.536781295996</v>
      </c>
    </row>
    <row r="72" spans="1:12" x14ac:dyDescent="0.2">
      <c r="A72" s="41"/>
      <c r="F72" s="65"/>
    </row>
    <row r="73" spans="1:12" x14ac:dyDescent="0.2">
      <c r="A73" s="41" t="s">
        <v>77</v>
      </c>
      <c r="F73" s="65"/>
      <c r="G73" s="15">
        <f>G70</f>
        <v>2435.8200000000015</v>
      </c>
      <c r="H73" s="15">
        <f>H70</f>
        <v>2874.529999999997</v>
      </c>
      <c r="I73" s="15">
        <f>I70</f>
        <v>3399.9766000000036</v>
      </c>
      <c r="J73" s="15">
        <f>J70</f>
        <v>4040.9265799999976</v>
      </c>
      <c r="K73" s="15">
        <f>K70</f>
        <v>4835.7300220000034</v>
      </c>
      <c r="L73" s="15">
        <f>L70*2-B67</f>
        <v>106120.06991490925</v>
      </c>
    </row>
    <row r="74" spans="1:12" x14ac:dyDescent="0.2">
      <c r="A74" s="41" t="s">
        <v>128</v>
      </c>
      <c r="F74" s="65"/>
      <c r="G74" s="15">
        <f t="shared" ref="G74:L74" si="6">G73/(1+$B$4)^G$69</f>
        <v>2244.9953917050707</v>
      </c>
      <c r="H74" s="15">
        <f t="shared" si="6"/>
        <v>2441.7847055575589</v>
      </c>
      <c r="I74" s="15">
        <f t="shared" si="6"/>
        <v>2661.8692146149788</v>
      </c>
      <c r="J74" s="15">
        <f t="shared" si="6"/>
        <v>2915.8287047428466</v>
      </c>
      <c r="K74" s="15">
        <f t="shared" si="6"/>
        <v>3215.9801193895914</v>
      </c>
      <c r="L74" s="15">
        <f t="shared" si="6"/>
        <v>70574.666815959266</v>
      </c>
    </row>
    <row r="75" spans="1:12" x14ac:dyDescent="0.2">
      <c r="A75" s="41"/>
      <c r="F75" s="65"/>
    </row>
    <row r="76" spans="1:12" x14ac:dyDescent="0.2">
      <c r="A76" s="41" t="s">
        <v>126</v>
      </c>
      <c r="F76" s="65"/>
      <c r="G76" s="15">
        <f>SUM(G71:L71)</f>
        <v>73706.994917306045</v>
      </c>
    </row>
    <row r="77" spans="1:12" x14ac:dyDescent="0.2">
      <c r="A77" s="41" t="s">
        <v>127</v>
      </c>
      <c r="F77" s="65"/>
      <c r="G77" s="15">
        <f>SUM(G74:L74)</f>
        <v>84055.124951969308</v>
      </c>
    </row>
    <row r="78" spans="1:12" x14ac:dyDescent="0.2">
      <c r="A78" s="58" t="s">
        <v>122</v>
      </c>
      <c r="F78" s="65"/>
      <c r="G78" s="47">
        <f>G77-G76</f>
        <v>10348.130034663263</v>
      </c>
    </row>
    <row r="79" spans="1:12" x14ac:dyDescent="0.2">
      <c r="A79" s="58"/>
      <c r="F79" s="65"/>
      <c r="G79" s="47"/>
    </row>
    <row r="80" spans="1:12" x14ac:dyDescent="0.2">
      <c r="A80" s="41" t="s">
        <v>129</v>
      </c>
      <c r="F80" s="65"/>
      <c r="G80" s="15">
        <f t="shared" ref="G80:L80" si="7">G70*1.5</f>
        <v>3653.7300000000023</v>
      </c>
      <c r="H80" s="15">
        <f t="shared" si="7"/>
        <v>4311.7949999999955</v>
      </c>
      <c r="I80" s="15">
        <f t="shared" si="7"/>
        <v>5099.9649000000054</v>
      </c>
      <c r="J80" s="15">
        <f t="shared" si="7"/>
        <v>6061.3898699999963</v>
      </c>
      <c r="K80" s="15">
        <f t="shared" si="7"/>
        <v>7253.5950330000051</v>
      </c>
      <c r="L80" s="15">
        <f t="shared" si="7"/>
        <v>135840.05243618193</v>
      </c>
    </row>
    <row r="81" spans="1:12" x14ac:dyDescent="0.2">
      <c r="A81" s="41" t="s">
        <v>130</v>
      </c>
      <c r="F81" s="65"/>
      <c r="G81" s="15">
        <f t="shared" ref="G81:L81" si="8">G70*0.5</f>
        <v>1217.9100000000008</v>
      </c>
      <c r="H81" s="15">
        <f t="shared" si="8"/>
        <v>1437.2649999999985</v>
      </c>
      <c r="I81" s="15">
        <f t="shared" si="8"/>
        <v>1699.9883000000018</v>
      </c>
      <c r="J81" s="15">
        <f t="shared" si="8"/>
        <v>2020.4632899999988</v>
      </c>
      <c r="K81" s="15">
        <f t="shared" si="8"/>
        <v>2417.8650110000017</v>
      </c>
      <c r="L81" s="15">
        <f t="shared" si="8"/>
        <v>45280.017478727314</v>
      </c>
    </row>
    <row r="82" spans="1:12" x14ac:dyDescent="0.2">
      <c r="A82" s="41"/>
      <c r="F82" s="65"/>
    </row>
    <row r="83" spans="1:12" x14ac:dyDescent="0.2">
      <c r="A83" s="41" t="s">
        <v>125</v>
      </c>
      <c r="F83" s="65"/>
      <c r="G83" s="15"/>
      <c r="H83" s="15"/>
      <c r="I83" s="15"/>
      <c r="J83" s="15"/>
      <c r="K83" s="15"/>
      <c r="L83" s="15">
        <f>L80-B67</f>
        <v>60840.052436181926</v>
      </c>
    </row>
    <row r="84" spans="1:12" x14ac:dyDescent="0.2">
      <c r="A84" s="41" t="s">
        <v>124</v>
      </c>
      <c r="F84" s="65"/>
      <c r="L84" s="15">
        <f>L81-B67</f>
        <v>-29719.982521272686</v>
      </c>
    </row>
    <row r="85" spans="1:12" x14ac:dyDescent="0.2">
      <c r="A85" s="41"/>
      <c r="F85" s="65"/>
    </row>
    <row r="86" spans="1:12" x14ac:dyDescent="0.2">
      <c r="A86" s="41" t="s">
        <v>120</v>
      </c>
      <c r="F86" s="65"/>
      <c r="L86" s="15">
        <f>0.5*L83+0.5*MAX(L84,0)</f>
        <v>30420.026218090963</v>
      </c>
    </row>
    <row r="87" spans="1:12" x14ac:dyDescent="0.2">
      <c r="A87" s="61" t="s">
        <v>121</v>
      </c>
      <c r="F87" s="65"/>
      <c r="G87" s="16">
        <f>L86/(1+B4)^L69</f>
        <v>20230.699212655632</v>
      </c>
    </row>
    <row r="88" spans="1:12" x14ac:dyDescent="0.2">
      <c r="A88" s="41"/>
      <c r="F88" s="65"/>
    </row>
    <row r="89" spans="1:12" x14ac:dyDescent="0.2">
      <c r="A89" s="41"/>
      <c r="F89" s="65"/>
    </row>
    <row r="90" spans="1:12" x14ac:dyDescent="0.2">
      <c r="A90" s="33">
        <v>2</v>
      </c>
      <c r="F90" s="65"/>
    </row>
    <row r="91" spans="1:12" x14ac:dyDescent="0.2">
      <c r="A91" s="41" t="s">
        <v>138</v>
      </c>
      <c r="B91" s="14" t="s">
        <v>134</v>
      </c>
      <c r="C91" s="52" t="s">
        <v>131</v>
      </c>
      <c r="D91" s="52" t="s">
        <v>132</v>
      </c>
      <c r="E91" s="52" t="s">
        <v>133</v>
      </c>
      <c r="F91" s="65"/>
    </row>
    <row r="92" spans="1:12" ht="16" x14ac:dyDescent="0.2">
      <c r="A92" s="41"/>
      <c r="B92" s="53">
        <v>1</v>
      </c>
      <c r="C92" s="52">
        <v>1</v>
      </c>
      <c r="D92" s="52">
        <v>2</v>
      </c>
      <c r="E92" s="52">
        <v>3</v>
      </c>
      <c r="F92" s="65"/>
    </row>
    <row r="93" spans="1:12" x14ac:dyDescent="0.2">
      <c r="A93" s="41"/>
      <c r="F93" s="65"/>
    </row>
    <row r="94" spans="1:12" x14ac:dyDescent="0.2">
      <c r="A94" s="41" t="s">
        <v>79</v>
      </c>
      <c r="B94" s="13">
        <f>consolidated!B20+consolidated!B16-B8</f>
        <v>4390</v>
      </c>
      <c r="C94" s="13">
        <f>consolidated!C20+consolidated!C16-C8</f>
        <v>2671</v>
      </c>
      <c r="D94" s="13">
        <f>consolidated!D20+consolidated!D16-D8</f>
        <v>2383</v>
      </c>
      <c r="E94" s="13">
        <f>consolidated!E20+consolidated!E16-E8</f>
        <v>1052</v>
      </c>
      <c r="F94" s="66">
        <f>consolidated!F20+consolidated!F16-F8</f>
        <v>20000</v>
      </c>
      <c r="G94" s="13">
        <f>consolidated!G20+consolidated!G16-G8</f>
        <v>22000</v>
      </c>
      <c r="H94" s="13">
        <f>consolidated!H20+consolidated!H16-H8</f>
        <v>24200</v>
      </c>
      <c r="I94" s="13">
        <f>consolidated!I20+consolidated!I16-I8</f>
        <v>26620.000000000011</v>
      </c>
      <c r="J94" s="13">
        <f>consolidated!J20+consolidated!J16-J8</f>
        <v>29282.000000000011</v>
      </c>
      <c r="K94" s="13">
        <f>consolidated!K20+consolidated!K16-K8</f>
        <v>32210.200000000012</v>
      </c>
      <c r="L94" s="15"/>
    </row>
    <row r="95" spans="1:12" x14ac:dyDescent="0.2">
      <c r="A95" s="41" t="s">
        <v>80</v>
      </c>
      <c r="B95" s="13">
        <f>consolidated!B25</f>
        <v>9462</v>
      </c>
      <c r="C95" s="13">
        <f>consolidated!C25</f>
        <v>11357</v>
      </c>
      <c r="D95" s="13">
        <f>consolidated!D25</f>
        <v>12805</v>
      </c>
      <c r="E95" s="13">
        <f>consolidated!E25</f>
        <v>15037</v>
      </c>
      <c r="F95" s="66">
        <f>consolidated!F25</f>
        <v>-2836</v>
      </c>
      <c r="G95" s="13">
        <f>consolidated!G25</f>
        <v>-1280.5999999999949</v>
      </c>
      <c r="H95" s="13">
        <f>consolidated!H25</f>
        <v>798.13999999999578</v>
      </c>
      <c r="I95" s="13">
        <f>consolidated!I25</f>
        <v>3526.1139999999868</v>
      </c>
      <c r="J95" s="13">
        <f>consolidated!J25</f>
        <v>7056.5173999999897</v>
      </c>
      <c r="K95" s="13">
        <f>consolidated!K25</f>
        <v>11575.519539999979</v>
      </c>
      <c r="L95" s="15"/>
    </row>
    <row r="96" spans="1:12" x14ac:dyDescent="0.2">
      <c r="A96" s="41" t="s">
        <v>81</v>
      </c>
      <c r="B96" s="13">
        <f t="shared" ref="B96:K96" si="9">SUM(B94:B95)</f>
        <v>13852</v>
      </c>
      <c r="C96" s="13">
        <f t="shared" si="9"/>
        <v>14028</v>
      </c>
      <c r="D96" s="13">
        <f t="shared" si="9"/>
        <v>15188</v>
      </c>
      <c r="E96" s="13">
        <f t="shared" si="9"/>
        <v>16089</v>
      </c>
      <c r="F96" s="66">
        <f t="shared" si="9"/>
        <v>17164</v>
      </c>
      <c r="G96" s="13">
        <f t="shared" si="9"/>
        <v>20719.400000000005</v>
      </c>
      <c r="H96" s="13">
        <f t="shared" si="9"/>
        <v>24998.139999999996</v>
      </c>
      <c r="I96" s="13">
        <f t="shared" si="9"/>
        <v>30146.113999999998</v>
      </c>
      <c r="J96" s="13">
        <f t="shared" si="9"/>
        <v>36338.517399999997</v>
      </c>
      <c r="K96" s="13">
        <f t="shared" si="9"/>
        <v>43785.719539999991</v>
      </c>
      <c r="L96" s="15"/>
    </row>
    <row r="97" spans="1:12" x14ac:dyDescent="0.2">
      <c r="A97" s="41"/>
      <c r="F97" s="65"/>
      <c r="G97" s="15"/>
      <c r="H97" s="15"/>
      <c r="I97" s="15"/>
      <c r="J97" s="15"/>
      <c r="K97" s="15"/>
      <c r="L97" s="15"/>
    </row>
    <row r="98" spans="1:12" x14ac:dyDescent="0.2">
      <c r="A98" s="58" t="s">
        <v>82</v>
      </c>
      <c r="B98" s="9"/>
      <c r="C98" s="46">
        <f>C15/CHOOSE($B$92,B$96,AVERAGE(B$96:C$96),C$96)</f>
        <v>0.13961882760612185</v>
      </c>
      <c r="D98" s="46">
        <f t="shared" ref="D98:K98" si="10">D15/CHOOSE($B$92,C$96,AVERAGE(C$96:D$96),D$96)</f>
        <v>0.11505560307955517</v>
      </c>
      <c r="E98" s="46">
        <f t="shared" si="10"/>
        <v>0.15861206215433238</v>
      </c>
      <c r="F98" s="75">
        <f t="shared" si="10"/>
        <v>0.17844490024240164</v>
      </c>
      <c r="G98" s="46">
        <f t="shared" si="10"/>
        <v>0.18871591703565607</v>
      </c>
      <c r="H98" s="46">
        <f t="shared" si="10"/>
        <v>0.18954023765166939</v>
      </c>
      <c r="I98" s="46">
        <f t="shared" si="10"/>
        <v>0.19028734137819858</v>
      </c>
      <c r="J98" s="46">
        <f t="shared" si="10"/>
        <v>0.19096513998454329</v>
      </c>
      <c r="K98" s="46">
        <f t="shared" si="10"/>
        <v>0.19158062161336278</v>
      </c>
      <c r="L98" s="15"/>
    </row>
    <row r="99" spans="1:12" x14ac:dyDescent="0.2">
      <c r="A99" s="58" t="s">
        <v>83</v>
      </c>
      <c r="C99" s="46">
        <f>consolidated!C30/CHOOSE($B$92,B$96,AVERAGE(B$96:C$96),C$96)</f>
        <v>0.54143805948599477</v>
      </c>
      <c r="D99" s="46">
        <f>consolidated!D30/CHOOSE($B$92,C$96,AVERAGE(C$96:D$96),D$96)</f>
        <v>0.46257485029940121</v>
      </c>
      <c r="E99" s="46">
        <f>consolidated!E30/CHOOSE($B$92,D$96,AVERAGE(D$96:E$96),E$96)</f>
        <v>0.53239399525941533</v>
      </c>
      <c r="F99" s="75">
        <f>consolidated!F30/CHOOSE($B$92,E$96,AVERAGE(E$96:F$96),F$96)</f>
        <v>0.54714401143638514</v>
      </c>
      <c r="G99" s="46">
        <f>consolidated!G30/CHOOSE($B$92,F$96,AVERAGE(F$96:G$96),G$96)</f>
        <v>0.61545094383593568</v>
      </c>
      <c r="H99" s="46">
        <f>consolidated!H30/CHOOSE($B$92,G$96,AVERAGE(G$96:H$96),H$96)</f>
        <v>0.61180922227477619</v>
      </c>
      <c r="I99" s="46">
        <f>consolidated!I30/CHOOSE($B$92,H$96,AVERAGE(H$96:I$96),I$96)</f>
        <v>0.60850863304229852</v>
      </c>
      <c r="J99" s="46">
        <f>consolidated!J30/CHOOSE($B$92,I$96,AVERAGE(I$96:J$96),J$96)</f>
        <v>0.60551422315990711</v>
      </c>
      <c r="K99" s="46">
        <f>consolidated!K30/CHOOSE($B$92,J$96,AVERAGE(J$96:K$96),K$96)</f>
        <v>0.60279512008929681</v>
      </c>
      <c r="L99" s="15"/>
    </row>
    <row r="100" spans="1:12" x14ac:dyDescent="0.2">
      <c r="A100" s="58" t="s">
        <v>94</v>
      </c>
      <c r="C100" s="46">
        <f>C15/consolidated!C30</f>
        <v>0.25786666666666669</v>
      </c>
      <c r="D100" s="46">
        <f>D15/consolidated!D30</f>
        <v>0.24872861766065649</v>
      </c>
      <c r="E100" s="46">
        <f>E15/consolidated!E30</f>
        <v>0.29792233489982684</v>
      </c>
      <c r="F100" s="75">
        <f>F15/consolidated!F30</f>
        <v>0.32613881631262071</v>
      </c>
      <c r="G100" s="46">
        <f>G15/consolidated!G30</f>
        <v>0.30663031542277258</v>
      </c>
      <c r="H100" s="46">
        <f>H15/consolidated!H30</f>
        <v>0.30980284498971311</v>
      </c>
      <c r="I100" s="46">
        <f>I15/consolidated!I30</f>
        <v>0.31271099709274192</v>
      </c>
      <c r="J100" s="46">
        <f>J15/consolidated!J30</f>
        <v>0.31537680318718503</v>
      </c>
      <c r="K100" s="46">
        <f>K15/consolidated!K30</f>
        <v>0.31782045877375786</v>
      </c>
      <c r="L100" s="15"/>
    </row>
    <row r="101" spans="1:12" x14ac:dyDescent="0.2">
      <c r="A101" s="58" t="s">
        <v>92</v>
      </c>
      <c r="C101" s="46">
        <f t="shared" ref="C101:K101" si="11">C102/C15</f>
        <v>-0.14064115822130299</v>
      </c>
      <c r="D101" s="46">
        <f t="shared" si="11"/>
        <v>-2.6022304832713755E-2</v>
      </c>
      <c r="E101" s="46">
        <f t="shared" si="11"/>
        <v>0.17891241178912412</v>
      </c>
      <c r="F101" s="75">
        <f t="shared" si="11"/>
        <v>0.28735632183908044</v>
      </c>
      <c r="G101" s="46">
        <f t="shared" si="11"/>
        <v>0.24799945664254452</v>
      </c>
      <c r="H101" s="46">
        <f t="shared" si="11"/>
        <v>0.26803848073416997</v>
      </c>
      <c r="I101" s="46">
        <f t="shared" si="11"/>
        <v>0.28524313757213332</v>
      </c>
      <c r="J101" s="46">
        <f t="shared" si="11"/>
        <v>0.29806721545594556</v>
      </c>
      <c r="K101" s="46">
        <f t="shared" si="11"/>
        <v>0.30538642919054204</v>
      </c>
    </row>
    <row r="102" spans="1:12" x14ac:dyDescent="0.2">
      <c r="A102" s="62" t="s">
        <v>91</v>
      </c>
      <c r="C102" s="42">
        <f>consolidated!C40+C12-consolidated!C34</f>
        <v>-272</v>
      </c>
      <c r="D102" s="42">
        <f>consolidated!D40+D12-consolidated!D34</f>
        <v>-42</v>
      </c>
      <c r="E102" s="42">
        <f>consolidated!E40+E12-consolidated!E34</f>
        <v>431</v>
      </c>
      <c r="F102" s="76">
        <f>consolidated!F40+F12-consolidated!F34</f>
        <v>825</v>
      </c>
      <c r="G102" s="42">
        <f>consolidated!G40+G12-consolidated!G34</f>
        <v>803.29999999999905</v>
      </c>
      <c r="H102" s="42">
        <f>consolidated!H40+H12-consolidated!H34</f>
        <v>1052.6300000000028</v>
      </c>
      <c r="I102" s="42">
        <f>consolidated!I40+I12-consolidated!I34</f>
        <v>1356.852999999996</v>
      </c>
      <c r="J102" s="42">
        <f>consolidated!J40+J12-consolidated!J34</f>
        <v>1715.9303000000023</v>
      </c>
      <c r="K102" s="42">
        <f>consolidated!K40+K12-consolidated!K34</f>
        <v>2126.0257299999967</v>
      </c>
      <c r="L102" s="15"/>
    </row>
    <row r="103" spans="1:12" x14ac:dyDescent="0.2">
      <c r="A103" s="58" t="s">
        <v>93</v>
      </c>
      <c r="C103" s="46">
        <f>consolidated!C30/consolidated!B30-1</f>
        <v>6.8832834544677146E-2</v>
      </c>
      <c r="D103" s="46">
        <f>consolidated!D30/consolidated!C30-1</f>
        <v>-0.13480000000000003</v>
      </c>
      <c r="E103" s="46">
        <f>consolidated!E30/consolidated!D30-1</f>
        <v>0.24610879950685782</v>
      </c>
      <c r="F103" s="75">
        <f>consolidated!F30/consolidated!E30-1</f>
        <v>8.8671778382389377E-2</v>
      </c>
      <c r="G103" s="46">
        <f>consolidated!G30/consolidated!F30-1</f>
        <v>0.19999999999999996</v>
      </c>
      <c r="H103" s="46">
        <f>consolidated!H30/consolidated!G30-1</f>
        <v>0.19999999999999996</v>
      </c>
      <c r="I103" s="46">
        <f>consolidated!I30/consolidated!H30-1</f>
        <v>0.20000000000000018</v>
      </c>
      <c r="J103" s="46">
        <f>consolidated!J30/consolidated!I30-1</f>
        <v>0.19999999999999996</v>
      </c>
      <c r="K103" s="46">
        <f>consolidated!K30/consolidated!J30-1</f>
        <v>0.20000000000000018</v>
      </c>
    </row>
    <row r="104" spans="1:12" x14ac:dyDescent="0.2">
      <c r="A104" s="58"/>
      <c r="C104" s="46"/>
      <c r="D104" s="46"/>
      <c r="E104" s="46"/>
      <c r="F104" s="75"/>
      <c r="G104" s="46"/>
      <c r="H104" s="46"/>
      <c r="I104" s="46"/>
      <c r="J104" s="46"/>
      <c r="K104" s="46"/>
    </row>
    <row r="105" spans="1:12" x14ac:dyDescent="0.2">
      <c r="A105" s="58" t="s">
        <v>136</v>
      </c>
      <c r="C105" s="46"/>
      <c r="D105" s="46"/>
      <c r="E105" s="46"/>
      <c r="F105" s="75"/>
      <c r="G105" s="46"/>
      <c r="H105" s="46"/>
      <c r="I105" s="46"/>
      <c r="J105" s="46"/>
      <c r="K105" s="46"/>
    </row>
    <row r="106" spans="1:12" x14ac:dyDescent="0.2">
      <c r="A106" s="58"/>
      <c r="B106" t="s">
        <v>139</v>
      </c>
      <c r="C106" s="46"/>
      <c r="D106" s="46"/>
      <c r="E106" s="46"/>
      <c r="F106" s="75"/>
      <c r="G106" s="46"/>
      <c r="H106" s="46"/>
      <c r="I106" s="46"/>
      <c r="J106" s="46"/>
      <c r="K106" s="46"/>
    </row>
    <row r="107" spans="1:12" x14ac:dyDescent="0.2">
      <c r="A107" s="58"/>
      <c r="B107" s="10" t="s">
        <v>140</v>
      </c>
      <c r="C107" s="46"/>
      <c r="D107" s="46"/>
      <c r="E107" s="46"/>
      <c r="F107" s="75"/>
      <c r="G107" s="46"/>
      <c r="H107" s="46"/>
      <c r="I107" s="46"/>
      <c r="J107" s="46"/>
      <c r="K107" s="46"/>
    </row>
    <row r="108" spans="1:12" x14ac:dyDescent="0.2">
      <c r="A108" s="58"/>
      <c r="B108" s="10" t="s">
        <v>141</v>
      </c>
      <c r="C108" s="46"/>
      <c r="D108" s="46"/>
      <c r="E108" s="46"/>
      <c r="F108" s="75"/>
      <c r="G108" s="46"/>
      <c r="H108" s="46"/>
      <c r="I108" s="46"/>
      <c r="J108" s="46"/>
      <c r="K108" s="46"/>
    </row>
    <row r="109" spans="1:12" x14ac:dyDescent="0.2">
      <c r="A109" s="58"/>
      <c r="B109" s="10" t="s">
        <v>142</v>
      </c>
      <c r="C109" s="46"/>
      <c r="D109" s="46"/>
      <c r="E109" s="46"/>
      <c r="F109" s="75"/>
      <c r="G109" s="46"/>
      <c r="H109" s="46"/>
      <c r="I109" s="46"/>
      <c r="J109" s="46"/>
      <c r="K109" s="46"/>
    </row>
    <row r="110" spans="1:12" x14ac:dyDescent="0.2">
      <c r="A110" s="58"/>
      <c r="B110" s="10" t="s">
        <v>145</v>
      </c>
      <c r="C110" s="46"/>
      <c r="D110" s="46"/>
      <c r="E110" s="46"/>
      <c r="F110" s="75"/>
      <c r="G110" s="46"/>
      <c r="H110" s="46"/>
      <c r="I110" s="46"/>
      <c r="J110" s="46"/>
      <c r="K110" s="46"/>
    </row>
    <row r="111" spans="1:12" x14ac:dyDescent="0.2">
      <c r="A111" s="58"/>
      <c r="C111" s="46"/>
      <c r="D111" s="46"/>
      <c r="E111" s="46"/>
      <c r="F111" s="75"/>
      <c r="G111" s="46"/>
      <c r="H111" s="46"/>
      <c r="I111" s="46"/>
      <c r="J111" s="46"/>
      <c r="K111" s="46"/>
    </row>
    <row r="112" spans="1:12" x14ac:dyDescent="0.2">
      <c r="A112" s="58"/>
      <c r="B112" t="s">
        <v>143</v>
      </c>
      <c r="C112" s="46"/>
      <c r="D112" s="46"/>
      <c r="E112" s="46"/>
      <c r="F112" s="75"/>
      <c r="G112" s="46"/>
      <c r="H112" s="46"/>
      <c r="I112" s="46"/>
      <c r="J112" s="46"/>
      <c r="K112" s="46"/>
    </row>
    <row r="113" spans="1:12" x14ac:dyDescent="0.2">
      <c r="A113" s="58"/>
      <c r="B113" t="s">
        <v>146</v>
      </c>
      <c r="C113" s="46"/>
      <c r="D113" s="46"/>
      <c r="E113" s="46"/>
      <c r="F113" s="75"/>
      <c r="G113" s="46"/>
      <c r="H113" s="46"/>
      <c r="I113" s="46"/>
      <c r="J113" s="46"/>
      <c r="K113" s="46"/>
    </row>
    <row r="114" spans="1:12" x14ac:dyDescent="0.2">
      <c r="A114" s="58"/>
      <c r="B114" t="s">
        <v>144</v>
      </c>
      <c r="C114" s="46"/>
      <c r="D114" s="46"/>
      <c r="E114" s="46"/>
      <c r="F114" s="75"/>
      <c r="G114" s="46"/>
      <c r="H114" s="46"/>
      <c r="I114" s="46"/>
      <c r="J114" s="46"/>
      <c r="K114" s="46"/>
    </row>
    <row r="115" spans="1:12" x14ac:dyDescent="0.2">
      <c r="A115" s="58"/>
      <c r="C115" s="46"/>
      <c r="D115" s="46"/>
      <c r="E115" s="46"/>
      <c r="F115" s="75"/>
      <c r="G115" s="46"/>
      <c r="H115" s="46"/>
      <c r="I115" s="46"/>
      <c r="J115" s="46"/>
      <c r="K115" s="46"/>
    </row>
    <row r="116" spans="1:12" x14ac:dyDescent="0.2">
      <c r="A116" s="8">
        <v>4</v>
      </c>
      <c r="B116" s="7"/>
      <c r="C116" s="7"/>
      <c r="D116" s="7"/>
      <c r="E116" s="7"/>
      <c r="F116" s="64"/>
      <c r="G116" s="7"/>
      <c r="H116" s="7"/>
      <c r="I116" s="7"/>
      <c r="J116" s="7"/>
      <c r="K116" s="7"/>
      <c r="L116" s="7"/>
    </row>
    <row r="117" spans="1:12" x14ac:dyDescent="0.2">
      <c r="A117" s="33">
        <v>1</v>
      </c>
      <c r="F117" s="65"/>
    </row>
    <row r="118" spans="1:12" x14ac:dyDescent="0.2">
      <c r="A118" s="58" t="s">
        <v>135</v>
      </c>
      <c r="B118" s="54">
        <f>100*(F43*F37)/(F42*F35)</f>
        <v>9.5693779904306204</v>
      </c>
      <c r="F118" s="65"/>
    </row>
    <row r="119" spans="1:12" x14ac:dyDescent="0.2">
      <c r="A119" s="41"/>
      <c r="E119" s="57"/>
      <c r="F119" s="65"/>
    </row>
    <row r="120" spans="1:12" x14ac:dyDescent="0.2">
      <c r="A120" s="41" t="s">
        <v>95</v>
      </c>
      <c r="B120" s="56">
        <v>0.1</v>
      </c>
      <c r="F120" s="65"/>
    </row>
    <row r="121" spans="1:12" x14ac:dyDescent="0.2">
      <c r="A121" s="41" t="s">
        <v>96</v>
      </c>
      <c r="B121" s="15">
        <f>0.3*F60</f>
        <v>24299.797003348733</v>
      </c>
      <c r="F121" s="65"/>
    </row>
    <row r="122" spans="1:12" x14ac:dyDescent="0.2">
      <c r="A122" s="59" t="s">
        <v>97</v>
      </c>
      <c r="B122" s="15">
        <f>G87</f>
        <v>20230.699212655632</v>
      </c>
      <c r="C122" s="15"/>
      <c r="D122" s="10"/>
      <c r="F122" s="65"/>
    </row>
    <row r="123" spans="1:12" x14ac:dyDescent="0.2">
      <c r="A123" s="6"/>
      <c r="B123" s="15"/>
      <c r="C123" s="15"/>
      <c r="D123" s="10"/>
      <c r="F123" s="65"/>
    </row>
    <row r="124" spans="1:12" x14ac:dyDescent="0.2">
      <c r="A124" s="33">
        <v>2</v>
      </c>
      <c r="B124" s="15"/>
      <c r="F124" s="65"/>
    </row>
    <row r="125" spans="1:12" x14ac:dyDescent="0.2">
      <c r="A125" s="58" t="s">
        <v>98</v>
      </c>
      <c r="B125" s="47">
        <f>B120*(B121+B122)</f>
        <v>4453.0496216004367</v>
      </c>
      <c r="F125" s="65"/>
    </row>
    <row r="126" spans="1:12" x14ac:dyDescent="0.2">
      <c r="A126" s="41" t="s">
        <v>99</v>
      </c>
      <c r="B126" s="15">
        <f>F63</f>
        <v>7292.3284271897301</v>
      </c>
      <c r="F126" s="65"/>
    </row>
    <row r="127" spans="1:12" x14ac:dyDescent="0.2">
      <c r="A127" s="41"/>
      <c r="B127" s="15"/>
      <c r="F127" s="65"/>
    </row>
    <row r="128" spans="1:12" x14ac:dyDescent="0.2">
      <c r="A128" s="58" t="s">
        <v>137</v>
      </c>
      <c r="F128" s="65"/>
    </row>
    <row r="129" spans="1:12" x14ac:dyDescent="0.2">
      <c r="A129" s="3"/>
      <c r="B129" s="48" t="s">
        <v>148</v>
      </c>
      <c r="F129" s="65"/>
    </row>
    <row r="130" spans="1:12" x14ac:dyDescent="0.2">
      <c r="A130" s="3"/>
      <c r="B130" s="3"/>
      <c r="F130" s="65"/>
    </row>
    <row r="131" spans="1:12" x14ac:dyDescent="0.2">
      <c r="A131" s="33">
        <v>3</v>
      </c>
      <c r="B131" s="3"/>
      <c r="F131" s="65"/>
    </row>
    <row r="132" spans="1:12" x14ac:dyDescent="0.2">
      <c r="A132" s="60" t="s">
        <v>123</v>
      </c>
      <c r="F132" s="65"/>
      <c r="G132" s="55">
        <v>2022</v>
      </c>
      <c r="H132" s="55"/>
      <c r="I132" s="55"/>
      <c r="J132" s="55"/>
      <c r="K132" s="55">
        <v>2026</v>
      </c>
    </row>
    <row r="133" spans="1:12" x14ac:dyDescent="0.2">
      <c r="A133" s="41" t="s">
        <v>100</v>
      </c>
      <c r="F133" s="65"/>
      <c r="G133" s="13">
        <v>40000</v>
      </c>
      <c r="H133" s="13"/>
      <c r="I133" s="13"/>
      <c r="J133" s="13"/>
      <c r="K133" s="13">
        <v>40000</v>
      </c>
    </row>
    <row r="134" spans="1:12" x14ac:dyDescent="0.2">
      <c r="A134" s="41" t="s">
        <v>42</v>
      </c>
      <c r="F134" s="65"/>
      <c r="G134" s="12">
        <v>6.2799999999999995E-2</v>
      </c>
      <c r="H134" s="12"/>
      <c r="K134" s="12">
        <v>3.6400000000000002E-2</v>
      </c>
    </row>
    <row r="135" spans="1:12" x14ac:dyDescent="0.2">
      <c r="A135" s="41" t="s">
        <v>101</v>
      </c>
      <c r="F135" s="65"/>
      <c r="G135" s="13">
        <f>G133*G134</f>
        <v>2512</v>
      </c>
      <c r="H135" s="13"/>
      <c r="I135" s="13"/>
      <c r="J135" s="13"/>
      <c r="K135" s="13">
        <f>K133*K134</f>
        <v>1456</v>
      </c>
    </row>
    <row r="136" spans="1:12" x14ac:dyDescent="0.2">
      <c r="A136" s="41"/>
      <c r="F136" s="65"/>
    </row>
    <row r="137" spans="1:12" x14ac:dyDescent="0.2">
      <c r="A137" s="41" t="s">
        <v>102</v>
      </c>
      <c r="F137" s="65"/>
      <c r="G137" s="42">
        <f>consolidated!G33-consolidated!G34</f>
        <v>4048.9000000000005</v>
      </c>
      <c r="K137" s="42">
        <f>consolidated!K33-consolidated!K34</f>
        <v>8702.1946899999984</v>
      </c>
    </row>
    <row r="138" spans="1:12" x14ac:dyDescent="0.2">
      <c r="A138" s="41"/>
      <c r="F138" s="65"/>
    </row>
    <row r="139" spans="1:12" x14ac:dyDescent="0.2">
      <c r="A139" s="41" t="s">
        <v>103</v>
      </c>
      <c r="F139" s="65"/>
      <c r="G139" s="44">
        <f>G137/G135</f>
        <v>1.6118232484076436</v>
      </c>
      <c r="K139" s="44">
        <f>K137/K135</f>
        <v>5.976782067307691</v>
      </c>
    </row>
    <row r="140" spans="1:12" x14ac:dyDescent="0.2">
      <c r="A140" s="41" t="s">
        <v>111</v>
      </c>
      <c r="F140" s="65"/>
      <c r="G140" s="45">
        <f>INDEX('credit ratings'!C2:C10,MATCH(Answers!G139,'credit ratings'!B2:B10,-1))</f>
        <v>6.2799999999999995E-2</v>
      </c>
      <c r="H140" s="3"/>
      <c r="K140" s="45">
        <f>INDEX('credit ratings'!C2:C10,MATCH(Answers!K139,'credit ratings'!B2:B10,-1))</f>
        <v>3.6400000000000002E-2</v>
      </c>
    </row>
    <row r="141" spans="1:12" x14ac:dyDescent="0.2">
      <c r="A141" s="41" t="s">
        <v>112</v>
      </c>
      <c r="F141" s="65"/>
      <c r="G141" s="3" t="str">
        <f>INDEX('credit ratings'!A2:A10,MATCH(Answers!G140,'credit ratings'!C2:C10,0))</f>
        <v>B</v>
      </c>
      <c r="H141" s="3"/>
      <c r="K141" s="3" t="str">
        <f>INDEX('credit ratings'!A2:A10,MATCH(Answers!K140,'credit ratings'!C2:C10,0))</f>
        <v>A</v>
      </c>
    </row>
    <row r="142" spans="1:12" x14ac:dyDescent="0.2">
      <c r="F142" s="65"/>
    </row>
    <row r="143" spans="1:12" x14ac:dyDescent="0.2">
      <c r="A143" s="8">
        <v>5</v>
      </c>
      <c r="B143" s="7"/>
      <c r="C143" s="7"/>
      <c r="D143" s="7"/>
      <c r="E143" s="7"/>
      <c r="F143" s="7"/>
      <c r="G143" s="7"/>
      <c r="H143" s="7"/>
      <c r="I143" s="7"/>
      <c r="J143" s="7"/>
      <c r="K143" s="7"/>
      <c r="L143" s="7"/>
    </row>
    <row r="144" spans="1:12" x14ac:dyDescent="0.2">
      <c r="A144" s="33">
        <v>1</v>
      </c>
      <c r="D144" s="42"/>
      <c r="E144" s="42"/>
      <c r="F144" s="42"/>
      <c r="G144" s="42"/>
      <c r="H144" s="42"/>
    </row>
    <row r="145" spans="1:12" x14ac:dyDescent="0.2">
      <c r="A145" s="3"/>
      <c r="B145" s="11" t="s">
        <v>104</v>
      </c>
    </row>
    <row r="146" spans="1:12" x14ac:dyDescent="0.2">
      <c r="A146" s="33"/>
      <c r="B146" s="43"/>
      <c r="D146" s="44"/>
      <c r="E146" s="44"/>
      <c r="F146" s="44"/>
      <c r="G146" s="44"/>
      <c r="H146" s="44"/>
      <c r="I146" s="44"/>
      <c r="J146" s="44"/>
      <c r="K146" s="44"/>
      <c r="L146" s="44"/>
    </row>
    <row r="147" spans="1:12" x14ac:dyDescent="0.2">
      <c r="A147" s="33">
        <v>2</v>
      </c>
      <c r="D147" s="44"/>
      <c r="E147" s="44"/>
      <c r="F147" s="44"/>
      <c r="G147" s="44"/>
      <c r="H147" s="44"/>
      <c r="I147" s="44"/>
      <c r="J147" s="44"/>
      <c r="K147" s="44"/>
      <c r="L147" s="44"/>
    </row>
    <row r="148" spans="1:12" x14ac:dyDescent="0.2">
      <c r="A148" s="3"/>
      <c r="B148" s="11" t="s">
        <v>105</v>
      </c>
      <c r="D148" s="44"/>
      <c r="E148" s="44"/>
      <c r="F148" s="44"/>
      <c r="G148" s="44"/>
      <c r="H148" s="44"/>
      <c r="I148" s="44"/>
      <c r="J148" s="44"/>
      <c r="K148" s="44"/>
      <c r="L148" s="44"/>
    </row>
    <row r="149" spans="1:12" x14ac:dyDescent="0.2">
      <c r="A149" s="33"/>
      <c r="D149" s="44"/>
      <c r="E149" s="44"/>
      <c r="F149" s="44"/>
      <c r="G149" s="44"/>
      <c r="H149" s="44"/>
      <c r="I149" s="44"/>
      <c r="J149" s="44"/>
      <c r="K149" s="44"/>
      <c r="L149" s="44"/>
    </row>
    <row r="150" spans="1:12" x14ac:dyDescent="0.2">
      <c r="A150" s="33">
        <v>3</v>
      </c>
      <c r="D150" s="44"/>
      <c r="E150" s="44"/>
      <c r="F150" s="44"/>
      <c r="G150" s="44"/>
      <c r="H150" s="44"/>
      <c r="I150" s="44"/>
      <c r="J150" s="44"/>
      <c r="K150" s="44"/>
      <c r="L150" s="44"/>
    </row>
    <row r="151" spans="1:12" x14ac:dyDescent="0.2">
      <c r="A151" s="3"/>
      <c r="B151" s="11" t="s">
        <v>106</v>
      </c>
      <c r="D151" s="44"/>
      <c r="E151" s="44"/>
      <c r="F151" s="44"/>
      <c r="G151" s="44"/>
      <c r="H151" s="44"/>
      <c r="I151" s="44"/>
      <c r="J151" s="44"/>
      <c r="K151" s="44"/>
      <c r="L151" s="44"/>
    </row>
    <row r="152" spans="1:12" x14ac:dyDescent="0.2">
      <c r="A152" s="33"/>
      <c r="B152" s="11" t="s">
        <v>107</v>
      </c>
    </row>
    <row r="153" spans="1:12" x14ac:dyDescent="0.2">
      <c r="A153" s="3"/>
    </row>
    <row r="154" spans="1:12" x14ac:dyDescent="0.2">
      <c r="A154" s="33">
        <v>4</v>
      </c>
    </row>
    <row r="155" spans="1:12" x14ac:dyDescent="0.2">
      <c r="A155" s="3"/>
      <c r="B155" s="11" t="s">
        <v>108</v>
      </c>
    </row>
    <row r="156" spans="1:12" x14ac:dyDescent="0.2">
      <c r="A156" s="33"/>
      <c r="B156" s="11" t="s">
        <v>109</v>
      </c>
    </row>
    <row r="157" spans="1:12" x14ac:dyDescent="0.2">
      <c r="A157" s="3"/>
    </row>
    <row r="158" spans="1:12" x14ac:dyDescent="0.2">
      <c r="A158" s="33">
        <v>5</v>
      </c>
    </row>
    <row r="159" spans="1:12" x14ac:dyDescent="0.2">
      <c r="B159" s="11" t="s">
        <v>110</v>
      </c>
    </row>
  </sheetData>
  <dataValidations count="1">
    <dataValidation type="list" allowBlank="1" showInputMessage="1" showErrorMessage="1" sqref="B92" xr:uid="{E96D160B-DBED-9246-9818-D251248E11E3}">
      <formula1>$C$92:$E$92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assumptions</vt:lpstr>
      <vt:lpstr>consolidated</vt:lpstr>
      <vt:lpstr>credit ratings</vt:lpstr>
      <vt:lpstr>Answers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Spencer Stires</cp:lastModifiedBy>
  <dcterms:created xsi:type="dcterms:W3CDTF">2022-05-09T16:23:50Z</dcterms:created>
  <dcterms:modified xsi:type="dcterms:W3CDTF">2022-05-19T05:29:44Z</dcterms:modified>
</cp:coreProperties>
</file>