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defaultThemeVersion="124226"/>
  <mc:AlternateContent xmlns:mc="http://schemas.openxmlformats.org/markup-compatibility/2006">
    <mc:Choice Requires="x15">
      <x15ac:absPath xmlns:x15ac="http://schemas.microsoft.com/office/spreadsheetml/2010/11/ac" url="/Users/markhendricks/Documents/Teaching/Financial_Math/FINM_Corporate/FINM35500_2022_2/cases/apple/"/>
    </mc:Choice>
  </mc:AlternateContent>
  <xr:revisionPtr revIDLastSave="0" documentId="13_ncr:1_{96530048-1E09-1E46-BA3A-8FAEC80FECF3}" xr6:coauthVersionLast="47" xr6:coauthVersionMax="47" xr10:uidLastSave="{00000000-0000-0000-0000-000000000000}"/>
  <bookViews>
    <workbookView xWindow="-25600" yWindow="-10300" windowWidth="25600" windowHeight="28300" tabRatio="712" xr2:uid="{00000000-000D-0000-FFFF-FFFF00000000}"/>
  </bookViews>
  <sheets>
    <sheet name="The Situation" sheetId="22" r:id="rId1"/>
    <sheet name="Forecasting Cash Needs" sheetId="23" r:id="rId2"/>
    <sheet name="Dividend Analysis" sheetId="24" r:id="rId3"/>
    <sheet name="iPref Analysis" sheetId="25" r:id="rId4"/>
    <sheet name="Balance Sheet" sheetId="1" r:id="rId5"/>
    <sheet name="Income Statement" sheetId="2" r:id="rId6"/>
    <sheet name="Cash Flows" sheetId="3" r:id="rId7"/>
    <sheet name="Annual Summary" sheetId="7" r:id="rId8"/>
    <sheet name="Quarterly Summary" sheetId="8" r:id="rId9"/>
    <sheet name="Blank Forecast from Case" sheetId="16"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25" l="1"/>
  <c r="B23" i="25"/>
  <c r="C8" i="25"/>
  <c r="B8" i="25" s="1"/>
  <c r="B7" i="25"/>
  <c r="G11" i="23"/>
  <c r="G10" i="23"/>
  <c r="G8" i="23"/>
  <c r="G7" i="23"/>
  <c r="F11" i="23"/>
  <c r="F10" i="23"/>
  <c r="C9" i="25" l="1"/>
  <c r="B25" i="25"/>
  <c r="B27" i="25" s="1"/>
  <c r="B42" i="24"/>
  <c r="B43" i="24" s="1"/>
  <c r="B44" i="24"/>
  <c r="E31" i="24"/>
  <c r="E32" i="24" s="1"/>
  <c r="B31" i="24"/>
  <c r="B32" i="24" s="1"/>
  <c r="B34" i="24" s="1"/>
  <c r="B18" i="24"/>
  <c r="B20" i="24" s="1"/>
  <c r="B7" i="24"/>
  <c r="B11" i="24" s="1"/>
  <c r="D5" i="24"/>
  <c r="B5" i="24"/>
  <c r="H169" i="23"/>
  <c r="G169" i="23"/>
  <c r="F169" i="23"/>
  <c r="E169" i="23"/>
  <c r="D169" i="23"/>
  <c r="H173" i="23"/>
  <c r="G173" i="23"/>
  <c r="F173" i="23"/>
  <c r="E173" i="23"/>
  <c r="D173" i="23"/>
  <c r="C173" i="23"/>
  <c r="B173" i="23"/>
  <c r="H195" i="23"/>
  <c r="G195" i="23"/>
  <c r="F195" i="23"/>
  <c r="E195" i="23"/>
  <c r="D195" i="23"/>
  <c r="C195" i="23"/>
  <c r="B195" i="23"/>
  <c r="G194" i="23"/>
  <c r="F194" i="23"/>
  <c r="E194" i="23"/>
  <c r="D194" i="23"/>
  <c r="C194" i="23"/>
  <c r="C196" i="23" s="1"/>
  <c r="C193" i="23" s="1"/>
  <c r="B194" i="23"/>
  <c r="C179" i="23"/>
  <c r="C181" i="23" s="1"/>
  <c r="B179" i="23"/>
  <c r="C128" i="23"/>
  <c r="H127" i="23"/>
  <c r="G127" i="23"/>
  <c r="F127" i="23"/>
  <c r="E127" i="23"/>
  <c r="D127" i="23"/>
  <c r="C127" i="23"/>
  <c r="B127" i="23"/>
  <c r="B128" i="23" s="1"/>
  <c r="H106" i="23"/>
  <c r="G106" i="23"/>
  <c r="F106" i="23"/>
  <c r="E106" i="23"/>
  <c r="D106" i="23"/>
  <c r="C106" i="23"/>
  <c r="B106" i="23"/>
  <c r="H102" i="23"/>
  <c r="G102" i="23"/>
  <c r="F102" i="23"/>
  <c r="E102" i="23"/>
  <c r="H39" i="23"/>
  <c r="G39" i="23"/>
  <c r="F39" i="23"/>
  <c r="E39" i="23"/>
  <c r="D39" i="23"/>
  <c r="H164" i="23"/>
  <c r="G164" i="23"/>
  <c r="F164" i="23"/>
  <c r="E164" i="23"/>
  <c r="D164" i="23"/>
  <c r="H97" i="23"/>
  <c r="G97" i="23"/>
  <c r="F97" i="23"/>
  <c r="E97" i="23"/>
  <c r="D97" i="23"/>
  <c r="H34" i="23"/>
  <c r="G34" i="23"/>
  <c r="F34" i="23"/>
  <c r="E34" i="23"/>
  <c r="D34" i="23"/>
  <c r="C206" i="23"/>
  <c r="B206" i="23"/>
  <c r="C201" i="23"/>
  <c r="B201" i="23"/>
  <c r="B196" i="23"/>
  <c r="C192" i="23"/>
  <c r="B192" i="23"/>
  <c r="C191" i="23"/>
  <c r="B191" i="23"/>
  <c r="C186" i="23"/>
  <c r="B186" i="23"/>
  <c r="C184" i="23"/>
  <c r="B184" i="23"/>
  <c r="C180" i="23"/>
  <c r="B180" i="23"/>
  <c r="B181" i="23"/>
  <c r="C176" i="23"/>
  <c r="B176" i="23"/>
  <c r="C174" i="23"/>
  <c r="B174" i="23"/>
  <c r="C171" i="23"/>
  <c r="B171" i="23"/>
  <c r="C170" i="23"/>
  <c r="B170" i="23"/>
  <c r="B160" i="23" s="1"/>
  <c r="C161" i="23"/>
  <c r="B161" i="23"/>
  <c r="C160" i="23"/>
  <c r="C159" i="23"/>
  <c r="B159" i="23"/>
  <c r="C158" i="23"/>
  <c r="B158" i="23"/>
  <c r="C157" i="23"/>
  <c r="B157" i="23"/>
  <c r="C156" i="23"/>
  <c r="B156" i="23"/>
  <c r="C155" i="23"/>
  <c r="B155" i="23"/>
  <c r="C136" i="23"/>
  <c r="B136" i="23"/>
  <c r="C125" i="23"/>
  <c r="B125" i="23"/>
  <c r="C124" i="23"/>
  <c r="B124" i="23"/>
  <c r="C119" i="23"/>
  <c r="B119" i="23"/>
  <c r="C117" i="23"/>
  <c r="B117" i="23"/>
  <c r="C114" i="23"/>
  <c r="C113" i="23"/>
  <c r="C120" i="23" s="1"/>
  <c r="B113" i="23"/>
  <c r="C112" i="23"/>
  <c r="C109" i="23"/>
  <c r="B109" i="23"/>
  <c r="C107" i="23"/>
  <c r="B107" i="23"/>
  <c r="C104" i="23"/>
  <c r="C103" i="23"/>
  <c r="B103" i="23"/>
  <c r="C94" i="23"/>
  <c r="B94" i="23"/>
  <c r="C93" i="23"/>
  <c r="C92" i="23"/>
  <c r="B92" i="23"/>
  <c r="C91" i="23"/>
  <c r="B91" i="23"/>
  <c r="C90" i="23"/>
  <c r="B90" i="23"/>
  <c r="C89" i="23"/>
  <c r="B89" i="23"/>
  <c r="C88" i="23"/>
  <c r="B88" i="23"/>
  <c r="C70" i="23"/>
  <c r="B70" i="23"/>
  <c r="B67" i="23"/>
  <c r="B64" i="23"/>
  <c r="B63" i="23"/>
  <c r="C62" i="23"/>
  <c r="B62" i="23"/>
  <c r="C61" i="23"/>
  <c r="C60" i="23"/>
  <c r="B60" i="23"/>
  <c r="C59" i="23"/>
  <c r="B59" i="23"/>
  <c r="B61" i="23" s="1"/>
  <c r="C54" i="23"/>
  <c r="B54" i="23"/>
  <c r="C52" i="23"/>
  <c r="B52" i="23"/>
  <c r="C49" i="23"/>
  <c r="C48" i="23"/>
  <c r="B48" i="23"/>
  <c r="B49" i="23" s="1"/>
  <c r="C47" i="23"/>
  <c r="B47" i="23"/>
  <c r="C44" i="23"/>
  <c r="B44" i="23"/>
  <c r="B41" i="23"/>
  <c r="C40" i="23"/>
  <c r="C41" i="23" s="1"/>
  <c r="B40" i="23"/>
  <c r="B30" i="23" s="1"/>
  <c r="C31" i="23"/>
  <c r="B31" i="23"/>
  <c r="C30" i="23"/>
  <c r="C29" i="23"/>
  <c r="B29" i="23"/>
  <c r="C28" i="23"/>
  <c r="B28" i="23"/>
  <c r="C27" i="23"/>
  <c r="B27" i="23"/>
  <c r="C26" i="23"/>
  <c r="B26" i="23"/>
  <c r="C25" i="23"/>
  <c r="B25" i="23"/>
  <c r="F22" i="23"/>
  <c r="F152" i="23" s="1"/>
  <c r="B11" i="23"/>
  <c r="B6" i="23"/>
  <c r="B7" i="23" s="1"/>
  <c r="B8" i="23" s="1"/>
  <c r="B9" i="25" l="1"/>
  <c r="B14" i="25" s="1"/>
  <c r="B17" i="25" s="1"/>
  <c r="B45" i="24"/>
  <c r="C23" i="24"/>
  <c r="B13" i="24"/>
  <c r="D11" i="24"/>
  <c r="C129" i="23"/>
  <c r="C134" i="23"/>
  <c r="B187" i="23"/>
  <c r="C187" i="23"/>
  <c r="B193" i="23"/>
  <c r="B126" i="23"/>
  <c r="C63" i="23"/>
  <c r="C55" i="23"/>
  <c r="B93" i="23"/>
  <c r="B104" i="23"/>
  <c r="B114" i="23"/>
  <c r="B120" i="23"/>
  <c r="B112" i="23"/>
  <c r="C126" i="23"/>
  <c r="D102" i="23" s="1"/>
  <c r="B55" i="23"/>
  <c r="C130" i="23"/>
  <c r="C29" i="24" l="1"/>
  <c r="E33" i="24" s="1"/>
  <c r="E34" i="24" s="1"/>
  <c r="C37" i="24"/>
  <c r="D13" i="24"/>
  <c r="D18" i="24"/>
  <c r="D20" i="24" s="1"/>
  <c r="C204" i="23"/>
  <c r="C197" i="23"/>
  <c r="B68" i="23"/>
  <c r="B69" i="23"/>
  <c r="C67" i="23"/>
  <c r="C133" i="23"/>
  <c r="B134" i="23"/>
  <c r="B129" i="23"/>
  <c r="C135" i="23"/>
  <c r="B204" i="23"/>
  <c r="B197" i="23"/>
  <c r="C69" i="23"/>
  <c r="C68" i="23"/>
  <c r="F85" i="23"/>
  <c r="C64" i="23"/>
  <c r="C38" i="24" l="1"/>
  <c r="E42" i="24" s="1"/>
  <c r="C39" i="24"/>
  <c r="D37" i="23"/>
  <c r="D48" i="23" s="1"/>
  <c r="D50" i="23"/>
  <c r="D35" i="23"/>
  <c r="D36" i="23"/>
  <c r="B133" i="23"/>
  <c r="B130" i="23"/>
  <c r="D115" i="23"/>
  <c r="D99" i="23"/>
  <c r="D100" i="23"/>
  <c r="D113" i="23" s="1"/>
  <c r="D98" i="23"/>
  <c r="C203" i="23"/>
  <c r="C198" i="23"/>
  <c r="C202" i="23" s="1"/>
  <c r="D182" i="23"/>
  <c r="D166" i="23"/>
  <c r="D168" i="23" s="1"/>
  <c r="D167" i="23"/>
  <c r="D180" i="23" s="1"/>
  <c r="D165" i="23"/>
  <c r="B203" i="23"/>
  <c r="B198" i="23"/>
  <c r="B202" i="23" s="1"/>
  <c r="B135" i="23"/>
  <c r="B205" i="23"/>
  <c r="C205" i="23"/>
  <c r="E43" i="24" l="1"/>
  <c r="E45" i="24" s="1"/>
  <c r="D38" i="23"/>
  <c r="D176" i="23"/>
  <c r="D170" i="23"/>
  <c r="D201" i="23"/>
  <c r="D126" i="23"/>
  <c r="D118" i="23"/>
  <c r="D119" i="23"/>
  <c r="D116" i="23"/>
  <c r="D123" i="23"/>
  <c r="D117" i="23"/>
  <c r="D124" i="23"/>
  <c r="D125" i="23"/>
  <c r="E50" i="23"/>
  <c r="E35" i="23"/>
  <c r="E36" i="23"/>
  <c r="E38" i="23" s="1"/>
  <c r="E37" i="23"/>
  <c r="E48" i="23" s="1"/>
  <c r="E182" i="23"/>
  <c r="E166" i="23"/>
  <c r="E167" i="23"/>
  <c r="E180" i="23" s="1"/>
  <c r="E165" i="23"/>
  <c r="D60" i="23"/>
  <c r="D61" i="23"/>
  <c r="D53" i="23"/>
  <c r="D54" i="23"/>
  <c r="D51" i="23"/>
  <c r="D59" i="23"/>
  <c r="D58" i="23"/>
  <c r="D52" i="23"/>
  <c r="E115" i="23"/>
  <c r="E99" i="23"/>
  <c r="E101" i="23" s="1"/>
  <c r="E100" i="23"/>
  <c r="E113" i="23" s="1"/>
  <c r="E98" i="23"/>
  <c r="D193" i="23"/>
  <c r="D185" i="23"/>
  <c r="D186" i="23"/>
  <c r="D183" i="23"/>
  <c r="D190" i="23"/>
  <c r="D184" i="23"/>
  <c r="D191" i="23"/>
  <c r="D192" i="23"/>
  <c r="D101" i="23"/>
  <c r="E168" i="23" l="1"/>
  <c r="E176" i="23" s="1"/>
  <c r="F99" i="23"/>
  <c r="F100" i="23"/>
  <c r="F113" i="23" s="1"/>
  <c r="F98" i="23"/>
  <c r="F101" i="23" s="1"/>
  <c r="F115" i="23"/>
  <c r="E61" i="23"/>
  <c r="E53" i="23"/>
  <c r="E54" i="23"/>
  <c r="E51" i="23"/>
  <c r="E58" i="23"/>
  <c r="E52" i="23"/>
  <c r="E59" i="23"/>
  <c r="E60" i="23"/>
  <c r="E201" i="23"/>
  <c r="E119" i="23"/>
  <c r="E116" i="23"/>
  <c r="E123" i="23"/>
  <c r="E117" i="23"/>
  <c r="E125" i="23"/>
  <c r="E124" i="23"/>
  <c r="E126" i="23"/>
  <c r="E118" i="23"/>
  <c r="F50" i="23"/>
  <c r="F35" i="23"/>
  <c r="F36" i="23"/>
  <c r="F37" i="23"/>
  <c r="F48" i="23" s="1"/>
  <c r="D62" i="23"/>
  <c r="E186" i="23"/>
  <c r="E183" i="23"/>
  <c r="E190" i="23"/>
  <c r="E184" i="23"/>
  <c r="E191" i="23"/>
  <c r="E192" i="23"/>
  <c r="E193" i="23"/>
  <c r="E185" i="23"/>
  <c r="D128" i="23"/>
  <c r="D171" i="23"/>
  <c r="D172" i="23" s="1"/>
  <c r="F166" i="23"/>
  <c r="F167" i="23"/>
  <c r="F180" i="23" s="1"/>
  <c r="F165" i="23"/>
  <c r="F182" i="23"/>
  <c r="D196" i="23"/>
  <c r="F168" i="23" l="1"/>
  <c r="F170" i="23" s="1"/>
  <c r="E170" i="23"/>
  <c r="E62" i="23"/>
  <c r="G167" i="23"/>
  <c r="G180" i="23" s="1"/>
  <c r="G165" i="23"/>
  <c r="G182" i="23"/>
  <c r="G166" i="23"/>
  <c r="G36" i="23"/>
  <c r="G37" i="23"/>
  <c r="G48" i="23" s="1"/>
  <c r="G35" i="23"/>
  <c r="G50" i="23"/>
  <c r="F201" i="23"/>
  <c r="G100" i="23"/>
  <c r="G113" i="23" s="1"/>
  <c r="G98" i="23"/>
  <c r="G115" i="23"/>
  <c r="G99" i="23"/>
  <c r="F54" i="23"/>
  <c r="F51" i="23"/>
  <c r="F58" i="23"/>
  <c r="F52" i="23"/>
  <c r="F59" i="23"/>
  <c r="F61" i="23"/>
  <c r="F53" i="23"/>
  <c r="F60" i="23"/>
  <c r="D174" i="23"/>
  <c r="D197" i="23" s="1"/>
  <c r="D203" i="23" s="1"/>
  <c r="D206" i="23"/>
  <c r="E196" i="23"/>
  <c r="F38" i="23"/>
  <c r="E128" i="23"/>
  <c r="F176" i="23"/>
  <c r="F183" i="23"/>
  <c r="F190" i="23"/>
  <c r="F184" i="23"/>
  <c r="F191" i="23"/>
  <c r="F192" i="23"/>
  <c r="F193" i="23"/>
  <c r="F185" i="23"/>
  <c r="F186" i="23"/>
  <c r="F116" i="23"/>
  <c r="F123" i="23"/>
  <c r="F117" i="23"/>
  <c r="F124" i="23"/>
  <c r="F118" i="23"/>
  <c r="F125" i="23"/>
  <c r="F126" i="23"/>
  <c r="F119" i="23"/>
  <c r="E171" i="23" l="1"/>
  <c r="E172" i="23" s="1"/>
  <c r="G101" i="23"/>
  <c r="G38" i="23"/>
  <c r="H36" i="23"/>
  <c r="H37" i="23"/>
  <c r="H48" i="23" s="1"/>
  <c r="H35" i="23"/>
  <c r="H50" i="23"/>
  <c r="G183" i="23"/>
  <c r="G190" i="23"/>
  <c r="G184" i="23"/>
  <c r="G191" i="23"/>
  <c r="G192" i="23"/>
  <c r="G193" i="23"/>
  <c r="G185" i="23"/>
  <c r="G186" i="23"/>
  <c r="H167" i="23"/>
  <c r="H180" i="23" s="1"/>
  <c r="H165" i="23"/>
  <c r="H182" i="23"/>
  <c r="H166" i="23"/>
  <c r="F128" i="23"/>
  <c r="F196" i="23"/>
  <c r="G116" i="23"/>
  <c r="G123" i="23"/>
  <c r="G117" i="23"/>
  <c r="G124" i="23"/>
  <c r="G125" i="23"/>
  <c r="G119" i="23"/>
  <c r="G126" i="23"/>
  <c r="G118" i="23"/>
  <c r="F171" i="23"/>
  <c r="F172" i="23" s="1"/>
  <c r="D198" i="23"/>
  <c r="H100" i="23"/>
  <c r="H113" i="23" s="1"/>
  <c r="H98" i="23"/>
  <c r="H115" i="23"/>
  <c r="H99" i="23"/>
  <c r="F62" i="23"/>
  <c r="G51" i="23"/>
  <c r="G58" i="23"/>
  <c r="G52" i="23"/>
  <c r="G59" i="23"/>
  <c r="G60" i="23"/>
  <c r="G61" i="23"/>
  <c r="G53" i="23"/>
  <c r="G54" i="23"/>
  <c r="G168" i="23"/>
  <c r="G201" i="23" s="1"/>
  <c r="E174" i="23" l="1"/>
  <c r="E197" i="23" s="1"/>
  <c r="E198" i="23" s="1"/>
  <c r="E206" i="23"/>
  <c r="H168" i="23"/>
  <c r="H201" i="23"/>
  <c r="H101" i="23"/>
  <c r="G128" i="23"/>
  <c r="H183" i="23"/>
  <c r="H190" i="23"/>
  <c r="H184" i="23"/>
  <c r="H191" i="23"/>
  <c r="H192" i="23"/>
  <c r="H193" i="23"/>
  <c r="H185" i="23"/>
  <c r="H186" i="23"/>
  <c r="G62" i="23"/>
  <c r="H51" i="23"/>
  <c r="H58" i="23"/>
  <c r="H52" i="23"/>
  <c r="H59" i="23"/>
  <c r="H60" i="23"/>
  <c r="H61" i="23"/>
  <c r="H53" i="23"/>
  <c r="H54" i="23"/>
  <c r="F174" i="23"/>
  <c r="F206" i="23"/>
  <c r="H170" i="23"/>
  <c r="H176" i="23"/>
  <c r="G176" i="23"/>
  <c r="G170" i="23"/>
  <c r="H38" i="23"/>
  <c r="H116" i="23"/>
  <c r="H123" i="23"/>
  <c r="H117" i="23"/>
  <c r="H124" i="23"/>
  <c r="H125" i="23"/>
  <c r="H126" i="23"/>
  <c r="H118" i="23"/>
  <c r="H119" i="23"/>
  <c r="G196" i="23"/>
  <c r="D202" i="23"/>
  <c r="D181" i="23"/>
  <c r="F197" i="23" l="1"/>
  <c r="F198" i="23" s="1"/>
  <c r="E203" i="23"/>
  <c r="H196" i="23"/>
  <c r="H128" i="23"/>
  <c r="H62" i="23"/>
  <c r="G171" i="23"/>
  <c r="G172" i="23" s="1"/>
  <c r="E181" i="23"/>
  <c r="E202" i="23"/>
  <c r="H171" i="23"/>
  <c r="H172" i="23"/>
  <c r="D187" i="23"/>
  <c r="D179" i="23"/>
  <c r="F203" i="23" l="1"/>
  <c r="D205" i="23"/>
  <c r="D204" i="23"/>
  <c r="F181" i="23"/>
  <c r="F202" i="23"/>
  <c r="E179" i="23"/>
  <c r="E187" i="23"/>
  <c r="G206" i="23"/>
  <c r="G174" i="23"/>
  <c r="G197" i="23" s="1"/>
  <c r="G203" i="23" s="1"/>
  <c r="H206" i="23"/>
  <c r="H174" i="23"/>
  <c r="E205" i="23" l="1"/>
  <c r="E204" i="23"/>
  <c r="F187" i="23"/>
  <c r="F179" i="23"/>
  <c r="H197" i="23"/>
  <c r="G198" i="23"/>
  <c r="G181" i="23" l="1"/>
  <c r="G202" i="23"/>
  <c r="H198" i="23"/>
  <c r="H203" i="23"/>
  <c r="F205" i="23"/>
  <c r="F204" i="23"/>
  <c r="H181" i="23" l="1"/>
  <c r="H202" i="23"/>
  <c r="G179" i="23"/>
  <c r="G187" i="23"/>
  <c r="N88" i="22"/>
  <c r="N93" i="22" s="1"/>
  <c r="M88" i="22"/>
  <c r="M93" i="22" s="1"/>
  <c r="L88" i="22"/>
  <c r="L93" i="22" s="1"/>
  <c r="K88" i="22"/>
  <c r="K93" i="22" s="1"/>
  <c r="J88" i="22"/>
  <c r="J93" i="22" s="1"/>
  <c r="I88" i="22"/>
  <c r="I93" i="22" s="1"/>
  <c r="H88" i="22"/>
  <c r="H93" i="22" s="1"/>
  <c r="G88" i="22"/>
  <c r="G93" i="22" s="1"/>
  <c r="F88" i="22"/>
  <c r="F93" i="22" s="1"/>
  <c r="E88" i="22"/>
  <c r="E93" i="22" s="1"/>
  <c r="D88" i="22"/>
  <c r="D93" i="22" s="1"/>
  <c r="C88" i="22"/>
  <c r="C93" i="22" s="1"/>
  <c r="N86" i="22"/>
  <c r="N91" i="22" s="1"/>
  <c r="M86" i="22"/>
  <c r="M91" i="22" s="1"/>
  <c r="L86" i="22"/>
  <c r="L91" i="22" s="1"/>
  <c r="K86" i="22"/>
  <c r="K91" i="22" s="1"/>
  <c r="J86" i="22"/>
  <c r="J91" i="22" s="1"/>
  <c r="I86" i="22"/>
  <c r="I91" i="22" s="1"/>
  <c r="H86" i="22"/>
  <c r="H91" i="22" s="1"/>
  <c r="G86" i="22"/>
  <c r="G91" i="22" s="1"/>
  <c r="F86" i="22"/>
  <c r="F91" i="22" s="1"/>
  <c r="E86" i="22"/>
  <c r="E91" i="22" s="1"/>
  <c r="D86" i="22"/>
  <c r="D91" i="22" s="1"/>
  <c r="C86" i="22"/>
  <c r="C91" i="22" s="1"/>
  <c r="N84" i="22"/>
  <c r="N92" i="22" s="1"/>
  <c r="M84" i="22"/>
  <c r="M92" i="22" s="1"/>
  <c r="L84" i="22"/>
  <c r="L92" i="22" s="1"/>
  <c r="K84" i="22"/>
  <c r="K92" i="22" s="1"/>
  <c r="J84" i="22"/>
  <c r="J92" i="22" s="1"/>
  <c r="I84" i="22"/>
  <c r="I92" i="22" s="1"/>
  <c r="H84" i="22"/>
  <c r="H92" i="22" s="1"/>
  <c r="G84" i="22"/>
  <c r="G92" i="22" s="1"/>
  <c r="F84" i="22"/>
  <c r="F92" i="22" s="1"/>
  <c r="E84" i="22"/>
  <c r="E92" i="22" s="1"/>
  <c r="D84" i="22"/>
  <c r="D92" i="22" s="1"/>
  <c r="C84" i="22"/>
  <c r="C92" i="22" s="1"/>
  <c r="B65" i="22"/>
  <c r="B64" i="22"/>
  <c r="C63" i="22"/>
  <c r="D63" i="22"/>
  <c r="B63" i="22"/>
  <c r="C64" i="22"/>
  <c r="D64" i="22"/>
  <c r="C65" i="22"/>
  <c r="D65" i="22"/>
  <c r="C35" i="22"/>
  <c r="D35" i="22"/>
  <c r="E35" i="22"/>
  <c r="F35" i="22"/>
  <c r="G35" i="22"/>
  <c r="H35" i="22"/>
  <c r="I35" i="22"/>
  <c r="J35" i="22"/>
  <c r="K35" i="22"/>
  <c r="L35" i="22"/>
  <c r="M35" i="22"/>
  <c r="N35" i="22"/>
  <c r="B35" i="22"/>
  <c r="C36" i="22"/>
  <c r="D36" i="22"/>
  <c r="E36" i="22"/>
  <c r="F36" i="22"/>
  <c r="G36" i="22"/>
  <c r="H36" i="22"/>
  <c r="I36" i="22"/>
  <c r="J36" i="22"/>
  <c r="K36" i="22"/>
  <c r="L36" i="22"/>
  <c r="M36" i="22"/>
  <c r="N36" i="22"/>
  <c r="B36" i="22"/>
  <c r="B54" i="22"/>
  <c r="B53" i="22"/>
  <c r="B52" i="22"/>
  <c r="N54" i="22"/>
  <c r="M54" i="22"/>
  <c r="L54" i="22"/>
  <c r="K54" i="22"/>
  <c r="J54" i="22"/>
  <c r="I54" i="22"/>
  <c r="H54" i="22"/>
  <c r="G54" i="22"/>
  <c r="F54" i="22"/>
  <c r="E54" i="22"/>
  <c r="D54" i="22"/>
  <c r="C54" i="22"/>
  <c r="N53" i="22"/>
  <c r="M53" i="22"/>
  <c r="L53" i="22"/>
  <c r="K53" i="22"/>
  <c r="J53" i="22"/>
  <c r="I53" i="22"/>
  <c r="H53" i="22"/>
  <c r="G53" i="22"/>
  <c r="F53" i="22"/>
  <c r="E53" i="22"/>
  <c r="D53" i="22"/>
  <c r="C53" i="22"/>
  <c r="N52" i="22"/>
  <c r="M52" i="22"/>
  <c r="L52" i="22"/>
  <c r="K52" i="22"/>
  <c r="J52" i="22"/>
  <c r="I52" i="22"/>
  <c r="H52" i="22"/>
  <c r="G52" i="22"/>
  <c r="F52" i="22"/>
  <c r="E52" i="22"/>
  <c r="D52" i="22"/>
  <c r="C52" i="22"/>
  <c r="B15" i="22"/>
  <c r="B13" i="22"/>
  <c r="B11" i="22"/>
  <c r="B17" i="22"/>
  <c r="C21" i="22"/>
  <c r="D21" i="22"/>
  <c r="E21" i="22"/>
  <c r="F21" i="22"/>
  <c r="G21" i="22"/>
  <c r="H21" i="22"/>
  <c r="I21" i="22"/>
  <c r="J21" i="22"/>
  <c r="K21" i="22"/>
  <c r="L21" i="22"/>
  <c r="M21" i="22"/>
  <c r="N21" i="22"/>
  <c r="B21" i="22"/>
  <c r="C19" i="22"/>
  <c r="D19" i="22"/>
  <c r="E19" i="22"/>
  <c r="F19" i="22"/>
  <c r="G19" i="22"/>
  <c r="H19" i="22"/>
  <c r="I19" i="22"/>
  <c r="J19" i="22"/>
  <c r="K19" i="22"/>
  <c r="L19" i="22"/>
  <c r="M19" i="22"/>
  <c r="N19" i="22"/>
  <c r="B19" i="22"/>
  <c r="C17" i="22"/>
  <c r="D17" i="22"/>
  <c r="E17" i="22"/>
  <c r="F17" i="22"/>
  <c r="G17" i="22"/>
  <c r="H17" i="22"/>
  <c r="I17" i="22"/>
  <c r="J17" i="22"/>
  <c r="K17" i="22"/>
  <c r="L17" i="22"/>
  <c r="M17" i="22"/>
  <c r="N17" i="22"/>
  <c r="C15" i="22"/>
  <c r="D15" i="22"/>
  <c r="E15" i="22"/>
  <c r="F15" i="22"/>
  <c r="G15" i="22"/>
  <c r="H15" i="22"/>
  <c r="I15" i="22"/>
  <c r="J15" i="22"/>
  <c r="K15" i="22"/>
  <c r="L15" i="22"/>
  <c r="M15" i="22"/>
  <c r="N15" i="22"/>
  <c r="C13" i="22"/>
  <c r="D13" i="22"/>
  <c r="E13" i="22"/>
  <c r="F13" i="22"/>
  <c r="G13" i="22"/>
  <c r="H13" i="22"/>
  <c r="I13" i="22"/>
  <c r="J13" i="22"/>
  <c r="K13" i="22"/>
  <c r="L13" i="22"/>
  <c r="M13" i="22"/>
  <c r="N13" i="22"/>
  <c r="D11" i="22"/>
  <c r="E11" i="22"/>
  <c r="F11" i="22"/>
  <c r="G11" i="22"/>
  <c r="H11" i="22"/>
  <c r="I11" i="22"/>
  <c r="J11" i="22"/>
  <c r="K11" i="22"/>
  <c r="L11" i="22"/>
  <c r="M11" i="22"/>
  <c r="N11" i="22"/>
  <c r="C11" i="22"/>
  <c r="D9" i="22"/>
  <c r="E9" i="22"/>
  <c r="F9" i="22"/>
  <c r="G9" i="22"/>
  <c r="H9" i="22"/>
  <c r="I9" i="22"/>
  <c r="J9" i="22"/>
  <c r="K9" i="22"/>
  <c r="L9" i="22"/>
  <c r="M9" i="22"/>
  <c r="N9" i="22"/>
  <c r="C9" i="22"/>
  <c r="G205" i="23" l="1"/>
  <c r="G204" i="23"/>
  <c r="H187" i="23"/>
  <c r="H179" i="23"/>
  <c r="B67" i="22"/>
  <c r="C94" i="22"/>
  <c r="G94" i="22"/>
  <c r="K94" i="22"/>
  <c r="D94" i="22"/>
  <c r="H94" i="22"/>
  <c r="L94" i="22"/>
  <c r="E94" i="22"/>
  <c r="I94" i="22"/>
  <c r="M94" i="22"/>
  <c r="F94" i="22"/>
  <c r="J94" i="22"/>
  <c r="N94" i="22"/>
  <c r="D68" i="22"/>
  <c r="C67" i="22"/>
  <c r="D67" i="22"/>
  <c r="C68" i="22"/>
  <c r="B68" i="22"/>
  <c r="B55" i="22"/>
  <c r="C55" i="22"/>
  <c r="G55" i="22"/>
  <c r="E55" i="22"/>
  <c r="I55" i="22"/>
  <c r="M55" i="22"/>
  <c r="F55" i="22"/>
  <c r="J55" i="22"/>
  <c r="N55" i="22"/>
  <c r="K55" i="22"/>
  <c r="D55" i="22"/>
  <c r="H55" i="22"/>
  <c r="L55" i="22"/>
  <c r="H205" i="23" l="1"/>
  <c r="H204" i="23"/>
  <c r="D41" i="23" l="1"/>
  <c r="D44" i="23"/>
  <c r="D40" i="23"/>
  <c r="D42" i="23" s="1"/>
  <c r="D63" i="23" l="1"/>
  <c r="D70" i="23"/>
  <c r="D64" i="23" l="1"/>
  <c r="D49" i="23" s="1"/>
  <c r="D67" i="23"/>
  <c r="D55" i="23" l="1"/>
  <c r="D47" i="23"/>
  <c r="D68" i="23" l="1"/>
  <c r="D69" i="23"/>
  <c r="E44" i="23"/>
  <c r="E40" i="23"/>
  <c r="E41" i="23" s="1"/>
  <c r="E42" i="23" l="1"/>
  <c r="E63" i="23" l="1"/>
  <c r="E70" i="23"/>
  <c r="E64" i="23" l="1"/>
  <c r="E49" i="23" s="1"/>
  <c r="E67" i="23"/>
  <c r="E55" i="23" l="1"/>
  <c r="E47" i="23"/>
  <c r="E68" i="23" l="1"/>
  <c r="E69" i="23"/>
  <c r="F44" i="23"/>
  <c r="F40" i="23"/>
  <c r="F41" i="23" s="1"/>
  <c r="F42" i="23" l="1"/>
  <c r="F70" i="23" l="1"/>
  <c r="F63" i="23"/>
  <c r="F64" i="23" l="1"/>
  <c r="F49" i="23" s="1"/>
  <c r="F67" i="23"/>
  <c r="F47" i="23" l="1"/>
  <c r="F55" i="23"/>
  <c r="F68" i="23" l="1"/>
  <c r="F69" i="23"/>
  <c r="G44" i="23"/>
  <c r="G41" i="23"/>
  <c r="G42" i="23" s="1"/>
  <c r="G40" i="23"/>
  <c r="G70" i="23" l="1"/>
  <c r="G63" i="23"/>
  <c r="G64" i="23" l="1"/>
  <c r="G49" i="23" s="1"/>
  <c r="G67" i="23"/>
  <c r="G55" i="23" l="1"/>
  <c r="G47" i="23"/>
  <c r="G69" i="23" l="1"/>
  <c r="G68" i="23"/>
  <c r="H44" i="23"/>
  <c r="H40" i="23"/>
  <c r="H41" i="23" s="1"/>
  <c r="H42" i="23" l="1"/>
  <c r="H70" i="23" l="1"/>
  <c r="H63" i="23"/>
  <c r="H64" i="23" s="1"/>
  <c r="H49" i="23" s="1"/>
  <c r="H47" i="23" l="1"/>
  <c r="H55" i="23"/>
  <c r="H67" i="23"/>
  <c r="H68" i="23" l="1"/>
  <c r="H69" i="23"/>
  <c r="D109" i="23"/>
  <c r="D103" i="23"/>
  <c r="D104" i="23" s="1"/>
  <c r="D105" i="23" s="1"/>
  <c r="D136" i="23" l="1"/>
  <c r="D107" i="23"/>
  <c r="D129" i="23" s="1"/>
  <c r="D133" i="23" s="1"/>
  <c r="D130" i="23" l="1"/>
  <c r="D114" i="23" s="1"/>
  <c r="D120" i="23" l="1"/>
  <c r="D112" i="23"/>
  <c r="D135" i="23" l="1"/>
  <c r="D134" i="23"/>
  <c r="E109" i="23"/>
  <c r="E103" i="23"/>
  <c r="E104" i="23" l="1"/>
  <c r="E105" i="23" s="1"/>
  <c r="E136" i="23" l="1"/>
  <c r="E107" i="23"/>
  <c r="E129" i="23" s="1"/>
  <c r="E130" i="23" l="1"/>
  <c r="E114" i="23" s="1"/>
  <c r="E133" i="23"/>
  <c r="E112" i="23" l="1"/>
  <c r="E120" i="23"/>
  <c r="E135" i="23" l="1"/>
  <c r="E134" i="23"/>
  <c r="F109" i="23"/>
  <c r="F104" i="23"/>
  <c r="F103" i="23"/>
  <c r="F105" i="23" l="1"/>
  <c r="F136" i="23" l="1"/>
  <c r="F107" i="23"/>
  <c r="F129" i="23" s="1"/>
  <c r="F133" i="23"/>
  <c r="F130" i="23" l="1"/>
  <c r="F114" i="23" s="1"/>
  <c r="F112" i="23" l="1"/>
  <c r="F120" i="23"/>
  <c r="F135" i="23" l="1"/>
  <c r="F134" i="23"/>
  <c r="H103" i="23" l="1"/>
  <c r="H109" i="23"/>
  <c r="G109" i="23"/>
  <c r="G103" i="23"/>
  <c r="G104" i="23" l="1"/>
  <c r="G105" i="23"/>
  <c r="H104" i="23"/>
  <c r="H105" i="23" s="1"/>
  <c r="H107" i="23" l="1"/>
  <c r="H136" i="23"/>
  <c r="G136" i="23"/>
  <c r="G107" i="23"/>
  <c r="G129" i="23" s="1"/>
  <c r="H129" i="23" l="1"/>
  <c r="G130" i="23"/>
  <c r="G114" i="23" s="1"/>
  <c r="G133" i="23"/>
  <c r="G120" i="23" l="1"/>
  <c r="G112" i="23"/>
  <c r="H130" i="23"/>
  <c r="H114" i="23" s="1"/>
  <c r="H133" i="23"/>
  <c r="H120" i="23" l="1"/>
  <c r="H112" i="23"/>
  <c r="G135" i="23"/>
  <c r="G134" i="23"/>
  <c r="H134" i="23" l="1"/>
  <c r="H135" i="23"/>
</calcChain>
</file>

<file path=xl/sharedStrings.xml><?xml version="1.0" encoding="utf-8"?>
<sst xmlns="http://schemas.openxmlformats.org/spreadsheetml/2006/main" count="559" uniqueCount="267">
  <si>
    <t>Balance Sheet</t>
  </si>
  <si>
    <t xml:space="preserve">Balance Sheet as of:
</t>
  </si>
  <si>
    <t>Sept. 25, 2010</t>
  </si>
  <si>
    <t>Sept. 24, 2011</t>
  </si>
  <si>
    <t>Sept. 29, 2012</t>
  </si>
  <si>
    <t>ASSETS</t>
  </si>
  <si>
    <t>Cash And Equivalents</t>
  </si>
  <si>
    <t>Short Term Investments</t>
  </si>
  <si>
    <t>Trading Asset Securities</t>
  </si>
  <si>
    <t>-</t>
  </si>
  <si>
    <t xml:space="preserve">  Total Cash &amp; ST Investments</t>
  </si>
  <si>
    <t>Accounts Receivable</t>
  </si>
  <si>
    <t>Other Receivables</t>
  </si>
  <si>
    <t xml:space="preserve">  Total Receivables</t>
  </si>
  <si>
    <t>Inventory</t>
  </si>
  <si>
    <t>Deferred Tax Assets, Curr.</t>
  </si>
  <si>
    <t>Restricted Cash</t>
  </si>
  <si>
    <t>Other Current Assets</t>
  </si>
  <si>
    <t xml:space="preserve">  Total Current Assets</t>
  </si>
  <si>
    <t xml:space="preserve">  Net Property, Plant &amp; Equipment</t>
  </si>
  <si>
    <t>Long-term Investments</t>
  </si>
  <si>
    <t>Goodwill</t>
  </si>
  <si>
    <t>Other Intangibles</t>
  </si>
  <si>
    <t>Other Long-Term Assets</t>
  </si>
  <si>
    <t>Total Assets</t>
  </si>
  <si>
    <t>LIABILITIES</t>
  </si>
  <si>
    <t>Accounts Payable</t>
  </si>
  <si>
    <t>Accrued Expenses</t>
  </si>
  <si>
    <t>Currrent Income Taxes Payable</t>
  </si>
  <si>
    <t>Unearned Revenue, Current</t>
  </si>
  <si>
    <t>Other Current Liabilities</t>
  </si>
  <si>
    <t xml:space="preserve">  Total Current Liabilities</t>
  </si>
  <si>
    <t>Long-Term Debt</t>
  </si>
  <si>
    <t>Unearned Revenue, Non-Current</t>
  </si>
  <si>
    <t>Deferred Tax Liability, Non-Current</t>
  </si>
  <si>
    <t>Other Non-Current Liabilities</t>
  </si>
  <si>
    <t>Total Liabilities</t>
  </si>
  <si>
    <t>Common Stock</t>
  </si>
  <si>
    <t>Retained Earnings</t>
  </si>
  <si>
    <t>Comprehensive Income and Other</t>
  </si>
  <si>
    <t xml:space="preserve">  Total Shareholders' Equity</t>
  </si>
  <si>
    <t>Total Liabilities And Shareholders' Equity</t>
  </si>
  <si>
    <t>Income Statement</t>
  </si>
  <si>
    <t xml:space="preserve">For the Fiscal Year Ending
</t>
  </si>
  <si>
    <t>Revenue</t>
  </si>
  <si>
    <t>Cost of Goods Sold</t>
  </si>
  <si>
    <t>Gross Profit</t>
  </si>
  <si>
    <t xml:space="preserve">    Sales, General, and Administration Expenses</t>
  </si>
  <si>
    <t xml:space="preserve">    Research and Development Expenses</t>
  </si>
  <si>
    <t xml:space="preserve">    Total Operating Expenses</t>
  </si>
  <si>
    <t>Operating Income</t>
  </si>
  <si>
    <t xml:space="preserve">    Interest Expense</t>
  </si>
  <si>
    <t xml:space="preserve">    Interest and Investment Income</t>
  </si>
  <si>
    <t>Net Interest Expense</t>
  </si>
  <si>
    <t xml:space="preserve">    Income Tax Expense</t>
  </si>
  <si>
    <t>Earnings from Cont. Ops.</t>
  </si>
  <si>
    <t>Net Income to Company</t>
  </si>
  <si>
    <t xml:space="preserve">    Minority Interest in Earnings</t>
  </si>
  <si>
    <t>Net Income</t>
  </si>
  <si>
    <t>Net income available to Common Shareholders</t>
  </si>
  <si>
    <t>Earnings per Share</t>
  </si>
  <si>
    <t xml:space="preserve">    Basic</t>
  </si>
  <si>
    <t xml:space="preserve">    Diluted</t>
  </si>
  <si>
    <t>Weighted Average Shares Outstanding</t>
  </si>
  <si>
    <t>Dividends per Share</t>
  </si>
  <si>
    <t>Payout Ratio %</t>
  </si>
  <si>
    <t>EBITDA</t>
  </si>
  <si>
    <t xml:space="preserve">
               </t>
  </si>
  <si>
    <t>Source: Capital IQ</t>
  </si>
  <si>
    <t>In millions of USD, except per share items.</t>
  </si>
  <si>
    <t>Cash Flow</t>
  </si>
  <si>
    <t xml:space="preserve">    Depreciation &amp; Amortization</t>
  </si>
  <si>
    <t xml:space="preserve">    Amortization of Goodwill and Intangibles</t>
  </si>
  <si>
    <t>Total Depreciation &amp; Amortization</t>
  </si>
  <si>
    <t xml:space="preserve">    Stock-Based Compensation</t>
  </si>
  <si>
    <t xml:space="preserve">    Other Operating Activities</t>
  </si>
  <si>
    <t xml:space="preserve">    Change in Accounts Receivable</t>
  </si>
  <si>
    <t xml:space="preserve">    Change In Inventories</t>
  </si>
  <si>
    <t xml:space="preserve">    Change in Accounts Payable</t>
  </si>
  <si>
    <t xml:space="preserve">    Change in Unearned Revenue</t>
  </si>
  <si>
    <t xml:space="preserve">    Change in Other Net Operating Assets</t>
  </si>
  <si>
    <t>Cash from Operations</t>
  </si>
  <si>
    <t xml:space="preserve">    Capital Expenditure</t>
  </si>
  <si>
    <t xml:space="preserve">    Cash Acquisitions</t>
  </si>
  <si>
    <t xml:space="preserve">    Divestitures</t>
  </si>
  <si>
    <t xml:space="preserve">    Sale (Purchase) of Intangible assets</t>
  </si>
  <si>
    <t xml:space="preserve">    Investment in Marketable &amp; Equity Securt.</t>
  </si>
  <si>
    <t xml:space="preserve">    Net (Inc.) Dec. in Loans Originated/Sold</t>
  </si>
  <si>
    <t xml:space="preserve">    Other Investing Activities</t>
  </si>
  <si>
    <t>Cash from Investing</t>
  </si>
  <si>
    <t xml:space="preserve">    Short Term Debt Issued</t>
  </si>
  <si>
    <t xml:space="preserve">    Long-Term Debt Issued</t>
  </si>
  <si>
    <t>Total Debt Issued</t>
  </si>
  <si>
    <t xml:space="preserve">    Short Term Debt Repaid</t>
  </si>
  <si>
    <t xml:space="preserve">    Long-Term Debt Repaid</t>
  </si>
  <si>
    <t>Total Debt Repaid</t>
  </si>
  <si>
    <t xml:space="preserve">    Issuance of Common Stock</t>
  </si>
  <si>
    <t xml:space="preserve">    Repurchase of Common Stock</t>
  </si>
  <si>
    <t xml:space="preserve">    Dividends Paid</t>
  </si>
  <si>
    <t xml:space="preserve">    Other Financing Activities</t>
  </si>
  <si>
    <t>Cash from Financing</t>
  </si>
  <si>
    <t>Net Change in Cash</t>
  </si>
  <si>
    <t>Cash Interest Paid</t>
  </si>
  <si>
    <t>NA</t>
  </si>
  <si>
    <t>Cash Taxes Paid</t>
  </si>
  <si>
    <t>Levered Free Cash Flow</t>
  </si>
  <si>
    <t>Unlevered Free Cash Flow</t>
  </si>
  <si>
    <t>Change in Net Working Capital</t>
  </si>
  <si>
    <t>Net Debt Issued</t>
  </si>
  <si>
    <t xml:space="preserve"> </t>
  </si>
  <si>
    <t>For the Fiscal Year Ending</t>
  </si>
  <si>
    <t>Total Shareholders' Equity</t>
  </si>
  <si>
    <t>Net Profit Margin</t>
  </si>
  <si>
    <t>Asset Turnover</t>
  </si>
  <si>
    <t>Return on Equity</t>
  </si>
  <si>
    <t>Average Accounts Receivable</t>
  </si>
  <si>
    <t>Average Inventory</t>
  </si>
  <si>
    <t>Average Accounts Payable</t>
  </si>
  <si>
    <t>Days in Period</t>
  </si>
  <si>
    <t>Cash Conversion Cycle</t>
  </si>
  <si>
    <t>Total Revenue</t>
  </si>
  <si>
    <t>Sales, General, and Admin.</t>
  </si>
  <si>
    <t>EBIT</t>
  </si>
  <si>
    <r>
      <t>Cash and Marketable Securities</t>
    </r>
    <r>
      <rPr>
        <sz val="7"/>
        <color rgb="FF000000"/>
        <rFont val="Arial"/>
        <family val="2"/>
      </rPr>
      <t>a</t>
    </r>
  </si>
  <si>
    <t>Long-term Debt</t>
  </si>
  <si>
    <t>For the Fiscal Quarter Ending</t>
  </si>
  <si>
    <t>Growth Rate in Sales</t>
  </si>
  <si>
    <t>Net Margin</t>
  </si>
  <si>
    <t>Debt to Assets</t>
  </si>
  <si>
    <t>Net Debt to Assets</t>
  </si>
  <si>
    <t>Excess Cash</t>
  </si>
  <si>
    <t>Required Cash (2*SG&amp;A)</t>
  </si>
  <si>
    <t>Sales, General, &amp; Admin</t>
  </si>
  <si>
    <t>Cash Left after Repatriation</t>
  </si>
  <si>
    <t>Repatriation Tax</t>
  </si>
  <si>
    <t>Cash Held Overseas (69% of all cash)</t>
  </si>
  <si>
    <t>Cash and Marketable Securities</t>
  </si>
  <si>
    <t>*All excess cash paid out</t>
  </si>
  <si>
    <t>Net income/Revenue</t>
  </si>
  <si>
    <t>Assets/Equity</t>
  </si>
  <si>
    <t>Sales/total assets</t>
  </si>
  <si>
    <t>Return on equity</t>
  </si>
  <si>
    <t>Selected Ratios:</t>
  </si>
  <si>
    <t xml:space="preserve">Total </t>
  </si>
  <si>
    <t>Equity</t>
  </si>
  <si>
    <t>Total liabilities</t>
  </si>
  <si>
    <t>Other non-current liabilities (22% of COGS)</t>
  </si>
  <si>
    <t>Other current liabilities (12.1% of COGS)</t>
  </si>
  <si>
    <t>Accrued expenses (7.7% of COGS)</t>
  </si>
  <si>
    <t>Accounts payable (24.1% of COGS)</t>
  </si>
  <si>
    <t>Liabilities and Net Worth</t>
  </si>
  <si>
    <t>Total assets</t>
  </si>
  <si>
    <t>Other (12.3% of COGS)</t>
  </si>
  <si>
    <t>Net PPEN</t>
  </si>
  <si>
    <t>Other Current Assets (10.3% of COGS)</t>
  </si>
  <si>
    <t>Inventories</t>
  </si>
  <si>
    <t>Accounts receivable</t>
  </si>
  <si>
    <t xml:space="preserve">    Excess Cash (plug)</t>
  </si>
  <si>
    <t xml:space="preserve">    Required Cash</t>
  </si>
  <si>
    <t>Total Cash</t>
  </si>
  <si>
    <t>Times interest earned</t>
  </si>
  <si>
    <t>Net income</t>
  </si>
  <si>
    <t>Tax at Effective Rate of 23%</t>
  </si>
  <si>
    <t>Profit before tax</t>
  </si>
  <si>
    <t>Interest expense</t>
  </si>
  <si>
    <t>Sell, gen'l, admin</t>
  </si>
  <si>
    <t>Research &amp; development</t>
  </si>
  <si>
    <t>Cost of goods</t>
  </si>
  <si>
    <t>Net sales</t>
  </si>
  <si>
    <t>Net PPEN as % of COG</t>
  </si>
  <si>
    <t>Effective Tax Rate</t>
  </si>
  <si>
    <t>Sell, gen'l, admin as% of sales:</t>
  </si>
  <si>
    <t>R&amp;D as % of sales:</t>
  </si>
  <si>
    <t>Cost of goods as % of sales:</t>
  </si>
  <si>
    <t>Inventory as % cost of goods:</t>
  </si>
  <si>
    <t>Accounts receivable as % of sales:</t>
  </si>
  <si>
    <t>2012*</t>
  </si>
  <si>
    <t>2012 Actual</t>
  </si>
  <si>
    <t>Interest Rate:</t>
  </si>
  <si>
    <t>Annual growth rate of sales:</t>
  </si>
  <si>
    <t>Key assumptions in Apple Forecast</t>
  </si>
  <si>
    <t>Dividend</t>
  </si>
  <si>
    <t>Debt</t>
  </si>
  <si>
    <t>FY 2012</t>
  </si>
  <si>
    <t>1 The Situtaion</t>
  </si>
  <si>
    <t>1.1 Annual Summary</t>
  </si>
  <si>
    <t>EBIT-to-sales</t>
  </si>
  <si>
    <t>Cash Margin</t>
  </si>
  <si>
    <t>See table below. Apple's sale is increasing at a high rate but the growth varies byu year. Its gross margin has been growing steadily, changing from a relatively low level before 2005 to over 20% after 2008. Cash margin shows a similar pattern and has been greater than their net margin. This could be due to the success of their first revolutionary iPhone model in 2007.</t>
  </si>
  <si>
    <t>Return on Asset</t>
  </si>
  <si>
    <t>1.2 ROE and ROA</t>
  </si>
  <si>
    <t>1.3 Du Pont Analysis</t>
  </si>
  <si>
    <t>Book Leverage</t>
  </si>
  <si>
    <t>See table below. Apple's net profit margin has been increasing rapidly. Its asset turn has been very high but stable over time. Apple's leverage has also been staying relatively constant. Apple's high growth in ROE is mainly fueled by its growing profit margin.</t>
  </si>
  <si>
    <t>1.4 NWC</t>
  </si>
  <si>
    <t>NWC</t>
  </si>
  <si>
    <t>Year</t>
  </si>
  <si>
    <t>Sales</t>
  </si>
  <si>
    <t>NWC-to-Sales</t>
  </si>
  <si>
    <t>NWC-to-Assets</t>
  </si>
  <si>
    <t>Inventory Days</t>
  </si>
  <si>
    <t>Account Receivable Days</t>
  </si>
  <si>
    <t>Account Payable Days</t>
  </si>
  <si>
    <t>See below table for Apple's Cash Convesion Cycle. CCC measures the amount of time it takes for a firm to recevie money after spending money on inputs. As shown in the table below, Apple's CCC is constantly negative. This could be because 1) Apple outsources its production to companies in China which holds inventory, resulting in small inventory days, and 2) Apple's AP Days is almost twice as its AR Days, which means Apple receives cash for its product even before they paid for the inputs for that good. This explains Apple's cash generating ability.</t>
  </si>
  <si>
    <t>2 Forecasting Cash Needs</t>
  </si>
  <si>
    <t>2.1 Excess Cash</t>
  </si>
  <si>
    <t>ROA</t>
  </si>
  <si>
    <t>ROE</t>
  </si>
  <si>
    <t>w/o cash</t>
  </si>
  <si>
    <t>w/ cash</t>
  </si>
  <si>
    <t>After subtracing excess cash, ROA is 2.35 times before and ROE almost septuples in 2012.</t>
  </si>
  <si>
    <t>2.3 Forecasting Excess Cash</t>
  </si>
  <si>
    <t>1.5 Cash Convesion Cycle</t>
  </si>
  <si>
    <t>2.4 Dividends</t>
  </si>
  <si>
    <t>Interest Coverage</t>
  </si>
  <si>
    <t>2.5 Dividend with leverage</t>
  </si>
  <si>
    <t>Equity (Dividend paid)</t>
  </si>
  <si>
    <t xml:space="preserve">Year End Debt </t>
  </si>
  <si>
    <t xml:space="preserve">    Excess Cash</t>
  </si>
  <si>
    <t>Retained earnings</t>
  </si>
  <si>
    <t>See table below for year-end equity, excess cash flow, and return on equity. We can see that after paying annual dividend, total equity is still positive and Apple's cash can meet the required cash amount. Excess cash can also sustain the dividend. ROE nearly doubles due to a raise in leverage and asset turnover.</t>
  </si>
  <si>
    <t>*All excess cash repatriated</t>
  </si>
  <si>
    <t xml:space="preserve">See table below for year-end equity, excess cash flow, and return on equity. This divident policy with leverage significantly increases Apple's ROE by raising its leverage. For some years, retained earnings can be negative, meaning a decrease in Equity. However, Apple's cash is sufficient enough to sustain the dividend. The Interest coverage also stays at a very low level. The introduction of leverage makes fully use of Apple's cash generating ability and tax benefits, especially given Apple's strong advantage in raising debt. </t>
  </si>
  <si>
    <t>Before Repatriation</t>
  </si>
  <si>
    <t>Required Cash</t>
  </si>
  <si>
    <t>Other Assets</t>
  </si>
  <si>
    <t>Total</t>
  </si>
  <si>
    <t>After Repatriation</t>
  </si>
  <si>
    <t>Shares Outstanding</t>
  </si>
  <si>
    <t>Max Dividend/Share</t>
  </si>
  <si>
    <t>Pre Shares Outstanding</t>
  </si>
  <si>
    <t>Post Shares Outstanding</t>
  </si>
  <si>
    <t>Pre EPS</t>
  </si>
  <si>
    <t>Post EPS</t>
  </si>
  <si>
    <t>Pre Price</t>
  </si>
  <si>
    <t>Post Price</t>
  </si>
  <si>
    <t>Pre P/E</t>
  </si>
  <si>
    <t>Post P/E</t>
  </si>
  <si>
    <t>Share Price</t>
  </si>
  <si>
    <t>Max Shares Repurchased</t>
  </si>
  <si>
    <t>Pro Forma Shares</t>
  </si>
  <si>
    <t>Percent Repurchased</t>
  </si>
  <si>
    <t>Cash available for dividend or repurchase</t>
  </si>
  <si>
    <t>Post Distribution (same for dividend or repurchase)</t>
  </si>
  <si>
    <t>Share Repurchase</t>
  </si>
  <si>
    <t>Face Value of iPref</t>
  </si>
  <si>
    <t>Current Value</t>
  </si>
  <si>
    <t>(stock price)</t>
  </si>
  <si>
    <t>per share</t>
  </si>
  <si>
    <t>Total Value with iPref</t>
  </si>
  <si>
    <t>Apple Net Income</t>
  </si>
  <si>
    <t>Less: iPref Dividends</t>
  </si>
  <si>
    <t>Pro forma net income</t>
  </si>
  <si>
    <t>Value Unlocked</t>
  </si>
  <si>
    <t>New Apple Price per Share</t>
  </si>
  <si>
    <t>Current Price per Share</t>
  </si>
  <si>
    <t>Change in Price per Share</t>
  </si>
  <si>
    <t>$ per share</t>
  </si>
  <si>
    <t>$ millions</t>
  </si>
  <si>
    <t># of iPref per common share</t>
  </si>
  <si>
    <t>iPref Annual Dividend</t>
  </si>
  <si>
    <t>Total Common Shares</t>
  </si>
  <si>
    <t>Assumed Constant P/E multiple</t>
  </si>
  <si>
    <t>how close is this to Apple's current P/E multiple?</t>
  </si>
  <si>
    <t>new price of a common share</t>
  </si>
  <si>
    <t>face value (and assumed priced at par) of the iPref attached to common share</t>
  </si>
  <si>
    <t>2.2 ROA and ROE without excess cash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</si>
</sst>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mmm\-dd\-yyyy"/>
    <numFmt numFmtId="165" formatCode="_(* #,##0.0_);_(* \(#,##0.0\)_)\ ;_(* 0_)"/>
    <numFmt numFmtId="166" formatCode="_(&quot;$&quot;#,##0.0#_);_(\(&quot;$&quot;#,##0.0#\)_);_(&quot;$&quot;&quot; - &quot;_)"/>
    <numFmt numFmtId="167" formatCode="_(* #,##0.0#_);_(* \(#,##0.0#\)_)\ ;_(* 0_)"/>
    <numFmt numFmtId="168" formatCode="_(#,##0.0%_);_(\(#,##0.0%\)_);_(#,##0.0%_)"/>
    <numFmt numFmtId="169" formatCode="0.0000"/>
    <numFmt numFmtId="170" formatCode="_(* #,##0_);_(* \(#,##0\)_)\ ;_(* 0_)"/>
    <numFmt numFmtId="171" formatCode="0.000_);\(0.000\)"/>
    <numFmt numFmtId="172" formatCode="_(* #,##0.0_);_(* \(#,##0.0\);_(* &quot;-&quot;??_);_(@_)"/>
    <numFmt numFmtId="173" formatCode="0.000"/>
    <numFmt numFmtId="174" formatCode="&quot;$&quot;#,##0"/>
    <numFmt numFmtId="175" formatCode="0.0%"/>
    <numFmt numFmtId="176" formatCode="0.0"/>
    <numFmt numFmtId="177" formatCode="&quot;$&quot;#,##0.0_);[Red]\(&quot;$&quot;#,##0.0\)"/>
  </numFmts>
  <fonts count="46" x14ac:knownFonts="1">
    <font>
      <sz val="11"/>
      <color theme="1"/>
      <name val="Calibri"/>
      <family val="2"/>
      <scheme val="minor"/>
    </font>
    <font>
      <sz val="12"/>
      <color theme="1"/>
      <name val="Calibri"/>
      <family val="2"/>
      <scheme val="minor"/>
    </font>
    <font>
      <sz val="12"/>
      <color theme="1"/>
      <name val="Calibri"/>
      <family val="2"/>
      <scheme val="minor"/>
    </font>
    <font>
      <b/>
      <sz val="10"/>
      <color indexed="9"/>
      <name val="Times New Roman"/>
      <family val="1"/>
    </font>
    <font>
      <b/>
      <sz val="10"/>
      <color indexed="8"/>
      <name val="Times New Roman"/>
      <family val="1"/>
    </font>
    <font>
      <sz val="10"/>
      <color indexed="8"/>
      <name val="Times New Roman"/>
      <family val="1"/>
    </font>
    <font>
      <b/>
      <u val="double"/>
      <sz val="10"/>
      <color indexed="8"/>
      <name val="Times New Roman"/>
      <family val="1"/>
    </font>
    <font>
      <sz val="10"/>
      <name val="Times New Roman"/>
      <family val="1"/>
    </font>
    <font>
      <sz val="10"/>
      <color theme="1"/>
      <name val="Times New Roman"/>
      <family val="1"/>
    </font>
    <font>
      <b/>
      <sz val="9"/>
      <color rgb="FF000000"/>
      <name val="Times New Roman"/>
      <family val="1"/>
    </font>
    <font>
      <b/>
      <sz val="9"/>
      <color rgb="FF595959"/>
      <name val="Times New Roman"/>
      <family val="1"/>
    </font>
    <font>
      <sz val="9"/>
      <color rgb="FF000000"/>
      <name val="Arial"/>
      <family val="2"/>
    </font>
    <font>
      <b/>
      <sz val="9"/>
      <color rgb="FF000000"/>
      <name val="Arial"/>
      <family val="2"/>
    </font>
    <font>
      <i/>
      <sz val="9"/>
      <color rgb="FF000000"/>
      <name val="Arial"/>
      <family val="2"/>
    </font>
    <font>
      <sz val="7"/>
      <color rgb="FF000000"/>
      <name val="Arial"/>
      <family val="2"/>
    </font>
    <font>
      <sz val="9"/>
      <color rgb="FF595959"/>
      <name val="Arial"/>
      <family val="2"/>
    </font>
    <font>
      <b/>
      <sz val="8"/>
      <color theme="0"/>
      <name val="Arial"/>
      <family val="2"/>
    </font>
    <font>
      <sz val="8"/>
      <color theme="1"/>
      <name val="Arial"/>
      <family val="2"/>
    </font>
    <font>
      <b/>
      <sz val="8"/>
      <color theme="1"/>
      <name val="Arial"/>
      <family val="2"/>
    </font>
    <font>
      <sz val="8"/>
      <color theme="0"/>
      <name val="Arial"/>
      <family val="2"/>
    </font>
    <font>
      <sz val="11"/>
      <color theme="1"/>
      <name val="Calibri"/>
      <family val="2"/>
      <scheme val="minor"/>
    </font>
    <font>
      <sz val="10"/>
      <name val="Arial"/>
      <family val="2"/>
    </font>
    <font>
      <sz val="8"/>
      <name val="Arial"/>
      <family val="2"/>
    </font>
    <font>
      <b/>
      <sz val="8"/>
      <name val="Arial"/>
      <family val="2"/>
    </font>
    <font>
      <b/>
      <u/>
      <sz val="8"/>
      <name val="Arial"/>
      <family val="2"/>
    </font>
    <font>
      <u/>
      <sz val="8"/>
      <name val="Arial"/>
      <family val="2"/>
    </font>
    <font>
      <b/>
      <sz val="8"/>
      <color indexed="10"/>
      <name val="Arial"/>
      <family val="2"/>
    </font>
    <font>
      <b/>
      <sz val="12"/>
      <color theme="1"/>
      <name val="Calibri"/>
      <family val="2"/>
      <scheme val="minor"/>
    </font>
    <font>
      <sz val="12"/>
      <color theme="1"/>
      <name val="Arial"/>
      <family val="2"/>
    </font>
    <font>
      <b/>
      <sz val="12"/>
      <color rgb="FF595959"/>
      <name val="Arial"/>
      <family val="2"/>
    </font>
    <font>
      <b/>
      <sz val="12"/>
      <color rgb="FF000000"/>
      <name val="Arial"/>
      <family val="2"/>
    </font>
    <font>
      <b/>
      <sz val="12"/>
      <color theme="1"/>
      <name val="Arial"/>
      <family val="2"/>
    </font>
    <font>
      <sz val="12"/>
      <color rgb="FF000000"/>
      <name val="Arial"/>
      <family val="2"/>
    </font>
    <font>
      <sz val="14"/>
      <color theme="1"/>
      <name val="Calibri"/>
      <family val="2"/>
      <scheme val="minor"/>
    </font>
    <font>
      <b/>
      <sz val="12"/>
      <color indexed="8"/>
      <name val="Arial"/>
      <family val="2"/>
    </font>
    <font>
      <sz val="12"/>
      <color indexed="8"/>
      <name val="Arial"/>
      <family val="2"/>
    </font>
    <font>
      <b/>
      <sz val="12"/>
      <color indexed="9"/>
      <name val="Arial"/>
      <family val="2"/>
    </font>
    <font>
      <sz val="12"/>
      <name val="Arial"/>
      <family val="2"/>
    </font>
    <font>
      <b/>
      <sz val="12"/>
      <color indexed="10"/>
      <name val="Arial"/>
      <family val="2"/>
    </font>
    <font>
      <b/>
      <u/>
      <sz val="12"/>
      <name val="Arial"/>
      <family val="2"/>
    </font>
    <font>
      <b/>
      <sz val="12"/>
      <name val="Arial"/>
      <family val="2"/>
    </font>
    <font>
      <u/>
      <sz val="12"/>
      <name val="Arial"/>
      <family val="2"/>
    </font>
    <font>
      <b/>
      <sz val="14"/>
      <color theme="1"/>
      <name val="Calibri"/>
      <family val="2"/>
      <scheme val="minor"/>
    </font>
    <font>
      <sz val="11"/>
      <color theme="1"/>
      <name val="Calibri"/>
      <family val="2"/>
    </font>
    <font>
      <b/>
      <sz val="11"/>
      <color theme="1"/>
      <name val="Calibri"/>
      <family val="2"/>
      <scheme val="minor"/>
    </font>
    <font>
      <b/>
      <u/>
      <sz val="11"/>
      <color theme="1"/>
      <name val="Calibri"/>
      <family val="2"/>
      <scheme val="minor"/>
    </font>
  </fonts>
  <fills count="13">
    <fill>
      <patternFill patternType="none"/>
    </fill>
    <fill>
      <patternFill patternType="gray125"/>
    </fill>
    <fill>
      <patternFill patternType="solid">
        <fgColor indexed="56"/>
        <bgColor indexed="64"/>
      </patternFill>
    </fill>
    <fill>
      <patternFill patternType="solid">
        <fgColor theme="0"/>
        <bgColor indexed="64"/>
      </patternFill>
    </fill>
    <fill>
      <patternFill patternType="solid">
        <fgColor theme="2"/>
        <bgColor indexed="64"/>
      </patternFill>
    </fill>
    <fill>
      <patternFill patternType="solid">
        <fgColor rgb="FF404040"/>
        <bgColor indexed="64"/>
      </patternFill>
    </fill>
    <fill>
      <patternFill patternType="solid">
        <fgColor rgb="FFD9D9D9"/>
        <bgColor indexed="64"/>
      </patternFill>
    </fill>
    <fill>
      <patternFill patternType="solid">
        <fgColor rgb="FFFFFFFF"/>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rgb="FF00B0F0"/>
        <bgColor indexed="64"/>
      </patternFill>
    </fill>
    <fill>
      <patternFill patternType="solid">
        <fgColor theme="6"/>
        <bgColor indexed="64"/>
      </patternFill>
    </fill>
  </fills>
  <borders count="20">
    <border>
      <left/>
      <right/>
      <top/>
      <bottom/>
      <diagonal/>
    </border>
    <border>
      <left/>
      <right/>
      <top style="thin">
        <color indexed="8"/>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style="thin">
        <color indexed="64"/>
      </left>
      <right/>
      <top style="double">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5">
    <xf numFmtId="0" fontId="0" fillId="0" borderId="0"/>
    <xf numFmtId="9" fontId="20" fillId="0" borderId="0" applyFont="0" applyFill="0" applyBorder="0" applyAlignment="0" applyProtection="0"/>
    <xf numFmtId="0" fontId="21" fillId="0" borderId="0"/>
    <xf numFmtId="0" fontId="21" fillId="0" borderId="0"/>
    <xf numFmtId="44" fontId="20" fillId="0" borderId="0" applyFont="0" applyFill="0" applyBorder="0" applyAlignment="0" applyProtection="0"/>
  </cellStyleXfs>
  <cellXfs count="327">
    <xf numFmtId="0" fontId="0" fillId="0" borderId="0" xfId="0"/>
    <xf numFmtId="0" fontId="3" fillId="2" borderId="0" xfId="0" applyFont="1" applyFill="1" applyAlignment="1"/>
    <xf numFmtId="0" fontId="4" fillId="3" borderId="0" xfId="0" applyFont="1" applyFill="1" applyAlignment="1">
      <alignment horizontal="left" vertical="top"/>
    </xf>
    <xf numFmtId="0" fontId="5" fillId="3" borderId="0" xfId="0" applyFont="1" applyFill="1" applyAlignment="1">
      <alignment horizontal="left" vertical="top"/>
    </xf>
    <xf numFmtId="165" fontId="5" fillId="3" borderId="0" xfId="0" applyNumberFormat="1" applyFont="1" applyFill="1" applyAlignment="1">
      <alignment horizontal="right" vertical="top" wrapText="1"/>
    </xf>
    <xf numFmtId="165" fontId="4" fillId="3" borderId="1" xfId="0" applyNumberFormat="1" applyFont="1" applyFill="1" applyBorder="1" applyAlignment="1">
      <alignment horizontal="right" vertical="top" wrapText="1"/>
    </xf>
    <xf numFmtId="165" fontId="4" fillId="3" borderId="0" xfId="0" applyNumberFormat="1" applyFont="1" applyFill="1" applyBorder="1" applyAlignment="1">
      <alignment horizontal="right" vertical="top" wrapText="1"/>
    </xf>
    <xf numFmtId="165" fontId="6" fillId="3" borderId="1" xfId="0" applyNumberFormat="1" applyFont="1" applyFill="1" applyBorder="1" applyAlignment="1">
      <alignment horizontal="right" vertical="top" wrapText="1"/>
    </xf>
    <xf numFmtId="165" fontId="6" fillId="3" borderId="0" xfId="0" applyNumberFormat="1" applyFont="1" applyFill="1" applyAlignment="1">
      <alignment horizontal="right" vertical="top" wrapText="1"/>
    </xf>
    <xf numFmtId="0" fontId="7" fillId="3" borderId="0" xfId="0" applyFont="1" applyFill="1"/>
    <xf numFmtId="0" fontId="7" fillId="0" borderId="0" xfId="0" applyFont="1"/>
    <xf numFmtId="0" fontId="4" fillId="4" borderId="0" xfId="0" applyFont="1" applyFill="1" applyAlignment="1"/>
    <xf numFmtId="164" fontId="4" fillId="4" borderId="0" xfId="0" applyNumberFormat="1" applyFont="1" applyFill="1" applyAlignment="1">
      <alignment horizontal="right" wrapText="1"/>
    </xf>
    <xf numFmtId="165" fontId="5" fillId="3" borderId="0" xfId="0" applyNumberFormat="1" applyFont="1" applyFill="1" applyBorder="1" applyAlignment="1">
      <alignment horizontal="right" vertical="top" wrapText="1"/>
    </xf>
    <xf numFmtId="0" fontId="5" fillId="3" borderId="0" xfId="0" applyFont="1" applyFill="1" applyBorder="1" applyAlignment="1">
      <alignment horizontal="left" vertical="top"/>
    </xf>
    <xf numFmtId="0" fontId="5" fillId="3" borderId="0" xfId="0" applyNumberFormat="1" applyFont="1" applyFill="1" applyBorder="1" applyAlignment="1">
      <alignment horizontal="right" vertical="top" wrapText="1"/>
    </xf>
    <xf numFmtId="166" fontId="5" fillId="3" borderId="0" xfId="0" applyNumberFormat="1" applyFont="1" applyFill="1" applyBorder="1" applyAlignment="1">
      <alignment horizontal="right" vertical="top" wrapText="1"/>
    </xf>
    <xf numFmtId="167" fontId="5" fillId="3" borderId="0" xfId="0" applyNumberFormat="1" applyFont="1" applyFill="1" applyBorder="1" applyAlignment="1">
      <alignment horizontal="right" vertical="top" wrapText="1"/>
    </xf>
    <xf numFmtId="49" fontId="5" fillId="3" borderId="0" xfId="0" applyNumberFormat="1" applyFont="1" applyFill="1" applyBorder="1" applyAlignment="1">
      <alignment horizontal="right" vertical="top" wrapText="1"/>
    </xf>
    <xf numFmtId="168" fontId="5" fillId="3" borderId="0" xfId="0" applyNumberFormat="1" applyFont="1" applyFill="1" applyBorder="1" applyAlignment="1">
      <alignment horizontal="right" vertical="top" wrapText="1"/>
    </xf>
    <xf numFmtId="0" fontId="7" fillId="3" borderId="0" xfId="0" applyFont="1" applyFill="1" applyBorder="1"/>
    <xf numFmtId="0" fontId="7" fillId="0" borderId="0" xfId="0" applyFont="1" applyBorder="1"/>
    <xf numFmtId="165" fontId="4" fillId="3" borderId="0" xfId="0" applyNumberFormat="1" applyFont="1" applyFill="1" applyAlignment="1">
      <alignment horizontal="right" vertical="top" wrapText="1"/>
    </xf>
    <xf numFmtId="0" fontId="4" fillId="4" borderId="0" xfId="0" applyFont="1" applyFill="1" applyAlignment="1">
      <alignment horizontal="right" wrapText="1"/>
    </xf>
    <xf numFmtId="0" fontId="8" fillId="0" borderId="0" xfId="0" applyFont="1"/>
    <xf numFmtId="0" fontId="0" fillId="3" borderId="0" xfId="0" applyFill="1"/>
    <xf numFmtId="0" fontId="8" fillId="5" borderId="0" xfId="0" applyFont="1" applyFill="1"/>
    <xf numFmtId="0" fontId="9" fillId="5" borderId="0" xfId="0" applyFont="1" applyFill="1" applyAlignment="1">
      <alignment horizontal="center" vertical="center"/>
    </xf>
    <xf numFmtId="0" fontId="10" fillId="5" borderId="0" xfId="0" applyFont="1" applyFill="1" applyAlignment="1">
      <alignment horizontal="center" vertical="center"/>
    </xf>
    <xf numFmtId="0" fontId="12" fillId="6" borderId="0" xfId="0" applyFont="1" applyFill="1" applyAlignment="1">
      <alignment vertical="center" wrapText="1"/>
    </xf>
    <xf numFmtId="14" fontId="12" fillId="6" borderId="0" xfId="0" applyNumberFormat="1" applyFont="1" applyFill="1" applyAlignment="1">
      <alignment horizontal="center" vertical="center" wrapText="1"/>
    </xf>
    <xf numFmtId="0" fontId="11" fillId="7" borderId="0" xfId="0" applyFont="1" applyFill="1" applyAlignment="1">
      <alignment vertical="center"/>
    </xf>
    <xf numFmtId="0" fontId="11" fillId="7" borderId="0" xfId="0" applyFont="1" applyFill="1" applyAlignment="1">
      <alignment horizontal="center" vertical="center"/>
    </xf>
    <xf numFmtId="3" fontId="11" fillId="7" borderId="0" xfId="0" applyNumberFormat="1" applyFont="1" applyFill="1" applyAlignment="1">
      <alignment horizontal="right" vertical="center" wrapText="1"/>
    </xf>
    <xf numFmtId="0" fontId="11" fillId="7" borderId="0" xfId="0" applyFont="1" applyFill="1" applyAlignment="1">
      <alignment horizontal="center" vertical="center" wrapText="1"/>
    </xf>
    <xf numFmtId="0" fontId="13" fillId="7" borderId="0" xfId="0" applyFont="1" applyFill="1" applyAlignment="1">
      <alignment vertical="center"/>
    </xf>
    <xf numFmtId="0" fontId="13" fillId="7" borderId="0" xfId="0" applyFont="1" applyFill="1" applyAlignment="1">
      <alignment horizontal="center" vertical="center" wrapText="1"/>
    </xf>
    <xf numFmtId="0" fontId="11" fillId="6" borderId="0" xfId="0" applyFont="1" applyFill="1" applyAlignment="1">
      <alignment vertical="center" wrapText="1"/>
    </xf>
    <xf numFmtId="0" fontId="11" fillId="6" borderId="0" xfId="0" applyFont="1" applyFill="1" applyAlignment="1">
      <alignment horizontal="center" vertical="center" wrapText="1"/>
    </xf>
    <xf numFmtId="0" fontId="11" fillId="5" borderId="0" xfId="0" applyFont="1" applyFill="1" applyAlignment="1">
      <alignment vertical="center"/>
    </xf>
    <xf numFmtId="0" fontId="15" fillId="5" borderId="0" xfId="0" applyFont="1" applyFill="1" applyAlignment="1">
      <alignment vertical="center"/>
    </xf>
    <xf numFmtId="0" fontId="11" fillId="5" borderId="0" xfId="0" applyFont="1" applyFill="1" applyAlignment="1">
      <alignment horizontal="center" vertical="center"/>
    </xf>
    <xf numFmtId="0" fontId="15" fillId="5" borderId="0" xfId="0" applyFont="1" applyFill="1" applyAlignment="1">
      <alignment horizontal="center" vertical="center"/>
    </xf>
    <xf numFmtId="0" fontId="8" fillId="7" borderId="0" xfId="0" applyFont="1" applyFill="1" applyAlignment="1">
      <alignment horizontal="right" vertical="top"/>
    </xf>
    <xf numFmtId="3" fontId="11" fillId="7" borderId="0" xfId="0" applyNumberFormat="1" applyFont="1" applyFill="1" applyAlignment="1">
      <alignment horizontal="right" vertical="center"/>
    </xf>
    <xf numFmtId="0" fontId="11" fillId="7" borderId="0" xfId="0" applyFont="1" applyFill="1" applyAlignment="1">
      <alignment horizontal="right" vertical="center"/>
    </xf>
    <xf numFmtId="0" fontId="8" fillId="7" borderId="0" xfId="0" applyFont="1" applyFill="1" applyAlignment="1">
      <alignment horizontal="right" vertical="top" wrapText="1"/>
    </xf>
    <xf numFmtId="0" fontId="11" fillId="7" borderId="0" xfId="0" applyFont="1" applyFill="1" applyAlignment="1">
      <alignment horizontal="right" vertical="center" wrapText="1"/>
    </xf>
    <xf numFmtId="0" fontId="17" fillId="0" borderId="0" xfId="0" applyFont="1"/>
    <xf numFmtId="0" fontId="18" fillId="9" borderId="0" xfId="0" applyFont="1" applyFill="1" applyBorder="1"/>
    <xf numFmtId="0" fontId="21" fillId="0" borderId="0" xfId="2" applyProtection="1"/>
    <xf numFmtId="0" fontId="22" fillId="0" borderId="0" xfId="2" applyFont="1" applyProtection="1"/>
    <xf numFmtId="0" fontId="22" fillId="0" borderId="0" xfId="2" applyFont="1"/>
    <xf numFmtId="0" fontId="22" fillId="0" borderId="0" xfId="2" applyFont="1" applyProtection="1">
      <protection locked="0"/>
    </xf>
    <xf numFmtId="175" fontId="22" fillId="0" borderId="0" xfId="1" applyNumberFormat="1" applyFont="1" applyProtection="1"/>
    <xf numFmtId="175" fontId="22" fillId="0" borderId="0" xfId="2" applyNumberFormat="1" applyFont="1" applyProtection="1"/>
    <xf numFmtId="0" fontId="22" fillId="0" borderId="0" xfId="0" applyFont="1"/>
    <xf numFmtId="174" fontId="22" fillId="0" borderId="0" xfId="2" applyNumberFormat="1" applyFont="1" applyProtection="1"/>
    <xf numFmtId="0" fontId="23" fillId="0" borderId="0" xfId="2" applyFont="1" applyProtection="1"/>
    <xf numFmtId="1" fontId="22" fillId="0" borderId="0" xfId="2" applyNumberFormat="1" applyFont="1" applyProtection="1"/>
    <xf numFmtId="0" fontId="24" fillId="0" borderId="0" xfId="2" applyFont="1" applyProtection="1"/>
    <xf numFmtId="174" fontId="25" fillId="0" borderId="0" xfId="2" applyNumberFormat="1" applyFont="1" applyProtection="1"/>
    <xf numFmtId="174" fontId="23" fillId="0" borderId="0" xfId="2" applyNumberFormat="1" applyFont="1" applyProtection="1"/>
    <xf numFmtId="176" fontId="22" fillId="0" borderId="0" xfId="2" applyNumberFormat="1" applyFont="1" applyProtection="1"/>
    <xf numFmtId="174" fontId="22" fillId="0" borderId="0" xfId="2" applyNumberFormat="1" applyFont="1" applyProtection="1">
      <protection locked="0"/>
    </xf>
    <xf numFmtId="9" fontId="26" fillId="0" borderId="0" xfId="2" applyNumberFormat="1" applyFont="1" applyProtection="1">
      <protection locked="0"/>
    </xf>
    <xf numFmtId="175" fontId="23" fillId="0" borderId="0" xfId="2" applyNumberFormat="1" applyFont="1" applyProtection="1">
      <protection locked="0"/>
    </xf>
    <xf numFmtId="0" fontId="24" fillId="0" borderId="0" xfId="2" applyFont="1" applyProtection="1">
      <protection locked="0"/>
    </xf>
    <xf numFmtId="0" fontId="24" fillId="0" borderId="0" xfId="2" applyFont="1" applyAlignment="1" applyProtection="1">
      <alignment horizontal="right"/>
      <protection locked="0"/>
    </xf>
    <xf numFmtId="175" fontId="26" fillId="0" borderId="0" xfId="2" applyNumberFormat="1" applyFont="1" applyProtection="1">
      <protection locked="0"/>
    </xf>
    <xf numFmtId="0" fontId="23" fillId="0" borderId="0" xfId="2" applyFont="1" applyProtection="1">
      <protection locked="0"/>
    </xf>
    <xf numFmtId="0" fontId="2" fillId="0" borderId="0" xfId="0" applyFont="1"/>
    <xf numFmtId="14" fontId="30" fillId="6" borderId="0" xfId="0" applyNumberFormat="1" applyFont="1" applyFill="1" applyBorder="1" applyAlignment="1">
      <alignment horizontal="center" vertical="center" wrapText="1"/>
    </xf>
    <xf numFmtId="0" fontId="28" fillId="3" borderId="0" xfId="0" applyFont="1" applyFill="1" applyBorder="1"/>
    <xf numFmtId="0" fontId="31" fillId="9" borderId="0" xfId="0" applyFont="1" applyFill="1" applyBorder="1" applyAlignment="1">
      <alignment horizontal="right"/>
    </xf>
    <xf numFmtId="10" fontId="31" fillId="9" borderId="0" xfId="0" applyNumberFormat="1" applyFont="1" applyFill="1" applyBorder="1"/>
    <xf numFmtId="0" fontId="31" fillId="3" borderId="0" xfId="0" applyFont="1" applyFill="1" applyBorder="1"/>
    <xf numFmtId="173" fontId="31" fillId="9" borderId="0" xfId="0" applyNumberFormat="1" applyFont="1" applyFill="1" applyBorder="1"/>
    <xf numFmtId="173" fontId="31" fillId="3" borderId="0" xfId="0" applyNumberFormat="1" applyFont="1" applyFill="1" applyBorder="1"/>
    <xf numFmtId="0" fontId="32" fillId="6" borderId="0" xfId="0" applyFont="1" applyFill="1" applyBorder="1" applyAlignment="1">
      <alignment horizontal="center" vertical="center" wrapText="1"/>
    </xf>
    <xf numFmtId="0" fontId="28" fillId="5" borderId="3" xfId="0" applyFont="1" applyFill="1" applyBorder="1"/>
    <xf numFmtId="0" fontId="29" fillId="5" borderId="4" xfId="0" applyFont="1" applyFill="1" applyBorder="1" applyAlignment="1">
      <alignment horizontal="center" vertical="center"/>
    </xf>
    <xf numFmtId="0" fontId="29" fillId="5" borderId="5" xfId="0" applyFont="1" applyFill="1" applyBorder="1" applyAlignment="1">
      <alignment horizontal="center" vertical="center"/>
    </xf>
    <xf numFmtId="0" fontId="30" fillId="9" borderId="6" xfId="0" applyFont="1" applyFill="1" applyBorder="1" applyAlignment="1">
      <alignment vertical="center" wrapText="1"/>
    </xf>
    <xf numFmtId="14" fontId="30" fillId="6" borderId="7" xfId="0" applyNumberFormat="1" applyFont="1" applyFill="1" applyBorder="1" applyAlignment="1">
      <alignment horizontal="center" vertical="center" wrapText="1"/>
    </xf>
    <xf numFmtId="0" fontId="28" fillId="3" borderId="6" xfId="0" applyFont="1" applyFill="1" applyBorder="1"/>
    <xf numFmtId="0" fontId="28" fillId="3" borderId="7" xfId="0" applyFont="1" applyFill="1" applyBorder="1"/>
    <xf numFmtId="0" fontId="31" fillId="9" borderId="6" xfId="0" applyFont="1" applyFill="1" applyBorder="1"/>
    <xf numFmtId="10" fontId="31" fillId="9" borderId="7" xfId="0" applyNumberFormat="1" applyFont="1" applyFill="1" applyBorder="1"/>
    <xf numFmtId="0" fontId="31" fillId="3" borderId="6" xfId="0" applyFont="1" applyFill="1" applyBorder="1"/>
    <xf numFmtId="0" fontId="31" fillId="3" borderId="7" xfId="0" applyFont="1" applyFill="1" applyBorder="1"/>
    <xf numFmtId="173" fontId="31" fillId="9" borderId="7" xfId="0" applyNumberFormat="1" applyFont="1" applyFill="1" applyBorder="1"/>
    <xf numFmtId="173" fontId="31" fillId="3" borderId="7" xfId="0" applyNumberFormat="1" applyFont="1" applyFill="1" applyBorder="1"/>
    <xf numFmtId="0" fontId="32" fillId="6" borderId="6" xfId="0" applyFont="1" applyFill="1" applyBorder="1" applyAlignment="1">
      <alignment vertical="center" wrapText="1"/>
    </xf>
    <xf numFmtId="0" fontId="32" fillId="6" borderId="7" xfId="0" applyFont="1" applyFill="1" applyBorder="1" applyAlignment="1">
      <alignment horizontal="center" vertical="center" wrapText="1"/>
    </xf>
    <xf numFmtId="0" fontId="32" fillId="5" borderId="8" xfId="0" applyFont="1" applyFill="1" applyBorder="1" applyAlignment="1">
      <alignment vertical="center"/>
    </xf>
    <xf numFmtId="0" fontId="32" fillId="5" borderId="2" xfId="0" applyFont="1" applyFill="1" applyBorder="1" applyAlignment="1">
      <alignment horizontal="center" vertical="center"/>
    </xf>
    <xf numFmtId="0" fontId="32" fillId="5" borderId="9" xfId="0" applyFont="1" applyFill="1" applyBorder="1" applyAlignment="1">
      <alignment horizontal="center" vertical="center"/>
    </xf>
    <xf numFmtId="0" fontId="28" fillId="3" borderId="0" xfId="0" applyFont="1" applyFill="1" applyBorder="1" applyAlignment="1">
      <alignment horizontal="right"/>
    </xf>
    <xf numFmtId="171" fontId="31" fillId="3" borderId="0" xfId="0" applyNumberFormat="1" applyFont="1" applyFill="1" applyBorder="1" applyAlignment="1">
      <alignment horizontal="right"/>
    </xf>
    <xf numFmtId="10" fontId="31" fillId="3" borderId="0" xfId="0" applyNumberFormat="1" applyFont="1" applyFill="1" applyBorder="1" applyAlignment="1">
      <alignment horizontal="right"/>
    </xf>
    <xf numFmtId="0" fontId="34" fillId="9" borderId="6" xfId="0" applyFont="1" applyFill="1" applyBorder="1" applyAlignment="1"/>
    <xf numFmtId="14" fontId="34" fillId="9" borderId="0" xfId="0" applyNumberFormat="1" applyFont="1" applyFill="1" applyBorder="1" applyAlignment="1"/>
    <xf numFmtId="14" fontId="34" fillId="9" borderId="0" xfId="0" applyNumberFormat="1" applyFont="1" applyFill="1" applyBorder="1" applyAlignment="1">
      <alignment horizontal="right" wrapText="1"/>
    </xf>
    <xf numFmtId="14" fontId="34" fillId="9" borderId="7" xfId="0" applyNumberFormat="1" applyFont="1" applyFill="1" applyBorder="1" applyAlignment="1">
      <alignment horizontal="right" wrapText="1"/>
    </xf>
    <xf numFmtId="0" fontId="35" fillId="3" borderId="6" xfId="0" applyFont="1" applyFill="1" applyBorder="1" applyAlignment="1">
      <alignment horizontal="left" vertical="top"/>
    </xf>
    <xf numFmtId="170" fontId="35" fillId="3" borderId="0" xfId="0" applyNumberFormat="1" applyFont="1" applyFill="1" applyBorder="1" applyAlignment="1">
      <alignment horizontal="right" vertical="top" wrapText="1"/>
    </xf>
    <xf numFmtId="170" fontId="35" fillId="3" borderId="7" xfId="0" applyNumberFormat="1" applyFont="1" applyFill="1" applyBorder="1" applyAlignment="1">
      <alignment horizontal="right" vertical="top" wrapText="1"/>
    </xf>
    <xf numFmtId="10" fontId="31" fillId="3" borderId="7" xfId="0" applyNumberFormat="1" applyFont="1" applyFill="1" applyBorder="1" applyAlignment="1">
      <alignment horizontal="right"/>
    </xf>
    <xf numFmtId="0" fontId="18" fillId="9" borderId="6" xfId="0" applyFont="1" applyFill="1" applyBorder="1"/>
    <xf numFmtId="169" fontId="18" fillId="9" borderId="0" xfId="0" applyNumberFormat="1" applyFont="1" applyFill="1" applyBorder="1"/>
    <xf numFmtId="169" fontId="18" fillId="9" borderId="7" xfId="0" applyNumberFormat="1" applyFont="1" applyFill="1" applyBorder="1"/>
    <xf numFmtId="0" fontId="31" fillId="3" borderId="3" xfId="0" applyFont="1" applyFill="1" applyBorder="1"/>
    <xf numFmtId="10" fontId="31" fillId="3" borderId="4" xfId="0" applyNumberFormat="1" applyFont="1" applyFill="1" applyBorder="1" applyAlignment="1">
      <alignment horizontal="right"/>
    </xf>
    <xf numFmtId="10" fontId="31" fillId="3" borderId="5" xfId="0" applyNumberFormat="1" applyFont="1" applyFill="1" applyBorder="1" applyAlignment="1">
      <alignment horizontal="right"/>
    </xf>
    <xf numFmtId="0" fontId="11" fillId="7" borderId="0" xfId="0" applyFont="1" applyFill="1" applyBorder="1" applyAlignment="1">
      <alignment horizontal="right" vertical="center" wrapText="1"/>
    </xf>
    <xf numFmtId="0" fontId="8" fillId="5" borderId="3" xfId="0" applyFont="1" applyFill="1" applyBorder="1"/>
    <xf numFmtId="0" fontId="10" fillId="5" borderId="4" xfId="0" applyFont="1" applyFill="1" applyBorder="1" applyAlignment="1">
      <alignment horizontal="center" vertical="center"/>
    </xf>
    <xf numFmtId="0" fontId="10" fillId="5" borderId="5" xfId="0" applyFont="1" applyFill="1" applyBorder="1" applyAlignment="1">
      <alignment horizontal="center" vertical="center"/>
    </xf>
    <xf numFmtId="14" fontId="34" fillId="9" borderId="7" xfId="0" applyNumberFormat="1" applyFont="1" applyFill="1" applyBorder="1" applyAlignment="1"/>
    <xf numFmtId="0" fontId="11" fillId="7" borderId="7" xfId="0" applyFont="1" applyFill="1" applyBorder="1" applyAlignment="1">
      <alignment horizontal="right" vertical="center" wrapText="1"/>
    </xf>
    <xf numFmtId="0" fontId="18" fillId="9" borderId="7" xfId="0" applyFont="1" applyFill="1" applyBorder="1"/>
    <xf numFmtId="0" fontId="19" fillId="8" borderId="8" xfId="0" applyFont="1" applyFill="1" applyBorder="1" applyAlignment="1">
      <alignment horizontal="center"/>
    </xf>
    <xf numFmtId="0" fontId="19" fillId="8" borderId="2" xfId="0" applyFont="1" applyFill="1" applyBorder="1" applyAlignment="1">
      <alignment horizontal="center"/>
    </xf>
    <xf numFmtId="0" fontId="19" fillId="8" borderId="9" xfId="0" applyFont="1" applyFill="1" applyBorder="1" applyAlignment="1">
      <alignment horizontal="center"/>
    </xf>
    <xf numFmtId="0" fontId="34" fillId="3" borderId="6" xfId="0" applyFont="1" applyFill="1" applyBorder="1" applyAlignment="1">
      <alignment horizontal="left" vertical="top"/>
    </xf>
    <xf numFmtId="0" fontId="34" fillId="3" borderId="3" xfId="0" applyFont="1" applyFill="1" applyBorder="1" applyAlignment="1">
      <alignment horizontal="left" vertical="top"/>
    </xf>
    <xf numFmtId="2" fontId="31" fillId="3" borderId="4" xfId="0" applyNumberFormat="1" applyFont="1" applyFill="1" applyBorder="1" applyAlignment="1">
      <alignment horizontal="right"/>
    </xf>
    <xf numFmtId="43" fontId="31" fillId="3" borderId="4" xfId="0" applyNumberFormat="1" applyFont="1" applyFill="1" applyBorder="1" applyAlignment="1">
      <alignment horizontal="right"/>
    </xf>
    <xf numFmtId="2" fontId="31" fillId="3" borderId="0" xfId="0" applyNumberFormat="1" applyFont="1" applyFill="1" applyBorder="1" applyAlignment="1">
      <alignment horizontal="right"/>
    </xf>
    <xf numFmtId="165" fontId="31" fillId="3" borderId="0" xfId="0" applyNumberFormat="1" applyFont="1" applyFill="1" applyBorder="1" applyAlignment="1">
      <alignment horizontal="right"/>
    </xf>
    <xf numFmtId="43" fontId="31" fillId="3" borderId="0" xfId="0" applyNumberFormat="1" applyFont="1" applyFill="1" applyBorder="1" applyAlignment="1">
      <alignment horizontal="right"/>
    </xf>
    <xf numFmtId="170" fontId="35" fillId="3" borderId="0" xfId="0" applyNumberFormat="1" applyFont="1" applyFill="1" applyBorder="1" applyAlignment="1">
      <alignment horizontal="right" vertical="top"/>
    </xf>
    <xf numFmtId="170" fontId="35" fillId="3" borderId="7" xfId="0" applyNumberFormat="1" applyFont="1" applyFill="1" applyBorder="1" applyAlignment="1">
      <alignment horizontal="right" vertical="top"/>
    </xf>
    <xf numFmtId="2" fontId="28" fillId="3" borderId="0" xfId="0" applyNumberFormat="1" applyFont="1" applyFill="1" applyBorder="1" applyAlignment="1">
      <alignment horizontal="right"/>
    </xf>
    <xf numFmtId="165" fontId="28" fillId="3" borderId="0" xfId="0" applyNumberFormat="1" applyFont="1" applyFill="1" applyBorder="1" applyAlignment="1">
      <alignment horizontal="right"/>
    </xf>
    <xf numFmtId="165" fontId="28" fillId="3" borderId="7" xfId="0" applyNumberFormat="1" applyFont="1" applyFill="1" applyBorder="1" applyAlignment="1">
      <alignment horizontal="right"/>
    </xf>
    <xf numFmtId="172" fontId="28" fillId="3" borderId="0" xfId="0" applyNumberFormat="1" applyFont="1" applyFill="1" applyBorder="1" applyAlignment="1">
      <alignment horizontal="right"/>
    </xf>
    <xf numFmtId="172" fontId="28" fillId="3" borderId="7" xfId="0" applyNumberFormat="1" applyFont="1" applyFill="1" applyBorder="1" applyAlignment="1">
      <alignment horizontal="right"/>
    </xf>
    <xf numFmtId="0" fontId="28" fillId="3" borderId="7" xfId="0" applyFont="1" applyFill="1" applyBorder="1" applyAlignment="1">
      <alignment horizontal="right"/>
    </xf>
    <xf numFmtId="43" fontId="31" fillId="3" borderId="5" xfId="0" applyNumberFormat="1" applyFont="1" applyFill="1" applyBorder="1" applyAlignment="1">
      <alignment horizontal="right"/>
    </xf>
    <xf numFmtId="165" fontId="31" fillId="3" borderId="7" xfId="0" applyNumberFormat="1" applyFont="1" applyFill="1" applyBorder="1" applyAlignment="1">
      <alignment horizontal="right"/>
    </xf>
    <xf numFmtId="43" fontId="31" fillId="3" borderId="7" xfId="0" applyNumberFormat="1" applyFont="1" applyFill="1" applyBorder="1" applyAlignment="1">
      <alignment horizontal="right"/>
    </xf>
    <xf numFmtId="2" fontId="31" fillId="3" borderId="7" xfId="0" applyNumberFormat="1" applyFont="1" applyFill="1" applyBorder="1" applyAlignment="1">
      <alignment horizontal="right"/>
    </xf>
    <xf numFmtId="164" fontId="34" fillId="9" borderId="0" xfId="0" applyNumberFormat="1" applyFont="1" applyFill="1" applyBorder="1" applyAlignment="1">
      <alignment horizontal="right" wrapText="1"/>
    </xf>
    <xf numFmtId="164" fontId="34" fillId="9" borderId="7" xfId="0" applyNumberFormat="1" applyFont="1" applyFill="1" applyBorder="1" applyAlignment="1">
      <alignment horizontal="right" wrapText="1"/>
    </xf>
    <xf numFmtId="0" fontId="36" fillId="8" borderId="8" xfId="0" applyFont="1" applyFill="1" applyBorder="1" applyAlignment="1"/>
    <xf numFmtId="0" fontId="36" fillId="8" borderId="2" xfId="0" applyFont="1" applyFill="1" applyBorder="1" applyAlignment="1"/>
    <xf numFmtId="0" fontId="36" fillId="8" borderId="9" xfId="0" applyFont="1" applyFill="1" applyBorder="1" applyAlignment="1"/>
    <xf numFmtId="0" fontId="36" fillId="8" borderId="3" xfId="0" applyFont="1" applyFill="1" applyBorder="1" applyAlignment="1"/>
    <xf numFmtId="0" fontId="36" fillId="8" borderId="4" xfId="0" applyFont="1" applyFill="1" applyBorder="1" applyAlignment="1"/>
    <xf numFmtId="0" fontId="36" fillId="8" borderId="5" xfId="0" applyFont="1" applyFill="1" applyBorder="1" applyAlignment="1"/>
    <xf numFmtId="0" fontId="2" fillId="0" borderId="0" xfId="0" applyFont="1" applyBorder="1"/>
    <xf numFmtId="0" fontId="34" fillId="9" borderId="0" xfId="0" applyFont="1" applyFill="1" applyBorder="1" applyAlignment="1"/>
    <xf numFmtId="0" fontId="34" fillId="9" borderId="7" xfId="0" applyFont="1" applyFill="1" applyBorder="1" applyAlignment="1"/>
    <xf numFmtId="0" fontId="2" fillId="0" borderId="0" xfId="0" applyFont="1" applyAlignment="1">
      <alignment horizontal="left" vertical="center"/>
    </xf>
    <xf numFmtId="0" fontId="37" fillId="0" borderId="6" xfId="2" applyFont="1" applyBorder="1" applyProtection="1"/>
    <xf numFmtId="174" fontId="37" fillId="0" borderId="7" xfId="2" applyNumberFormat="1" applyFont="1" applyBorder="1" applyProtection="1"/>
    <xf numFmtId="170" fontId="34" fillId="3" borderId="7" xfId="0" applyNumberFormat="1" applyFont="1" applyFill="1" applyBorder="1" applyAlignment="1">
      <alignment horizontal="right" vertical="top" wrapText="1"/>
    </xf>
    <xf numFmtId="9" fontId="38" fillId="0" borderId="0" xfId="2" applyNumberFormat="1" applyFont="1" applyBorder="1" applyProtection="1">
      <protection locked="0"/>
    </xf>
    <xf numFmtId="0" fontId="37" fillId="0" borderId="0" xfId="2" applyFont="1" applyBorder="1" applyProtection="1">
      <protection locked="0"/>
    </xf>
    <xf numFmtId="0" fontId="37" fillId="0" borderId="7" xfId="2" applyFont="1" applyBorder="1" applyProtection="1">
      <protection locked="0"/>
    </xf>
    <xf numFmtId="175" fontId="40" fillId="0" borderId="0" xfId="2" applyNumberFormat="1" applyFont="1" applyBorder="1" applyProtection="1">
      <protection locked="0"/>
    </xf>
    <xf numFmtId="0" fontId="37" fillId="0" borderId="0" xfId="2" applyFont="1" applyBorder="1" applyProtection="1"/>
    <xf numFmtId="9" fontId="38" fillId="0" borderId="7" xfId="2" applyNumberFormat="1" applyFont="1" applyBorder="1" applyProtection="1">
      <protection locked="0"/>
    </xf>
    <xf numFmtId="174" fontId="37" fillId="0" borderId="0" xfId="2" applyNumberFormat="1" applyFont="1" applyBorder="1" applyProtection="1"/>
    <xf numFmtId="1" fontId="37" fillId="0" borderId="0" xfId="2" applyNumberFormat="1" applyFont="1" applyBorder="1" applyProtection="1"/>
    <xf numFmtId="1" fontId="37" fillId="0" borderId="7" xfId="2" applyNumberFormat="1" applyFont="1" applyBorder="1" applyProtection="1"/>
    <xf numFmtId="176" fontId="37" fillId="0" borderId="0" xfId="2" applyNumberFormat="1" applyFont="1" applyBorder="1" applyProtection="1"/>
    <xf numFmtId="176" fontId="37" fillId="0" borderId="7" xfId="2" applyNumberFormat="1" applyFont="1" applyBorder="1" applyProtection="1"/>
    <xf numFmtId="0" fontId="37" fillId="0" borderId="7" xfId="2" applyFont="1" applyBorder="1" applyProtection="1"/>
    <xf numFmtId="0" fontId="8" fillId="5" borderId="4" xfId="0" applyFont="1" applyFill="1" applyBorder="1"/>
    <xf numFmtId="0" fontId="8" fillId="5" borderId="5" xfId="0" applyFont="1" applyFill="1" applyBorder="1"/>
    <xf numFmtId="0" fontId="37" fillId="9" borderId="0" xfId="2" applyFont="1" applyFill="1" applyBorder="1" applyProtection="1"/>
    <xf numFmtId="175" fontId="37" fillId="9" borderId="0" xfId="2" applyNumberFormat="1" applyFont="1" applyFill="1" applyBorder="1" applyProtection="1"/>
    <xf numFmtId="175" fontId="37" fillId="9" borderId="7" xfId="2" applyNumberFormat="1" applyFont="1" applyFill="1" applyBorder="1" applyProtection="1"/>
    <xf numFmtId="0" fontId="37" fillId="9" borderId="6" xfId="2" applyFont="1" applyFill="1" applyBorder="1" applyProtection="1"/>
    <xf numFmtId="174" fontId="37" fillId="9" borderId="0" xfId="2" applyNumberFormat="1" applyFont="1" applyFill="1" applyBorder="1" applyProtection="1"/>
    <xf numFmtId="174" fontId="37" fillId="9" borderId="7" xfId="2" applyNumberFormat="1" applyFont="1" applyFill="1" applyBorder="1" applyProtection="1"/>
    <xf numFmtId="1" fontId="37" fillId="9" borderId="0" xfId="2" applyNumberFormat="1" applyFont="1" applyFill="1" applyBorder="1" applyProtection="1"/>
    <xf numFmtId="1" fontId="37" fillId="9" borderId="7" xfId="2" applyNumberFormat="1" applyFont="1" applyFill="1" applyBorder="1" applyProtection="1"/>
    <xf numFmtId="0" fontId="40" fillId="9" borderId="6" xfId="2" applyFont="1" applyFill="1" applyBorder="1" applyProtection="1"/>
    <xf numFmtId="174" fontId="40" fillId="9" borderId="0" xfId="2" applyNumberFormat="1" applyFont="1" applyFill="1" applyBorder="1" applyProtection="1"/>
    <xf numFmtId="174" fontId="40" fillId="9" borderId="7" xfId="2" applyNumberFormat="1" applyFont="1" applyFill="1" applyBorder="1" applyProtection="1"/>
    <xf numFmtId="174" fontId="41" fillId="9" borderId="0" xfId="2" applyNumberFormat="1" applyFont="1" applyFill="1" applyBorder="1" applyProtection="1"/>
    <xf numFmtId="174" fontId="41" fillId="9" borderId="7" xfId="2" applyNumberFormat="1" applyFont="1" applyFill="1" applyBorder="1" applyProtection="1"/>
    <xf numFmtId="175" fontId="40" fillId="9" borderId="0" xfId="2" applyNumberFormat="1" applyFont="1" applyFill="1" applyBorder="1" applyProtection="1">
      <protection locked="0"/>
    </xf>
    <xf numFmtId="175" fontId="38" fillId="9" borderId="0" xfId="2" applyNumberFormat="1" applyFont="1" applyFill="1" applyBorder="1" applyProtection="1">
      <protection locked="0"/>
    </xf>
    <xf numFmtId="175" fontId="38" fillId="9" borderId="7" xfId="2" applyNumberFormat="1" applyFont="1" applyFill="1" applyBorder="1" applyProtection="1">
      <protection locked="0"/>
    </xf>
    <xf numFmtId="0" fontId="37" fillId="9" borderId="3" xfId="2" applyFont="1" applyFill="1" applyBorder="1" applyProtection="1"/>
    <xf numFmtId="0" fontId="37" fillId="9" borderId="4" xfId="2" applyFont="1" applyFill="1" applyBorder="1" applyProtection="1">
      <protection locked="0"/>
    </xf>
    <xf numFmtId="0" fontId="37" fillId="9" borderId="5" xfId="2" applyFont="1" applyFill="1" applyBorder="1" applyProtection="1">
      <protection locked="0"/>
    </xf>
    <xf numFmtId="0" fontId="37" fillId="9" borderId="8" xfId="2" applyFont="1" applyFill="1" applyBorder="1" applyProtection="1"/>
    <xf numFmtId="9" fontId="38" fillId="9" borderId="2" xfId="2" applyNumberFormat="1" applyFont="1" applyFill="1" applyBorder="1" applyProtection="1">
      <protection locked="0"/>
    </xf>
    <xf numFmtId="0" fontId="37" fillId="9" borderId="2" xfId="2" applyFont="1" applyFill="1" applyBorder="1" applyProtection="1">
      <protection locked="0"/>
    </xf>
    <xf numFmtId="175" fontId="38" fillId="9" borderId="2" xfId="2" applyNumberFormat="1" applyFont="1" applyFill="1" applyBorder="1" applyProtection="1">
      <protection locked="0"/>
    </xf>
    <xf numFmtId="0" fontId="37" fillId="9" borderId="9" xfId="2" applyFont="1" applyFill="1" applyBorder="1" applyProtection="1">
      <protection locked="0"/>
    </xf>
    <xf numFmtId="0" fontId="39" fillId="9" borderId="4" xfId="2" applyFont="1" applyFill="1" applyBorder="1" applyAlignment="1" applyProtection="1">
      <alignment horizontal="right"/>
      <protection locked="0"/>
    </xf>
    <xf numFmtId="0" fontId="39" fillId="9" borderId="4" xfId="2" applyFont="1" applyFill="1" applyBorder="1" applyProtection="1">
      <protection locked="0"/>
    </xf>
    <xf numFmtId="0" fontId="39" fillId="9" borderId="5" xfId="2" applyFont="1" applyFill="1" applyBorder="1" applyProtection="1">
      <protection locked="0"/>
    </xf>
    <xf numFmtId="175" fontId="40" fillId="9" borderId="2" xfId="2" applyNumberFormat="1" applyFont="1" applyFill="1" applyBorder="1" applyProtection="1">
      <protection locked="0"/>
    </xf>
    <xf numFmtId="175" fontId="38" fillId="9" borderId="9" xfId="2" applyNumberFormat="1" applyFont="1" applyFill="1" applyBorder="1" applyProtection="1">
      <protection locked="0"/>
    </xf>
    <xf numFmtId="0" fontId="39" fillId="9" borderId="3" xfId="2" applyFont="1" applyFill="1" applyBorder="1" applyProtection="1"/>
    <xf numFmtId="0" fontId="37" fillId="9" borderId="4" xfId="2" applyFont="1" applyFill="1" applyBorder="1" applyProtection="1"/>
    <xf numFmtId="175" fontId="37" fillId="9" borderId="4" xfId="2" applyNumberFormat="1" applyFont="1" applyFill="1" applyBorder="1" applyProtection="1"/>
    <xf numFmtId="175" fontId="37" fillId="9" borderId="5" xfId="2" applyNumberFormat="1" applyFont="1" applyFill="1" applyBorder="1" applyProtection="1"/>
    <xf numFmtId="176" fontId="37" fillId="9" borderId="2" xfId="2" applyNumberFormat="1" applyFont="1" applyFill="1" applyBorder="1" applyProtection="1"/>
    <xf numFmtId="176" fontId="37" fillId="9" borderId="9" xfId="2" applyNumberFormat="1" applyFont="1" applyFill="1" applyBorder="1" applyProtection="1"/>
    <xf numFmtId="0" fontId="37" fillId="9" borderId="5" xfId="2" applyFont="1" applyFill="1" applyBorder="1" applyProtection="1"/>
    <xf numFmtId="174" fontId="37" fillId="9" borderId="2" xfId="2" applyNumberFormat="1" applyFont="1" applyFill="1" applyBorder="1" applyProtection="1"/>
    <xf numFmtId="174" fontId="37" fillId="9" borderId="9" xfId="2" applyNumberFormat="1" applyFont="1" applyFill="1" applyBorder="1" applyProtection="1"/>
    <xf numFmtId="1" fontId="37" fillId="9" borderId="4" xfId="2" applyNumberFormat="1" applyFont="1" applyFill="1" applyBorder="1" applyProtection="1"/>
    <xf numFmtId="1" fontId="37" fillId="9" borderId="5" xfId="2" applyNumberFormat="1" applyFont="1" applyFill="1" applyBorder="1" applyProtection="1"/>
    <xf numFmtId="0" fontId="40" fillId="9" borderId="3" xfId="2" applyFont="1" applyFill="1" applyBorder="1" applyProtection="1"/>
    <xf numFmtId="174" fontId="37" fillId="9" borderId="4" xfId="2" applyNumberFormat="1" applyFont="1" applyFill="1" applyBorder="1" applyProtection="1"/>
    <xf numFmtId="174" fontId="37" fillId="9" borderId="5" xfId="2" applyNumberFormat="1" applyFont="1" applyFill="1" applyBorder="1" applyProtection="1"/>
    <xf numFmtId="175" fontId="37" fillId="9" borderId="2" xfId="1" applyNumberFormat="1" applyFont="1" applyFill="1" applyBorder="1" applyProtection="1"/>
    <xf numFmtId="175" fontId="37" fillId="9" borderId="9" xfId="1" applyNumberFormat="1" applyFont="1" applyFill="1" applyBorder="1" applyProtection="1"/>
    <xf numFmtId="175" fontId="40" fillId="9" borderId="0" xfId="2" applyNumberFormat="1" applyFont="1" applyFill="1" applyBorder="1" applyProtection="1"/>
    <xf numFmtId="175" fontId="40" fillId="9" borderId="7" xfId="2" applyNumberFormat="1" applyFont="1" applyFill="1" applyBorder="1" applyProtection="1"/>
    <xf numFmtId="171" fontId="31" fillId="3" borderId="7" xfId="0" applyNumberFormat="1" applyFont="1" applyFill="1" applyBorder="1" applyAlignment="1">
      <alignment horizontal="right"/>
    </xf>
    <xf numFmtId="10" fontId="40" fillId="9" borderId="0" xfId="2" applyNumberFormat="1" applyFont="1" applyFill="1" applyBorder="1" applyProtection="1"/>
    <xf numFmtId="0" fontId="37" fillId="9" borderId="0" xfId="2" applyFont="1" applyFill="1" applyBorder="1" applyProtection="1">
      <protection locked="0"/>
    </xf>
    <xf numFmtId="0" fontId="37" fillId="9" borderId="7" xfId="2" applyFont="1" applyFill="1" applyBorder="1" applyProtection="1">
      <protection locked="0"/>
    </xf>
    <xf numFmtId="6" fontId="37" fillId="9" borderId="0" xfId="2" applyNumberFormat="1" applyFont="1" applyFill="1" applyBorder="1" applyProtection="1">
      <protection locked="0"/>
    </xf>
    <xf numFmtId="0" fontId="39" fillId="9" borderId="6" xfId="2" applyFont="1" applyFill="1" applyBorder="1" applyProtection="1"/>
    <xf numFmtId="3" fontId="0" fillId="0" borderId="0" xfId="0" applyNumberFormat="1"/>
    <xf numFmtId="0" fontId="0" fillId="0" borderId="11" xfId="0" applyBorder="1"/>
    <xf numFmtId="0" fontId="0" fillId="0" borderId="12" xfId="0" applyBorder="1"/>
    <xf numFmtId="0" fontId="0" fillId="0" borderId="13" xfId="0" applyBorder="1"/>
    <xf numFmtId="3" fontId="0" fillId="0" borderId="13" xfId="0" applyNumberFormat="1" applyBorder="1"/>
    <xf numFmtId="0" fontId="0" fillId="0" borderId="14" xfId="0" applyBorder="1"/>
    <xf numFmtId="0" fontId="44" fillId="0" borderId="0" xfId="0" applyFont="1"/>
    <xf numFmtId="3" fontId="44" fillId="0" borderId="0" xfId="0" applyNumberFormat="1" applyFont="1"/>
    <xf numFmtId="7" fontId="0" fillId="0" borderId="0" xfId="4" applyNumberFormat="1" applyFont="1"/>
    <xf numFmtId="0" fontId="0" fillId="0" borderId="15" xfId="0" applyBorder="1"/>
    <xf numFmtId="0" fontId="0" fillId="0" borderId="16" xfId="0" applyBorder="1"/>
    <xf numFmtId="0" fontId="0" fillId="0" borderId="17" xfId="0" applyBorder="1"/>
    <xf numFmtId="7" fontId="0" fillId="0" borderId="0" xfId="4" applyNumberFormat="1" applyFont="1" applyBorder="1"/>
    <xf numFmtId="7" fontId="0" fillId="0" borderId="18" xfId="4" applyNumberFormat="1" applyFont="1" applyBorder="1"/>
    <xf numFmtId="7" fontId="0" fillId="0" borderId="0" xfId="0" applyNumberFormat="1"/>
    <xf numFmtId="7" fontId="0" fillId="0" borderId="18" xfId="0" applyNumberFormat="1" applyBorder="1"/>
    <xf numFmtId="2" fontId="0" fillId="0" borderId="13" xfId="0" applyNumberFormat="1" applyBorder="1"/>
    <xf numFmtId="2" fontId="0" fillId="0" borderId="19" xfId="0" applyNumberFormat="1" applyBorder="1"/>
    <xf numFmtId="0" fontId="43" fillId="0" borderId="0" xfId="0" applyFont="1"/>
    <xf numFmtId="3" fontId="43" fillId="0" borderId="0" xfId="0" applyNumberFormat="1" applyFont="1"/>
    <xf numFmtId="0" fontId="43" fillId="0" borderId="12" xfId="0" applyFont="1" applyBorder="1"/>
    <xf numFmtId="0" fontId="43" fillId="0" borderId="13" xfId="0" applyFont="1" applyBorder="1"/>
    <xf numFmtId="0" fontId="43" fillId="0" borderId="14" xfId="0" applyFont="1" applyBorder="1"/>
    <xf numFmtId="2" fontId="43" fillId="0" borderId="0" xfId="0" applyNumberFormat="1" applyFont="1"/>
    <xf numFmtId="176" fontId="43" fillId="0" borderId="0" xfId="0" applyNumberFormat="1" applyFont="1"/>
    <xf numFmtId="175" fontId="43" fillId="0" borderId="0" xfId="1" applyNumberFormat="1" applyFont="1" applyFill="1" applyBorder="1"/>
    <xf numFmtId="0" fontId="43" fillId="0" borderId="15" xfId="0" applyFont="1" applyBorder="1"/>
    <xf numFmtId="0" fontId="43" fillId="0" borderId="16" xfId="0" applyFont="1" applyBorder="1"/>
    <xf numFmtId="176" fontId="43" fillId="0" borderId="17" xfId="0" applyNumberFormat="1" applyFont="1" applyBorder="1"/>
    <xf numFmtId="7" fontId="43" fillId="0" borderId="0" xfId="4" applyNumberFormat="1" applyFont="1" applyFill="1" applyBorder="1"/>
    <xf numFmtId="7" fontId="43" fillId="0" borderId="18" xfId="4" applyNumberFormat="1" applyFont="1" applyFill="1" applyBorder="1"/>
    <xf numFmtId="7" fontId="43" fillId="0" borderId="0" xfId="0" applyNumberFormat="1" applyFont="1"/>
    <xf numFmtId="7" fontId="43" fillId="0" borderId="18" xfId="0" applyNumberFormat="1" applyFont="1" applyBorder="1"/>
    <xf numFmtId="2" fontId="43" fillId="0" borderId="13" xfId="0" applyNumberFormat="1" applyFont="1" applyBorder="1"/>
    <xf numFmtId="2" fontId="43" fillId="0" borderId="19" xfId="0" applyNumberFormat="1" applyFont="1" applyBorder="1"/>
    <xf numFmtId="6" fontId="44" fillId="0" borderId="0" xfId="0" applyNumberFormat="1" applyFont="1"/>
    <xf numFmtId="6" fontId="0" fillId="0" borderId="0" xfId="0" applyNumberFormat="1"/>
    <xf numFmtId="177" fontId="0" fillId="0" borderId="0" xfId="0" applyNumberFormat="1"/>
    <xf numFmtId="176" fontId="0" fillId="0" borderId="0" xfId="0" applyNumberFormat="1"/>
    <xf numFmtId="8" fontId="0" fillId="0" borderId="0" xfId="0" applyNumberFormat="1"/>
    <xf numFmtId="0" fontId="45" fillId="0" borderId="0" xfId="0" applyFont="1"/>
    <xf numFmtId="0" fontId="45" fillId="0" borderId="0" xfId="0" applyFont="1" applyAlignment="1">
      <alignment horizontal="right"/>
    </xf>
    <xf numFmtId="0" fontId="42" fillId="10" borderId="0" xfId="0" applyFont="1" applyFill="1" applyAlignment="1">
      <alignment horizontal="center"/>
    </xf>
    <xf numFmtId="0" fontId="42" fillId="11" borderId="2" xfId="0" applyFont="1" applyFill="1" applyBorder="1" applyAlignment="1">
      <alignment horizontal="center"/>
    </xf>
    <xf numFmtId="0" fontId="36" fillId="8" borderId="3" xfId="0" applyFont="1" applyFill="1" applyBorder="1" applyAlignment="1">
      <alignment horizontal="center"/>
    </xf>
    <xf numFmtId="0" fontId="36" fillId="8" borderId="4" xfId="0" applyFont="1" applyFill="1" applyBorder="1" applyAlignment="1">
      <alignment horizontal="center"/>
    </xf>
    <xf numFmtId="0" fontId="36" fillId="8" borderId="5" xfId="0" applyFont="1" applyFill="1" applyBorder="1" applyAlignment="1">
      <alignment horizontal="center"/>
    </xf>
    <xf numFmtId="0" fontId="33" fillId="9" borderId="3" xfId="0" applyFont="1" applyFill="1" applyBorder="1" applyAlignment="1">
      <alignment horizontal="left" vertical="top" wrapText="1"/>
    </xf>
    <xf numFmtId="0" fontId="33" fillId="9" borderId="4" xfId="0" applyFont="1" applyFill="1" applyBorder="1" applyAlignment="1">
      <alignment horizontal="left" vertical="top" wrapText="1"/>
    </xf>
    <xf numFmtId="0" fontId="33" fillId="9" borderId="5" xfId="0" applyFont="1" applyFill="1" applyBorder="1" applyAlignment="1">
      <alignment horizontal="left" vertical="top" wrapText="1"/>
    </xf>
    <xf numFmtId="0" fontId="33" fillId="9" borderId="6" xfId="0" applyFont="1" applyFill="1" applyBorder="1" applyAlignment="1">
      <alignment horizontal="left" vertical="top" wrapText="1"/>
    </xf>
    <xf numFmtId="0" fontId="33" fillId="9" borderId="0" xfId="0" applyFont="1" applyFill="1" applyBorder="1" applyAlignment="1">
      <alignment horizontal="left" vertical="top" wrapText="1"/>
    </xf>
    <xf numFmtId="0" fontId="33" fillId="9" borderId="7" xfId="0" applyFont="1" applyFill="1" applyBorder="1" applyAlignment="1">
      <alignment horizontal="left" vertical="top" wrapText="1"/>
    </xf>
    <xf numFmtId="0" fontId="33" fillId="9" borderId="8" xfId="0" applyFont="1" applyFill="1" applyBorder="1" applyAlignment="1">
      <alignment horizontal="left" vertical="top" wrapText="1"/>
    </xf>
    <xf numFmtId="0" fontId="33" fillId="9" borderId="2" xfId="0" applyFont="1" applyFill="1" applyBorder="1" applyAlignment="1">
      <alignment horizontal="left" vertical="top" wrapText="1"/>
    </xf>
    <xf numFmtId="0" fontId="33" fillId="9" borderId="9" xfId="0" applyFont="1" applyFill="1" applyBorder="1" applyAlignment="1">
      <alignment horizontal="left" vertical="top" wrapText="1"/>
    </xf>
    <xf numFmtId="0" fontId="16" fillId="5" borderId="6" xfId="0" applyFont="1" applyFill="1" applyBorder="1" applyAlignment="1">
      <alignment horizontal="center"/>
    </xf>
    <xf numFmtId="0" fontId="16" fillId="5" borderId="0" xfId="0" applyFont="1" applyFill="1" applyBorder="1" applyAlignment="1">
      <alignment horizontal="center"/>
    </xf>
    <xf numFmtId="0" fontId="16" fillId="5" borderId="7" xfId="0" applyFont="1" applyFill="1" applyBorder="1" applyAlignment="1">
      <alignment horizontal="center"/>
    </xf>
    <xf numFmtId="0" fontId="19" fillId="8" borderId="8" xfId="0" applyFont="1" applyFill="1" applyBorder="1" applyAlignment="1">
      <alignment horizontal="center"/>
    </xf>
    <xf numFmtId="0" fontId="19" fillId="8" borderId="2" xfId="0" applyFont="1" applyFill="1" applyBorder="1" applyAlignment="1">
      <alignment horizontal="center"/>
    </xf>
    <xf numFmtId="0" fontId="19" fillId="8" borderId="9" xfId="0" applyFont="1" applyFill="1" applyBorder="1" applyAlignment="1">
      <alignment horizontal="center"/>
    </xf>
    <xf numFmtId="0" fontId="33" fillId="9" borderId="3" xfId="0" applyFont="1" applyFill="1" applyBorder="1" applyAlignment="1">
      <alignment horizontal="justify" vertical="top"/>
    </xf>
    <xf numFmtId="0" fontId="33" fillId="9" borderId="4" xfId="0" applyFont="1" applyFill="1" applyBorder="1" applyAlignment="1">
      <alignment horizontal="justify" vertical="top"/>
    </xf>
    <xf numFmtId="0" fontId="33" fillId="9" borderId="5" xfId="0" applyFont="1" applyFill="1" applyBorder="1" applyAlignment="1">
      <alignment horizontal="justify" vertical="top"/>
    </xf>
    <xf numFmtId="0" fontId="33" fillId="9" borderId="6" xfId="0" applyFont="1" applyFill="1" applyBorder="1" applyAlignment="1">
      <alignment horizontal="justify" vertical="top"/>
    </xf>
    <xf numFmtId="0" fontId="33" fillId="9" borderId="0" xfId="0" applyFont="1" applyFill="1" applyBorder="1" applyAlignment="1">
      <alignment horizontal="justify" vertical="top"/>
    </xf>
    <xf numFmtId="0" fontId="33" fillId="9" borderId="7" xfId="0" applyFont="1" applyFill="1" applyBorder="1" applyAlignment="1">
      <alignment horizontal="justify" vertical="top"/>
    </xf>
    <xf numFmtId="0" fontId="33" fillId="9" borderId="8" xfId="0" applyFont="1" applyFill="1" applyBorder="1" applyAlignment="1">
      <alignment horizontal="justify" vertical="top"/>
    </xf>
    <xf numFmtId="0" fontId="33" fillId="9" borderId="2" xfId="0" applyFont="1" applyFill="1" applyBorder="1" applyAlignment="1">
      <alignment horizontal="justify" vertical="top"/>
    </xf>
    <xf numFmtId="0" fontId="33" fillId="9" borderId="9" xfId="0" applyFont="1" applyFill="1" applyBorder="1" applyAlignment="1">
      <alignment horizontal="justify" vertical="top"/>
    </xf>
    <xf numFmtId="0" fontId="16" fillId="5" borderId="3" xfId="0" applyFont="1" applyFill="1" applyBorder="1" applyAlignment="1">
      <alignment horizontal="center"/>
    </xf>
    <xf numFmtId="0" fontId="16" fillId="5" borderId="4" xfId="0" applyFont="1" applyFill="1" applyBorder="1" applyAlignment="1">
      <alignment horizontal="center"/>
    </xf>
    <xf numFmtId="0" fontId="16" fillId="5" borderId="5" xfId="0" applyFont="1" applyFill="1" applyBorder="1" applyAlignment="1">
      <alignment horizontal="center"/>
    </xf>
    <xf numFmtId="0" fontId="42" fillId="11" borderId="0" xfId="0" applyFont="1" applyFill="1" applyAlignment="1">
      <alignment horizontal="center"/>
    </xf>
    <xf numFmtId="0" fontId="33" fillId="11" borderId="2" xfId="0" applyFont="1" applyFill="1" applyBorder="1" applyAlignment="1">
      <alignment horizontal="center"/>
    </xf>
    <xf numFmtId="0" fontId="27" fillId="11" borderId="2" xfId="0" applyFont="1" applyFill="1" applyBorder="1" applyAlignment="1">
      <alignment horizontal="center"/>
    </xf>
    <xf numFmtId="0" fontId="1" fillId="9" borderId="3" xfId="0" applyFont="1" applyFill="1" applyBorder="1" applyAlignment="1">
      <alignment horizontal="left" vertical="top" wrapText="1"/>
    </xf>
    <xf numFmtId="0" fontId="1" fillId="9" borderId="4" xfId="0" applyFont="1" applyFill="1" applyBorder="1" applyAlignment="1">
      <alignment horizontal="left" vertical="top" wrapText="1"/>
    </xf>
    <xf numFmtId="0" fontId="1" fillId="9" borderId="5" xfId="0" applyFont="1" applyFill="1" applyBorder="1" applyAlignment="1">
      <alignment horizontal="left" vertical="top" wrapText="1"/>
    </xf>
    <xf numFmtId="0" fontId="1" fillId="9" borderId="6" xfId="0" applyFont="1" applyFill="1" applyBorder="1" applyAlignment="1">
      <alignment horizontal="left" vertical="top" wrapText="1"/>
    </xf>
    <xf numFmtId="0" fontId="1" fillId="9" borderId="0" xfId="0" applyFont="1" applyFill="1" applyBorder="1" applyAlignment="1">
      <alignment horizontal="left" vertical="top" wrapText="1"/>
    </xf>
    <xf numFmtId="0" fontId="1" fillId="9" borderId="7" xfId="0" applyFont="1" applyFill="1" applyBorder="1" applyAlignment="1">
      <alignment horizontal="left" vertical="top" wrapText="1"/>
    </xf>
    <xf numFmtId="0" fontId="1" fillId="9" borderId="8" xfId="0" applyFont="1" applyFill="1" applyBorder="1" applyAlignment="1">
      <alignment horizontal="left" vertical="top" wrapText="1"/>
    </xf>
    <xf numFmtId="0" fontId="1" fillId="9" borderId="2" xfId="0" applyFont="1" applyFill="1" applyBorder="1" applyAlignment="1">
      <alignment horizontal="left" vertical="top" wrapText="1"/>
    </xf>
    <xf numFmtId="0" fontId="1" fillId="9" borderId="9" xfId="0" applyFont="1" applyFill="1" applyBorder="1" applyAlignment="1">
      <alignment horizontal="left" vertical="top" wrapText="1"/>
    </xf>
    <xf numFmtId="0" fontId="42" fillId="10" borderId="0" xfId="0" applyFont="1" applyFill="1" applyAlignment="1">
      <alignment horizontal="center" vertical="top"/>
    </xf>
    <xf numFmtId="0" fontId="42" fillId="11" borderId="2" xfId="0" applyFont="1" applyFill="1" applyBorder="1" applyAlignment="1">
      <alignment horizontal="center" vertical="top"/>
    </xf>
    <xf numFmtId="0" fontId="2" fillId="9" borderId="3" xfId="0" applyFont="1" applyFill="1" applyBorder="1" applyAlignment="1">
      <alignment horizontal="left" vertical="center" wrapText="1"/>
    </xf>
    <xf numFmtId="0" fontId="2" fillId="9" borderId="5" xfId="0" applyFont="1" applyFill="1" applyBorder="1" applyAlignment="1">
      <alignment horizontal="left" vertical="center" wrapText="1"/>
    </xf>
    <xf numFmtId="0" fontId="2" fillId="9" borderId="6" xfId="0" applyFont="1" applyFill="1" applyBorder="1" applyAlignment="1">
      <alignment horizontal="left" vertical="center" wrapText="1"/>
    </xf>
    <xf numFmtId="0" fontId="2" fillId="9" borderId="7" xfId="0" applyFont="1" applyFill="1" applyBorder="1" applyAlignment="1">
      <alignment horizontal="left" vertical="center" wrapText="1"/>
    </xf>
    <xf numFmtId="0" fontId="2" fillId="9" borderId="8" xfId="0" applyFont="1" applyFill="1" applyBorder="1" applyAlignment="1">
      <alignment horizontal="left" vertical="center" wrapText="1"/>
    </xf>
    <xf numFmtId="0" fontId="2" fillId="9" borderId="9" xfId="0" applyFont="1" applyFill="1" applyBorder="1" applyAlignment="1">
      <alignment horizontal="left" vertical="center" wrapText="1"/>
    </xf>
    <xf numFmtId="0" fontId="34" fillId="9" borderId="6" xfId="0" applyFont="1" applyFill="1" applyBorder="1" applyAlignment="1">
      <alignment horizontal="center"/>
    </xf>
    <xf numFmtId="0" fontId="34" fillId="9" borderId="7" xfId="0" applyFont="1" applyFill="1" applyBorder="1" applyAlignment="1">
      <alignment horizontal="center"/>
    </xf>
    <xf numFmtId="0" fontId="44" fillId="12" borderId="0" xfId="0" applyFont="1" applyFill="1" applyAlignment="1">
      <alignment horizontal="center"/>
    </xf>
    <xf numFmtId="0" fontId="44" fillId="0" borderId="10" xfId="0" applyFont="1" applyBorder="1" applyAlignment="1">
      <alignment horizontal="center"/>
    </xf>
    <xf numFmtId="0" fontId="44" fillId="0" borderId="10" xfId="0" applyFont="1" applyFill="1" applyBorder="1" applyAlignment="1">
      <alignment horizontal="center"/>
    </xf>
    <xf numFmtId="0" fontId="0" fillId="0" borderId="0" xfId="0" applyAlignment="1">
      <alignment horizontal="center" wrapText="1"/>
    </xf>
    <xf numFmtId="175" fontId="23" fillId="0" borderId="0" xfId="2" applyNumberFormat="1" applyFont="1" applyAlignment="1" applyProtection="1">
      <alignment horizontal="center"/>
      <protection locked="0"/>
    </xf>
  </cellXfs>
  <cellStyles count="5">
    <cellStyle name="Currency" xfId="4" builtinId="4"/>
    <cellStyle name="Normal" xfId="0" builtinId="0"/>
    <cellStyle name="Normal 2" xfId="2" xr:uid="{00000000-0005-0000-0000-000002000000}"/>
    <cellStyle name="Normal 2 2" xfId="3" xr:uid="{00000000-0005-0000-0000-000003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5F308-3896-364C-A9B1-B02FFA6C5D48}">
  <sheetPr>
    <tabColor theme="6"/>
    <pageSetUpPr fitToPage="1"/>
  </sheetPr>
  <dimension ref="A1:N96"/>
  <sheetViews>
    <sheetView showGridLines="0" tabSelected="1" zoomScale="114" zoomScaleNormal="128" workbookViewId="0">
      <selection activeCell="C7" sqref="C7"/>
    </sheetView>
  </sheetViews>
  <sheetFormatPr baseColWidth="10" defaultColWidth="10.83203125" defaultRowHeight="16" x14ac:dyDescent="0.2"/>
  <cols>
    <col min="1" max="1" width="29.5" style="71" customWidth="1"/>
    <col min="2" max="14" width="12.1640625" style="71" customWidth="1"/>
    <col min="15" max="15" width="14.83203125" style="71" customWidth="1"/>
    <col min="16" max="16384" width="10.83203125" style="71"/>
  </cols>
  <sheetData>
    <row r="1" spans="1:14" ht="19" x14ac:dyDescent="0.25">
      <c r="A1" s="268" t="s">
        <v>184</v>
      </c>
      <c r="B1" s="268"/>
      <c r="C1" s="268"/>
      <c r="D1" s="268"/>
      <c r="E1" s="268"/>
      <c r="F1" s="268"/>
      <c r="G1" s="268"/>
      <c r="H1" s="268"/>
      <c r="I1" s="268"/>
      <c r="J1" s="268"/>
      <c r="K1" s="268"/>
      <c r="L1" s="268"/>
      <c r="M1" s="268"/>
      <c r="N1" s="268"/>
    </row>
    <row r="2" spans="1:14" ht="20" thickBot="1" x14ac:dyDescent="0.3">
      <c r="A2" s="269" t="s">
        <v>185</v>
      </c>
      <c r="B2" s="269"/>
      <c r="C2" s="269"/>
      <c r="D2" s="269"/>
      <c r="E2" s="269"/>
      <c r="F2" s="269"/>
      <c r="G2" s="269"/>
      <c r="H2" s="269"/>
      <c r="I2" s="269"/>
      <c r="J2" s="269"/>
      <c r="K2" s="269"/>
      <c r="L2" s="269"/>
      <c r="M2" s="269"/>
      <c r="N2" s="269"/>
    </row>
    <row r="3" spans="1:14" ht="19" customHeight="1" x14ac:dyDescent="0.2">
      <c r="A3" s="288" t="s">
        <v>188</v>
      </c>
      <c r="B3" s="289"/>
      <c r="C3" s="289"/>
      <c r="D3" s="289"/>
      <c r="E3" s="289"/>
      <c r="F3" s="289"/>
      <c r="G3" s="289"/>
      <c r="H3" s="289"/>
      <c r="I3" s="289"/>
      <c r="J3" s="289"/>
      <c r="K3" s="289"/>
      <c r="L3" s="289"/>
      <c r="M3" s="289"/>
      <c r="N3" s="290"/>
    </row>
    <row r="4" spans="1:14" ht="19" customHeight="1" x14ac:dyDescent="0.2">
      <c r="A4" s="291"/>
      <c r="B4" s="292"/>
      <c r="C4" s="292"/>
      <c r="D4" s="292"/>
      <c r="E4" s="292"/>
      <c r="F4" s="292"/>
      <c r="G4" s="292"/>
      <c r="H4" s="292"/>
      <c r="I4" s="292"/>
      <c r="J4" s="292"/>
      <c r="K4" s="292"/>
      <c r="L4" s="292"/>
      <c r="M4" s="292"/>
      <c r="N4" s="293"/>
    </row>
    <row r="5" spans="1:14" ht="19" customHeight="1" thickBot="1" x14ac:dyDescent="0.25">
      <c r="A5" s="294"/>
      <c r="B5" s="295"/>
      <c r="C5" s="295"/>
      <c r="D5" s="295"/>
      <c r="E5" s="295"/>
      <c r="F5" s="295"/>
      <c r="G5" s="295"/>
      <c r="H5" s="295"/>
      <c r="I5" s="295"/>
      <c r="J5" s="295"/>
      <c r="K5" s="295"/>
      <c r="L5" s="295"/>
      <c r="M5" s="295"/>
      <c r="N5" s="296"/>
    </row>
    <row r="6" spans="1:14" x14ac:dyDescent="0.2">
      <c r="A6" s="80"/>
      <c r="B6" s="81"/>
      <c r="C6" s="81"/>
      <c r="D6" s="81"/>
      <c r="E6" s="81"/>
      <c r="F6" s="81"/>
      <c r="G6" s="81"/>
      <c r="H6" s="81"/>
      <c r="I6" s="81"/>
      <c r="J6" s="81"/>
      <c r="K6" s="81"/>
      <c r="L6" s="81"/>
      <c r="M6" s="81"/>
      <c r="N6" s="82"/>
    </row>
    <row r="7" spans="1:14" ht="17" x14ac:dyDescent="0.2">
      <c r="A7" s="83" t="s">
        <v>110</v>
      </c>
      <c r="B7" s="72">
        <v>36799</v>
      </c>
      <c r="C7" s="72">
        <v>37163</v>
      </c>
      <c r="D7" s="72">
        <v>37527</v>
      </c>
      <c r="E7" s="72">
        <v>37891</v>
      </c>
      <c r="F7" s="72">
        <v>38255</v>
      </c>
      <c r="G7" s="72">
        <v>38619</v>
      </c>
      <c r="H7" s="72">
        <v>38990</v>
      </c>
      <c r="I7" s="72">
        <v>39354</v>
      </c>
      <c r="J7" s="72">
        <v>39718</v>
      </c>
      <c r="K7" s="72">
        <v>40082</v>
      </c>
      <c r="L7" s="72">
        <v>40446</v>
      </c>
      <c r="M7" s="72">
        <v>40810</v>
      </c>
      <c r="N7" s="84">
        <v>41181</v>
      </c>
    </row>
    <row r="8" spans="1:14" x14ac:dyDescent="0.2">
      <c r="A8" s="85"/>
      <c r="B8" s="73"/>
      <c r="C8" s="73"/>
      <c r="D8" s="73"/>
      <c r="E8" s="73"/>
      <c r="F8" s="73"/>
      <c r="G8" s="73"/>
      <c r="H8" s="73"/>
      <c r="I8" s="73"/>
      <c r="J8" s="73"/>
      <c r="K8" s="73"/>
      <c r="L8" s="73"/>
      <c r="M8" s="73"/>
      <c r="N8" s="86"/>
    </row>
    <row r="9" spans="1:14" x14ac:dyDescent="0.2">
      <c r="A9" s="87" t="s">
        <v>126</v>
      </c>
      <c r="B9" s="74" t="s">
        <v>9</v>
      </c>
      <c r="C9" s="75">
        <f>('Annual Summary'!C$4-'Annual Summary'!B$4)/'Annual Summary'!B$4</f>
        <v>-0.32819741951647252</v>
      </c>
      <c r="D9" s="75">
        <f>('Annual Summary'!D$4-'Annual Summary'!C$4)/'Annual Summary'!C$4</f>
        <v>7.066940145440985E-2</v>
      </c>
      <c r="E9" s="75">
        <f>('Annual Summary'!E$4-'Annual Summary'!D$4)/'Annual Summary'!D$4</f>
        <v>8.0982236154649945E-2</v>
      </c>
      <c r="F9" s="75">
        <f>('Annual Summary'!F$4-'Annual Summary'!E$4)/'Annual Summary'!E$4</f>
        <v>0.33381665861124538</v>
      </c>
      <c r="G9" s="75">
        <f>('Annual Summary'!G$4-'Annual Summary'!F$4)/'Annual Summary'!F$4</f>
        <v>0.68269114627370453</v>
      </c>
      <c r="H9" s="75">
        <f>('Annual Summary'!H$4-'Annual Summary'!G$4)/'Annual Summary'!G$4</f>
        <v>0.38647620414902017</v>
      </c>
      <c r="I9" s="75">
        <f>('Annual Summary'!I$4-'Annual Summary'!H$4)/'Annual Summary'!H$4</f>
        <v>0.27248252653378202</v>
      </c>
      <c r="J9" s="75">
        <f>('Annual Summary'!J$4-'Annual Summary'!I$4)/'Annual Summary'!I$4</f>
        <v>0.52538855887378955</v>
      </c>
      <c r="K9" s="75">
        <f>('Annual Summary'!K$4-'Annual Summary'!J$4)/'Annual Summary'!J$4</f>
        <v>0.14440799125123363</v>
      </c>
      <c r="L9" s="75">
        <f>('Annual Summary'!L$4-'Annual Summary'!K$4)/'Annual Summary'!K$4</f>
        <v>0.52021908868430256</v>
      </c>
      <c r="M9" s="75">
        <f>('Annual Summary'!M$4-'Annual Summary'!L$4)/'Annual Summary'!L$4</f>
        <v>0.65962437715599842</v>
      </c>
      <c r="N9" s="88">
        <f>('Annual Summary'!N$4-'Annual Summary'!M$4)/'Annual Summary'!M$4</f>
        <v>0.44581474193756987</v>
      </c>
    </row>
    <row r="10" spans="1:14" x14ac:dyDescent="0.2">
      <c r="A10" s="89"/>
      <c r="B10" s="76"/>
      <c r="C10" s="76"/>
      <c r="D10" s="76"/>
      <c r="E10" s="76"/>
      <c r="F10" s="76"/>
      <c r="G10" s="76"/>
      <c r="H10" s="76"/>
      <c r="I10" s="76"/>
      <c r="J10" s="76"/>
      <c r="K10" s="76"/>
      <c r="L10" s="76"/>
      <c r="M10" s="76"/>
      <c r="N10" s="90"/>
    </row>
    <row r="11" spans="1:14" x14ac:dyDescent="0.2">
      <c r="A11" s="87" t="s">
        <v>186</v>
      </c>
      <c r="B11" s="75">
        <f>'Annual Summary'!B$12/'Annual Summary'!$B$4</f>
        <v>6.6391081047225353E-2</v>
      </c>
      <c r="C11" s="75">
        <f>'Annual Summary'!C$12/'Annual Summary'!C$4</f>
        <v>-6.2092112623531606E-2</v>
      </c>
      <c r="D11" s="75">
        <f>'Annual Summary'!D$12/'Annual Summary'!D$4</f>
        <v>8.3594566353187051E-3</v>
      </c>
      <c r="E11" s="75">
        <f>'Annual Summary'!E$12/'Annual Summary'!E$4</f>
        <v>4.0277106492669565E-3</v>
      </c>
      <c r="F11" s="75">
        <f>'Annual Summary'!F$12/'Annual Summary'!F$4</f>
        <v>4.0584611668075851E-2</v>
      </c>
      <c r="G11" s="75">
        <f>'Annual Summary'!G$12/'Annual Summary'!G$4</f>
        <v>0.11793841073864045</v>
      </c>
      <c r="H11" s="75">
        <f>'Annual Summary'!H$12/'Annual Summary'!H$4</f>
        <v>0.1269997411338338</v>
      </c>
      <c r="I11" s="75">
        <f>'Annual Summary'!I$12/'Annual Summary'!I$4</f>
        <v>0.17930669704613883</v>
      </c>
      <c r="J11" s="75">
        <f>'Annual Summary'!J$12/'Annual Summary'!J$4</f>
        <v>0.22210663892667573</v>
      </c>
      <c r="K11" s="75">
        <f>'Annual Summary'!K$12/'Annual Summary'!K$4</f>
        <v>0.2736277823097541</v>
      </c>
      <c r="L11" s="75">
        <f>'Annual Summary'!L$12/'Annual Summary'!L$4</f>
        <v>0.28187044844768111</v>
      </c>
      <c r="M11" s="75">
        <f>'Annual Summary'!M$12/'Annual Summary'!M$4</f>
        <v>0.31215068961376086</v>
      </c>
      <c r="N11" s="88">
        <f>'Annual Summary'!N$12/'Annual Summary'!N$4</f>
        <v>0.35295959311984054</v>
      </c>
    </row>
    <row r="12" spans="1:14" x14ac:dyDescent="0.2">
      <c r="A12" s="89"/>
      <c r="B12" s="76"/>
      <c r="C12" s="76"/>
      <c r="D12" s="76"/>
      <c r="E12" s="76"/>
      <c r="F12" s="76"/>
      <c r="G12" s="76"/>
      <c r="H12" s="76"/>
      <c r="I12" s="76"/>
      <c r="J12" s="76"/>
      <c r="K12" s="76"/>
      <c r="L12" s="76"/>
      <c r="M12" s="76"/>
      <c r="N12" s="90"/>
    </row>
    <row r="13" spans="1:14" x14ac:dyDescent="0.2">
      <c r="A13" s="87" t="s">
        <v>127</v>
      </c>
      <c r="B13" s="75">
        <f>'Annual Summary'!B$14/'Annual Summary'!B$4</f>
        <v>9.8459225854941754E-2</v>
      </c>
      <c r="C13" s="75">
        <f>'Annual Summary'!C$14/'Annual Summary'!C$4</f>
        <v>-4.6615700167816519E-3</v>
      </c>
      <c r="D13" s="75">
        <f>'Annual Summary'!D$14/'Annual Summary'!D$4</f>
        <v>1.1320097526994078E-2</v>
      </c>
      <c r="E13" s="75">
        <f>'Annual Summary'!E$14/'Annual Summary'!E$4</f>
        <v>1.1116481391976801E-2</v>
      </c>
      <c r="F13" s="75">
        <f>'Annual Summary'!F$14/'Annual Summary'!F$4</f>
        <v>3.2129484237226717E-2</v>
      </c>
      <c r="G13" s="75">
        <f>'Annual Summary'!G$14/'Annual Summary'!G$4</f>
        <v>9.5326968631110467E-2</v>
      </c>
      <c r="H13" s="75">
        <f>'Annual Summary'!H$14/'Annual Summary'!H$4</f>
        <v>0.10297696091120891</v>
      </c>
      <c r="I13" s="75">
        <f>'Annual Summary'!I$14/'Annual Summary'!I$4</f>
        <v>0.14220034176906177</v>
      </c>
      <c r="J13" s="75">
        <f>'Annual Summary'!J$14/'Annual Summary'!J$4</f>
        <v>0.16321250433437359</v>
      </c>
      <c r="K13" s="75">
        <f>'Annual Summary'!K$14/'Annual Summary'!K$4</f>
        <v>0.19193567183311969</v>
      </c>
      <c r="L13" s="75">
        <f>'Annual Summary'!L$14/'Annual Summary'!L$4</f>
        <v>0.21484093522422384</v>
      </c>
      <c r="M13" s="75">
        <f>'Annual Summary'!M$14/'Annual Summary'!M$4</f>
        <v>0.2394664153941376</v>
      </c>
      <c r="N13" s="88">
        <f>'Annual Summary'!N$14/'Annual Summary'!N$4</f>
        <v>0.26665090602397323</v>
      </c>
    </row>
    <row r="14" spans="1:14" x14ac:dyDescent="0.2">
      <c r="A14" s="89"/>
      <c r="B14" s="76"/>
      <c r="C14" s="76"/>
      <c r="D14" s="76"/>
      <c r="E14" s="76"/>
      <c r="F14" s="76"/>
      <c r="G14" s="76"/>
      <c r="H14" s="76"/>
      <c r="I14" s="76"/>
      <c r="J14" s="76"/>
      <c r="K14" s="76"/>
      <c r="L14" s="76"/>
      <c r="M14" s="76"/>
      <c r="N14" s="90"/>
    </row>
    <row r="15" spans="1:14" x14ac:dyDescent="0.2">
      <c r="A15" s="87" t="s">
        <v>187</v>
      </c>
      <c r="B15" s="75">
        <f>'Annual Summary'!B$17/'Annual Summary'!B$4</f>
        <v>0.10873105348866341</v>
      </c>
      <c r="C15" s="75">
        <f>'Annual Summary'!C$17/'Annual Summary'!C$4</f>
        <v>3.4495618124184224E-2</v>
      </c>
      <c r="D15" s="75">
        <f>'Annual Summary'!D$17/'Annual Summary'!D$4</f>
        <v>1.5499825844653431E-2</v>
      </c>
      <c r="E15" s="75">
        <f>'Annual Summary'!E$17/'Annual Summary'!E$4</f>
        <v>4.656033510552602E-2</v>
      </c>
      <c r="F15" s="75">
        <f>'Annual Summary'!F$17/'Annual Summary'!F$4</f>
        <v>0.11281555743447276</v>
      </c>
      <c r="G15" s="75">
        <f>'Annual Summary'!G$17/'Annual Summary'!G$4</f>
        <v>0.18196827219869355</v>
      </c>
      <c r="H15" s="75">
        <f>'Annual Summary'!H$17/'Annual Summary'!H$4</f>
        <v>0.11493657778928294</v>
      </c>
      <c r="I15" s="75">
        <f>'Annual Summary'!I$17/'Annual Summary'!I$4</f>
        <v>0.22255675807632844</v>
      </c>
      <c r="J15" s="75">
        <f>'Annual Summary'!J$17/'Annual Summary'!J$4</f>
        <v>0.25595476247632765</v>
      </c>
      <c r="K15" s="75">
        <f>'Annual Summary'!K$17/'Annual Summary'!K$4</f>
        <v>0.23677893019461602</v>
      </c>
      <c r="L15" s="75">
        <f>'Annual Summary'!L$17/'Annual Summary'!L$4</f>
        <v>0.28509007282483712</v>
      </c>
      <c r="M15" s="75">
        <f>'Annual Summary'!M$17/'Annual Summary'!M$4</f>
        <v>0.3466914244011492</v>
      </c>
      <c r="N15" s="88">
        <f>'Annual Summary'!N$17/'Annual Summary'!N$4</f>
        <v>0.32494185600736064</v>
      </c>
    </row>
    <row r="16" spans="1:14" x14ac:dyDescent="0.2">
      <c r="A16" s="89"/>
      <c r="B16" s="76"/>
      <c r="C16" s="76"/>
      <c r="D16" s="76"/>
      <c r="E16" s="76"/>
      <c r="F16" s="76"/>
      <c r="G16" s="76"/>
      <c r="H16" s="76"/>
      <c r="I16" s="76"/>
      <c r="J16" s="76"/>
      <c r="K16" s="76"/>
      <c r="L16" s="76"/>
      <c r="M16" s="76"/>
      <c r="N16" s="90"/>
    </row>
    <row r="17" spans="1:14" x14ac:dyDescent="0.2">
      <c r="A17" s="87" t="s">
        <v>113</v>
      </c>
      <c r="B17" s="77">
        <f>'Annual Summary'!B$4/'Annual Summary'!B$25</f>
        <v>1.1734528884315742</v>
      </c>
      <c r="C17" s="77">
        <f>'Annual Summary'!C$4/'Annual Summary'!C$25</f>
        <v>0.89071582793555892</v>
      </c>
      <c r="D17" s="77">
        <f>'Annual Summary'!D$4/'Annual Summary'!D$25</f>
        <v>0.9117180057161004</v>
      </c>
      <c r="E17" s="77">
        <f>'Annual Summary'!E$4/'Annual Summary'!E$25</f>
        <v>0.91078503301540714</v>
      </c>
      <c r="F17" s="77">
        <f>'Annual Summary'!F$4/'Annual Summary'!F$25</f>
        <v>1.0284472049689442</v>
      </c>
      <c r="G17" s="77">
        <f>'Annual Summary'!G$4/'Annual Summary'!G$25</f>
        <v>1.2097082320250088</v>
      </c>
      <c r="H17" s="77">
        <f>'Annual Summary'!H$4/'Annual Summary'!H$25</f>
        <v>1.1226387678000582</v>
      </c>
      <c r="I17" s="77">
        <f>'Annual Summary'!I$4/'Annual Summary'!I$25</f>
        <v>0.96966110387817095</v>
      </c>
      <c r="J17" s="77">
        <f>'Annual Summary'!J$4/'Annual Summary'!J$25</f>
        <v>1.0364933233806088</v>
      </c>
      <c r="K17" s="77">
        <f>'Annual Summary'!K$4/'Annual Summary'!K$25</f>
        <v>0.90324414222858462</v>
      </c>
      <c r="L17" s="77">
        <f>'Annual Summary'!L$4/'Annual Summary'!L$25</f>
        <v>0.86754984504475741</v>
      </c>
      <c r="M17" s="77">
        <f>'Annual Summary'!M$4/'Annual Summary'!M$25</f>
        <v>0.93020597915288172</v>
      </c>
      <c r="N17" s="91">
        <f>'Annual Summary'!N$4/'Annual Summary'!N$25</f>
        <v>0.88892675390766995</v>
      </c>
    </row>
    <row r="18" spans="1:14" x14ac:dyDescent="0.2">
      <c r="A18" s="89"/>
      <c r="B18" s="76"/>
      <c r="C18" s="76"/>
      <c r="D18" s="76"/>
      <c r="E18" s="76"/>
      <c r="F18" s="76"/>
      <c r="G18" s="76"/>
      <c r="H18" s="76"/>
      <c r="I18" s="76"/>
      <c r="J18" s="76"/>
      <c r="K18" s="76"/>
      <c r="L18" s="76"/>
      <c r="M18" s="76"/>
      <c r="N18" s="90"/>
    </row>
    <row r="19" spans="1:14" x14ac:dyDescent="0.2">
      <c r="A19" s="87" t="s">
        <v>128</v>
      </c>
      <c r="B19" s="77">
        <f>'Annual Summary'!B$29/'Annual Summary'!B$31</f>
        <v>7.3046018991964931E-2</v>
      </c>
      <c r="C19" s="77">
        <f>'Annual Summary'!C$29/'Annual Summary'!C$31</f>
        <v>8.0867346938775508E-2</v>
      </c>
      <c r="D19" s="77">
        <f>'Annual Summary'!D$29/'Annual Summary'!D$31</f>
        <v>7.7167277167277171E-2</v>
      </c>
      <c r="E19" s="77">
        <f>'Annual Summary'!E$29/'Annual Summary'!E$31</f>
        <v>0</v>
      </c>
      <c r="F19" s="77">
        <f>'Annual Summary'!F$29/'Annual Summary'!F$31</f>
        <v>0</v>
      </c>
      <c r="G19" s="77">
        <f>'Annual Summary'!G$29/'Annual Summary'!G$31</f>
        <v>0</v>
      </c>
      <c r="H19" s="77">
        <f>'Annual Summary'!H$29/'Annual Summary'!H$31</f>
        <v>0</v>
      </c>
      <c r="I19" s="77">
        <f>'Annual Summary'!I$29/'Annual Summary'!I$31</f>
        <v>0</v>
      </c>
      <c r="J19" s="77">
        <f>'Annual Summary'!J$29/'Annual Summary'!J$31</f>
        <v>0</v>
      </c>
      <c r="K19" s="77">
        <f>'Annual Summary'!K$29/'Annual Summary'!K$31</f>
        <v>0</v>
      </c>
      <c r="L19" s="77">
        <f>'Annual Summary'!L$29/'Annual Summary'!L$31</f>
        <v>0</v>
      </c>
      <c r="M19" s="77">
        <f>'Annual Summary'!M$29/'Annual Summary'!M$31</f>
        <v>0</v>
      </c>
      <c r="N19" s="91">
        <f>'Annual Summary'!N$29/'Annual Summary'!N$31</f>
        <v>0</v>
      </c>
    </row>
    <row r="20" spans="1:14" x14ac:dyDescent="0.2">
      <c r="A20" s="89"/>
      <c r="B20" s="78"/>
      <c r="C20" s="78"/>
      <c r="D20" s="78"/>
      <c r="E20" s="78"/>
      <c r="F20" s="78"/>
      <c r="G20" s="78"/>
      <c r="H20" s="78"/>
      <c r="I20" s="78"/>
      <c r="J20" s="78"/>
      <c r="K20" s="78"/>
      <c r="L20" s="78"/>
      <c r="M20" s="78"/>
      <c r="N20" s="92"/>
    </row>
    <row r="21" spans="1:14" x14ac:dyDescent="0.2">
      <c r="A21" s="87" t="s">
        <v>129</v>
      </c>
      <c r="B21" s="77">
        <f>('Annual Summary'!B$29-'Annual Summary'!B$19)/'Annual Summary'!B$25</f>
        <v>-0.54784653829193009</v>
      </c>
      <c r="C21" s="77">
        <f>('Annual Summary'!C$29-'Annual Summary'!C$19)/'Annual Summary'!C$25</f>
        <v>-0.66749709350606212</v>
      </c>
      <c r="D21" s="77">
        <f>('Annual Summary'!D$29-'Annual Summary'!D$19)/'Annual Summary'!D$25</f>
        <v>-0.63845665290568432</v>
      </c>
      <c r="E21" s="77">
        <f>('Annual Summary'!E$29-'Annual Summary'!E$19)/'Annual Summary'!E$25</f>
        <v>-0.66999266324284668</v>
      </c>
      <c r="F21" s="77">
        <f>('Annual Summary'!F$29-'Annual Summary'!F$19)/'Annual Summary'!F$25</f>
        <v>-0.6787577639751553</v>
      </c>
      <c r="G21" s="77">
        <f>('Annual Summary'!G$29-'Annual Summary'!G$19)/'Annual Summary'!G$25</f>
        <v>-0.71734977422716217</v>
      </c>
      <c r="H21" s="77">
        <f>('Annual Summary'!H$29-'Annual Summary'!H$19)/'Annual Summary'!H$25</f>
        <v>-0.58761987794245862</v>
      </c>
      <c r="I21" s="77">
        <f>('Annual Summary'!I$29-'Annual Summary'!I$19)/'Annual Summary'!I$25</f>
        <v>-0.60701463684065171</v>
      </c>
      <c r="J21" s="77">
        <f>('Annual Summary'!J$29-'Annual Summary'!J$19)/'Annual Summary'!J$25</f>
        <v>-0.67706173453871887</v>
      </c>
      <c r="K21" s="77">
        <f>('Annual Summary'!K$29-'Annual Summary'!K$19)/'Annual Summary'!K$25</f>
        <v>-0.7156059872423739</v>
      </c>
      <c r="L21" s="77">
        <f>('Annual Summary'!L$29-'Annual Summary'!L$19)/'Annual Summary'!L$25</f>
        <v>-0.67849114826490031</v>
      </c>
      <c r="M21" s="77">
        <f>('Annual Summary'!M$29-'Annual Summary'!M$19)/'Annual Summary'!M$25</f>
        <v>-0.70094783064509203</v>
      </c>
      <c r="N21" s="91">
        <f>('Annual Summary'!N$29-'Annual Summary'!N$19)/'Annual Summary'!N$25</f>
        <v>-0.68867570883315155</v>
      </c>
    </row>
    <row r="22" spans="1:14" x14ac:dyDescent="0.2">
      <c r="A22" s="89"/>
      <c r="B22" s="76"/>
      <c r="C22" s="76"/>
      <c r="D22" s="76"/>
      <c r="E22" s="76"/>
      <c r="F22" s="76"/>
      <c r="G22" s="76"/>
      <c r="H22" s="76"/>
      <c r="I22" s="76"/>
      <c r="J22" s="76"/>
      <c r="K22" s="76"/>
      <c r="L22" s="76"/>
      <c r="M22" s="76"/>
      <c r="N22" s="90"/>
    </row>
    <row r="23" spans="1:14" x14ac:dyDescent="0.2">
      <c r="A23" s="93"/>
      <c r="B23" s="79"/>
      <c r="C23" s="79"/>
      <c r="D23" s="79"/>
      <c r="E23" s="79"/>
      <c r="F23" s="79"/>
      <c r="G23" s="79"/>
      <c r="H23" s="79"/>
      <c r="I23" s="79"/>
      <c r="J23" s="79"/>
      <c r="K23" s="79"/>
      <c r="L23" s="79"/>
      <c r="M23" s="79"/>
      <c r="N23" s="94"/>
    </row>
    <row r="24" spans="1:14" ht="17" thickBot="1" x14ac:dyDescent="0.25">
      <c r="A24" s="95"/>
      <c r="B24" s="96"/>
      <c r="C24" s="96"/>
      <c r="D24" s="96"/>
      <c r="E24" s="96"/>
      <c r="F24" s="96"/>
      <c r="G24" s="96"/>
      <c r="H24" s="96"/>
      <c r="I24" s="96"/>
      <c r="J24" s="96"/>
      <c r="K24" s="96"/>
      <c r="L24" s="96"/>
      <c r="M24" s="96"/>
      <c r="N24" s="97"/>
    </row>
    <row r="27" spans="1:14" ht="20" thickBot="1" x14ac:dyDescent="0.3">
      <c r="A27" s="269" t="s">
        <v>190</v>
      </c>
      <c r="B27" s="269"/>
      <c r="C27" s="269"/>
      <c r="D27" s="269"/>
      <c r="E27" s="269"/>
      <c r="F27" s="269"/>
      <c r="G27" s="269"/>
      <c r="H27" s="269"/>
      <c r="I27" s="269"/>
      <c r="J27" s="269"/>
      <c r="K27" s="269"/>
      <c r="L27" s="269"/>
      <c r="M27" s="269"/>
      <c r="N27" s="269"/>
    </row>
    <row r="28" spans="1:14" x14ac:dyDescent="0.2">
      <c r="A28" s="297"/>
      <c r="B28" s="298"/>
      <c r="C28" s="298"/>
      <c r="D28" s="298"/>
      <c r="E28" s="298"/>
      <c r="F28" s="298"/>
      <c r="G28" s="298"/>
      <c r="H28" s="298"/>
      <c r="I28" s="298"/>
      <c r="J28" s="298"/>
      <c r="K28" s="298"/>
      <c r="L28" s="298"/>
      <c r="M28" s="298"/>
      <c r="N28" s="299"/>
    </row>
    <row r="29" spans="1:14" x14ac:dyDescent="0.2">
      <c r="A29" s="101" t="s">
        <v>43</v>
      </c>
      <c r="B29" s="102">
        <v>36799</v>
      </c>
      <c r="C29" s="102">
        <v>37163</v>
      </c>
      <c r="D29" s="102">
        <v>37527</v>
      </c>
      <c r="E29" s="102">
        <v>37891</v>
      </c>
      <c r="F29" s="102">
        <v>38255</v>
      </c>
      <c r="G29" s="102">
        <v>38619</v>
      </c>
      <c r="H29" s="102">
        <v>38990</v>
      </c>
      <c r="I29" s="102">
        <v>39354</v>
      </c>
      <c r="J29" s="102">
        <v>39718</v>
      </c>
      <c r="K29" s="103">
        <v>40082</v>
      </c>
      <c r="L29" s="103">
        <v>40446</v>
      </c>
      <c r="M29" s="103">
        <v>40810</v>
      </c>
      <c r="N29" s="104">
        <v>41181</v>
      </c>
    </row>
    <row r="30" spans="1:14" x14ac:dyDescent="0.2">
      <c r="A30" s="105" t="s">
        <v>44</v>
      </c>
      <c r="B30" s="106">
        <v>7983</v>
      </c>
      <c r="C30" s="106">
        <v>5363</v>
      </c>
      <c r="D30" s="106">
        <v>5742</v>
      </c>
      <c r="E30" s="106">
        <v>6207</v>
      </c>
      <c r="F30" s="106">
        <v>8279</v>
      </c>
      <c r="G30" s="106">
        <v>13931</v>
      </c>
      <c r="H30" s="106">
        <v>19315</v>
      </c>
      <c r="I30" s="106">
        <v>24578</v>
      </c>
      <c r="J30" s="106">
        <v>37491</v>
      </c>
      <c r="K30" s="106">
        <v>42905</v>
      </c>
      <c r="L30" s="106">
        <v>65225</v>
      </c>
      <c r="M30" s="106">
        <v>108249</v>
      </c>
      <c r="N30" s="107">
        <v>156508</v>
      </c>
    </row>
    <row r="31" spans="1:14" x14ac:dyDescent="0.2">
      <c r="A31" s="105" t="s">
        <v>58</v>
      </c>
      <c r="B31" s="106">
        <v>786</v>
      </c>
      <c r="C31" s="106">
        <v>-25</v>
      </c>
      <c r="D31" s="106">
        <v>65</v>
      </c>
      <c r="E31" s="106">
        <v>69</v>
      </c>
      <c r="F31" s="106">
        <v>266</v>
      </c>
      <c r="G31" s="106">
        <v>1328</v>
      </c>
      <c r="H31" s="106">
        <v>1989</v>
      </c>
      <c r="I31" s="106">
        <v>3495</v>
      </c>
      <c r="J31" s="106">
        <v>6119</v>
      </c>
      <c r="K31" s="106">
        <v>8235</v>
      </c>
      <c r="L31" s="106">
        <v>14013</v>
      </c>
      <c r="M31" s="106">
        <v>25922</v>
      </c>
      <c r="N31" s="107">
        <v>41733</v>
      </c>
    </row>
    <row r="32" spans="1:14" x14ac:dyDescent="0.2">
      <c r="A32" s="105" t="s">
        <v>24</v>
      </c>
      <c r="B32" s="106">
        <v>6803</v>
      </c>
      <c r="C32" s="106">
        <v>6021</v>
      </c>
      <c r="D32" s="106">
        <v>6298</v>
      </c>
      <c r="E32" s="106">
        <v>6815</v>
      </c>
      <c r="F32" s="106">
        <v>8050</v>
      </c>
      <c r="G32" s="106">
        <v>11516</v>
      </c>
      <c r="H32" s="106">
        <v>17205</v>
      </c>
      <c r="I32" s="106">
        <v>25347</v>
      </c>
      <c r="J32" s="106">
        <v>36171</v>
      </c>
      <c r="K32" s="106">
        <v>47501</v>
      </c>
      <c r="L32" s="106">
        <v>75183</v>
      </c>
      <c r="M32" s="106">
        <v>116371</v>
      </c>
      <c r="N32" s="107">
        <v>176064</v>
      </c>
    </row>
    <row r="33" spans="1:14" x14ac:dyDescent="0.2">
      <c r="A33" s="105" t="s">
        <v>111</v>
      </c>
      <c r="B33" s="106">
        <v>4107</v>
      </c>
      <c r="C33" s="106">
        <v>3920</v>
      </c>
      <c r="D33" s="106">
        <v>4095</v>
      </c>
      <c r="E33" s="106">
        <v>4223</v>
      </c>
      <c r="F33" s="106">
        <v>5076</v>
      </c>
      <c r="G33" s="106">
        <v>7428</v>
      </c>
      <c r="H33" s="106">
        <v>9984</v>
      </c>
      <c r="I33" s="106">
        <v>14532</v>
      </c>
      <c r="J33" s="106">
        <v>22297</v>
      </c>
      <c r="K33" s="106">
        <v>31640</v>
      </c>
      <c r="L33" s="106">
        <v>47791</v>
      </c>
      <c r="M33" s="106">
        <v>76615</v>
      </c>
      <c r="N33" s="107">
        <v>118210</v>
      </c>
    </row>
    <row r="34" spans="1:14" ht="17" thickBot="1" x14ac:dyDescent="0.25">
      <c r="A34" s="89"/>
      <c r="B34" s="100"/>
      <c r="C34" s="100"/>
      <c r="D34" s="100"/>
      <c r="E34" s="100"/>
      <c r="F34" s="100"/>
      <c r="G34" s="100"/>
      <c r="H34" s="100"/>
      <c r="I34" s="100"/>
      <c r="J34" s="100"/>
      <c r="K34" s="100"/>
      <c r="L34" s="100"/>
      <c r="M34" s="100"/>
      <c r="N34" s="108"/>
    </row>
    <row r="35" spans="1:14" x14ac:dyDescent="0.2">
      <c r="A35" s="112" t="s">
        <v>189</v>
      </c>
      <c r="B35" s="113">
        <f>B31/B32</f>
        <v>0.11553726297221814</v>
      </c>
      <c r="C35" s="113">
        <f t="shared" ref="C35:N35" si="0">C31/C32</f>
        <v>-4.1521341969772462E-3</v>
      </c>
      <c r="D35" s="113">
        <f t="shared" si="0"/>
        <v>1.0320736741822802E-2</v>
      </c>
      <c r="E35" s="113">
        <f t="shared" si="0"/>
        <v>1.012472487160675E-2</v>
      </c>
      <c r="F35" s="113">
        <f t="shared" si="0"/>
        <v>3.3043478260869563E-2</v>
      </c>
      <c r="G35" s="113">
        <f t="shared" si="0"/>
        <v>0.11531781868704412</v>
      </c>
      <c r="H35" s="113">
        <f t="shared" si="0"/>
        <v>0.11560592850915431</v>
      </c>
      <c r="I35" s="113">
        <f t="shared" si="0"/>
        <v>0.13788614037164162</v>
      </c>
      <c r="J35" s="113">
        <f t="shared" si="0"/>
        <v>0.1691686710348069</v>
      </c>
      <c r="K35" s="113">
        <f t="shared" si="0"/>
        <v>0.17336477126797331</v>
      </c>
      <c r="L35" s="113">
        <f t="shared" si="0"/>
        <v>0.18638522006304617</v>
      </c>
      <c r="M35" s="113">
        <f t="shared" si="0"/>
        <v>0.22275309140593447</v>
      </c>
      <c r="N35" s="114">
        <f t="shared" si="0"/>
        <v>0.23703312431842966</v>
      </c>
    </row>
    <row r="36" spans="1:14" x14ac:dyDescent="0.2">
      <c r="A36" s="89" t="s">
        <v>114</v>
      </c>
      <c r="B36" s="100">
        <f>B31/B33</f>
        <v>0.19138056975894813</v>
      </c>
      <c r="C36" s="100">
        <f t="shared" ref="C36:N36" si="1">C31/C33</f>
        <v>-6.3775510204081634E-3</v>
      </c>
      <c r="D36" s="100">
        <f t="shared" si="1"/>
        <v>1.5873015873015872E-2</v>
      </c>
      <c r="E36" s="100">
        <f t="shared" si="1"/>
        <v>1.6339095429789251E-2</v>
      </c>
      <c r="F36" s="100">
        <f t="shared" si="1"/>
        <v>5.2403467297084318E-2</v>
      </c>
      <c r="G36" s="100">
        <f t="shared" si="1"/>
        <v>0.17878298330640818</v>
      </c>
      <c r="H36" s="100">
        <f t="shared" si="1"/>
        <v>0.19921875</v>
      </c>
      <c r="I36" s="100">
        <f t="shared" si="1"/>
        <v>0.24050371593724196</v>
      </c>
      <c r="J36" s="100">
        <f t="shared" si="1"/>
        <v>0.27443153787505048</v>
      </c>
      <c r="K36" s="100">
        <f t="shared" si="1"/>
        <v>0.26027180783817949</v>
      </c>
      <c r="L36" s="100">
        <f t="shared" si="1"/>
        <v>0.29321420351112132</v>
      </c>
      <c r="M36" s="100">
        <f t="shared" si="1"/>
        <v>0.3383410559289956</v>
      </c>
      <c r="N36" s="108">
        <f t="shared" si="1"/>
        <v>0.35304119786820065</v>
      </c>
    </row>
    <row r="37" spans="1:14" x14ac:dyDescent="0.2">
      <c r="A37" s="109"/>
      <c r="B37" s="49"/>
      <c r="C37" s="49"/>
      <c r="D37" s="49"/>
      <c r="E37" s="49"/>
      <c r="F37" s="49"/>
      <c r="G37" s="49"/>
      <c r="H37" s="49"/>
      <c r="I37" s="49"/>
      <c r="J37" s="49"/>
      <c r="K37" s="110"/>
      <c r="L37" s="110"/>
      <c r="M37" s="110"/>
      <c r="N37" s="111"/>
    </row>
    <row r="38" spans="1:14" ht="17" thickBot="1" x14ac:dyDescent="0.25">
      <c r="A38" s="285"/>
      <c r="B38" s="286"/>
      <c r="C38" s="286"/>
      <c r="D38" s="286"/>
      <c r="E38" s="286"/>
      <c r="F38" s="286"/>
      <c r="G38" s="286"/>
      <c r="H38" s="286"/>
      <c r="I38" s="286"/>
      <c r="J38" s="286"/>
      <c r="K38" s="286"/>
      <c r="L38" s="286"/>
      <c r="M38" s="286"/>
      <c r="N38" s="287"/>
    </row>
    <row r="41" spans="1:14" ht="20" thickBot="1" x14ac:dyDescent="0.3">
      <c r="A41" s="300" t="s">
        <v>191</v>
      </c>
      <c r="B41" s="300"/>
      <c r="C41" s="300"/>
      <c r="D41" s="300"/>
      <c r="E41" s="300"/>
      <c r="F41" s="300"/>
      <c r="G41" s="300"/>
      <c r="H41" s="300"/>
      <c r="I41" s="300"/>
      <c r="J41" s="300"/>
      <c r="K41" s="300"/>
      <c r="L41" s="300"/>
      <c r="M41" s="300"/>
      <c r="N41" s="300"/>
    </row>
    <row r="42" spans="1:14" ht="19" customHeight="1" x14ac:dyDescent="0.2">
      <c r="A42" s="273" t="s">
        <v>193</v>
      </c>
      <c r="B42" s="274"/>
      <c r="C42" s="274"/>
      <c r="D42" s="274"/>
      <c r="E42" s="274"/>
      <c r="F42" s="274"/>
      <c r="G42" s="274"/>
      <c r="H42" s="274"/>
      <c r="I42" s="274"/>
      <c r="J42" s="274"/>
      <c r="K42" s="274"/>
      <c r="L42" s="274"/>
      <c r="M42" s="274"/>
      <c r="N42" s="275"/>
    </row>
    <row r="43" spans="1:14" ht="19" customHeight="1" x14ac:dyDescent="0.2">
      <c r="A43" s="276"/>
      <c r="B43" s="277"/>
      <c r="C43" s="277"/>
      <c r="D43" s="277"/>
      <c r="E43" s="277"/>
      <c r="F43" s="277"/>
      <c r="G43" s="277"/>
      <c r="H43" s="277"/>
      <c r="I43" s="277"/>
      <c r="J43" s="277"/>
      <c r="K43" s="277"/>
      <c r="L43" s="277"/>
      <c r="M43" s="277"/>
      <c r="N43" s="278"/>
    </row>
    <row r="44" spans="1:14" ht="19" customHeight="1" x14ac:dyDescent="0.2">
      <c r="A44" s="276"/>
      <c r="B44" s="277"/>
      <c r="C44" s="277"/>
      <c r="D44" s="277"/>
      <c r="E44" s="277"/>
      <c r="F44" s="277"/>
      <c r="G44" s="277"/>
      <c r="H44" s="277"/>
      <c r="I44" s="277"/>
      <c r="J44" s="277"/>
      <c r="K44" s="277"/>
      <c r="L44" s="277"/>
      <c r="M44" s="277"/>
      <c r="N44" s="278"/>
    </row>
    <row r="45" spans="1:14" x14ac:dyDescent="0.2">
      <c r="A45" s="282"/>
      <c r="B45" s="283"/>
      <c r="C45" s="283"/>
      <c r="D45" s="283"/>
      <c r="E45" s="283"/>
      <c r="F45" s="283"/>
      <c r="G45" s="283"/>
      <c r="H45" s="283"/>
      <c r="I45" s="283"/>
      <c r="J45" s="283"/>
      <c r="K45" s="283"/>
      <c r="L45" s="283"/>
      <c r="M45" s="283"/>
      <c r="N45" s="284"/>
    </row>
    <row r="46" spans="1:14" x14ac:dyDescent="0.2">
      <c r="A46" s="101" t="s">
        <v>43</v>
      </c>
      <c r="B46" s="102">
        <v>36799</v>
      </c>
      <c r="C46" s="102">
        <v>37163</v>
      </c>
      <c r="D46" s="102">
        <v>37527</v>
      </c>
      <c r="E46" s="102">
        <v>37891</v>
      </c>
      <c r="F46" s="102">
        <v>38255</v>
      </c>
      <c r="G46" s="102">
        <v>38619</v>
      </c>
      <c r="H46" s="102">
        <v>38990</v>
      </c>
      <c r="I46" s="102">
        <v>39354</v>
      </c>
      <c r="J46" s="102">
        <v>39718</v>
      </c>
      <c r="K46" s="103">
        <v>40082</v>
      </c>
      <c r="L46" s="103">
        <v>40446</v>
      </c>
      <c r="M46" s="103">
        <v>40810</v>
      </c>
      <c r="N46" s="104">
        <v>41181</v>
      </c>
    </row>
    <row r="47" spans="1:14" x14ac:dyDescent="0.2">
      <c r="A47" s="105" t="s">
        <v>44</v>
      </c>
      <c r="B47" s="106">
        <v>7983</v>
      </c>
      <c r="C47" s="106">
        <v>5363</v>
      </c>
      <c r="D47" s="106">
        <v>5742</v>
      </c>
      <c r="E47" s="106">
        <v>6207</v>
      </c>
      <c r="F47" s="106">
        <v>8279</v>
      </c>
      <c r="G47" s="106">
        <v>13931</v>
      </c>
      <c r="H47" s="106">
        <v>19315</v>
      </c>
      <c r="I47" s="106">
        <v>24578</v>
      </c>
      <c r="J47" s="106">
        <v>37491</v>
      </c>
      <c r="K47" s="106">
        <v>42905</v>
      </c>
      <c r="L47" s="106">
        <v>65225</v>
      </c>
      <c r="M47" s="106">
        <v>108249</v>
      </c>
      <c r="N47" s="107">
        <v>156508</v>
      </c>
    </row>
    <row r="48" spans="1:14" x14ac:dyDescent="0.2">
      <c r="A48" s="105" t="s">
        <v>58</v>
      </c>
      <c r="B48" s="106">
        <v>786</v>
      </c>
      <c r="C48" s="106">
        <v>-25</v>
      </c>
      <c r="D48" s="106">
        <v>65</v>
      </c>
      <c r="E48" s="106">
        <v>69</v>
      </c>
      <c r="F48" s="106">
        <v>266</v>
      </c>
      <c r="G48" s="106">
        <v>1328</v>
      </c>
      <c r="H48" s="106">
        <v>1989</v>
      </c>
      <c r="I48" s="106">
        <v>3495</v>
      </c>
      <c r="J48" s="106">
        <v>6119</v>
      </c>
      <c r="K48" s="106">
        <v>8235</v>
      </c>
      <c r="L48" s="106">
        <v>14013</v>
      </c>
      <c r="M48" s="106">
        <v>25922</v>
      </c>
      <c r="N48" s="107">
        <v>41733</v>
      </c>
    </row>
    <row r="49" spans="1:14" x14ac:dyDescent="0.2">
      <c r="A49" s="105" t="s">
        <v>24</v>
      </c>
      <c r="B49" s="106">
        <v>6803</v>
      </c>
      <c r="C49" s="106">
        <v>6021</v>
      </c>
      <c r="D49" s="106">
        <v>6298</v>
      </c>
      <c r="E49" s="106">
        <v>6815</v>
      </c>
      <c r="F49" s="106">
        <v>8050</v>
      </c>
      <c r="G49" s="106">
        <v>11516</v>
      </c>
      <c r="H49" s="106">
        <v>17205</v>
      </c>
      <c r="I49" s="106">
        <v>25347</v>
      </c>
      <c r="J49" s="106">
        <v>36171</v>
      </c>
      <c r="K49" s="106">
        <v>47501</v>
      </c>
      <c r="L49" s="106">
        <v>75183</v>
      </c>
      <c r="M49" s="106">
        <v>116371</v>
      </c>
      <c r="N49" s="107">
        <v>176064</v>
      </c>
    </row>
    <row r="50" spans="1:14" x14ac:dyDescent="0.2">
      <c r="A50" s="105" t="s">
        <v>111</v>
      </c>
      <c r="B50" s="106">
        <v>4107</v>
      </c>
      <c r="C50" s="106">
        <v>3920</v>
      </c>
      <c r="D50" s="106">
        <v>4095</v>
      </c>
      <c r="E50" s="106">
        <v>4223</v>
      </c>
      <c r="F50" s="106">
        <v>5076</v>
      </c>
      <c r="G50" s="106">
        <v>7428</v>
      </c>
      <c r="H50" s="106">
        <v>9984</v>
      </c>
      <c r="I50" s="106">
        <v>14532</v>
      </c>
      <c r="J50" s="106">
        <v>22297</v>
      </c>
      <c r="K50" s="106">
        <v>31640</v>
      </c>
      <c r="L50" s="106">
        <v>47791</v>
      </c>
      <c r="M50" s="106">
        <v>76615</v>
      </c>
      <c r="N50" s="107">
        <v>118210</v>
      </c>
    </row>
    <row r="51" spans="1:14" ht="17" thickBot="1" x14ac:dyDescent="0.25">
      <c r="A51" s="85"/>
      <c r="B51" s="98"/>
      <c r="C51" s="98"/>
      <c r="D51" s="98"/>
      <c r="E51" s="98"/>
      <c r="F51" s="98"/>
      <c r="G51" s="98"/>
      <c r="H51" s="98"/>
      <c r="I51" s="98"/>
      <c r="J51" s="98"/>
      <c r="K51" s="98"/>
      <c r="L51" s="98"/>
      <c r="M51" s="98"/>
      <c r="N51" s="139"/>
    </row>
    <row r="52" spans="1:14" x14ac:dyDescent="0.2">
      <c r="A52" s="112" t="s">
        <v>112</v>
      </c>
      <c r="B52" s="113">
        <f>(B48/B47)</f>
        <v>9.8459225854941754E-2</v>
      </c>
      <c r="C52" s="113">
        <f t="shared" ref="C52:N52" si="2">(C48/C47)</f>
        <v>-4.6615700167816519E-3</v>
      </c>
      <c r="D52" s="113">
        <f t="shared" si="2"/>
        <v>1.1320097526994078E-2</v>
      </c>
      <c r="E52" s="113">
        <f t="shared" si="2"/>
        <v>1.1116481391976801E-2</v>
      </c>
      <c r="F52" s="113">
        <f t="shared" si="2"/>
        <v>3.2129484237226717E-2</v>
      </c>
      <c r="G52" s="113">
        <f t="shared" si="2"/>
        <v>9.5326968631110467E-2</v>
      </c>
      <c r="H52" s="113">
        <f t="shared" si="2"/>
        <v>0.10297696091120891</v>
      </c>
      <c r="I52" s="113">
        <f t="shared" si="2"/>
        <v>0.14220034176906177</v>
      </c>
      <c r="J52" s="113">
        <f t="shared" si="2"/>
        <v>0.16321250433437359</v>
      </c>
      <c r="K52" s="113">
        <f t="shared" si="2"/>
        <v>0.19193567183311969</v>
      </c>
      <c r="L52" s="113">
        <f t="shared" si="2"/>
        <v>0.21484093522422384</v>
      </c>
      <c r="M52" s="113">
        <f t="shared" si="2"/>
        <v>0.2394664153941376</v>
      </c>
      <c r="N52" s="114">
        <f t="shared" si="2"/>
        <v>0.26665090602397323</v>
      </c>
    </row>
    <row r="53" spans="1:14" x14ac:dyDescent="0.2">
      <c r="A53" s="89" t="s">
        <v>113</v>
      </c>
      <c r="B53" s="99">
        <f>(B47/B49)</f>
        <v>1.1734528884315742</v>
      </c>
      <c r="C53" s="99">
        <f t="shared" ref="C53:N53" si="3">C47/C49</f>
        <v>0.89071582793555892</v>
      </c>
      <c r="D53" s="99">
        <f t="shared" si="3"/>
        <v>0.9117180057161004</v>
      </c>
      <c r="E53" s="99">
        <f t="shared" si="3"/>
        <v>0.91078503301540714</v>
      </c>
      <c r="F53" s="99">
        <f t="shared" si="3"/>
        <v>1.0284472049689442</v>
      </c>
      <c r="G53" s="99">
        <f t="shared" si="3"/>
        <v>1.2097082320250088</v>
      </c>
      <c r="H53" s="99">
        <f t="shared" si="3"/>
        <v>1.1226387678000582</v>
      </c>
      <c r="I53" s="99">
        <f t="shared" si="3"/>
        <v>0.96966110387817095</v>
      </c>
      <c r="J53" s="99">
        <f t="shared" si="3"/>
        <v>1.0364933233806088</v>
      </c>
      <c r="K53" s="99">
        <f t="shared" si="3"/>
        <v>0.90324414222858462</v>
      </c>
      <c r="L53" s="99">
        <f t="shared" si="3"/>
        <v>0.86754984504475741</v>
      </c>
      <c r="M53" s="99">
        <f t="shared" si="3"/>
        <v>0.93020597915288172</v>
      </c>
      <c r="N53" s="220">
        <f t="shared" si="3"/>
        <v>0.88892675390766995</v>
      </c>
    </row>
    <row r="54" spans="1:14" x14ac:dyDescent="0.2">
      <c r="A54" s="89" t="s">
        <v>192</v>
      </c>
      <c r="B54" s="99">
        <f>(B49/B50)</f>
        <v>1.6564402240077916</v>
      </c>
      <c r="C54" s="99">
        <f t="shared" ref="C54:N54" si="4">C49/C50</f>
        <v>1.5359693877551019</v>
      </c>
      <c r="D54" s="99">
        <f t="shared" si="4"/>
        <v>1.5379731379731381</v>
      </c>
      <c r="E54" s="99">
        <f t="shared" si="4"/>
        <v>1.6137816717973006</v>
      </c>
      <c r="F54" s="99">
        <f t="shared" si="4"/>
        <v>1.5858944050433412</v>
      </c>
      <c r="G54" s="99">
        <f t="shared" si="4"/>
        <v>1.550350026925148</v>
      </c>
      <c r="H54" s="99">
        <f t="shared" si="4"/>
        <v>1.7232572115384615</v>
      </c>
      <c r="I54" s="99">
        <f t="shared" si="4"/>
        <v>1.7442196531791907</v>
      </c>
      <c r="J54" s="99">
        <f t="shared" si="4"/>
        <v>1.6222361752702157</v>
      </c>
      <c r="K54" s="99">
        <f t="shared" si="4"/>
        <v>1.5012958280657396</v>
      </c>
      <c r="L54" s="99">
        <f t="shared" si="4"/>
        <v>1.573162310895357</v>
      </c>
      <c r="M54" s="99">
        <f t="shared" si="4"/>
        <v>1.5189062194087319</v>
      </c>
      <c r="N54" s="220">
        <f t="shared" si="4"/>
        <v>1.4894171389899331</v>
      </c>
    </row>
    <row r="55" spans="1:14" x14ac:dyDescent="0.2">
      <c r="A55" s="89" t="s">
        <v>114</v>
      </c>
      <c r="B55" s="100">
        <f>B54*B53*B52</f>
        <v>0.19138056975894813</v>
      </c>
      <c r="C55" s="100">
        <f t="shared" ref="C55:N55" si="5">C54*C53*C52</f>
        <v>-6.3775510204081634E-3</v>
      </c>
      <c r="D55" s="100">
        <f t="shared" si="5"/>
        <v>1.5873015873015872E-2</v>
      </c>
      <c r="E55" s="100">
        <f t="shared" si="5"/>
        <v>1.6339095429789251E-2</v>
      </c>
      <c r="F55" s="100">
        <f t="shared" si="5"/>
        <v>5.2403467297084325E-2</v>
      </c>
      <c r="G55" s="100">
        <f t="shared" si="5"/>
        <v>0.17878298330640818</v>
      </c>
      <c r="H55" s="100">
        <f t="shared" si="5"/>
        <v>0.19921875</v>
      </c>
      <c r="I55" s="100">
        <f t="shared" si="5"/>
        <v>0.24050371593724193</v>
      </c>
      <c r="J55" s="100">
        <f t="shared" si="5"/>
        <v>0.27443153787505048</v>
      </c>
      <c r="K55" s="100">
        <f t="shared" si="5"/>
        <v>0.26027180783817955</v>
      </c>
      <c r="L55" s="100">
        <f t="shared" si="5"/>
        <v>0.29321420351112137</v>
      </c>
      <c r="M55" s="100">
        <f t="shared" si="5"/>
        <v>0.3383410559289956</v>
      </c>
      <c r="N55" s="108">
        <f t="shared" si="5"/>
        <v>0.35304119786820065</v>
      </c>
    </row>
    <row r="56" spans="1:14" x14ac:dyDescent="0.2">
      <c r="A56" s="109"/>
      <c r="B56" s="49"/>
      <c r="C56" s="49"/>
      <c r="D56" s="49"/>
      <c r="E56" s="49"/>
      <c r="F56" s="49"/>
      <c r="G56" s="49"/>
      <c r="H56" s="49"/>
      <c r="I56" s="49"/>
      <c r="J56" s="49"/>
      <c r="K56" s="110"/>
      <c r="L56" s="110"/>
      <c r="M56" s="110"/>
      <c r="N56" s="111"/>
    </row>
    <row r="57" spans="1:14" ht="17" thickBot="1" x14ac:dyDescent="0.25">
      <c r="A57" s="285"/>
      <c r="B57" s="286"/>
      <c r="C57" s="286"/>
      <c r="D57" s="286"/>
      <c r="E57" s="286"/>
      <c r="F57" s="286"/>
      <c r="G57" s="286"/>
      <c r="H57" s="286"/>
      <c r="I57" s="286"/>
      <c r="J57" s="286"/>
      <c r="K57" s="286"/>
      <c r="L57" s="286"/>
      <c r="M57" s="286"/>
      <c r="N57" s="287"/>
    </row>
    <row r="60" spans="1:14" ht="20" thickBot="1" x14ac:dyDescent="0.3">
      <c r="A60" s="301" t="s">
        <v>194</v>
      </c>
      <c r="B60" s="301"/>
      <c r="C60" s="301"/>
      <c r="D60" s="301"/>
    </row>
    <row r="61" spans="1:14" x14ac:dyDescent="0.2">
      <c r="A61" s="116"/>
      <c r="B61" s="117"/>
      <c r="C61" s="117"/>
      <c r="D61" s="118"/>
    </row>
    <row r="62" spans="1:14" x14ac:dyDescent="0.2">
      <c r="A62" s="101" t="s">
        <v>196</v>
      </c>
      <c r="B62" s="102">
        <v>40446</v>
      </c>
      <c r="C62" s="102">
        <v>40810</v>
      </c>
      <c r="D62" s="119">
        <v>41181</v>
      </c>
    </row>
    <row r="63" spans="1:14" x14ac:dyDescent="0.2">
      <c r="A63" s="105" t="s">
        <v>197</v>
      </c>
      <c r="B63" s="106">
        <f>'Income Statement'!B$3</f>
        <v>65225</v>
      </c>
      <c r="C63" s="106">
        <f>'Income Statement'!C$3</f>
        <v>108249</v>
      </c>
      <c r="D63" s="107">
        <f>'Income Statement'!D$3</f>
        <v>156508</v>
      </c>
    </row>
    <row r="64" spans="1:14" x14ac:dyDescent="0.2">
      <c r="A64" s="105" t="s">
        <v>24</v>
      </c>
      <c r="B64" s="106">
        <f>'Balance Sheet'!B$25</f>
        <v>75183</v>
      </c>
      <c r="C64" s="106">
        <f>'Balance Sheet'!C$25</f>
        <v>116371</v>
      </c>
      <c r="D64" s="107">
        <f>'Balance Sheet'!D$25</f>
        <v>176064</v>
      </c>
    </row>
    <row r="65" spans="1:14" x14ac:dyDescent="0.2">
      <c r="A65" s="105" t="s">
        <v>195</v>
      </c>
      <c r="B65" s="106">
        <f>'Balance Sheet'!B$17-'Balance Sheet'!B$33</f>
        <v>20956</v>
      </c>
      <c r="C65" s="106">
        <f>'Balance Sheet'!C$17-'Balance Sheet'!C$33</f>
        <v>17018</v>
      </c>
      <c r="D65" s="107">
        <f>'Balance Sheet'!D$17-'Balance Sheet'!D$33</f>
        <v>19111</v>
      </c>
    </row>
    <row r="66" spans="1:14" ht="17" thickBot="1" x14ac:dyDescent="0.25">
      <c r="A66" s="105"/>
      <c r="B66" s="106"/>
      <c r="C66" s="106"/>
      <c r="D66" s="107"/>
    </row>
    <row r="67" spans="1:14" x14ac:dyDescent="0.2">
      <c r="A67" s="112" t="s">
        <v>198</v>
      </c>
      <c r="B67" s="113">
        <f>B$65/B63</f>
        <v>0.32128784975086239</v>
      </c>
      <c r="C67" s="113">
        <f t="shared" ref="C67:D67" si="6">C$65/C63</f>
        <v>0.1572116139641013</v>
      </c>
      <c r="D67" s="114">
        <f t="shared" si="6"/>
        <v>0.12210877399238378</v>
      </c>
    </row>
    <row r="68" spans="1:14" x14ac:dyDescent="0.2">
      <c r="A68" s="89" t="s">
        <v>199</v>
      </c>
      <c r="B68" s="100">
        <f>B$65/B64</f>
        <v>0.27873322426612401</v>
      </c>
      <c r="C68" s="100">
        <f t="shared" ref="C68:D68" si="7">C$65/C64</f>
        <v>0.1462391833016817</v>
      </c>
      <c r="D68" s="108">
        <f t="shared" si="7"/>
        <v>0.10854575608869502</v>
      </c>
    </row>
    <row r="69" spans="1:14" x14ac:dyDescent="0.2">
      <c r="A69" s="105"/>
      <c r="B69" s="115"/>
      <c r="C69" s="115"/>
      <c r="D69" s="120"/>
    </row>
    <row r="70" spans="1:14" x14ac:dyDescent="0.2">
      <c r="A70" s="109"/>
      <c r="B70" s="49"/>
      <c r="C70" s="49"/>
      <c r="D70" s="121"/>
    </row>
    <row r="71" spans="1:14" ht="17" thickBot="1" x14ac:dyDescent="0.25">
      <c r="A71" s="122"/>
      <c r="B71" s="123"/>
      <c r="C71" s="123"/>
      <c r="D71" s="124"/>
    </row>
    <row r="74" spans="1:14" ht="20" thickBot="1" x14ac:dyDescent="0.3">
      <c r="A74" s="269" t="s">
        <v>212</v>
      </c>
      <c r="B74" s="269"/>
      <c r="C74" s="269"/>
      <c r="D74" s="269"/>
      <c r="E74" s="269"/>
      <c r="F74" s="269"/>
      <c r="G74" s="269"/>
      <c r="H74" s="269"/>
      <c r="I74" s="269"/>
      <c r="J74" s="269"/>
      <c r="K74" s="269"/>
      <c r="L74" s="269"/>
      <c r="M74" s="269"/>
      <c r="N74" s="269"/>
    </row>
    <row r="75" spans="1:14" ht="16" customHeight="1" x14ac:dyDescent="0.2">
      <c r="A75" s="273" t="s">
        <v>203</v>
      </c>
      <c r="B75" s="274"/>
      <c r="C75" s="274"/>
      <c r="D75" s="274"/>
      <c r="E75" s="274"/>
      <c r="F75" s="274"/>
      <c r="G75" s="274"/>
      <c r="H75" s="274"/>
      <c r="I75" s="274"/>
      <c r="J75" s="274"/>
      <c r="K75" s="274"/>
      <c r="L75" s="274"/>
      <c r="M75" s="274"/>
      <c r="N75" s="275"/>
    </row>
    <row r="76" spans="1:14" ht="16" customHeight="1" x14ac:dyDescent="0.2">
      <c r="A76" s="276"/>
      <c r="B76" s="277"/>
      <c r="C76" s="277"/>
      <c r="D76" s="277"/>
      <c r="E76" s="277"/>
      <c r="F76" s="277"/>
      <c r="G76" s="277"/>
      <c r="H76" s="277"/>
      <c r="I76" s="277"/>
      <c r="J76" s="277"/>
      <c r="K76" s="277"/>
      <c r="L76" s="277"/>
      <c r="M76" s="277"/>
      <c r="N76" s="278"/>
    </row>
    <row r="77" spans="1:14" ht="20" customHeight="1" x14ac:dyDescent="0.2">
      <c r="A77" s="276"/>
      <c r="B77" s="277"/>
      <c r="C77" s="277"/>
      <c r="D77" s="277"/>
      <c r="E77" s="277"/>
      <c r="F77" s="277"/>
      <c r="G77" s="277"/>
      <c r="H77" s="277"/>
      <c r="I77" s="277"/>
      <c r="J77" s="277"/>
      <c r="K77" s="277"/>
      <c r="L77" s="277"/>
      <c r="M77" s="277"/>
      <c r="N77" s="278"/>
    </row>
    <row r="78" spans="1:14" ht="20" customHeight="1" thickBot="1" x14ac:dyDescent="0.25">
      <c r="A78" s="279"/>
      <c r="B78" s="280"/>
      <c r="C78" s="280"/>
      <c r="D78" s="280"/>
      <c r="E78" s="280"/>
      <c r="F78" s="280"/>
      <c r="G78" s="280"/>
      <c r="H78" s="280"/>
      <c r="I78" s="280"/>
      <c r="J78" s="280"/>
      <c r="K78" s="280"/>
      <c r="L78" s="280"/>
      <c r="M78" s="280"/>
      <c r="N78" s="281"/>
    </row>
    <row r="79" spans="1:14" x14ac:dyDescent="0.2">
      <c r="A79" s="270"/>
      <c r="B79" s="271"/>
      <c r="C79" s="271"/>
      <c r="D79" s="271"/>
      <c r="E79" s="271"/>
      <c r="F79" s="271"/>
      <c r="G79" s="271"/>
      <c r="H79" s="271"/>
      <c r="I79" s="271"/>
      <c r="J79" s="271"/>
      <c r="K79" s="271"/>
      <c r="L79" s="271"/>
      <c r="M79" s="271"/>
      <c r="N79" s="272"/>
    </row>
    <row r="80" spans="1:14" x14ac:dyDescent="0.2">
      <c r="A80" s="101" t="s">
        <v>43</v>
      </c>
      <c r="B80" s="102">
        <v>36799</v>
      </c>
      <c r="C80" s="102">
        <v>37163</v>
      </c>
      <c r="D80" s="102">
        <v>37527</v>
      </c>
      <c r="E80" s="102">
        <v>37891</v>
      </c>
      <c r="F80" s="102">
        <v>38255</v>
      </c>
      <c r="G80" s="102">
        <v>38619</v>
      </c>
      <c r="H80" s="102">
        <v>38990</v>
      </c>
      <c r="I80" s="102">
        <v>39354</v>
      </c>
      <c r="J80" s="102">
        <v>39718</v>
      </c>
      <c r="K80" s="103">
        <v>40082</v>
      </c>
      <c r="L80" s="103">
        <v>40446</v>
      </c>
      <c r="M80" s="103">
        <v>40810</v>
      </c>
      <c r="N80" s="104">
        <v>41181</v>
      </c>
    </row>
    <row r="81" spans="1:14" x14ac:dyDescent="0.2">
      <c r="A81" s="105" t="s">
        <v>44</v>
      </c>
      <c r="B81" s="106">
        <v>7983</v>
      </c>
      <c r="C81" s="106">
        <v>5363</v>
      </c>
      <c r="D81" s="106">
        <v>5742</v>
      </c>
      <c r="E81" s="106">
        <v>6207</v>
      </c>
      <c r="F81" s="106">
        <v>8279</v>
      </c>
      <c r="G81" s="106">
        <v>13931</v>
      </c>
      <c r="H81" s="106">
        <v>19315</v>
      </c>
      <c r="I81" s="106">
        <v>24578</v>
      </c>
      <c r="J81" s="106">
        <v>37491</v>
      </c>
      <c r="K81" s="106">
        <v>42905</v>
      </c>
      <c r="L81" s="106">
        <v>65225</v>
      </c>
      <c r="M81" s="106">
        <v>108249</v>
      </c>
      <c r="N81" s="107">
        <v>156508</v>
      </c>
    </row>
    <row r="82" spans="1:14" x14ac:dyDescent="0.2">
      <c r="A82" s="105" t="s">
        <v>45</v>
      </c>
      <c r="B82" s="132">
        <v>5817</v>
      </c>
      <c r="C82" s="132">
        <v>4128</v>
      </c>
      <c r="D82" s="132">
        <v>4139</v>
      </c>
      <c r="E82" s="132">
        <v>4499</v>
      </c>
      <c r="F82" s="132">
        <v>6022</v>
      </c>
      <c r="G82" s="132">
        <v>9889</v>
      </c>
      <c r="H82" s="132">
        <v>13717</v>
      </c>
      <c r="I82" s="132">
        <v>16426</v>
      </c>
      <c r="J82" s="132">
        <v>24294</v>
      </c>
      <c r="K82" s="132">
        <v>25683</v>
      </c>
      <c r="L82" s="132">
        <v>39541</v>
      </c>
      <c r="M82" s="132">
        <v>64431</v>
      </c>
      <c r="N82" s="133">
        <v>87846</v>
      </c>
    </row>
    <row r="83" spans="1:14" x14ac:dyDescent="0.2">
      <c r="A83" s="105" t="s">
        <v>11</v>
      </c>
      <c r="B83" s="106">
        <v>953</v>
      </c>
      <c r="C83" s="106">
        <v>466</v>
      </c>
      <c r="D83" s="106">
        <v>565</v>
      </c>
      <c r="E83" s="106">
        <v>766</v>
      </c>
      <c r="F83" s="106">
        <v>774</v>
      </c>
      <c r="G83" s="106">
        <v>895</v>
      </c>
      <c r="H83" s="106">
        <v>1252</v>
      </c>
      <c r="I83" s="106">
        <v>1637</v>
      </c>
      <c r="J83" s="106">
        <v>2422</v>
      </c>
      <c r="K83" s="106">
        <v>3361</v>
      </c>
      <c r="L83" s="106">
        <v>5510</v>
      </c>
      <c r="M83" s="106">
        <v>5369</v>
      </c>
      <c r="N83" s="107">
        <v>10930</v>
      </c>
    </row>
    <row r="84" spans="1:14" x14ac:dyDescent="0.2">
      <c r="A84" s="105" t="s">
        <v>115</v>
      </c>
      <c r="B84" s="134" t="s">
        <v>9</v>
      </c>
      <c r="C84" s="135">
        <f>(B83+C83)/2</f>
        <v>709.5</v>
      </c>
      <c r="D84" s="135">
        <f>(C83+D83)/2</f>
        <v>515.5</v>
      </c>
      <c r="E84" s="135">
        <f t="shared" ref="E84:N84" si="8">(D83+E83)/2</f>
        <v>665.5</v>
      </c>
      <c r="F84" s="135">
        <f t="shared" si="8"/>
        <v>770</v>
      </c>
      <c r="G84" s="135">
        <f t="shared" si="8"/>
        <v>834.5</v>
      </c>
      <c r="H84" s="135">
        <f t="shared" si="8"/>
        <v>1073.5</v>
      </c>
      <c r="I84" s="135">
        <f t="shared" si="8"/>
        <v>1444.5</v>
      </c>
      <c r="J84" s="135">
        <f t="shared" si="8"/>
        <v>2029.5</v>
      </c>
      <c r="K84" s="135">
        <f t="shared" si="8"/>
        <v>2891.5</v>
      </c>
      <c r="L84" s="135">
        <f t="shared" si="8"/>
        <v>4435.5</v>
      </c>
      <c r="M84" s="135">
        <f t="shared" si="8"/>
        <v>5439.5</v>
      </c>
      <c r="N84" s="136">
        <f t="shared" si="8"/>
        <v>8149.5</v>
      </c>
    </row>
    <row r="85" spans="1:14" x14ac:dyDescent="0.2">
      <c r="A85" s="105" t="s">
        <v>14</v>
      </c>
      <c r="B85" s="106">
        <v>33</v>
      </c>
      <c r="C85" s="106">
        <v>11</v>
      </c>
      <c r="D85" s="106">
        <v>45</v>
      </c>
      <c r="E85" s="106">
        <v>56</v>
      </c>
      <c r="F85" s="106">
        <v>101</v>
      </c>
      <c r="G85" s="106">
        <v>165</v>
      </c>
      <c r="H85" s="106">
        <v>270</v>
      </c>
      <c r="I85" s="106">
        <v>346</v>
      </c>
      <c r="J85" s="106">
        <v>509</v>
      </c>
      <c r="K85" s="106">
        <v>455</v>
      </c>
      <c r="L85" s="106">
        <v>1051</v>
      </c>
      <c r="M85" s="106">
        <v>776</v>
      </c>
      <c r="N85" s="107">
        <v>791</v>
      </c>
    </row>
    <row r="86" spans="1:14" x14ac:dyDescent="0.2">
      <c r="A86" s="105" t="s">
        <v>116</v>
      </c>
      <c r="B86" s="134" t="s">
        <v>9</v>
      </c>
      <c r="C86" s="135">
        <f>(C85+B85)/2</f>
        <v>22</v>
      </c>
      <c r="D86" s="135">
        <f t="shared" ref="D86:H86" si="9">(D85+C85)/2</f>
        <v>28</v>
      </c>
      <c r="E86" s="135">
        <f t="shared" si="9"/>
        <v>50.5</v>
      </c>
      <c r="F86" s="135">
        <f t="shared" si="9"/>
        <v>78.5</v>
      </c>
      <c r="G86" s="135">
        <f t="shared" si="9"/>
        <v>133</v>
      </c>
      <c r="H86" s="135">
        <f t="shared" si="9"/>
        <v>217.5</v>
      </c>
      <c r="I86" s="135">
        <f>(I85+H85)/2</f>
        <v>308</v>
      </c>
      <c r="J86" s="135">
        <f t="shared" ref="J86:N86" si="10">(J85+I85)/2</f>
        <v>427.5</v>
      </c>
      <c r="K86" s="135">
        <f t="shared" si="10"/>
        <v>482</v>
      </c>
      <c r="L86" s="135">
        <f t="shared" si="10"/>
        <v>753</v>
      </c>
      <c r="M86" s="135">
        <f t="shared" si="10"/>
        <v>913.5</v>
      </c>
      <c r="N86" s="136">
        <f t="shared" si="10"/>
        <v>783.5</v>
      </c>
    </row>
    <row r="87" spans="1:14" x14ac:dyDescent="0.2">
      <c r="A87" s="105" t="s">
        <v>26</v>
      </c>
      <c r="B87" s="106">
        <v>1157</v>
      </c>
      <c r="C87" s="106">
        <v>801</v>
      </c>
      <c r="D87" s="106">
        <v>911</v>
      </c>
      <c r="E87" s="106">
        <v>1154</v>
      </c>
      <c r="F87" s="106">
        <v>1451</v>
      </c>
      <c r="G87" s="106">
        <v>1779</v>
      </c>
      <c r="H87" s="106">
        <v>3390</v>
      </c>
      <c r="I87" s="106">
        <v>4970</v>
      </c>
      <c r="J87" s="106">
        <v>5520</v>
      </c>
      <c r="K87" s="106">
        <v>5601</v>
      </c>
      <c r="L87" s="106">
        <v>12015</v>
      </c>
      <c r="M87" s="106">
        <v>14632</v>
      </c>
      <c r="N87" s="107">
        <v>21175</v>
      </c>
    </row>
    <row r="88" spans="1:14" x14ac:dyDescent="0.2">
      <c r="A88" s="105" t="s">
        <v>117</v>
      </c>
      <c r="B88" s="134" t="s">
        <v>9</v>
      </c>
      <c r="C88" s="137">
        <f>(C87+B87)/2</f>
        <v>979</v>
      </c>
      <c r="D88" s="137">
        <f t="shared" ref="D88:H88" si="11">(D87+C87)/2</f>
        <v>856</v>
      </c>
      <c r="E88" s="137">
        <f t="shared" si="11"/>
        <v>1032.5</v>
      </c>
      <c r="F88" s="137">
        <f t="shared" si="11"/>
        <v>1302.5</v>
      </c>
      <c r="G88" s="137">
        <f t="shared" si="11"/>
        <v>1615</v>
      </c>
      <c r="H88" s="137">
        <f t="shared" si="11"/>
        <v>2584.5</v>
      </c>
      <c r="I88" s="137">
        <f>(I87+H87)/2</f>
        <v>4180</v>
      </c>
      <c r="J88" s="137">
        <f t="shared" ref="J88:N88" si="12">(J87+I87)/2</f>
        <v>5245</v>
      </c>
      <c r="K88" s="137">
        <f t="shared" si="12"/>
        <v>5560.5</v>
      </c>
      <c r="L88" s="137">
        <f t="shared" si="12"/>
        <v>8808</v>
      </c>
      <c r="M88" s="137">
        <f t="shared" si="12"/>
        <v>13323.5</v>
      </c>
      <c r="N88" s="138">
        <f t="shared" si="12"/>
        <v>17903.5</v>
      </c>
    </row>
    <row r="89" spans="1:14" x14ac:dyDescent="0.2">
      <c r="A89" s="105" t="s">
        <v>118</v>
      </c>
      <c r="B89" s="98">
        <v>366</v>
      </c>
      <c r="C89" s="98">
        <v>365</v>
      </c>
      <c r="D89" s="98">
        <v>365</v>
      </c>
      <c r="E89" s="98">
        <v>365</v>
      </c>
      <c r="F89" s="98">
        <v>366</v>
      </c>
      <c r="G89" s="98">
        <v>365</v>
      </c>
      <c r="H89" s="98">
        <v>365</v>
      </c>
      <c r="I89" s="98">
        <v>365</v>
      </c>
      <c r="J89" s="98">
        <v>366</v>
      </c>
      <c r="K89" s="98">
        <v>365</v>
      </c>
      <c r="L89" s="98">
        <v>365</v>
      </c>
      <c r="M89" s="98">
        <v>365</v>
      </c>
      <c r="N89" s="139">
        <v>366</v>
      </c>
    </row>
    <row r="90" spans="1:14" ht="17" thickBot="1" x14ac:dyDescent="0.25">
      <c r="A90" s="105"/>
      <c r="B90" s="98"/>
      <c r="C90" s="98"/>
      <c r="D90" s="98"/>
      <c r="E90" s="98"/>
      <c r="F90" s="98"/>
      <c r="G90" s="98"/>
      <c r="H90" s="98"/>
      <c r="I90" s="98"/>
      <c r="J90" s="98"/>
      <c r="K90" s="98"/>
      <c r="L90" s="98"/>
      <c r="M90" s="98"/>
      <c r="N90" s="139"/>
    </row>
    <row r="91" spans="1:14" x14ac:dyDescent="0.2">
      <c r="A91" s="126" t="s">
        <v>200</v>
      </c>
      <c r="B91" s="127" t="s">
        <v>9</v>
      </c>
      <c r="C91" s="128">
        <f>C86/C82*365</f>
        <v>1.9452519379844961</v>
      </c>
      <c r="D91" s="128">
        <f>D86/D82*365</f>
        <v>2.4691954578400579</v>
      </c>
      <c r="E91" s="128">
        <f t="shared" ref="E91:M91" si="13">E86/E82*365</f>
        <v>4.0970215603467439</v>
      </c>
      <c r="F91" s="128">
        <f t="shared" si="13"/>
        <v>4.7579707738292925</v>
      </c>
      <c r="G91" s="128">
        <f t="shared" si="13"/>
        <v>4.9089897866316106</v>
      </c>
      <c r="H91" s="128">
        <f t="shared" si="13"/>
        <v>5.7875264270613105</v>
      </c>
      <c r="I91" s="128">
        <f t="shared" si="13"/>
        <v>6.8440277608669184</v>
      </c>
      <c r="J91" s="128">
        <f t="shared" si="13"/>
        <v>6.4228821931341065</v>
      </c>
      <c r="K91" s="128">
        <f t="shared" si="13"/>
        <v>6.8500564575789422</v>
      </c>
      <c r="L91" s="128">
        <f t="shared" si="13"/>
        <v>6.9508864216888799</v>
      </c>
      <c r="M91" s="128">
        <f t="shared" si="13"/>
        <v>5.1749546025981283</v>
      </c>
      <c r="N91" s="140">
        <f>N86/N82*366</f>
        <v>3.2643603578990503</v>
      </c>
    </row>
    <row r="92" spans="1:14" x14ac:dyDescent="0.2">
      <c r="A92" s="125" t="s">
        <v>201</v>
      </c>
      <c r="B92" s="129" t="s">
        <v>9</v>
      </c>
      <c r="C92" s="130">
        <f>C84/(C81/C89)</f>
        <v>48.287805332836101</v>
      </c>
      <c r="D92" s="130">
        <f>D84/(D81/D89)</f>
        <v>32.768634622082899</v>
      </c>
      <c r="E92" s="130">
        <f t="shared" ref="E92:N92" si="14">E84/(E81/E89)</f>
        <v>39.134444981472534</v>
      </c>
      <c r="F92" s="130">
        <f t="shared" si="14"/>
        <v>34.040343036598621</v>
      </c>
      <c r="G92" s="130">
        <f t="shared" si="14"/>
        <v>21.864367238532768</v>
      </c>
      <c r="H92" s="130">
        <f t="shared" si="14"/>
        <v>20.286176546725343</v>
      </c>
      <c r="I92" s="130">
        <f t="shared" si="14"/>
        <v>21.451806493612175</v>
      </c>
      <c r="J92" s="130">
        <f t="shared" si="14"/>
        <v>19.812675042010085</v>
      </c>
      <c r="K92" s="130">
        <f t="shared" si="14"/>
        <v>24.598473371401933</v>
      </c>
      <c r="L92" s="130">
        <f t="shared" si="14"/>
        <v>24.821119202759675</v>
      </c>
      <c r="M92" s="130">
        <f t="shared" si="14"/>
        <v>18.341208694768543</v>
      </c>
      <c r="N92" s="141">
        <f t="shared" si="14"/>
        <v>19.057920361898436</v>
      </c>
    </row>
    <row r="93" spans="1:14" x14ac:dyDescent="0.2">
      <c r="A93" s="125" t="s">
        <v>202</v>
      </c>
      <c r="B93" s="129" t="s">
        <v>9</v>
      </c>
      <c r="C93" s="131">
        <f>C88/(C82/C89)</f>
        <v>86.563711240310084</v>
      </c>
      <c r="D93" s="131">
        <f>D88/(D82/D89)</f>
        <v>75.486832568253206</v>
      </c>
      <c r="E93" s="131">
        <f t="shared" ref="E93:N93" si="15">E88/(E82/E89)</f>
        <v>83.76583685263391</v>
      </c>
      <c r="F93" s="131">
        <f t="shared" si="15"/>
        <v>79.162238458983737</v>
      </c>
      <c r="G93" s="131">
        <f t="shared" si="15"/>
        <v>59.609161694812414</v>
      </c>
      <c r="H93" s="131">
        <f t="shared" si="15"/>
        <v>68.771779543631979</v>
      </c>
      <c r="I93" s="131">
        <f t="shared" si="15"/>
        <v>92.883233897479599</v>
      </c>
      <c r="J93" s="131">
        <f t="shared" si="15"/>
        <v>79.018276117559893</v>
      </c>
      <c r="K93" s="131">
        <f t="shared" si="15"/>
        <v>79.024354631468285</v>
      </c>
      <c r="L93" s="131">
        <f t="shared" si="15"/>
        <v>81.305986191548016</v>
      </c>
      <c r="M93" s="131">
        <f t="shared" si="15"/>
        <v>75.477293538824483</v>
      </c>
      <c r="N93" s="142">
        <f t="shared" si="15"/>
        <v>74.592821528584111</v>
      </c>
    </row>
    <row r="94" spans="1:14" x14ac:dyDescent="0.2">
      <c r="A94" s="89" t="s">
        <v>119</v>
      </c>
      <c r="B94" s="129" t="s">
        <v>9</v>
      </c>
      <c r="C94" s="129">
        <f>C91+C92-C93</f>
        <v>-36.330653969489489</v>
      </c>
      <c r="D94" s="129">
        <f t="shared" ref="D94:N94" si="16">D91+D92-D93</f>
        <v>-40.249002488330248</v>
      </c>
      <c r="E94" s="129">
        <f t="shared" si="16"/>
        <v>-40.53437031081463</v>
      </c>
      <c r="F94" s="129">
        <f t="shared" si="16"/>
        <v>-40.363924648555823</v>
      </c>
      <c r="G94" s="129">
        <f t="shared" si="16"/>
        <v>-32.835804669648034</v>
      </c>
      <c r="H94" s="129">
        <f t="shared" si="16"/>
        <v>-42.698076569845327</v>
      </c>
      <c r="I94" s="129">
        <f t="shared" si="16"/>
        <v>-64.587399643000509</v>
      </c>
      <c r="J94" s="129">
        <f t="shared" si="16"/>
        <v>-52.782718882415701</v>
      </c>
      <c r="K94" s="129">
        <f t="shared" si="16"/>
        <v>-47.575824802487411</v>
      </c>
      <c r="L94" s="129">
        <f t="shared" si="16"/>
        <v>-49.533980567099462</v>
      </c>
      <c r="M94" s="129">
        <f t="shared" si="16"/>
        <v>-51.961130241457809</v>
      </c>
      <c r="N94" s="143">
        <f t="shared" si="16"/>
        <v>-52.27054080878662</v>
      </c>
    </row>
    <row r="95" spans="1:14" x14ac:dyDescent="0.2">
      <c r="A95" s="101"/>
      <c r="B95" s="144"/>
      <c r="C95" s="144"/>
      <c r="D95" s="144"/>
      <c r="E95" s="144"/>
      <c r="F95" s="144"/>
      <c r="G95" s="144"/>
      <c r="H95" s="144"/>
      <c r="I95" s="144"/>
      <c r="J95" s="144"/>
      <c r="K95" s="144"/>
      <c r="L95" s="144"/>
      <c r="M95" s="144"/>
      <c r="N95" s="145"/>
    </row>
    <row r="96" spans="1:14" ht="17" thickBot="1" x14ac:dyDescent="0.25">
      <c r="A96" s="146"/>
      <c r="B96" s="147"/>
      <c r="C96" s="147"/>
      <c r="D96" s="147"/>
      <c r="E96" s="147"/>
      <c r="F96" s="147"/>
      <c r="G96" s="147"/>
      <c r="H96" s="147"/>
      <c r="I96" s="147"/>
      <c r="J96" s="147"/>
      <c r="K96" s="147"/>
      <c r="L96" s="147"/>
      <c r="M96" s="147"/>
      <c r="N96" s="148"/>
    </row>
  </sheetData>
  <mergeCells count="14">
    <mergeCell ref="A1:N1"/>
    <mergeCell ref="A2:N2"/>
    <mergeCell ref="A79:N79"/>
    <mergeCell ref="A75:N78"/>
    <mergeCell ref="A45:N45"/>
    <mergeCell ref="A57:N57"/>
    <mergeCell ref="A3:N5"/>
    <mergeCell ref="A28:N28"/>
    <mergeCell ref="A38:N38"/>
    <mergeCell ref="A42:N44"/>
    <mergeCell ref="A41:N41"/>
    <mergeCell ref="A27:N27"/>
    <mergeCell ref="A74:N74"/>
    <mergeCell ref="A60:D60"/>
  </mergeCells>
  <pageMargins left="0.7" right="0.7" top="0.75" bottom="0.75" header="0.3" footer="0.3"/>
  <pageSetup scale="45" fitToHeight="2"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54"/>
  <sheetViews>
    <sheetView view="pageLayout" zoomScaleNormal="100" workbookViewId="0"/>
  </sheetViews>
  <sheetFormatPr baseColWidth="10" defaultColWidth="8.83203125" defaultRowHeight="12" customHeight="1" x14ac:dyDescent="0.15"/>
  <cols>
    <col min="1" max="1" width="27.33203125" style="48" customWidth="1"/>
    <col min="2" max="8" width="9" style="48" customWidth="1"/>
    <col min="9" max="9" width="11.1640625" style="48" customWidth="1"/>
    <col min="10" max="16384" width="8.83203125" style="48"/>
  </cols>
  <sheetData>
    <row r="1" spans="1:10" ht="12" customHeight="1" x14ac:dyDescent="0.15">
      <c r="A1" s="58" t="s">
        <v>180</v>
      </c>
      <c r="B1" s="53"/>
      <c r="C1" s="53"/>
      <c r="D1" s="53"/>
      <c r="E1" s="53"/>
      <c r="F1" s="53"/>
      <c r="G1" s="53"/>
      <c r="H1" s="53"/>
      <c r="I1" s="53"/>
    </row>
    <row r="2" spans="1:10" ht="12" customHeight="1" x14ac:dyDescent="0.15">
      <c r="A2" s="58" t="s">
        <v>179</v>
      </c>
      <c r="B2" s="65">
        <v>0.1</v>
      </c>
      <c r="C2" s="53"/>
      <c r="D2" s="70" t="s">
        <v>178</v>
      </c>
      <c r="E2" s="53"/>
      <c r="F2" s="69">
        <v>5.6338028169014086E-2</v>
      </c>
      <c r="G2" s="53"/>
      <c r="H2" s="53"/>
      <c r="I2" s="53"/>
    </row>
    <row r="3" spans="1:10" ht="12" customHeight="1" x14ac:dyDescent="0.15">
      <c r="A3" s="51"/>
      <c r="B3" s="53"/>
      <c r="C3" s="53"/>
      <c r="D3" s="53"/>
      <c r="E3" s="53"/>
      <c r="F3" s="53"/>
      <c r="G3" s="53"/>
      <c r="H3" s="53"/>
      <c r="I3" s="53"/>
    </row>
    <row r="4" spans="1:10" ht="12" customHeight="1" x14ac:dyDescent="0.15">
      <c r="A4" s="51"/>
      <c r="B4" s="68" t="s">
        <v>177</v>
      </c>
      <c r="C4" s="68" t="s">
        <v>176</v>
      </c>
      <c r="D4" s="67">
        <v>2013</v>
      </c>
      <c r="E4" s="67">
        <v>2014</v>
      </c>
      <c r="F4" s="67">
        <v>2015</v>
      </c>
      <c r="G4" s="67">
        <v>2016</v>
      </c>
      <c r="H4" s="67">
        <v>2017</v>
      </c>
      <c r="I4" s="53"/>
      <c r="J4" s="53"/>
    </row>
    <row r="5" spans="1:10" ht="12" customHeight="1" x14ac:dyDescent="0.15">
      <c r="A5" s="51" t="s">
        <v>175</v>
      </c>
      <c r="B5" s="66">
        <v>0.11943159455107726</v>
      </c>
      <c r="C5" s="66"/>
      <c r="D5" s="65"/>
      <c r="E5" s="65"/>
      <c r="F5" s="65"/>
      <c r="G5" s="65"/>
      <c r="H5" s="65"/>
      <c r="I5" s="53"/>
      <c r="J5" s="53"/>
    </row>
    <row r="6" spans="1:10" ht="12" customHeight="1" x14ac:dyDescent="0.15">
      <c r="A6" s="51" t="s">
        <v>174</v>
      </c>
      <c r="B6" s="66">
        <v>9.0043940532295152E-3</v>
      </c>
      <c r="C6" s="66"/>
      <c r="D6" s="65"/>
      <c r="E6" s="65"/>
      <c r="F6" s="65"/>
      <c r="G6" s="65"/>
      <c r="H6" s="65"/>
      <c r="I6" s="53"/>
      <c r="J6" s="53"/>
    </row>
    <row r="7" spans="1:10" ht="12" customHeight="1" x14ac:dyDescent="0.15">
      <c r="A7" s="51" t="s">
        <v>173</v>
      </c>
      <c r="B7" s="66">
        <v>0.56128760191172333</v>
      </c>
      <c r="C7" s="66"/>
      <c r="D7" s="65"/>
      <c r="E7" s="65"/>
      <c r="F7" s="65"/>
      <c r="G7" s="65"/>
      <c r="H7" s="65"/>
      <c r="I7" s="53"/>
      <c r="J7" s="53"/>
    </row>
    <row r="8" spans="1:10" ht="12" customHeight="1" x14ac:dyDescent="0.15">
      <c r="A8" s="51" t="s">
        <v>172</v>
      </c>
      <c r="B8" s="66">
        <v>2.1602729572929181E-2</v>
      </c>
      <c r="C8" s="66"/>
      <c r="D8" s="65"/>
      <c r="E8" s="65"/>
      <c r="F8" s="65"/>
      <c r="G8" s="65"/>
      <c r="H8" s="65"/>
      <c r="I8" s="53"/>
      <c r="J8" s="53"/>
    </row>
    <row r="9" spans="1:10" ht="12" customHeight="1" x14ac:dyDescent="0.15">
      <c r="A9" s="51" t="s">
        <v>171</v>
      </c>
      <c r="B9" s="66">
        <v>6.4150075395506934E-2</v>
      </c>
      <c r="C9" s="66"/>
      <c r="D9" s="65"/>
      <c r="E9" s="65"/>
      <c r="F9" s="65"/>
      <c r="G9" s="65"/>
      <c r="H9" s="65"/>
      <c r="I9" s="53"/>
      <c r="J9" s="53"/>
    </row>
    <row r="10" spans="1:10" ht="12" customHeight="1" x14ac:dyDescent="0.15">
      <c r="A10" s="51" t="s">
        <v>170</v>
      </c>
      <c r="B10" s="66">
        <v>0.22935017450556755</v>
      </c>
      <c r="C10" s="66"/>
      <c r="D10" s="65"/>
      <c r="E10" s="65"/>
      <c r="F10" s="65"/>
      <c r="G10" s="65"/>
      <c r="H10" s="65"/>
      <c r="I10" s="53"/>
      <c r="J10" s="53"/>
    </row>
    <row r="11" spans="1:10" ht="12" customHeight="1" x14ac:dyDescent="0.15">
      <c r="A11" s="51" t="s">
        <v>169</v>
      </c>
      <c r="B11" s="66">
        <v>0.17589873187168453</v>
      </c>
      <c r="C11" s="66"/>
      <c r="D11" s="65"/>
      <c r="E11" s="65"/>
      <c r="F11" s="65"/>
      <c r="G11" s="65"/>
      <c r="H11" s="65"/>
      <c r="I11" s="53"/>
      <c r="J11" s="53"/>
    </row>
    <row r="12" spans="1:10" ht="12" customHeight="1" x14ac:dyDescent="0.15">
      <c r="A12" s="51"/>
      <c r="B12" s="51"/>
      <c r="C12" s="66"/>
      <c r="D12" s="65"/>
      <c r="E12" s="65"/>
      <c r="F12" s="65"/>
      <c r="G12" s="65"/>
      <c r="H12" s="65"/>
      <c r="I12" s="53"/>
      <c r="J12" s="53"/>
    </row>
    <row r="13" spans="1:10" ht="12" customHeight="1" x14ac:dyDescent="0.15">
      <c r="A13" s="60" t="s">
        <v>42</v>
      </c>
      <c r="B13" s="51"/>
      <c r="C13" s="55"/>
      <c r="D13" s="55"/>
      <c r="E13" s="55"/>
      <c r="F13" s="55"/>
      <c r="G13" s="55"/>
      <c r="H13" s="55"/>
      <c r="I13" s="51"/>
      <c r="J13" s="53"/>
    </row>
    <row r="14" spans="1:10" ht="12" customHeight="1" x14ac:dyDescent="0.15">
      <c r="A14" s="51" t="s">
        <v>168</v>
      </c>
      <c r="B14" s="57">
        <v>156508</v>
      </c>
      <c r="C14" s="57"/>
      <c r="D14" s="57"/>
      <c r="E14" s="57"/>
      <c r="F14" s="57"/>
      <c r="G14" s="57"/>
      <c r="H14" s="57"/>
      <c r="I14" s="51"/>
      <c r="J14" s="53"/>
    </row>
    <row r="15" spans="1:10" ht="12" customHeight="1" x14ac:dyDescent="0.15">
      <c r="A15" s="51" t="s">
        <v>167</v>
      </c>
      <c r="B15" s="57">
        <v>87846</v>
      </c>
      <c r="C15" s="57"/>
      <c r="D15" s="57"/>
      <c r="E15" s="57"/>
      <c r="F15" s="57"/>
      <c r="G15" s="57"/>
      <c r="H15" s="57"/>
      <c r="I15" s="51"/>
      <c r="J15" s="64"/>
    </row>
    <row r="16" spans="1:10" ht="12" customHeight="1" x14ac:dyDescent="0.15">
      <c r="A16" s="51" t="s">
        <v>166</v>
      </c>
      <c r="B16" s="57">
        <v>3381</v>
      </c>
      <c r="C16" s="57"/>
      <c r="D16" s="57"/>
      <c r="E16" s="57"/>
      <c r="F16" s="57"/>
      <c r="G16" s="57"/>
      <c r="H16" s="57"/>
      <c r="I16" s="51"/>
      <c r="J16" s="53"/>
    </row>
    <row r="17" spans="1:15" ht="12" customHeight="1" x14ac:dyDescent="0.15">
      <c r="A17" s="51" t="s">
        <v>165</v>
      </c>
      <c r="B17" s="57">
        <v>10040</v>
      </c>
      <c r="C17" s="57"/>
      <c r="D17" s="57"/>
      <c r="E17" s="57"/>
      <c r="F17" s="57"/>
      <c r="G17" s="57"/>
      <c r="H17" s="57"/>
      <c r="I17" s="51"/>
      <c r="J17" s="53"/>
    </row>
    <row r="18" spans="1:15" ht="12" customHeight="1" x14ac:dyDescent="0.15">
      <c r="A18" s="51" t="s">
        <v>122</v>
      </c>
      <c r="B18" s="57">
        <v>55241</v>
      </c>
      <c r="C18" s="57"/>
      <c r="D18" s="57"/>
      <c r="E18" s="57"/>
      <c r="F18" s="57"/>
      <c r="G18" s="57"/>
      <c r="H18" s="57"/>
      <c r="I18" s="51"/>
      <c r="J18" s="53"/>
    </row>
    <row r="19" spans="1:15" ht="12" customHeight="1" x14ac:dyDescent="0.15">
      <c r="A19" s="51" t="s">
        <v>164</v>
      </c>
      <c r="B19" s="57">
        <v>1088</v>
      </c>
      <c r="C19" s="57"/>
      <c r="D19" s="57"/>
      <c r="E19" s="57"/>
      <c r="F19" s="57"/>
      <c r="G19" s="57"/>
      <c r="H19" s="57"/>
      <c r="I19" s="51"/>
      <c r="J19" s="53"/>
    </row>
    <row r="20" spans="1:15" ht="12" customHeight="1" x14ac:dyDescent="0.15">
      <c r="A20" s="51" t="s">
        <v>163</v>
      </c>
      <c r="B20" s="57">
        <v>54153</v>
      </c>
      <c r="C20" s="57"/>
      <c r="D20" s="57"/>
      <c r="E20" s="57"/>
      <c r="F20" s="57"/>
      <c r="G20" s="57"/>
      <c r="H20" s="57"/>
      <c r="I20" s="51"/>
      <c r="J20" s="53"/>
    </row>
    <row r="21" spans="1:15" ht="12" customHeight="1" x14ac:dyDescent="0.15">
      <c r="A21" s="51" t="s">
        <v>162</v>
      </c>
      <c r="B21" s="57">
        <v>12420</v>
      </c>
      <c r="C21" s="57"/>
      <c r="D21" s="57"/>
      <c r="E21" s="57"/>
      <c r="F21" s="57"/>
      <c r="G21" s="57"/>
      <c r="H21" s="57"/>
      <c r="I21" s="51"/>
      <c r="J21" s="53"/>
    </row>
    <row r="22" spans="1:15" ht="12" customHeight="1" x14ac:dyDescent="0.15">
      <c r="A22" s="51" t="s">
        <v>161</v>
      </c>
      <c r="B22" s="57">
        <v>41733</v>
      </c>
      <c r="C22" s="57"/>
      <c r="D22" s="57"/>
      <c r="E22" s="57"/>
      <c r="F22" s="57"/>
      <c r="G22" s="57"/>
      <c r="H22" s="57"/>
      <c r="I22" s="51"/>
      <c r="J22" s="53"/>
      <c r="K22" s="53"/>
      <c r="L22" s="53"/>
      <c r="M22" s="53"/>
      <c r="N22" s="53"/>
      <c r="O22" s="53"/>
    </row>
    <row r="23" spans="1:15" ht="12" customHeight="1" x14ac:dyDescent="0.15">
      <c r="A23" s="51"/>
      <c r="B23" s="51"/>
      <c r="C23" s="59"/>
      <c r="D23" s="59"/>
      <c r="E23" s="59"/>
      <c r="F23" s="59"/>
      <c r="G23" s="59"/>
      <c r="H23" s="59"/>
      <c r="I23" s="51"/>
      <c r="J23" s="53"/>
    </row>
    <row r="24" spans="1:15" ht="12" customHeight="1" x14ac:dyDescent="0.15">
      <c r="A24" s="51" t="s">
        <v>160</v>
      </c>
      <c r="B24" s="63">
        <v>50.772977941176471</v>
      </c>
      <c r="C24" s="63"/>
      <c r="D24" s="63"/>
      <c r="E24" s="63"/>
      <c r="F24" s="63"/>
      <c r="G24" s="63"/>
      <c r="H24" s="63"/>
      <c r="I24" s="51"/>
      <c r="J24" s="53"/>
    </row>
    <row r="25" spans="1:15" ht="12" customHeight="1" x14ac:dyDescent="0.15">
      <c r="A25" s="51"/>
      <c r="B25" s="63"/>
      <c r="C25" s="63"/>
      <c r="D25" s="63"/>
      <c r="E25" s="63"/>
      <c r="F25" s="63"/>
      <c r="G25" s="63"/>
      <c r="H25" s="63"/>
      <c r="I25" s="51"/>
      <c r="J25" s="53"/>
    </row>
    <row r="26" spans="1:15" ht="12" customHeight="1" x14ac:dyDescent="0.15">
      <c r="A26" s="60" t="s">
        <v>0</v>
      </c>
      <c r="B26" s="51"/>
      <c r="C26" s="51"/>
      <c r="D26" s="51"/>
      <c r="E26" s="51"/>
      <c r="F26" s="51"/>
      <c r="G26" s="51"/>
      <c r="H26" s="51"/>
      <c r="I26" s="51"/>
      <c r="J26" s="53"/>
    </row>
    <row r="27" spans="1:15" ht="12" customHeight="1" x14ac:dyDescent="0.15">
      <c r="A27" s="51" t="s">
        <v>159</v>
      </c>
      <c r="B27" s="57">
        <v>121251</v>
      </c>
      <c r="C27" s="57"/>
      <c r="D27" s="57"/>
      <c r="E27" s="57"/>
      <c r="F27" s="57"/>
      <c r="G27" s="57"/>
      <c r="H27" s="57"/>
      <c r="I27" s="51"/>
      <c r="J27" s="53"/>
    </row>
    <row r="28" spans="1:15" ht="12" customHeight="1" x14ac:dyDescent="0.15">
      <c r="A28" s="51" t="s">
        <v>158</v>
      </c>
      <c r="B28" s="57"/>
      <c r="C28" s="57"/>
      <c r="D28" s="57"/>
      <c r="E28" s="57"/>
      <c r="F28" s="57"/>
      <c r="G28" s="57"/>
      <c r="H28" s="57"/>
      <c r="I28" s="51"/>
      <c r="J28" s="53"/>
    </row>
    <row r="29" spans="1:15" ht="12" customHeight="1" x14ac:dyDescent="0.15">
      <c r="A29" s="58" t="s">
        <v>157</v>
      </c>
      <c r="B29" s="62"/>
      <c r="C29" s="62"/>
      <c r="D29" s="62"/>
      <c r="E29" s="62"/>
      <c r="F29" s="62"/>
      <c r="G29" s="62"/>
      <c r="H29" s="62"/>
      <c r="I29" s="51"/>
      <c r="J29" s="53"/>
    </row>
    <row r="30" spans="1:15" ht="12" customHeight="1" x14ac:dyDescent="0.15">
      <c r="A30" s="51" t="s">
        <v>156</v>
      </c>
      <c r="B30" s="57">
        <v>18692</v>
      </c>
      <c r="C30" s="57"/>
      <c r="D30" s="57"/>
      <c r="E30" s="57"/>
      <c r="F30" s="57"/>
      <c r="G30" s="57"/>
      <c r="H30" s="57"/>
      <c r="I30" s="51"/>
      <c r="J30" s="53"/>
    </row>
    <row r="31" spans="1:15" ht="12" customHeight="1" x14ac:dyDescent="0.15">
      <c r="A31" s="51" t="s">
        <v>155</v>
      </c>
      <c r="B31" s="57">
        <v>791</v>
      </c>
      <c r="C31" s="57"/>
      <c r="D31" s="57"/>
      <c r="E31" s="57"/>
      <c r="F31" s="57"/>
      <c r="G31" s="57"/>
      <c r="H31" s="57"/>
      <c r="I31" s="51"/>
      <c r="J31" s="53"/>
    </row>
    <row r="32" spans="1:15" ht="12" customHeight="1" x14ac:dyDescent="0.15">
      <c r="A32" s="51" t="s">
        <v>154</v>
      </c>
      <c r="B32" s="57">
        <v>9041</v>
      </c>
      <c r="C32" s="57"/>
      <c r="D32" s="57"/>
      <c r="E32" s="57"/>
      <c r="F32" s="57"/>
      <c r="G32" s="57"/>
      <c r="H32" s="57"/>
      <c r="I32" s="51"/>
      <c r="J32" s="53"/>
    </row>
    <row r="33" spans="1:10" ht="12" customHeight="1" x14ac:dyDescent="0.15">
      <c r="A33" s="51" t="s">
        <v>153</v>
      </c>
      <c r="B33" s="57">
        <v>15452</v>
      </c>
      <c r="C33" s="57"/>
      <c r="D33" s="57"/>
      <c r="E33" s="57"/>
      <c r="F33" s="57"/>
      <c r="G33" s="57"/>
      <c r="H33" s="57"/>
      <c r="I33" s="51"/>
      <c r="J33" s="53"/>
    </row>
    <row r="34" spans="1:10" ht="12" customHeight="1" x14ac:dyDescent="0.15">
      <c r="A34" s="51" t="s">
        <v>152</v>
      </c>
      <c r="B34" s="61">
        <v>10837</v>
      </c>
      <c r="C34" s="61"/>
      <c r="D34" s="61"/>
      <c r="E34" s="61"/>
      <c r="F34" s="61"/>
      <c r="G34" s="61"/>
      <c r="H34" s="61"/>
      <c r="I34" s="51"/>
      <c r="J34" s="53"/>
    </row>
    <row r="35" spans="1:10" ht="12" customHeight="1" x14ac:dyDescent="0.15">
      <c r="A35" s="51" t="s">
        <v>151</v>
      </c>
      <c r="B35" s="57">
        <v>176064</v>
      </c>
      <c r="C35" s="57"/>
      <c r="D35" s="57"/>
      <c r="E35" s="57"/>
      <c r="F35" s="57"/>
      <c r="G35" s="57"/>
      <c r="H35" s="57"/>
      <c r="I35" s="51"/>
      <c r="J35" s="53"/>
    </row>
    <row r="36" spans="1:10" ht="12" customHeight="1" x14ac:dyDescent="0.15">
      <c r="A36" s="51"/>
      <c r="B36" s="59"/>
      <c r="C36" s="59"/>
      <c r="D36" s="59"/>
      <c r="E36" s="59"/>
      <c r="F36" s="59"/>
      <c r="G36" s="59"/>
      <c r="H36" s="59"/>
      <c r="I36" s="51"/>
      <c r="J36" s="53"/>
    </row>
    <row r="37" spans="1:10" ht="12" customHeight="1" x14ac:dyDescent="0.15">
      <c r="A37" s="60" t="s">
        <v>150</v>
      </c>
      <c r="B37" s="59"/>
      <c r="C37" s="59"/>
      <c r="D37" s="59"/>
      <c r="E37" s="59"/>
      <c r="F37" s="59"/>
      <c r="G37" s="59"/>
      <c r="H37" s="59"/>
      <c r="I37" s="51"/>
      <c r="J37" s="53"/>
    </row>
    <row r="38" spans="1:10" ht="12" customHeight="1" x14ac:dyDescent="0.15">
      <c r="A38" s="51" t="s">
        <v>149</v>
      </c>
      <c r="B38" s="57">
        <v>21175</v>
      </c>
      <c r="C38" s="57"/>
      <c r="D38" s="57"/>
      <c r="E38" s="57"/>
      <c r="F38" s="57"/>
      <c r="G38" s="57"/>
      <c r="H38" s="57"/>
      <c r="I38" s="51"/>
      <c r="J38" s="53"/>
    </row>
    <row r="39" spans="1:10" ht="12" customHeight="1" x14ac:dyDescent="0.15">
      <c r="A39" s="51" t="s">
        <v>148</v>
      </c>
      <c r="B39" s="57">
        <v>6749</v>
      </c>
      <c r="C39" s="57"/>
      <c r="D39" s="57"/>
      <c r="E39" s="57"/>
      <c r="F39" s="57"/>
      <c r="G39" s="57"/>
      <c r="H39" s="57"/>
      <c r="I39" s="51"/>
      <c r="J39" s="53"/>
    </row>
    <row r="40" spans="1:10" ht="12" customHeight="1" x14ac:dyDescent="0.15">
      <c r="A40" s="51" t="s">
        <v>147</v>
      </c>
      <c r="B40" s="57">
        <v>10618</v>
      </c>
      <c r="C40" s="57"/>
      <c r="D40" s="57"/>
      <c r="E40" s="57"/>
      <c r="F40" s="57"/>
      <c r="G40" s="57"/>
      <c r="H40" s="57"/>
      <c r="I40" s="51"/>
      <c r="J40" s="53"/>
    </row>
    <row r="41" spans="1:10" ht="12" customHeight="1" x14ac:dyDescent="0.15">
      <c r="A41" s="51" t="s">
        <v>146</v>
      </c>
      <c r="B41" s="57">
        <v>19312</v>
      </c>
      <c r="C41" s="57"/>
      <c r="D41" s="57"/>
      <c r="E41" s="57"/>
      <c r="F41" s="57"/>
      <c r="G41" s="57"/>
      <c r="H41" s="57"/>
      <c r="I41" s="51"/>
      <c r="J41" s="53"/>
    </row>
    <row r="42" spans="1:10" ht="12" customHeight="1" x14ac:dyDescent="0.15">
      <c r="A42" s="51" t="s">
        <v>145</v>
      </c>
      <c r="B42" s="57">
        <v>57854</v>
      </c>
      <c r="C42" s="57"/>
      <c r="D42" s="57"/>
      <c r="E42" s="57"/>
      <c r="F42" s="57"/>
      <c r="G42" s="57"/>
      <c r="H42" s="57"/>
      <c r="I42" s="51"/>
      <c r="J42" s="53"/>
    </row>
    <row r="43" spans="1:10" ht="12" customHeight="1" x14ac:dyDescent="0.15">
      <c r="A43" s="51" t="s">
        <v>144</v>
      </c>
      <c r="B43" s="57">
        <v>118210</v>
      </c>
      <c r="C43" s="57"/>
      <c r="D43" s="57"/>
      <c r="E43" s="57"/>
      <c r="F43" s="57"/>
      <c r="G43" s="57"/>
      <c r="H43" s="57"/>
      <c r="I43" s="51"/>
      <c r="J43" s="53"/>
    </row>
    <row r="44" spans="1:10" ht="12" customHeight="1" x14ac:dyDescent="0.15">
      <c r="A44" s="51" t="s">
        <v>143</v>
      </c>
      <c r="B44" s="57">
        <v>176064</v>
      </c>
      <c r="C44" s="57"/>
      <c r="D44" s="57"/>
      <c r="E44" s="57"/>
      <c r="F44" s="57"/>
      <c r="G44" s="57"/>
      <c r="H44" s="57"/>
      <c r="I44" s="51"/>
      <c r="J44" s="53"/>
    </row>
    <row r="45" spans="1:10" ht="12" customHeight="1" x14ac:dyDescent="0.15">
      <c r="A45" s="51"/>
      <c r="B45" s="51"/>
      <c r="C45" s="57"/>
      <c r="D45" s="57"/>
      <c r="E45" s="57"/>
      <c r="F45" s="57"/>
      <c r="G45" s="57"/>
      <c r="H45" s="57"/>
      <c r="I45" s="51"/>
      <c r="J45" s="53"/>
    </row>
    <row r="46" spans="1:10" s="56" customFormat="1" ht="12" customHeight="1" x14ac:dyDescent="0.15">
      <c r="A46" s="58" t="s">
        <v>142</v>
      </c>
      <c r="B46" s="51"/>
      <c r="C46" s="57"/>
      <c r="D46" s="57"/>
      <c r="E46" s="57"/>
      <c r="F46" s="57"/>
      <c r="G46" s="57"/>
      <c r="H46" s="57"/>
      <c r="I46" s="51"/>
      <c r="J46" s="53"/>
    </row>
    <row r="47" spans="1:10" ht="12" customHeight="1" x14ac:dyDescent="0.15">
      <c r="A47" s="51" t="s">
        <v>141</v>
      </c>
      <c r="B47" s="55">
        <v>0.35304119786820065</v>
      </c>
      <c r="C47" s="55"/>
      <c r="D47" s="55"/>
      <c r="E47" s="55"/>
      <c r="F47" s="55"/>
      <c r="G47" s="55"/>
      <c r="H47" s="55"/>
      <c r="I47" s="51"/>
      <c r="J47" s="53"/>
    </row>
    <row r="48" spans="1:10" ht="12" customHeight="1" x14ac:dyDescent="0.15">
      <c r="A48" s="51" t="s">
        <v>140</v>
      </c>
      <c r="B48" s="55">
        <v>0.88892675390766995</v>
      </c>
      <c r="C48" s="55"/>
      <c r="D48" s="55"/>
      <c r="E48" s="55"/>
      <c r="F48" s="55"/>
      <c r="G48" s="55"/>
      <c r="H48" s="55"/>
      <c r="I48" s="51"/>
      <c r="J48" s="53"/>
    </row>
    <row r="49" spans="1:10" ht="12" customHeight="1" x14ac:dyDescent="0.15">
      <c r="A49" s="51" t="s">
        <v>139</v>
      </c>
      <c r="B49" s="55">
        <v>1.4894171389899331</v>
      </c>
      <c r="C49" s="55"/>
      <c r="D49" s="55"/>
      <c r="E49" s="55"/>
      <c r="F49" s="55"/>
      <c r="G49" s="55"/>
      <c r="H49" s="55"/>
      <c r="I49" s="51"/>
      <c r="J49" s="53"/>
    </row>
    <row r="50" spans="1:10" ht="12" customHeight="1" x14ac:dyDescent="0.15">
      <c r="A50" s="51" t="s">
        <v>138</v>
      </c>
      <c r="B50" s="54">
        <v>0.26665090602397323</v>
      </c>
      <c r="C50" s="54"/>
      <c r="D50" s="54"/>
      <c r="E50" s="54"/>
      <c r="F50" s="54"/>
      <c r="G50" s="54"/>
      <c r="H50" s="54"/>
      <c r="I50" s="51"/>
      <c r="J50" s="53"/>
    </row>
    <row r="51" spans="1:10" ht="12" customHeight="1" x14ac:dyDescent="0.15">
      <c r="A51" s="51"/>
      <c r="B51" s="51"/>
      <c r="C51" s="51"/>
      <c r="D51" s="51"/>
      <c r="E51" s="51"/>
      <c r="F51" s="51"/>
      <c r="G51" s="51"/>
      <c r="H51" s="51"/>
      <c r="I51" s="51"/>
      <c r="J51" s="53"/>
    </row>
    <row r="52" spans="1:10" ht="12" customHeight="1" x14ac:dyDescent="0.15">
      <c r="A52" s="51"/>
      <c r="B52" s="51"/>
      <c r="C52" s="326" t="s">
        <v>137</v>
      </c>
      <c r="D52" s="326"/>
      <c r="E52" s="51"/>
      <c r="F52" s="51"/>
      <c r="G52" s="51"/>
      <c r="H52" s="51"/>
      <c r="I52" s="51"/>
      <c r="J52" s="52"/>
    </row>
    <row r="53" spans="1:10" ht="12" customHeight="1" x14ac:dyDescent="0.15">
      <c r="I53" s="51"/>
      <c r="J53" s="52"/>
    </row>
    <row r="54" spans="1:10" ht="12" customHeight="1" x14ac:dyDescent="0.15">
      <c r="I54" s="51"/>
    </row>
  </sheetData>
  <mergeCells count="1">
    <mergeCell ref="C52:D5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E5402-FEC3-154E-9AF4-6BCB2A00BE27}">
  <sheetPr>
    <tabColor theme="6"/>
  </sheetPr>
  <dimension ref="A1:L210"/>
  <sheetViews>
    <sheetView workbookViewId="0">
      <selection sqref="A1:I1"/>
    </sheetView>
  </sheetViews>
  <sheetFormatPr baseColWidth="10" defaultRowHeight="15" x14ac:dyDescent="0.2"/>
  <cols>
    <col min="1" max="1" width="37.6640625" customWidth="1"/>
    <col min="2" max="8" width="17.1640625" customWidth="1"/>
  </cols>
  <sheetData>
    <row r="1" spans="1:12" s="71" customFormat="1" ht="19" x14ac:dyDescent="0.2">
      <c r="A1" s="312" t="s">
        <v>204</v>
      </c>
      <c r="B1" s="312"/>
      <c r="C1" s="312"/>
      <c r="D1" s="312"/>
      <c r="E1" s="312"/>
      <c r="F1" s="312"/>
      <c r="G1" s="312"/>
      <c r="H1" s="312"/>
      <c r="I1" s="312"/>
    </row>
    <row r="2" spans="1:12" s="71" customFormat="1" ht="20" thickBot="1" x14ac:dyDescent="0.3">
      <c r="A2" s="313" t="s">
        <v>205</v>
      </c>
      <c r="B2" s="313"/>
      <c r="E2" s="269" t="s">
        <v>266</v>
      </c>
      <c r="F2" s="269"/>
      <c r="G2" s="269"/>
      <c r="H2" s="269"/>
      <c r="I2" s="269"/>
      <c r="J2" s="152"/>
      <c r="L2" s="155"/>
    </row>
    <row r="3" spans="1:12" s="71" customFormat="1" ht="16" x14ac:dyDescent="0.2">
      <c r="A3" s="149"/>
      <c r="B3" s="151"/>
      <c r="E3" s="149"/>
      <c r="F3" s="150"/>
      <c r="G3" s="150"/>
      <c r="H3" s="314" t="s">
        <v>210</v>
      </c>
      <c r="I3" s="315"/>
    </row>
    <row r="4" spans="1:12" s="71" customFormat="1" ht="17" x14ac:dyDescent="0.2">
      <c r="A4" s="320" t="s">
        <v>183</v>
      </c>
      <c r="B4" s="321"/>
      <c r="E4" s="101"/>
      <c r="F4" s="103" t="s">
        <v>209</v>
      </c>
      <c r="G4" s="103" t="s">
        <v>208</v>
      </c>
      <c r="H4" s="316"/>
      <c r="I4" s="317"/>
    </row>
    <row r="5" spans="1:12" s="71" customFormat="1" ht="16" x14ac:dyDescent="0.2">
      <c r="A5" s="105" t="s">
        <v>136</v>
      </c>
      <c r="B5" s="107">
        <v>121251</v>
      </c>
      <c r="E5" s="105" t="s">
        <v>44</v>
      </c>
      <c r="F5" s="135">
        <v>156508</v>
      </c>
      <c r="G5" s="135">
        <v>156508</v>
      </c>
      <c r="H5" s="316"/>
      <c r="I5" s="317"/>
    </row>
    <row r="6" spans="1:12" s="71" customFormat="1" ht="16" x14ac:dyDescent="0.2">
      <c r="A6" s="105" t="s">
        <v>135</v>
      </c>
      <c r="B6" s="107">
        <f>B5*0.69</f>
        <v>83663.189999999988</v>
      </c>
      <c r="E6" s="105" t="s">
        <v>58</v>
      </c>
      <c r="F6" s="135">
        <v>41733</v>
      </c>
      <c r="G6" s="135">
        <v>41733</v>
      </c>
      <c r="H6" s="316"/>
      <c r="I6" s="317"/>
    </row>
    <row r="7" spans="1:12" s="71" customFormat="1" ht="16" x14ac:dyDescent="0.2">
      <c r="A7" s="105" t="s">
        <v>134</v>
      </c>
      <c r="B7" s="107">
        <f>B6*0.35</f>
        <v>29282.116499999993</v>
      </c>
      <c r="E7" s="105" t="s">
        <v>24</v>
      </c>
      <c r="F7" s="135">
        <v>176064</v>
      </c>
      <c r="G7" s="135">
        <f>F7-($B$5-$B$11)</f>
        <v>74893</v>
      </c>
      <c r="H7" s="316"/>
      <c r="I7" s="317"/>
    </row>
    <row r="8" spans="1:12" s="71" customFormat="1" ht="16" x14ac:dyDescent="0.2">
      <c r="A8" s="105" t="s">
        <v>133</v>
      </c>
      <c r="B8" s="107">
        <f>B5-B7</f>
        <v>91968.883500000011</v>
      </c>
      <c r="E8" s="105" t="s">
        <v>111</v>
      </c>
      <c r="F8" s="135">
        <v>118210</v>
      </c>
      <c r="G8" s="135">
        <f>F8-($B$5-$B$11)</f>
        <v>17039</v>
      </c>
      <c r="H8" s="316"/>
      <c r="I8" s="317"/>
    </row>
    <row r="9" spans="1:12" s="71" customFormat="1" ht="16" x14ac:dyDescent="0.2">
      <c r="A9" s="105"/>
      <c r="B9" s="107"/>
      <c r="E9" s="89"/>
      <c r="F9" s="100"/>
      <c r="G9" s="152"/>
      <c r="H9" s="316"/>
      <c r="I9" s="317"/>
    </row>
    <row r="10" spans="1:12" s="71" customFormat="1" ht="16" x14ac:dyDescent="0.2">
      <c r="A10" s="105" t="s">
        <v>132</v>
      </c>
      <c r="B10" s="107">
        <v>10040</v>
      </c>
      <c r="E10" s="89" t="s">
        <v>206</v>
      </c>
      <c r="F10" s="100">
        <f>F$6/F7</f>
        <v>0.23703312431842966</v>
      </c>
      <c r="G10" s="100">
        <f>G$6/G7</f>
        <v>0.55723498858371279</v>
      </c>
      <c r="H10" s="316"/>
      <c r="I10" s="317"/>
    </row>
    <row r="11" spans="1:12" s="71" customFormat="1" ht="16" x14ac:dyDescent="0.2">
      <c r="A11" s="105" t="s">
        <v>131</v>
      </c>
      <c r="B11" s="107">
        <f>2*B10</f>
        <v>20080</v>
      </c>
      <c r="E11" s="89" t="s">
        <v>207</v>
      </c>
      <c r="F11" s="100">
        <f>F$6/F8</f>
        <v>0.35304119786820065</v>
      </c>
      <c r="G11" s="100">
        <f>G$6/G8</f>
        <v>2.4492634544280767</v>
      </c>
      <c r="H11" s="316"/>
      <c r="I11" s="317"/>
    </row>
    <row r="12" spans="1:12" s="71" customFormat="1" ht="16" x14ac:dyDescent="0.2">
      <c r="A12" s="105"/>
      <c r="B12" s="107"/>
      <c r="E12" s="101"/>
      <c r="F12" s="153"/>
      <c r="G12" s="153"/>
      <c r="H12" s="316"/>
      <c r="I12" s="317"/>
    </row>
    <row r="13" spans="1:12" s="71" customFormat="1" ht="17" thickBot="1" x14ac:dyDescent="0.25">
      <c r="A13" s="125" t="s">
        <v>130</v>
      </c>
      <c r="B13" s="158">
        <v>71888.883499999996</v>
      </c>
      <c r="E13" s="146"/>
      <c r="F13" s="147"/>
      <c r="G13" s="147"/>
      <c r="H13" s="318"/>
      <c r="I13" s="319"/>
    </row>
    <row r="14" spans="1:12" s="71" customFormat="1" ht="16" x14ac:dyDescent="0.2">
      <c r="A14" s="101"/>
      <c r="B14" s="145"/>
    </row>
    <row r="15" spans="1:12" s="71" customFormat="1" ht="17" thickBot="1" x14ac:dyDescent="0.25">
      <c r="A15" s="146"/>
      <c r="B15" s="148"/>
    </row>
    <row r="16" spans="1:12" s="71" customFormat="1" ht="16" x14ac:dyDescent="0.2"/>
    <row r="17" spans="1:8" s="71" customFormat="1" ht="16" x14ac:dyDescent="0.2"/>
    <row r="18" spans="1:8" s="71" customFormat="1" ht="17" thickBot="1" x14ac:dyDescent="0.25">
      <c r="A18" s="302" t="s">
        <v>211</v>
      </c>
      <c r="B18" s="302"/>
      <c r="C18" s="302"/>
      <c r="D18" s="302"/>
      <c r="E18" s="302"/>
      <c r="F18" s="302"/>
      <c r="G18" s="302"/>
      <c r="H18" s="302"/>
    </row>
    <row r="19" spans="1:8" s="71" customFormat="1" ht="16" x14ac:dyDescent="0.2">
      <c r="A19" s="116"/>
      <c r="B19" s="171"/>
      <c r="C19" s="171"/>
      <c r="D19" s="171"/>
      <c r="E19" s="171"/>
      <c r="F19" s="171"/>
      <c r="G19" s="171"/>
      <c r="H19" s="172"/>
    </row>
    <row r="20" spans="1:8" s="71" customFormat="1" ht="17" thickBot="1" x14ac:dyDescent="0.25">
      <c r="A20" s="101"/>
      <c r="B20" s="153"/>
      <c r="C20" s="153"/>
      <c r="D20" s="153"/>
      <c r="E20" s="153"/>
      <c r="F20" s="153"/>
      <c r="G20" s="153"/>
      <c r="H20" s="154"/>
    </row>
    <row r="21" spans="1:8" s="71" customFormat="1" ht="16" x14ac:dyDescent="0.2">
      <c r="A21" s="189" t="s">
        <v>180</v>
      </c>
      <c r="B21" s="190"/>
      <c r="C21" s="190"/>
      <c r="D21" s="190"/>
      <c r="E21" s="190"/>
      <c r="F21" s="190"/>
      <c r="G21" s="190"/>
      <c r="H21" s="191"/>
    </row>
    <row r="22" spans="1:8" s="71" customFormat="1" ht="17" thickBot="1" x14ac:dyDescent="0.25">
      <c r="A22" s="192" t="s">
        <v>179</v>
      </c>
      <c r="B22" s="193">
        <v>0.1</v>
      </c>
      <c r="C22" s="194"/>
      <c r="D22" s="194" t="s">
        <v>178</v>
      </c>
      <c r="E22" s="194"/>
      <c r="F22" s="195">
        <f>C39/(C61)</f>
        <v>5.6338028169014086E-2</v>
      </c>
      <c r="G22" s="194"/>
      <c r="H22" s="196"/>
    </row>
    <row r="23" spans="1:8" s="71" customFormat="1" ht="17" thickBot="1" x14ac:dyDescent="0.25">
      <c r="A23" s="156"/>
      <c r="B23" s="160"/>
      <c r="C23" s="160"/>
      <c r="D23" s="160"/>
      <c r="E23" s="160"/>
      <c r="F23" s="160"/>
      <c r="G23" s="160"/>
      <c r="H23" s="161"/>
    </row>
    <row r="24" spans="1:8" s="71" customFormat="1" ht="16" x14ac:dyDescent="0.2">
      <c r="A24" s="189"/>
      <c r="B24" s="197" t="s">
        <v>177</v>
      </c>
      <c r="C24" s="197" t="s">
        <v>176</v>
      </c>
      <c r="D24" s="198">
        <v>2013</v>
      </c>
      <c r="E24" s="198">
        <v>2014</v>
      </c>
      <c r="F24" s="198">
        <v>2015</v>
      </c>
      <c r="G24" s="198">
        <v>2016</v>
      </c>
      <c r="H24" s="199">
        <v>2017</v>
      </c>
    </row>
    <row r="25" spans="1:8" s="71" customFormat="1" ht="16" x14ac:dyDescent="0.2">
      <c r="A25" s="176" t="s">
        <v>175</v>
      </c>
      <c r="B25" s="186">
        <f>B50/B34</f>
        <v>0.11943159455107726</v>
      </c>
      <c r="C25" s="186">
        <f>C50/C34</f>
        <v>0.11943159455107726</v>
      </c>
      <c r="D25" s="187">
        <v>0.11899999999999999</v>
      </c>
      <c r="E25" s="187">
        <v>0.11899999999999999</v>
      </c>
      <c r="F25" s="187">
        <v>0.11899999999999999</v>
      </c>
      <c r="G25" s="187">
        <v>0.11899999999999999</v>
      </c>
      <c r="H25" s="188">
        <v>0.11899999999999999</v>
      </c>
    </row>
    <row r="26" spans="1:8" s="71" customFormat="1" ht="16" x14ac:dyDescent="0.2">
      <c r="A26" s="176" t="s">
        <v>174</v>
      </c>
      <c r="B26" s="186">
        <f>B51/B35</f>
        <v>9.0043940532295152E-3</v>
      </c>
      <c r="C26" s="186">
        <f>C51/C35</f>
        <v>9.0043940532295152E-3</v>
      </c>
      <c r="D26" s="187">
        <v>8.9999999999999993E-3</v>
      </c>
      <c r="E26" s="187">
        <v>8.9999999999999993E-3</v>
      </c>
      <c r="F26" s="187">
        <v>8.9999999999999993E-3</v>
      </c>
      <c r="G26" s="187">
        <v>8.9999999999999993E-3</v>
      </c>
      <c r="H26" s="188">
        <v>8.9999999999999993E-3</v>
      </c>
    </row>
    <row r="27" spans="1:8" s="71" customFormat="1" ht="16" x14ac:dyDescent="0.2">
      <c r="A27" s="176" t="s">
        <v>173</v>
      </c>
      <c r="B27" s="186">
        <f>B35/B34</f>
        <v>0.56128760191172333</v>
      </c>
      <c r="C27" s="186">
        <f>C35/C34</f>
        <v>0.56128760191172333</v>
      </c>
      <c r="D27" s="187">
        <v>0.56100000000000005</v>
      </c>
      <c r="E27" s="187">
        <v>0.56100000000000005</v>
      </c>
      <c r="F27" s="187">
        <v>0.56100000000000005</v>
      </c>
      <c r="G27" s="187">
        <v>0.56100000000000005</v>
      </c>
      <c r="H27" s="188">
        <v>0.56100000000000005</v>
      </c>
    </row>
    <row r="28" spans="1:8" s="71" customFormat="1" ht="16" x14ac:dyDescent="0.2">
      <c r="A28" s="176" t="s">
        <v>172</v>
      </c>
      <c r="B28" s="186">
        <f>B36/B34</f>
        <v>2.1602729572929181E-2</v>
      </c>
      <c r="C28" s="186">
        <f>C36/C34</f>
        <v>2.1602729572929181E-2</v>
      </c>
      <c r="D28" s="187">
        <v>2.1999999999999999E-2</v>
      </c>
      <c r="E28" s="187">
        <v>2.1999999999999999E-2</v>
      </c>
      <c r="F28" s="187">
        <v>2.1999999999999999E-2</v>
      </c>
      <c r="G28" s="187">
        <v>2.1999999999999999E-2</v>
      </c>
      <c r="H28" s="188">
        <v>2.1999999999999999E-2</v>
      </c>
    </row>
    <row r="29" spans="1:8" s="71" customFormat="1" ht="16" x14ac:dyDescent="0.2">
      <c r="A29" s="176" t="s">
        <v>171</v>
      </c>
      <c r="B29" s="186">
        <f>B37/B34</f>
        <v>6.4150075395506934E-2</v>
      </c>
      <c r="C29" s="186">
        <f>C37/C34</f>
        <v>6.4150075395506934E-2</v>
      </c>
      <c r="D29" s="187">
        <v>6.4000000000000001E-2</v>
      </c>
      <c r="E29" s="187">
        <v>6.4000000000000001E-2</v>
      </c>
      <c r="F29" s="187">
        <v>6.4000000000000001E-2</v>
      </c>
      <c r="G29" s="187">
        <v>6.4000000000000001E-2</v>
      </c>
      <c r="H29" s="188">
        <v>6.4000000000000001E-2</v>
      </c>
    </row>
    <row r="30" spans="1:8" s="71" customFormat="1" ht="16" x14ac:dyDescent="0.2">
      <c r="A30" s="176" t="s">
        <v>170</v>
      </c>
      <c r="B30" s="186">
        <f>(B40-B42)/B40</f>
        <v>0.22935017450556755</v>
      </c>
      <c r="C30" s="186">
        <f>(C40-C42)/C40</f>
        <v>0.22935017450556755</v>
      </c>
      <c r="D30" s="187">
        <v>0.22900000000000001</v>
      </c>
      <c r="E30" s="187">
        <v>0.22900000000000001</v>
      </c>
      <c r="F30" s="187">
        <v>0.22900000000000001</v>
      </c>
      <c r="G30" s="187">
        <v>0.22900000000000001</v>
      </c>
      <c r="H30" s="188">
        <v>0.22900000000000001</v>
      </c>
    </row>
    <row r="31" spans="1:8" s="71" customFormat="1" ht="17" thickBot="1" x14ac:dyDescent="0.25">
      <c r="A31" s="192" t="s">
        <v>169</v>
      </c>
      <c r="B31" s="200">
        <f>B53/B35</f>
        <v>0.17589873187168453</v>
      </c>
      <c r="C31" s="200">
        <f>C53/C35</f>
        <v>0.17589873187168453</v>
      </c>
      <c r="D31" s="195">
        <v>0.17599999999999999</v>
      </c>
      <c r="E31" s="195">
        <v>0.17599999999999999</v>
      </c>
      <c r="F31" s="195">
        <v>0.17599999999999999</v>
      </c>
      <c r="G31" s="195">
        <v>0.17599999999999999</v>
      </c>
      <c r="H31" s="201">
        <v>0.17599999999999999</v>
      </c>
    </row>
    <row r="32" spans="1:8" s="71" customFormat="1" ht="17" thickBot="1" x14ac:dyDescent="0.25">
      <c r="A32" s="156"/>
      <c r="B32" s="163"/>
      <c r="C32" s="162"/>
      <c r="D32" s="159"/>
      <c r="E32" s="159"/>
      <c r="F32" s="159"/>
      <c r="G32" s="159"/>
      <c r="H32" s="164"/>
    </row>
    <row r="33" spans="1:8" s="71" customFormat="1" ht="16" x14ac:dyDescent="0.2">
      <c r="A33" s="202" t="s">
        <v>42</v>
      </c>
      <c r="B33" s="203"/>
      <c r="C33" s="204"/>
      <c r="D33" s="204"/>
      <c r="E33" s="204"/>
      <c r="F33" s="204"/>
      <c r="G33" s="204"/>
      <c r="H33" s="205"/>
    </row>
    <row r="34" spans="1:8" s="71" customFormat="1" ht="16" x14ac:dyDescent="0.2">
      <c r="A34" s="176" t="s">
        <v>168</v>
      </c>
      <c r="B34" s="177">
        <v>156508</v>
      </c>
      <c r="C34" s="177">
        <v>156508</v>
      </c>
      <c r="D34" s="177">
        <f>C34*(1+$B$22)</f>
        <v>172158.80000000002</v>
      </c>
      <c r="E34" s="177">
        <f>D34*(1+$B$22)</f>
        <v>189374.68000000002</v>
      </c>
      <c r="F34" s="177">
        <f>E34*(1+$B$22)</f>
        <v>208312.14800000004</v>
      </c>
      <c r="G34" s="177">
        <f>F34*(1+$B$22)</f>
        <v>229143.36280000006</v>
      </c>
      <c r="H34" s="178">
        <f>G34*(1+$B$22)</f>
        <v>252057.69908000008</v>
      </c>
    </row>
    <row r="35" spans="1:8" s="71" customFormat="1" ht="16" x14ac:dyDescent="0.2">
      <c r="A35" s="176" t="s">
        <v>167</v>
      </c>
      <c r="B35" s="177">
        <v>87846</v>
      </c>
      <c r="C35" s="177">
        <v>87846</v>
      </c>
      <c r="D35" s="177">
        <f>D34*D27</f>
        <v>96581.086800000019</v>
      </c>
      <c r="E35" s="177">
        <f>E34*E27</f>
        <v>106239.19548000002</v>
      </c>
      <c r="F35" s="177">
        <f>F34*F27</f>
        <v>116863.11502800003</v>
      </c>
      <c r="G35" s="177">
        <f>G34*G27</f>
        <v>128549.42653080005</v>
      </c>
      <c r="H35" s="178">
        <f>H34*H27</f>
        <v>141404.36918388004</v>
      </c>
    </row>
    <row r="36" spans="1:8" s="71" customFormat="1" ht="16" x14ac:dyDescent="0.2">
      <c r="A36" s="176" t="s">
        <v>166</v>
      </c>
      <c r="B36" s="177">
        <v>3381</v>
      </c>
      <c r="C36" s="177">
        <v>3381</v>
      </c>
      <c r="D36" s="177">
        <f>D34*D28</f>
        <v>3787.4936000000002</v>
      </c>
      <c r="E36" s="177">
        <f>E34*E28</f>
        <v>4166.2429600000005</v>
      </c>
      <c r="F36" s="177">
        <f>F34*F28</f>
        <v>4582.8672560000005</v>
      </c>
      <c r="G36" s="177">
        <f>G34*G28</f>
        <v>5041.1539816000013</v>
      </c>
      <c r="H36" s="178">
        <f>H34*H28</f>
        <v>5545.2693797600014</v>
      </c>
    </row>
    <row r="37" spans="1:8" s="71" customFormat="1" ht="16" x14ac:dyDescent="0.2">
      <c r="A37" s="176" t="s">
        <v>165</v>
      </c>
      <c r="B37" s="177">
        <v>10040</v>
      </c>
      <c r="C37" s="177">
        <v>10040</v>
      </c>
      <c r="D37" s="177">
        <f>D34*D29</f>
        <v>11018.163200000001</v>
      </c>
      <c r="E37" s="177">
        <f>E34*E29</f>
        <v>12119.979520000001</v>
      </c>
      <c r="F37" s="177">
        <f>F34*F29</f>
        <v>13331.977472000002</v>
      </c>
      <c r="G37" s="177">
        <f>G34*G29</f>
        <v>14665.175219200004</v>
      </c>
      <c r="H37" s="178">
        <f>H34*H29</f>
        <v>16131.692741120005</v>
      </c>
    </row>
    <row r="38" spans="1:8" s="71" customFormat="1" ht="16" x14ac:dyDescent="0.2">
      <c r="A38" s="176" t="s">
        <v>122</v>
      </c>
      <c r="B38" s="177">
        <v>55241</v>
      </c>
      <c r="C38" s="177">
        <v>55241</v>
      </c>
      <c r="D38" s="177">
        <f>D34-SUM(D35:D37)</f>
        <v>60772.056400000001</v>
      </c>
      <c r="E38" s="177">
        <f>E34-SUM(E35:E37)</f>
        <v>66849.262040000001</v>
      </c>
      <c r="F38" s="177">
        <f>F34-SUM(F35:F37)</f>
        <v>73534.188244000019</v>
      </c>
      <c r="G38" s="177">
        <f>G34-SUM(G35:G37)</f>
        <v>80887.607068400015</v>
      </c>
      <c r="H38" s="178">
        <f>H34-SUM(H35:H37)</f>
        <v>88976.36777524004</v>
      </c>
    </row>
    <row r="39" spans="1:8" s="71" customFormat="1" ht="16" x14ac:dyDescent="0.2">
      <c r="A39" s="176" t="s">
        <v>164</v>
      </c>
      <c r="B39" s="177">
        <v>1088</v>
      </c>
      <c r="C39" s="177">
        <v>1088</v>
      </c>
      <c r="D39" s="177">
        <f>(C61)*$F$22*(1+$B$22)</f>
        <v>1196.8000000000002</v>
      </c>
      <c r="E39" s="177">
        <f>(D61)*$F$22*(1+$B$22)</f>
        <v>1316.7674932732396</v>
      </c>
      <c r="F39" s="177">
        <f>(E61)*$F$22*(1+$B$22)</f>
        <v>1448.4442426005639</v>
      </c>
      <c r="G39" s="177">
        <f>(F61)*$F$22*(1+$B$22)</f>
        <v>1593.2886668606202</v>
      </c>
      <c r="H39" s="178">
        <f>(G61)*$F$22*(1+$B$22)</f>
        <v>1752.6175335466824</v>
      </c>
    </row>
    <row r="40" spans="1:8" s="71" customFormat="1" ht="16" x14ac:dyDescent="0.2">
      <c r="A40" s="176" t="s">
        <v>163</v>
      </c>
      <c r="B40" s="177">
        <f t="shared" ref="B40:H40" si="0">B38-B39</f>
        <v>54153</v>
      </c>
      <c r="C40" s="177">
        <f t="shared" si="0"/>
        <v>54153</v>
      </c>
      <c r="D40" s="177">
        <f>D38-D39</f>
        <v>59575.256399999998</v>
      </c>
      <c r="E40" s="177">
        <f>E38-E39</f>
        <v>65532.494546726761</v>
      </c>
      <c r="F40" s="177">
        <f t="shared" si="0"/>
        <v>72085.744001399449</v>
      </c>
      <c r="G40" s="177">
        <f t="shared" si="0"/>
        <v>79294.318401539393</v>
      </c>
      <c r="H40" s="178">
        <f t="shared" si="0"/>
        <v>87223.750241693357</v>
      </c>
    </row>
    <row r="41" spans="1:8" s="71" customFormat="1" ht="16" x14ac:dyDescent="0.2">
      <c r="A41" s="176" t="s">
        <v>162</v>
      </c>
      <c r="B41" s="177">
        <f>B40-B42</f>
        <v>12420</v>
      </c>
      <c r="C41" s="177">
        <f>C40-C42</f>
        <v>12420</v>
      </c>
      <c r="D41" s="177">
        <f>D40*D30</f>
        <v>13642.733715599999</v>
      </c>
      <c r="E41" s="177">
        <f>E40*E30</f>
        <v>15006.941251200429</v>
      </c>
      <c r="F41" s="177">
        <f>F40*F30</f>
        <v>16507.635376320475</v>
      </c>
      <c r="G41" s="177">
        <f>G40*G30</f>
        <v>18158.398913952522</v>
      </c>
      <c r="H41" s="178">
        <f>H40*H30</f>
        <v>19974.238805347781</v>
      </c>
    </row>
    <row r="42" spans="1:8" s="71" customFormat="1" ht="16" x14ac:dyDescent="0.2">
      <c r="A42" s="176" t="s">
        <v>161</v>
      </c>
      <c r="B42" s="177">
        <v>41733</v>
      </c>
      <c r="C42" s="177">
        <v>41733</v>
      </c>
      <c r="D42" s="177">
        <f>D40-D41</f>
        <v>45932.522684399999</v>
      </c>
      <c r="E42" s="177">
        <f>E40-E41</f>
        <v>50525.553295526333</v>
      </c>
      <c r="F42" s="177">
        <f>F40-F41</f>
        <v>55578.108625078974</v>
      </c>
      <c r="G42" s="177">
        <f>G40-G41</f>
        <v>61135.919487586871</v>
      </c>
      <c r="H42" s="178">
        <f>H40-H41</f>
        <v>67249.51143634558</v>
      </c>
    </row>
    <row r="43" spans="1:8" s="71" customFormat="1" ht="16" x14ac:dyDescent="0.2">
      <c r="A43" s="176"/>
      <c r="B43" s="173"/>
      <c r="C43" s="179"/>
      <c r="D43" s="179"/>
      <c r="E43" s="179"/>
      <c r="F43" s="179"/>
      <c r="G43" s="179"/>
      <c r="H43" s="180"/>
    </row>
    <row r="44" spans="1:8" s="71" customFormat="1" ht="17" thickBot="1" x14ac:dyDescent="0.25">
      <c r="A44" s="192" t="s">
        <v>160</v>
      </c>
      <c r="B44" s="206">
        <f>B38/B39</f>
        <v>50.772977941176471</v>
      </c>
      <c r="C44" s="206">
        <f>C38/C39</f>
        <v>50.772977941176471</v>
      </c>
      <c r="D44" s="206">
        <f>D38/D39</f>
        <v>50.778790441176461</v>
      </c>
      <c r="E44" s="206">
        <f>E38/E39</f>
        <v>50.76770377572516</v>
      </c>
      <c r="F44" s="206">
        <f t="shared" ref="F44:H44" si="1">F38/F39</f>
        <v>50.76770377572516</v>
      </c>
      <c r="G44" s="206">
        <f t="shared" si="1"/>
        <v>50.76770377572516</v>
      </c>
      <c r="H44" s="207">
        <f t="shared" si="1"/>
        <v>50.767703775725167</v>
      </c>
    </row>
    <row r="45" spans="1:8" s="71" customFormat="1" ht="17" thickBot="1" x14ac:dyDescent="0.25">
      <c r="A45" s="156"/>
      <c r="B45" s="168"/>
      <c r="C45" s="168"/>
      <c r="D45" s="168"/>
      <c r="E45" s="168"/>
      <c r="F45" s="168"/>
      <c r="G45" s="168"/>
      <c r="H45" s="169"/>
    </row>
    <row r="46" spans="1:8" s="71" customFormat="1" ht="16" x14ac:dyDescent="0.2">
      <c r="A46" s="202" t="s">
        <v>0</v>
      </c>
      <c r="B46" s="203"/>
      <c r="C46" s="203"/>
      <c r="D46" s="203"/>
      <c r="E46" s="203"/>
      <c r="F46" s="203"/>
      <c r="G46" s="203"/>
      <c r="H46" s="208"/>
    </row>
    <row r="47" spans="1:8" s="71" customFormat="1" ht="16" x14ac:dyDescent="0.2">
      <c r="A47" s="176" t="s">
        <v>159</v>
      </c>
      <c r="B47" s="177">
        <f>SUM(B48:B49)</f>
        <v>121251</v>
      </c>
      <c r="C47" s="177">
        <f>SUM(C48:C49)</f>
        <v>20080</v>
      </c>
      <c r="D47" s="177">
        <f>SUM(D48:D49)</f>
        <v>66436.73501080001</v>
      </c>
      <c r="E47" s="177">
        <f t="shared" ref="E47:H47" si="2">SUM(E48:E49)</f>
        <v>117308.80953896632</v>
      </c>
      <c r="F47" s="177">
        <f t="shared" si="2"/>
        <v>173268.09151994932</v>
      </c>
      <c r="G47" s="177">
        <f t="shared" si="2"/>
        <v>234823.30169903062</v>
      </c>
      <c r="H47" s="178">
        <f t="shared" si="2"/>
        <v>302534.03289602004</v>
      </c>
    </row>
    <row r="48" spans="1:8" s="71" customFormat="1" ht="16" x14ac:dyDescent="0.2">
      <c r="A48" s="176" t="s">
        <v>158</v>
      </c>
      <c r="B48" s="177">
        <f t="shared" ref="B48:H48" si="3">2*B37</f>
        <v>20080</v>
      </c>
      <c r="C48" s="177">
        <f t="shared" si="3"/>
        <v>20080</v>
      </c>
      <c r="D48" s="177">
        <f>2*D37</f>
        <v>22036.326400000002</v>
      </c>
      <c r="E48" s="177">
        <f t="shared" si="3"/>
        <v>24239.959040000002</v>
      </c>
      <c r="F48" s="177">
        <f t="shared" si="3"/>
        <v>26663.954944000005</v>
      </c>
      <c r="G48" s="177">
        <f t="shared" si="3"/>
        <v>29330.350438400008</v>
      </c>
      <c r="H48" s="178">
        <f t="shared" si="3"/>
        <v>32263.38548224001</v>
      </c>
    </row>
    <row r="49" spans="1:8" s="71" customFormat="1" ht="16" x14ac:dyDescent="0.2">
      <c r="A49" s="181" t="s">
        <v>157</v>
      </c>
      <c r="B49" s="182">
        <f>(29129+92122)-B48</f>
        <v>101171</v>
      </c>
      <c r="C49" s="182">
        <f>0</f>
        <v>0</v>
      </c>
      <c r="D49" s="182">
        <f>D64-SUM(D50:D54)-D48</f>
        <v>44400.408610800005</v>
      </c>
      <c r="E49" s="182">
        <f>E64-SUM(E50:E54)-E48</f>
        <v>93068.85049896632</v>
      </c>
      <c r="F49" s="182">
        <f>F64-SUM(F50:F54)-F48</f>
        <v>146604.13657594932</v>
      </c>
      <c r="G49" s="182">
        <f>G64-SUM(G50:G54)-G48</f>
        <v>205492.95126063062</v>
      </c>
      <c r="H49" s="183">
        <f>H64-SUM(H50:H54)-H48</f>
        <v>270270.64741378004</v>
      </c>
    </row>
    <row r="50" spans="1:8" s="71" customFormat="1" ht="16" x14ac:dyDescent="0.2">
      <c r="A50" s="176" t="s">
        <v>156</v>
      </c>
      <c r="B50" s="177">
        <v>18692</v>
      </c>
      <c r="C50" s="177">
        <v>18692</v>
      </c>
      <c r="D50" s="177">
        <f>D34*D25</f>
        <v>20486.897199999999</v>
      </c>
      <c r="E50" s="177">
        <f t="shared" ref="E50:H51" si="4">E34*E25</f>
        <v>22535.586920000002</v>
      </c>
      <c r="F50" s="177">
        <f t="shared" si="4"/>
        <v>24789.145612000004</v>
      </c>
      <c r="G50" s="177">
        <f t="shared" si="4"/>
        <v>27268.060173200007</v>
      </c>
      <c r="H50" s="178">
        <f>H34*H25</f>
        <v>29994.86619052001</v>
      </c>
    </row>
    <row r="51" spans="1:8" s="71" customFormat="1" ht="16" x14ac:dyDescent="0.2">
      <c r="A51" s="176" t="s">
        <v>155</v>
      </c>
      <c r="B51" s="177">
        <v>791</v>
      </c>
      <c r="C51" s="177">
        <v>791</v>
      </c>
      <c r="D51" s="177">
        <f>D35*D26</f>
        <v>869.22978120000016</v>
      </c>
      <c r="E51" s="177">
        <f t="shared" si="4"/>
        <v>956.1527593200002</v>
      </c>
      <c r="F51" s="177">
        <f t="shared" si="4"/>
        <v>1051.7680352520001</v>
      </c>
      <c r="G51" s="177">
        <f t="shared" si="4"/>
        <v>1156.9448387772004</v>
      </c>
      <c r="H51" s="178">
        <f t="shared" si="4"/>
        <v>1272.6393226549203</v>
      </c>
    </row>
    <row r="52" spans="1:8" s="71" customFormat="1" ht="16" x14ac:dyDescent="0.2">
      <c r="A52" s="176" t="s">
        <v>154</v>
      </c>
      <c r="B52" s="177">
        <f>2583+278+6180</f>
        <v>9041</v>
      </c>
      <c r="C52" s="177">
        <f>2583+278+6180</f>
        <v>9041</v>
      </c>
      <c r="D52" s="177">
        <f>D35*0.103</f>
        <v>9947.8519404000017</v>
      </c>
      <c r="E52" s="177">
        <f>E35*0.103</f>
        <v>10942.637134440001</v>
      </c>
      <c r="F52" s="177">
        <f>F35*0.103</f>
        <v>12036.900847884002</v>
      </c>
      <c r="G52" s="177">
        <f>G35*0.103</f>
        <v>13240.590932672405</v>
      </c>
      <c r="H52" s="178">
        <f>H35*0.103</f>
        <v>14564.650025939643</v>
      </c>
    </row>
    <row r="53" spans="1:8" s="71" customFormat="1" ht="16" x14ac:dyDescent="0.2">
      <c r="A53" s="176" t="s">
        <v>153</v>
      </c>
      <c r="B53" s="177">
        <v>15452</v>
      </c>
      <c r="C53" s="177">
        <v>15452</v>
      </c>
      <c r="D53" s="177">
        <f>D35*D31</f>
        <v>16998.271276800002</v>
      </c>
      <c r="E53" s="177">
        <f>E35*E31</f>
        <v>18698.098404480003</v>
      </c>
      <c r="F53" s="177">
        <f>F35*F31</f>
        <v>20567.908244928003</v>
      </c>
      <c r="G53" s="177">
        <f>G35*G31</f>
        <v>22624.699069420807</v>
      </c>
      <c r="H53" s="178">
        <f>H35*H31</f>
        <v>24887.168976362886</v>
      </c>
    </row>
    <row r="54" spans="1:8" s="71" customFormat="1" ht="16" x14ac:dyDescent="0.2">
      <c r="A54" s="176" t="s">
        <v>152</v>
      </c>
      <c r="B54" s="184">
        <f>1135+4224+5478</f>
        <v>10837</v>
      </c>
      <c r="C54" s="184">
        <f>1135+4224+5478</f>
        <v>10837</v>
      </c>
      <c r="D54" s="184">
        <f>D35*0.123</f>
        <v>11879.473676400003</v>
      </c>
      <c r="E54" s="184">
        <f>E35*0.123</f>
        <v>13067.421044040002</v>
      </c>
      <c r="F54" s="184">
        <f>F35*0.123</f>
        <v>14374.163148444004</v>
      </c>
      <c r="G54" s="184">
        <f>G35*0.123</f>
        <v>15811.579463288406</v>
      </c>
      <c r="H54" s="185">
        <f>H35*0.123</f>
        <v>17392.737409617246</v>
      </c>
    </row>
    <row r="55" spans="1:8" s="71" customFormat="1" ht="17" thickBot="1" x14ac:dyDescent="0.25">
      <c r="A55" s="192" t="s">
        <v>151</v>
      </c>
      <c r="B55" s="209">
        <f>SUM(B48:B54)</f>
        <v>176064</v>
      </c>
      <c r="C55" s="209">
        <f>SUM(C48:C54)</f>
        <v>74893</v>
      </c>
      <c r="D55" s="209">
        <f>SUM(D48:D54)</f>
        <v>126618.45888560002</v>
      </c>
      <c r="E55" s="209">
        <f t="shared" ref="E55:H55" si="5">SUM(E48:E54)</f>
        <v>183508.70580124631</v>
      </c>
      <c r="F55" s="209">
        <f t="shared" si="5"/>
        <v>246087.97740845731</v>
      </c>
      <c r="G55" s="209">
        <f t="shared" si="5"/>
        <v>314925.17617638945</v>
      </c>
      <c r="H55" s="210">
        <f t="shared" si="5"/>
        <v>390646.09482111473</v>
      </c>
    </row>
    <row r="56" spans="1:8" s="71" customFormat="1" ht="17" thickBot="1" x14ac:dyDescent="0.25">
      <c r="A56" s="156"/>
      <c r="B56" s="166"/>
      <c r="C56" s="166"/>
      <c r="D56" s="166"/>
      <c r="E56" s="166"/>
      <c r="F56" s="166"/>
      <c r="G56" s="166"/>
      <c r="H56" s="167"/>
    </row>
    <row r="57" spans="1:8" s="71" customFormat="1" ht="16" x14ac:dyDescent="0.2">
      <c r="A57" s="202" t="s">
        <v>150</v>
      </c>
      <c r="B57" s="211"/>
      <c r="C57" s="211"/>
      <c r="D57" s="211"/>
      <c r="E57" s="211"/>
      <c r="F57" s="211"/>
      <c r="G57" s="211"/>
      <c r="H57" s="212"/>
    </row>
    <row r="58" spans="1:8" s="71" customFormat="1" ht="16" x14ac:dyDescent="0.2">
      <c r="A58" s="176" t="s">
        <v>149</v>
      </c>
      <c r="B58" s="177">
        <v>21175</v>
      </c>
      <c r="C58" s="177">
        <v>21175</v>
      </c>
      <c r="D58" s="177">
        <f>D35*0.241</f>
        <v>23276.041918800005</v>
      </c>
      <c r="E58" s="177">
        <f>E35*0.241</f>
        <v>25603.646110680005</v>
      </c>
      <c r="F58" s="177">
        <f>F35*0.241</f>
        <v>28164.010721748007</v>
      </c>
      <c r="G58" s="177">
        <f>G35*0.241</f>
        <v>30980.411793922809</v>
      </c>
      <c r="H58" s="178">
        <f>H35*0.241</f>
        <v>34078.452973315092</v>
      </c>
    </row>
    <row r="59" spans="1:8" s="71" customFormat="1" ht="16" x14ac:dyDescent="0.2">
      <c r="A59" s="176" t="s">
        <v>148</v>
      </c>
      <c r="B59" s="177">
        <f>6749</f>
        <v>6749</v>
      </c>
      <c r="C59" s="177">
        <f>6749</f>
        <v>6749</v>
      </c>
      <c r="D59" s="177">
        <f>D35*0.077</f>
        <v>7436.7436836000015</v>
      </c>
      <c r="E59" s="177">
        <f>E35*0.077</f>
        <v>8180.4180519600013</v>
      </c>
      <c r="F59" s="177">
        <f>F35*0.077</f>
        <v>8998.4598571560018</v>
      </c>
      <c r="G59" s="177">
        <f>G35*0.077</f>
        <v>9898.3058428716031</v>
      </c>
      <c r="H59" s="178">
        <f>H35*0.077</f>
        <v>10888.136427158763</v>
      </c>
    </row>
    <row r="60" spans="1:8" s="71" customFormat="1" ht="16" x14ac:dyDescent="0.2">
      <c r="A60" s="176" t="s">
        <v>147</v>
      </c>
      <c r="B60" s="177">
        <f>1535+7445+1638</f>
        <v>10618</v>
      </c>
      <c r="C60" s="177">
        <f>1535+7445+1638</f>
        <v>10618</v>
      </c>
      <c r="D60" s="177">
        <f>D35*0.121</f>
        <v>11686.311502800001</v>
      </c>
      <c r="E60" s="177">
        <f>E35*0.121</f>
        <v>12854.942653080003</v>
      </c>
      <c r="F60" s="177">
        <f>F35*0.121</f>
        <v>14140.436918388003</v>
      </c>
      <c r="G60" s="177">
        <f>G35*0.121</f>
        <v>15554.480610226805</v>
      </c>
      <c r="H60" s="178">
        <f>H35*0.121</f>
        <v>17109.928671249483</v>
      </c>
    </row>
    <row r="61" spans="1:8" s="71" customFormat="1" ht="16" x14ac:dyDescent="0.2">
      <c r="A61" s="176" t="s">
        <v>146</v>
      </c>
      <c r="B61" s="177">
        <f>B62-SUM(B58,B59,B60)</f>
        <v>19312</v>
      </c>
      <c r="C61" s="177">
        <f>C62-SUM(C58,C59,C60)</f>
        <v>19312</v>
      </c>
      <c r="D61" s="177">
        <f>D35*0.22</f>
        <v>21247.839096000003</v>
      </c>
      <c r="E61" s="177">
        <f>E35*0.22</f>
        <v>23372.623005600006</v>
      </c>
      <c r="F61" s="177">
        <f>F35*0.22</f>
        <v>25709.885306160006</v>
      </c>
      <c r="G61" s="177">
        <f>G35*0.22</f>
        <v>28280.873836776009</v>
      </c>
      <c r="H61" s="178">
        <f>H35*0.22</f>
        <v>31108.96122045361</v>
      </c>
    </row>
    <row r="62" spans="1:8" s="71" customFormat="1" ht="16" x14ac:dyDescent="0.2">
      <c r="A62" s="176" t="s">
        <v>145</v>
      </c>
      <c r="B62" s="177">
        <f>57854</f>
        <v>57854</v>
      </c>
      <c r="C62" s="177">
        <f>57854</f>
        <v>57854</v>
      </c>
      <c r="D62" s="177">
        <f>SUM(D58,D59,D60,D61)</f>
        <v>63646.936201200013</v>
      </c>
      <c r="E62" s="177">
        <f>SUM(E58,E59,E60,E61)</f>
        <v>70011.629821320006</v>
      </c>
      <c r="F62" s="177">
        <f>SUM(F58,F59,F60,F61)</f>
        <v>77012.792803452016</v>
      </c>
      <c r="G62" s="177">
        <f>SUM(G58,G59,G60,G61)</f>
        <v>84714.072083797219</v>
      </c>
      <c r="H62" s="178">
        <f>SUM(H58,H59,H60,H61)</f>
        <v>93185.47929217694</v>
      </c>
    </row>
    <row r="63" spans="1:8" s="71" customFormat="1" ht="16" x14ac:dyDescent="0.2">
      <c r="A63" s="176" t="s">
        <v>144</v>
      </c>
      <c r="B63" s="177">
        <f>118210</f>
        <v>118210</v>
      </c>
      <c r="C63" s="177">
        <f>118210-(121251-C48)</f>
        <v>17039</v>
      </c>
      <c r="D63" s="177">
        <f>C63+D42</f>
        <v>62971.522684399999</v>
      </c>
      <c r="E63" s="177">
        <f t="shared" ref="E63:H63" si="6">D63+E42</f>
        <v>113497.07597992633</v>
      </c>
      <c r="F63" s="177">
        <f t="shared" si="6"/>
        <v>169075.18460500531</v>
      </c>
      <c r="G63" s="177">
        <f t="shared" si="6"/>
        <v>230211.1040925922</v>
      </c>
      <c r="H63" s="178">
        <f t="shared" si="6"/>
        <v>297460.61552893778</v>
      </c>
    </row>
    <row r="64" spans="1:8" s="71" customFormat="1" ht="17" thickBot="1" x14ac:dyDescent="0.25">
      <c r="A64" s="192" t="s">
        <v>143</v>
      </c>
      <c r="B64" s="209">
        <f>B62+B63</f>
        <v>176064</v>
      </c>
      <c r="C64" s="209">
        <f>C62+C63</f>
        <v>74893</v>
      </c>
      <c r="D64" s="209">
        <f>D63+D62</f>
        <v>126618.4588856</v>
      </c>
      <c r="E64" s="209">
        <f>E63+E62</f>
        <v>183508.70580124634</v>
      </c>
      <c r="F64" s="209">
        <f>F63+F62</f>
        <v>246087.97740845731</v>
      </c>
      <c r="G64" s="209">
        <f>G63+G62</f>
        <v>314925.17617638945</v>
      </c>
      <c r="H64" s="210">
        <f>H63+H62</f>
        <v>390646.09482111473</v>
      </c>
    </row>
    <row r="65" spans="1:10" s="71" customFormat="1" ht="17" thickBot="1" x14ac:dyDescent="0.25">
      <c r="A65" s="156"/>
      <c r="B65" s="163"/>
      <c r="C65" s="165"/>
      <c r="D65" s="165"/>
      <c r="E65" s="165"/>
      <c r="F65" s="165"/>
      <c r="G65" s="165"/>
      <c r="H65" s="157"/>
    </row>
    <row r="66" spans="1:10" s="71" customFormat="1" ht="16" x14ac:dyDescent="0.2">
      <c r="A66" s="213" t="s">
        <v>142</v>
      </c>
      <c r="B66" s="203"/>
      <c r="C66" s="214"/>
      <c r="D66" s="214"/>
      <c r="E66" s="214"/>
      <c r="F66" s="214"/>
      <c r="G66" s="214"/>
      <c r="H66" s="215"/>
    </row>
    <row r="67" spans="1:10" s="71" customFormat="1" ht="16" x14ac:dyDescent="0.2">
      <c r="A67" s="181" t="s">
        <v>141</v>
      </c>
      <c r="B67" s="218">
        <f>B42/B63</f>
        <v>0.35304119786820065</v>
      </c>
      <c r="C67" s="218">
        <f>C42/C63</f>
        <v>2.4492634544280767</v>
      </c>
      <c r="D67" s="218">
        <f>D42/D63</f>
        <v>0.72941737354207115</v>
      </c>
      <c r="E67" s="218">
        <f t="shared" ref="E67:H67" si="7">E42/E63</f>
        <v>0.44517052848535532</v>
      </c>
      <c r="F67" s="218">
        <f t="shared" si="7"/>
        <v>0.32871830810015651</v>
      </c>
      <c r="G67" s="218">
        <f t="shared" si="7"/>
        <v>0.26556459875626875</v>
      </c>
      <c r="H67" s="219">
        <f t="shared" si="7"/>
        <v>0.2260787073164762</v>
      </c>
    </row>
    <row r="68" spans="1:10" s="71" customFormat="1" ht="16" x14ac:dyDescent="0.2">
      <c r="A68" s="176" t="s">
        <v>140</v>
      </c>
      <c r="B68" s="174">
        <f>B34/B55</f>
        <v>0.88892675390766995</v>
      </c>
      <c r="C68" s="174">
        <f t="shared" ref="C68:H68" si="8">C34/C55</f>
        <v>2.0897547167292005</v>
      </c>
      <c r="D68" s="174">
        <f t="shared" si="8"/>
        <v>1.3596658932292469</v>
      </c>
      <c r="E68" s="174">
        <f t="shared" si="8"/>
        <v>1.0319656452980874</v>
      </c>
      <c r="F68" s="174">
        <f t="shared" si="8"/>
        <v>0.84649461624955014</v>
      </c>
      <c r="G68" s="174">
        <f t="shared" si="8"/>
        <v>0.72761208100954422</v>
      </c>
      <c r="H68" s="175">
        <f t="shared" si="8"/>
        <v>0.64523286530081081</v>
      </c>
    </row>
    <row r="69" spans="1:10" s="71" customFormat="1" ht="16" x14ac:dyDescent="0.2">
      <c r="A69" s="176" t="s">
        <v>139</v>
      </c>
      <c r="B69" s="174">
        <f t="shared" ref="B69:H69" si="9">B55/B63</f>
        <v>1.4894171389899331</v>
      </c>
      <c r="C69" s="174">
        <f t="shared" si="9"/>
        <v>4.3953870532308237</v>
      </c>
      <c r="D69" s="174">
        <f t="shared" si="9"/>
        <v>2.010725697712362</v>
      </c>
      <c r="E69" s="174">
        <f t="shared" si="9"/>
        <v>1.6168584451788219</v>
      </c>
      <c r="F69" s="174">
        <f t="shared" si="9"/>
        <v>1.4554943588165812</v>
      </c>
      <c r="G69" s="174">
        <f t="shared" si="9"/>
        <v>1.3679843003998833</v>
      </c>
      <c r="H69" s="175">
        <f t="shared" si="9"/>
        <v>1.3132699739979918</v>
      </c>
    </row>
    <row r="70" spans="1:10" s="71" customFormat="1" ht="17" thickBot="1" x14ac:dyDescent="0.25">
      <c r="A70" s="192" t="s">
        <v>138</v>
      </c>
      <c r="B70" s="216">
        <f t="shared" ref="B70:H70" si="10">B42/B34</f>
        <v>0.26665090602397323</v>
      </c>
      <c r="C70" s="216">
        <f t="shared" si="10"/>
        <v>0.26665090602397323</v>
      </c>
      <c r="D70" s="216">
        <f t="shared" si="10"/>
        <v>0.26680322286400693</v>
      </c>
      <c r="E70" s="216">
        <f t="shared" si="10"/>
        <v>0.26680205239436616</v>
      </c>
      <c r="F70" s="216">
        <f t="shared" si="10"/>
        <v>0.26680205239436616</v>
      </c>
      <c r="G70" s="216">
        <f t="shared" si="10"/>
        <v>0.26680205239436616</v>
      </c>
      <c r="H70" s="217">
        <f t="shared" si="10"/>
        <v>0.26680205239436622</v>
      </c>
    </row>
    <row r="71" spans="1:10" s="71" customFormat="1" ht="16" x14ac:dyDescent="0.2">
      <c r="A71" s="156"/>
      <c r="B71" s="163"/>
      <c r="C71" s="163"/>
      <c r="D71" s="163"/>
      <c r="E71" s="163"/>
      <c r="F71" s="163"/>
      <c r="G71" s="163"/>
      <c r="H71" s="170"/>
      <c r="I71" s="50"/>
      <c r="J71" s="50"/>
    </row>
    <row r="72" spans="1:10" s="71" customFormat="1" ht="16" x14ac:dyDescent="0.2">
      <c r="A72" s="156"/>
      <c r="B72" s="163"/>
      <c r="C72" s="162" t="s">
        <v>137</v>
      </c>
      <c r="D72" s="163"/>
      <c r="E72" s="152"/>
      <c r="F72" s="152"/>
      <c r="G72" s="163"/>
      <c r="H72" s="170"/>
      <c r="I72" s="50"/>
      <c r="J72" s="50"/>
    </row>
    <row r="73" spans="1:10" s="71" customFormat="1" ht="16" x14ac:dyDescent="0.2">
      <c r="A73" s="101"/>
      <c r="B73" s="144"/>
      <c r="C73" s="153"/>
      <c r="D73" s="144"/>
      <c r="E73" s="153"/>
      <c r="F73" s="144"/>
      <c r="G73" s="153"/>
      <c r="H73" s="145"/>
    </row>
    <row r="74" spans="1:10" s="71" customFormat="1" ht="17" thickBot="1" x14ac:dyDescent="0.25">
      <c r="A74" s="146"/>
      <c r="B74" s="147"/>
      <c r="C74" s="147"/>
      <c r="D74" s="147"/>
      <c r="E74" s="147"/>
      <c r="F74" s="147"/>
      <c r="G74" s="147"/>
      <c r="H74" s="148"/>
    </row>
    <row r="75" spans="1:10" s="71" customFormat="1" ht="16" x14ac:dyDescent="0.2"/>
    <row r="76" spans="1:10" s="71" customFormat="1" ht="16" x14ac:dyDescent="0.2"/>
    <row r="77" spans="1:10" s="71" customFormat="1" ht="17" thickBot="1" x14ac:dyDescent="0.25">
      <c r="A77" s="302" t="s">
        <v>213</v>
      </c>
      <c r="B77" s="302"/>
      <c r="C77" s="302"/>
      <c r="D77" s="302"/>
      <c r="E77" s="302"/>
      <c r="F77" s="302"/>
      <c r="G77" s="302"/>
      <c r="H77" s="302"/>
    </row>
    <row r="78" spans="1:10" s="71" customFormat="1" ht="16" customHeight="1" x14ac:dyDescent="0.2">
      <c r="A78" s="303" t="s">
        <v>220</v>
      </c>
      <c r="B78" s="304"/>
      <c r="C78" s="304"/>
      <c r="D78" s="304"/>
      <c r="E78" s="304"/>
      <c r="F78" s="304"/>
      <c r="G78" s="304"/>
      <c r="H78" s="305"/>
    </row>
    <row r="79" spans="1:10" s="71" customFormat="1" ht="16" x14ac:dyDescent="0.2">
      <c r="A79" s="306"/>
      <c r="B79" s="307"/>
      <c r="C79" s="307"/>
      <c r="D79" s="307"/>
      <c r="E79" s="307"/>
      <c r="F79" s="307"/>
      <c r="G79" s="307"/>
      <c r="H79" s="308"/>
    </row>
    <row r="80" spans="1:10" s="71" customFormat="1" ht="16" x14ac:dyDescent="0.2">
      <c r="A80" s="306"/>
      <c r="B80" s="307"/>
      <c r="C80" s="307"/>
      <c r="D80" s="307"/>
      <c r="E80" s="307"/>
      <c r="F80" s="307"/>
      <c r="G80" s="307"/>
      <c r="H80" s="308"/>
    </row>
    <row r="81" spans="1:8" s="71" customFormat="1" ht="17" thickBot="1" x14ac:dyDescent="0.25">
      <c r="A81" s="309"/>
      <c r="B81" s="310"/>
      <c r="C81" s="310"/>
      <c r="D81" s="310"/>
      <c r="E81" s="310"/>
      <c r="F81" s="310"/>
      <c r="G81" s="310"/>
      <c r="H81" s="311"/>
    </row>
    <row r="82" spans="1:8" s="71" customFormat="1" ht="17" thickBot="1" x14ac:dyDescent="0.25">
      <c r="A82" s="116"/>
      <c r="B82" s="171"/>
      <c r="C82" s="171"/>
      <c r="D82" s="171"/>
      <c r="E82" s="171"/>
      <c r="F82" s="171"/>
      <c r="G82" s="171"/>
      <c r="H82" s="172"/>
    </row>
    <row r="83" spans="1:8" s="71" customFormat="1" ht="16" x14ac:dyDescent="0.2">
      <c r="A83" s="189" t="s">
        <v>180</v>
      </c>
      <c r="B83" s="190"/>
      <c r="C83" s="190"/>
      <c r="D83" s="190"/>
      <c r="E83" s="190"/>
      <c r="F83" s="190"/>
      <c r="G83" s="190"/>
      <c r="H83" s="191"/>
    </row>
    <row r="84" spans="1:8" s="71" customFormat="1" ht="16" x14ac:dyDescent="0.2">
      <c r="A84" s="176" t="s">
        <v>181</v>
      </c>
      <c r="B84" s="224">
        <v>40000</v>
      </c>
      <c r="C84" s="222"/>
      <c r="D84" s="222"/>
      <c r="E84" s="222"/>
      <c r="F84" s="222"/>
      <c r="G84" s="222"/>
      <c r="H84" s="223"/>
    </row>
    <row r="85" spans="1:8" s="71" customFormat="1" ht="17" thickBot="1" x14ac:dyDescent="0.25">
      <c r="A85" s="192" t="s">
        <v>179</v>
      </c>
      <c r="B85" s="193">
        <v>0.1</v>
      </c>
      <c r="C85" s="194"/>
      <c r="D85" s="194" t="s">
        <v>178</v>
      </c>
      <c r="E85" s="194"/>
      <c r="F85" s="195">
        <f>C102/(C126)</f>
        <v>5.6338028169014086E-2</v>
      </c>
      <c r="G85" s="194"/>
      <c r="H85" s="196"/>
    </row>
    <row r="86" spans="1:8" s="71" customFormat="1" ht="17" thickBot="1" x14ac:dyDescent="0.25">
      <c r="A86" s="156"/>
      <c r="B86" s="160"/>
      <c r="C86" s="160"/>
      <c r="D86" s="160"/>
      <c r="E86" s="160"/>
      <c r="F86" s="160"/>
      <c r="G86" s="160"/>
      <c r="H86" s="161"/>
    </row>
    <row r="87" spans="1:8" s="71" customFormat="1" ht="16" x14ac:dyDescent="0.2">
      <c r="A87" s="189"/>
      <c r="B87" s="197" t="s">
        <v>177</v>
      </c>
      <c r="C87" s="197" t="s">
        <v>176</v>
      </c>
      <c r="D87" s="198">
        <v>2013</v>
      </c>
      <c r="E87" s="198">
        <v>2014</v>
      </c>
      <c r="F87" s="198">
        <v>2015</v>
      </c>
      <c r="G87" s="198">
        <v>2016</v>
      </c>
      <c r="H87" s="199">
        <v>2017</v>
      </c>
    </row>
    <row r="88" spans="1:8" s="71" customFormat="1" ht="16" x14ac:dyDescent="0.2">
      <c r="A88" s="176" t="s">
        <v>175</v>
      </c>
      <c r="B88" s="186">
        <f>B115/B97</f>
        <v>0.11943159455107726</v>
      </c>
      <c r="C88" s="186">
        <f>C115/C97</f>
        <v>0.11943159455107726</v>
      </c>
      <c r="D88" s="187">
        <v>0.11899999999999999</v>
      </c>
      <c r="E88" s="187">
        <v>0.11899999999999999</v>
      </c>
      <c r="F88" s="187">
        <v>0.11899999999999999</v>
      </c>
      <c r="G88" s="187">
        <v>0.11899999999999999</v>
      </c>
      <c r="H88" s="188">
        <v>0.11899999999999999</v>
      </c>
    </row>
    <row r="89" spans="1:8" s="71" customFormat="1" ht="16" x14ac:dyDescent="0.2">
      <c r="A89" s="176" t="s">
        <v>174</v>
      </c>
      <c r="B89" s="186">
        <f>B116/B98</f>
        <v>9.0043940532295152E-3</v>
      </c>
      <c r="C89" s="186">
        <f>C116/C98</f>
        <v>9.0043940532295152E-3</v>
      </c>
      <c r="D89" s="187">
        <v>8.9999999999999993E-3</v>
      </c>
      <c r="E89" s="187">
        <v>8.9999999999999993E-3</v>
      </c>
      <c r="F89" s="187">
        <v>8.9999999999999993E-3</v>
      </c>
      <c r="G89" s="187">
        <v>8.9999999999999993E-3</v>
      </c>
      <c r="H89" s="188">
        <v>8.9999999999999993E-3</v>
      </c>
    </row>
    <row r="90" spans="1:8" s="71" customFormat="1" ht="16" x14ac:dyDescent="0.2">
      <c r="A90" s="176" t="s">
        <v>173</v>
      </c>
      <c r="B90" s="186">
        <f>B98/B97</f>
        <v>0.56128760191172333</v>
      </c>
      <c r="C90" s="186">
        <f>C98/C97</f>
        <v>0.56128760191172333</v>
      </c>
      <c r="D90" s="187">
        <v>0.56100000000000005</v>
      </c>
      <c r="E90" s="187">
        <v>0.56100000000000005</v>
      </c>
      <c r="F90" s="187">
        <v>0.56100000000000005</v>
      </c>
      <c r="G90" s="187">
        <v>0.56100000000000005</v>
      </c>
      <c r="H90" s="188">
        <v>0.56100000000000005</v>
      </c>
    </row>
    <row r="91" spans="1:8" s="71" customFormat="1" ht="16" x14ac:dyDescent="0.2">
      <c r="A91" s="176" t="s">
        <v>172</v>
      </c>
      <c r="B91" s="186">
        <f>B99/B97</f>
        <v>2.1602729572929181E-2</v>
      </c>
      <c r="C91" s="186">
        <f>C99/C97</f>
        <v>2.1602729572929181E-2</v>
      </c>
      <c r="D91" s="187">
        <v>2.1999999999999999E-2</v>
      </c>
      <c r="E91" s="187">
        <v>2.1999999999999999E-2</v>
      </c>
      <c r="F91" s="187">
        <v>2.1999999999999999E-2</v>
      </c>
      <c r="G91" s="187">
        <v>2.1999999999999999E-2</v>
      </c>
      <c r="H91" s="188">
        <v>2.1999999999999999E-2</v>
      </c>
    </row>
    <row r="92" spans="1:8" s="71" customFormat="1" ht="16" x14ac:dyDescent="0.2">
      <c r="A92" s="176" t="s">
        <v>171</v>
      </c>
      <c r="B92" s="186">
        <f>B100/B97</f>
        <v>6.4150075395506934E-2</v>
      </c>
      <c r="C92" s="186">
        <f>C100/C97</f>
        <v>6.4150075395506934E-2</v>
      </c>
      <c r="D92" s="187">
        <v>6.4000000000000001E-2</v>
      </c>
      <c r="E92" s="187">
        <v>6.4000000000000001E-2</v>
      </c>
      <c r="F92" s="187">
        <v>6.4000000000000001E-2</v>
      </c>
      <c r="G92" s="187">
        <v>6.4000000000000001E-2</v>
      </c>
      <c r="H92" s="188">
        <v>6.4000000000000001E-2</v>
      </c>
    </row>
    <row r="93" spans="1:8" s="71" customFormat="1" ht="16" x14ac:dyDescent="0.2">
      <c r="A93" s="176" t="s">
        <v>170</v>
      </c>
      <c r="B93" s="186">
        <f>(B103-B105)/B103</f>
        <v>0.22935017450556755</v>
      </c>
      <c r="C93" s="186">
        <f>(C103-C105)/C103</f>
        <v>0.22935017450556755</v>
      </c>
      <c r="D93" s="187">
        <v>0.22900000000000001</v>
      </c>
      <c r="E93" s="187">
        <v>0.22900000000000001</v>
      </c>
      <c r="F93" s="187">
        <v>0.22900000000000001</v>
      </c>
      <c r="G93" s="187">
        <v>0.22900000000000001</v>
      </c>
      <c r="H93" s="188">
        <v>0.22900000000000001</v>
      </c>
    </row>
    <row r="94" spans="1:8" s="71" customFormat="1" ht="17" thickBot="1" x14ac:dyDescent="0.25">
      <c r="A94" s="192" t="s">
        <v>169</v>
      </c>
      <c r="B94" s="200">
        <f>B118/B98</f>
        <v>0.17589873187168453</v>
      </c>
      <c r="C94" s="200">
        <f>C118/C98</f>
        <v>0.17589873187168453</v>
      </c>
      <c r="D94" s="195">
        <v>0.17599999999999999</v>
      </c>
      <c r="E94" s="195">
        <v>0.17599999999999999</v>
      </c>
      <c r="F94" s="195">
        <v>0.17599999999999999</v>
      </c>
      <c r="G94" s="195">
        <v>0.17599999999999999</v>
      </c>
      <c r="H94" s="201">
        <v>0.17599999999999999</v>
      </c>
    </row>
    <row r="95" spans="1:8" s="71" customFormat="1" ht="17" thickBot="1" x14ac:dyDescent="0.25">
      <c r="A95" s="156"/>
      <c r="B95" s="163"/>
      <c r="C95" s="162"/>
      <c r="D95" s="159"/>
      <c r="E95" s="159"/>
      <c r="F95" s="159"/>
      <c r="G95" s="159"/>
      <c r="H95" s="164"/>
    </row>
    <row r="96" spans="1:8" s="71" customFormat="1" ht="16" x14ac:dyDescent="0.2">
      <c r="A96" s="202" t="s">
        <v>42</v>
      </c>
      <c r="B96" s="203"/>
      <c r="C96" s="204"/>
      <c r="D96" s="204"/>
      <c r="E96" s="204"/>
      <c r="F96" s="204"/>
      <c r="G96" s="204"/>
      <c r="H96" s="205"/>
    </row>
    <row r="97" spans="1:8" s="71" customFormat="1" ht="16" x14ac:dyDescent="0.2">
      <c r="A97" s="176" t="s">
        <v>168</v>
      </c>
      <c r="B97" s="177">
        <v>156508</v>
      </c>
      <c r="C97" s="177">
        <v>156508</v>
      </c>
      <c r="D97" s="177">
        <f>C97*(1+$B$22)</f>
        <v>172158.80000000002</v>
      </c>
      <c r="E97" s="177">
        <f>D97*(1+$B$22)</f>
        <v>189374.68000000002</v>
      </c>
      <c r="F97" s="177">
        <f>E97*(1+$B$22)</f>
        <v>208312.14800000004</v>
      </c>
      <c r="G97" s="177">
        <f>F97*(1+$B$22)</f>
        <v>229143.36280000006</v>
      </c>
      <c r="H97" s="178">
        <f>G97*(1+$B$22)</f>
        <v>252057.69908000008</v>
      </c>
    </row>
    <row r="98" spans="1:8" s="71" customFormat="1" ht="16" x14ac:dyDescent="0.2">
      <c r="A98" s="176" t="s">
        <v>167</v>
      </c>
      <c r="B98" s="177">
        <v>87846</v>
      </c>
      <c r="C98" s="177">
        <v>87846</v>
      </c>
      <c r="D98" s="177">
        <f>D97*D90</f>
        <v>96581.086800000019</v>
      </c>
      <c r="E98" s="177">
        <f>E97*E90</f>
        <v>106239.19548000002</v>
      </c>
      <c r="F98" s="177">
        <f>F97*F90</f>
        <v>116863.11502800003</v>
      </c>
      <c r="G98" s="177">
        <f>G97*G90</f>
        <v>128549.42653080005</v>
      </c>
      <c r="H98" s="178">
        <f>H97*H90</f>
        <v>141404.36918388004</v>
      </c>
    </row>
    <row r="99" spans="1:8" s="71" customFormat="1" ht="16" x14ac:dyDescent="0.2">
      <c r="A99" s="176" t="s">
        <v>166</v>
      </c>
      <c r="B99" s="177">
        <v>3381</v>
      </c>
      <c r="C99" s="177">
        <v>3381</v>
      </c>
      <c r="D99" s="177">
        <f>D97*D91</f>
        <v>3787.4936000000002</v>
      </c>
      <c r="E99" s="177">
        <f>E97*E91</f>
        <v>4166.2429600000005</v>
      </c>
      <c r="F99" s="177">
        <f>F97*F91</f>
        <v>4582.8672560000005</v>
      </c>
      <c r="G99" s="177">
        <f>G97*G91</f>
        <v>5041.1539816000013</v>
      </c>
      <c r="H99" s="178">
        <f>H97*H91</f>
        <v>5545.2693797600014</v>
      </c>
    </row>
    <row r="100" spans="1:8" s="71" customFormat="1" ht="16" x14ac:dyDescent="0.2">
      <c r="A100" s="176" t="s">
        <v>165</v>
      </c>
      <c r="B100" s="177">
        <v>10040</v>
      </c>
      <c r="C100" s="177">
        <v>10040</v>
      </c>
      <c r="D100" s="177">
        <f>D97*D92</f>
        <v>11018.163200000001</v>
      </c>
      <c r="E100" s="177">
        <f>E97*E92</f>
        <v>12119.979520000001</v>
      </c>
      <c r="F100" s="177">
        <f>F97*F92</f>
        <v>13331.977472000002</v>
      </c>
      <c r="G100" s="177">
        <f>G97*G92</f>
        <v>14665.175219200004</v>
      </c>
      <c r="H100" s="178">
        <f>H97*H92</f>
        <v>16131.692741120005</v>
      </c>
    </row>
    <row r="101" spans="1:8" s="71" customFormat="1" ht="16" x14ac:dyDescent="0.2">
      <c r="A101" s="176" t="s">
        <v>122</v>
      </c>
      <c r="B101" s="177">
        <v>55241</v>
      </c>
      <c r="C101" s="177">
        <v>55241</v>
      </c>
      <c r="D101" s="177">
        <f>D97-SUM(D98:D100)</f>
        <v>60772.056400000001</v>
      </c>
      <c r="E101" s="177">
        <f>E97-SUM(E98:E100)</f>
        <v>66849.262040000001</v>
      </c>
      <c r="F101" s="177">
        <f>F97-SUM(F98:F100)</f>
        <v>73534.188244000019</v>
      </c>
      <c r="G101" s="177">
        <f>G97-SUM(G98:G100)</f>
        <v>80887.607068400015</v>
      </c>
      <c r="H101" s="178">
        <f>H97-SUM(H98:H100)</f>
        <v>88976.36777524004</v>
      </c>
    </row>
    <row r="102" spans="1:8" s="71" customFormat="1" ht="16" x14ac:dyDescent="0.2">
      <c r="A102" s="176" t="s">
        <v>164</v>
      </c>
      <c r="B102" s="177">
        <v>1088</v>
      </c>
      <c r="C102" s="177">
        <v>1088</v>
      </c>
      <c r="D102" s="177">
        <f>(C126)*$F$22*(1+$B$22)</f>
        <v>1196.8000000000002</v>
      </c>
      <c r="E102" s="177">
        <f>(D126)*$F$22*(1+$B$22)</f>
        <v>1316.7674932732396</v>
      </c>
      <c r="F102" s="177">
        <f>(E126)*$F$22*(1+$B$22)</f>
        <v>1448.4442426005639</v>
      </c>
      <c r="G102" s="177">
        <f>(F126)*$F$22*(1+$B$22)</f>
        <v>1593.2886668606202</v>
      </c>
      <c r="H102" s="178">
        <f>(G126)*$F$22*(1+$B$22)</f>
        <v>1752.6175335466824</v>
      </c>
    </row>
    <row r="103" spans="1:8" s="71" customFormat="1" ht="16" x14ac:dyDescent="0.2">
      <c r="A103" s="176" t="s">
        <v>163</v>
      </c>
      <c r="B103" s="177">
        <f t="shared" ref="B103:C103" si="11">B101-B102</f>
        <v>54153</v>
      </c>
      <c r="C103" s="177">
        <f t="shared" si="11"/>
        <v>54153</v>
      </c>
      <c r="D103" s="177">
        <f>D101-D102</f>
        <v>59575.256399999998</v>
      </c>
      <c r="E103" s="177">
        <f>E101-E102</f>
        <v>65532.494546726761</v>
      </c>
      <c r="F103" s="177">
        <f t="shared" ref="F103:H103" si="12">F101-F102</f>
        <v>72085.744001399449</v>
      </c>
      <c r="G103" s="177">
        <f t="shared" si="12"/>
        <v>79294.318401539393</v>
      </c>
      <c r="H103" s="178">
        <f t="shared" si="12"/>
        <v>87223.750241693357</v>
      </c>
    </row>
    <row r="104" spans="1:8" s="71" customFormat="1" ht="16" x14ac:dyDescent="0.2">
      <c r="A104" s="176" t="s">
        <v>162</v>
      </c>
      <c r="B104" s="177">
        <f>B103-B105</f>
        <v>12420</v>
      </c>
      <c r="C104" s="177">
        <f>C103-C105</f>
        <v>12420</v>
      </c>
      <c r="D104" s="177">
        <f>D103*D93</f>
        <v>13642.733715599999</v>
      </c>
      <c r="E104" s="177">
        <f>E103*E93</f>
        <v>15006.941251200429</v>
      </c>
      <c r="F104" s="177">
        <f>F103*F93</f>
        <v>16507.635376320475</v>
      </c>
      <c r="G104" s="177">
        <f>G103*G93</f>
        <v>18158.398913952522</v>
      </c>
      <c r="H104" s="178">
        <f>H103*H93</f>
        <v>19974.238805347781</v>
      </c>
    </row>
    <row r="105" spans="1:8" s="71" customFormat="1" ht="16" x14ac:dyDescent="0.2">
      <c r="A105" s="176" t="s">
        <v>161</v>
      </c>
      <c r="B105" s="177">
        <v>41733</v>
      </c>
      <c r="C105" s="177">
        <v>41733</v>
      </c>
      <c r="D105" s="177">
        <f>D103-D104</f>
        <v>45932.522684399999</v>
      </c>
      <c r="E105" s="177">
        <f>E103-E104</f>
        <v>50525.553295526333</v>
      </c>
      <c r="F105" s="177">
        <f>F103-F104</f>
        <v>55578.108625078974</v>
      </c>
      <c r="G105" s="177">
        <f>G103-G104</f>
        <v>61135.919487586871</v>
      </c>
      <c r="H105" s="178">
        <f>H103-H104</f>
        <v>67249.51143634558</v>
      </c>
    </row>
    <row r="106" spans="1:8" s="71" customFormat="1" ht="16" x14ac:dyDescent="0.2">
      <c r="A106" s="181" t="s">
        <v>181</v>
      </c>
      <c r="B106" s="182">
        <f t="shared" ref="B106:H106" si="13">$B$84</f>
        <v>40000</v>
      </c>
      <c r="C106" s="182">
        <f t="shared" si="13"/>
        <v>40000</v>
      </c>
      <c r="D106" s="182">
        <f t="shared" si="13"/>
        <v>40000</v>
      </c>
      <c r="E106" s="182">
        <f t="shared" si="13"/>
        <v>40000</v>
      </c>
      <c r="F106" s="182">
        <f t="shared" si="13"/>
        <v>40000</v>
      </c>
      <c r="G106" s="182">
        <f t="shared" si="13"/>
        <v>40000</v>
      </c>
      <c r="H106" s="182">
        <f t="shared" si="13"/>
        <v>40000</v>
      </c>
    </row>
    <row r="107" spans="1:8" s="71" customFormat="1" ht="16" x14ac:dyDescent="0.2">
      <c r="A107" s="181" t="s">
        <v>219</v>
      </c>
      <c r="B107" s="182">
        <f>B105-B106</f>
        <v>1733</v>
      </c>
      <c r="C107" s="182">
        <f t="shared" ref="C107:H107" si="14">C105-C106</f>
        <v>1733</v>
      </c>
      <c r="D107" s="182">
        <f>D105-D106</f>
        <v>5932.522684399999</v>
      </c>
      <c r="E107" s="182">
        <f t="shared" si="14"/>
        <v>10525.553295526333</v>
      </c>
      <c r="F107" s="182">
        <f t="shared" si="14"/>
        <v>15578.108625078974</v>
      </c>
      <c r="G107" s="182">
        <f t="shared" si="14"/>
        <v>21135.919487586871</v>
      </c>
      <c r="H107" s="182">
        <f t="shared" si="14"/>
        <v>27249.51143634558</v>
      </c>
    </row>
    <row r="108" spans="1:8" s="71" customFormat="1" ht="16" x14ac:dyDescent="0.2">
      <c r="A108" s="176"/>
      <c r="B108" s="173"/>
      <c r="C108" s="179"/>
      <c r="D108" s="179"/>
      <c r="E108" s="179"/>
      <c r="F108" s="179"/>
      <c r="G108" s="179"/>
      <c r="H108" s="180"/>
    </row>
    <row r="109" spans="1:8" s="71" customFormat="1" ht="17" thickBot="1" x14ac:dyDescent="0.25">
      <c r="A109" s="192" t="s">
        <v>160</v>
      </c>
      <c r="B109" s="206">
        <f>B101/B102</f>
        <v>50.772977941176471</v>
      </c>
      <c r="C109" s="206">
        <f>C101/C102</f>
        <v>50.772977941176471</v>
      </c>
      <c r="D109" s="206">
        <f>D101/D102</f>
        <v>50.778790441176461</v>
      </c>
      <c r="E109" s="206">
        <f>E101/E102</f>
        <v>50.76770377572516</v>
      </c>
      <c r="F109" s="206">
        <f t="shared" ref="F109:H109" si="15">F101/F102</f>
        <v>50.76770377572516</v>
      </c>
      <c r="G109" s="206">
        <f t="shared" si="15"/>
        <v>50.76770377572516</v>
      </c>
      <c r="H109" s="207">
        <f t="shared" si="15"/>
        <v>50.767703775725167</v>
      </c>
    </row>
    <row r="110" spans="1:8" s="71" customFormat="1" ht="17" thickBot="1" x14ac:dyDescent="0.25">
      <c r="A110" s="156"/>
      <c r="B110" s="168"/>
      <c r="C110" s="168"/>
      <c r="D110" s="168"/>
      <c r="E110" s="168"/>
      <c r="F110" s="168"/>
      <c r="G110" s="168"/>
      <c r="H110" s="169"/>
    </row>
    <row r="111" spans="1:8" s="71" customFormat="1" ht="16" x14ac:dyDescent="0.2">
      <c r="A111" s="202" t="s">
        <v>0</v>
      </c>
      <c r="B111" s="203"/>
      <c r="C111" s="203"/>
      <c r="D111" s="203"/>
      <c r="E111" s="203"/>
      <c r="F111" s="203"/>
      <c r="G111" s="203"/>
      <c r="H111" s="208"/>
    </row>
    <row r="112" spans="1:8" s="71" customFormat="1" ht="16" x14ac:dyDescent="0.2">
      <c r="A112" s="176" t="s">
        <v>159</v>
      </c>
      <c r="B112" s="177">
        <f>SUM(B113:B114)</f>
        <v>121251</v>
      </c>
      <c r="C112" s="177">
        <f>(29129+92122)*(1-0.69*0.35)</f>
        <v>91968.883500000011</v>
      </c>
      <c r="D112" s="177">
        <f>SUM(D113:D114)</f>
        <v>98325.618510800006</v>
      </c>
      <c r="E112" s="177">
        <f>SUM(E113:E114)</f>
        <v>109197.69303896632</v>
      </c>
      <c r="F112" s="177">
        <f>SUM(F113:F114)</f>
        <v>125156.97501994928</v>
      </c>
      <c r="G112" s="177">
        <f>SUM(G113:G114)</f>
        <v>146712.18519903056</v>
      </c>
      <c r="H112" s="178">
        <f>SUM(H113:H114)</f>
        <v>174422.91639602001</v>
      </c>
    </row>
    <row r="113" spans="1:8" s="71" customFormat="1" ht="16" x14ac:dyDescent="0.2">
      <c r="A113" s="176" t="s">
        <v>158</v>
      </c>
      <c r="B113" s="177">
        <f>2*B100</f>
        <v>20080</v>
      </c>
      <c r="C113" s="177">
        <f>2*C100</f>
        <v>20080</v>
      </c>
      <c r="D113" s="177">
        <f>2*D100</f>
        <v>22036.326400000002</v>
      </c>
      <c r="E113" s="177">
        <f t="shared" ref="E113:H113" si="16">2*E100</f>
        <v>24239.959040000002</v>
      </c>
      <c r="F113" s="177">
        <f t="shared" si="16"/>
        <v>26663.954944000005</v>
      </c>
      <c r="G113" s="177">
        <f t="shared" si="16"/>
        <v>29330.350438400008</v>
      </c>
      <c r="H113" s="178">
        <f t="shared" si="16"/>
        <v>32263.38548224001</v>
      </c>
    </row>
    <row r="114" spans="1:8" s="71" customFormat="1" ht="16" x14ac:dyDescent="0.2">
      <c r="A114" s="181" t="s">
        <v>218</v>
      </c>
      <c r="B114" s="182">
        <f>(29129+92122)-B113</f>
        <v>101171</v>
      </c>
      <c r="C114" s="182">
        <f>C112-C113</f>
        <v>71888.883500000011</v>
      </c>
      <c r="D114" s="182">
        <f>D130-SUM(D115:D119,D113:D113)</f>
        <v>76289.292110800001</v>
      </c>
      <c r="E114" s="182">
        <f>E130-SUM(E115:E119,E113:E113)</f>
        <v>84957.733998966316</v>
      </c>
      <c r="F114" s="182">
        <f>F130-SUM(F115:F119,F113:F113)</f>
        <v>98493.020075949287</v>
      </c>
      <c r="G114" s="182">
        <f>G130-SUM(G115:G119,G113:G113)</f>
        <v>117381.83476063055</v>
      </c>
      <c r="H114" s="183">
        <f>H130-SUM(H115:H119,H113:H113)</f>
        <v>142159.53091378001</v>
      </c>
    </row>
    <row r="115" spans="1:8" s="71" customFormat="1" ht="16" x14ac:dyDescent="0.2">
      <c r="A115" s="176" t="s">
        <v>156</v>
      </c>
      <c r="B115" s="177">
        <v>18692</v>
      </c>
      <c r="C115" s="177">
        <v>18692</v>
      </c>
      <c r="D115" s="177">
        <f t="shared" ref="D115:H116" si="17">D97*D88</f>
        <v>20486.897199999999</v>
      </c>
      <c r="E115" s="177">
        <f t="shared" si="17"/>
        <v>22535.586920000002</v>
      </c>
      <c r="F115" s="177">
        <f t="shared" si="17"/>
        <v>24789.145612000004</v>
      </c>
      <c r="G115" s="177">
        <f t="shared" si="17"/>
        <v>27268.060173200007</v>
      </c>
      <c r="H115" s="178">
        <f t="shared" si="17"/>
        <v>29994.86619052001</v>
      </c>
    </row>
    <row r="116" spans="1:8" s="71" customFormat="1" ht="16" x14ac:dyDescent="0.2">
      <c r="A116" s="176" t="s">
        <v>155</v>
      </c>
      <c r="B116" s="177">
        <v>791</v>
      </c>
      <c r="C116" s="177">
        <v>791</v>
      </c>
      <c r="D116" s="177">
        <f t="shared" si="17"/>
        <v>869.22978120000016</v>
      </c>
      <c r="E116" s="177">
        <f t="shared" si="17"/>
        <v>956.1527593200002</v>
      </c>
      <c r="F116" s="177">
        <f t="shared" si="17"/>
        <v>1051.7680352520001</v>
      </c>
      <c r="G116" s="177">
        <f t="shared" si="17"/>
        <v>1156.9448387772004</v>
      </c>
      <c r="H116" s="178">
        <f t="shared" si="17"/>
        <v>1272.6393226549203</v>
      </c>
    </row>
    <row r="117" spans="1:8" s="71" customFormat="1" ht="16" x14ac:dyDescent="0.2">
      <c r="A117" s="176" t="s">
        <v>154</v>
      </c>
      <c r="B117" s="177">
        <f>2583+278+6180</f>
        <v>9041</v>
      </c>
      <c r="C117" s="177">
        <f>2583+278+6180</f>
        <v>9041</v>
      </c>
      <c r="D117" s="177">
        <f>D98*0.103</f>
        <v>9947.8519404000017</v>
      </c>
      <c r="E117" s="177">
        <f>E98*0.103</f>
        <v>10942.637134440001</v>
      </c>
      <c r="F117" s="177">
        <f>F98*0.103</f>
        <v>12036.900847884002</v>
      </c>
      <c r="G117" s="177">
        <f>G98*0.103</f>
        <v>13240.590932672405</v>
      </c>
      <c r="H117" s="178">
        <f>H98*0.103</f>
        <v>14564.650025939643</v>
      </c>
    </row>
    <row r="118" spans="1:8" s="71" customFormat="1" ht="16" x14ac:dyDescent="0.2">
      <c r="A118" s="176" t="s">
        <v>153</v>
      </c>
      <c r="B118" s="177">
        <v>15452</v>
      </c>
      <c r="C118" s="177">
        <v>15452</v>
      </c>
      <c r="D118" s="177">
        <f>D98*D94</f>
        <v>16998.271276800002</v>
      </c>
      <c r="E118" s="177">
        <f>E98*E94</f>
        <v>18698.098404480003</v>
      </c>
      <c r="F118" s="177">
        <f>F98*F94</f>
        <v>20567.908244928003</v>
      </c>
      <c r="G118" s="177">
        <f>G98*G94</f>
        <v>22624.699069420807</v>
      </c>
      <c r="H118" s="178">
        <f>H98*H94</f>
        <v>24887.168976362886</v>
      </c>
    </row>
    <row r="119" spans="1:8" s="71" customFormat="1" ht="16" x14ac:dyDescent="0.2">
      <c r="A119" s="176" t="s">
        <v>152</v>
      </c>
      <c r="B119" s="184">
        <f>1135+4224+5478</f>
        <v>10837</v>
      </c>
      <c r="C119" s="184">
        <f>1135+4224+5478</f>
        <v>10837</v>
      </c>
      <c r="D119" s="184">
        <f>D98*0.123</f>
        <v>11879.473676400003</v>
      </c>
      <c r="E119" s="184">
        <f>E98*0.123</f>
        <v>13067.421044040002</v>
      </c>
      <c r="F119" s="184">
        <f>F98*0.123</f>
        <v>14374.163148444004</v>
      </c>
      <c r="G119" s="184">
        <f>G98*0.123</f>
        <v>15811.579463288406</v>
      </c>
      <c r="H119" s="185">
        <f>H98*0.123</f>
        <v>17392.737409617246</v>
      </c>
    </row>
    <row r="120" spans="1:8" s="71" customFormat="1" ht="16" x14ac:dyDescent="0.2">
      <c r="A120" s="176" t="s">
        <v>151</v>
      </c>
      <c r="B120" s="177">
        <f t="shared" ref="B120:H120" si="18">SUM(B113:B119)</f>
        <v>176064</v>
      </c>
      <c r="C120" s="177">
        <f t="shared" si="18"/>
        <v>146781.8835</v>
      </c>
      <c r="D120" s="177">
        <f t="shared" si="18"/>
        <v>158507.3423856</v>
      </c>
      <c r="E120" s="177">
        <f t="shared" si="18"/>
        <v>175397.58930124631</v>
      </c>
      <c r="F120" s="177">
        <f t="shared" si="18"/>
        <v>197976.86090845728</v>
      </c>
      <c r="G120" s="177">
        <f t="shared" si="18"/>
        <v>226814.05967638938</v>
      </c>
      <c r="H120" s="178">
        <f t="shared" si="18"/>
        <v>262534.97832111473</v>
      </c>
    </row>
    <row r="121" spans="1:8" s="71" customFormat="1" ht="16" x14ac:dyDescent="0.2">
      <c r="A121" s="156"/>
      <c r="B121" s="166"/>
      <c r="C121" s="166"/>
      <c r="D121" s="166"/>
      <c r="E121" s="166"/>
      <c r="F121" s="166"/>
      <c r="G121" s="166"/>
      <c r="H121" s="167"/>
    </row>
    <row r="122" spans="1:8" s="71" customFormat="1" ht="16" x14ac:dyDescent="0.2">
      <c r="A122" s="225" t="s">
        <v>150</v>
      </c>
      <c r="B122" s="179"/>
      <c r="C122" s="179"/>
      <c r="D122" s="179"/>
      <c r="E122" s="179"/>
      <c r="F122" s="179"/>
      <c r="G122" s="179"/>
      <c r="H122" s="180"/>
    </row>
    <row r="123" spans="1:8" s="71" customFormat="1" ht="16" x14ac:dyDescent="0.2">
      <c r="A123" s="176" t="s">
        <v>149</v>
      </c>
      <c r="B123" s="177">
        <v>21175</v>
      </c>
      <c r="C123" s="177">
        <v>21175</v>
      </c>
      <c r="D123" s="177">
        <f>D98*0.241</f>
        <v>23276.041918800005</v>
      </c>
      <c r="E123" s="177">
        <f>E98*0.241</f>
        <v>25603.646110680005</v>
      </c>
      <c r="F123" s="177">
        <f>F98*0.241</f>
        <v>28164.010721748007</v>
      </c>
      <c r="G123" s="177">
        <f>G98*0.241</f>
        <v>30980.411793922809</v>
      </c>
      <c r="H123" s="178">
        <f>H98*0.241</f>
        <v>34078.452973315092</v>
      </c>
    </row>
    <row r="124" spans="1:8" s="71" customFormat="1" ht="16" x14ac:dyDescent="0.2">
      <c r="A124" s="176" t="s">
        <v>148</v>
      </c>
      <c r="B124" s="177">
        <f>6749</f>
        <v>6749</v>
      </c>
      <c r="C124" s="177">
        <f>6749</f>
        <v>6749</v>
      </c>
      <c r="D124" s="177">
        <f>D98*0.077</f>
        <v>7436.7436836000015</v>
      </c>
      <c r="E124" s="177">
        <f>E98*0.077</f>
        <v>8180.4180519600013</v>
      </c>
      <c r="F124" s="177">
        <f>F98*0.077</f>
        <v>8998.4598571560018</v>
      </c>
      <c r="G124" s="177">
        <f>G98*0.077</f>
        <v>9898.3058428716031</v>
      </c>
      <c r="H124" s="178">
        <f>H98*0.077</f>
        <v>10888.136427158763</v>
      </c>
    </row>
    <row r="125" spans="1:8" s="71" customFormat="1" ht="16" x14ac:dyDescent="0.2">
      <c r="A125" s="176" t="s">
        <v>147</v>
      </c>
      <c r="B125" s="177">
        <f>1535+7445+1638</f>
        <v>10618</v>
      </c>
      <c r="C125" s="177">
        <f>1535+7445+1638</f>
        <v>10618</v>
      </c>
      <c r="D125" s="177">
        <f>D98*0.121</f>
        <v>11686.311502800001</v>
      </c>
      <c r="E125" s="177">
        <f>E98*0.121</f>
        <v>12854.942653080003</v>
      </c>
      <c r="F125" s="177">
        <f>F98*0.121</f>
        <v>14140.436918388003</v>
      </c>
      <c r="G125" s="177">
        <f>G98*0.121</f>
        <v>15554.480610226805</v>
      </c>
      <c r="H125" s="178">
        <f>H98*0.121</f>
        <v>17109.928671249483</v>
      </c>
    </row>
    <row r="126" spans="1:8" s="71" customFormat="1" ht="16" x14ac:dyDescent="0.2">
      <c r="A126" s="176" t="s">
        <v>146</v>
      </c>
      <c r="B126" s="177">
        <f>B128-SUM(B123,B124,B125,B127)</f>
        <v>19312</v>
      </c>
      <c r="C126" s="177">
        <f>C128-SUM(C123,C124,C125,C127)</f>
        <v>19312</v>
      </c>
      <c r="D126" s="177">
        <f>D98*0.22</f>
        <v>21247.839096000003</v>
      </c>
      <c r="E126" s="177">
        <f>E98*0.22</f>
        <v>23372.623005600006</v>
      </c>
      <c r="F126" s="177">
        <f>F98*0.22</f>
        <v>25709.885306160006</v>
      </c>
      <c r="G126" s="177">
        <f>G98*0.22</f>
        <v>28280.873836776009</v>
      </c>
      <c r="H126" s="178">
        <f>H98*0.22</f>
        <v>31108.96122045361</v>
      </c>
    </row>
    <row r="127" spans="1:8" s="71" customFormat="1" ht="16" x14ac:dyDescent="0.2">
      <c r="A127" s="181" t="s">
        <v>181</v>
      </c>
      <c r="B127" s="182">
        <f t="shared" ref="B127:H127" si="19">$B$84</f>
        <v>40000</v>
      </c>
      <c r="C127" s="182">
        <f t="shared" si="19"/>
        <v>40000</v>
      </c>
      <c r="D127" s="182">
        <f t="shared" si="19"/>
        <v>40000</v>
      </c>
      <c r="E127" s="182">
        <f t="shared" si="19"/>
        <v>40000</v>
      </c>
      <c r="F127" s="182">
        <f t="shared" si="19"/>
        <v>40000</v>
      </c>
      <c r="G127" s="182">
        <f t="shared" si="19"/>
        <v>40000</v>
      </c>
      <c r="H127" s="183">
        <f t="shared" si="19"/>
        <v>40000</v>
      </c>
    </row>
    <row r="128" spans="1:8" s="71" customFormat="1" ht="16" x14ac:dyDescent="0.2">
      <c r="A128" s="176" t="s">
        <v>145</v>
      </c>
      <c r="B128" s="177">
        <f>57854+B127</f>
        <v>97854</v>
      </c>
      <c r="C128" s="177">
        <f>57854+$B$84</f>
        <v>97854</v>
      </c>
      <c r="D128" s="177">
        <f>SUM(D123:D127)</f>
        <v>103646.93620120001</v>
      </c>
      <c r="E128" s="177">
        <f t="shared" ref="E128:H128" si="20">SUM(E123:E127)</f>
        <v>110011.62982132001</v>
      </c>
      <c r="F128" s="177">
        <f t="shared" si="20"/>
        <v>117012.79280345202</v>
      </c>
      <c r="G128" s="177">
        <f t="shared" si="20"/>
        <v>124714.07208379722</v>
      </c>
      <c r="H128" s="177">
        <f t="shared" si="20"/>
        <v>133185.47929217695</v>
      </c>
    </row>
    <row r="129" spans="1:8" s="71" customFormat="1" ht="16" x14ac:dyDescent="0.2">
      <c r="A129" s="181" t="s">
        <v>216</v>
      </c>
      <c r="B129" s="182">
        <f>B120-B128</f>
        <v>78210</v>
      </c>
      <c r="C129" s="182">
        <f>C120-C128</f>
        <v>48927.883499999996</v>
      </c>
      <c r="D129" s="182">
        <f>C129+D107</f>
        <v>54860.406184399995</v>
      </c>
      <c r="E129" s="182">
        <f t="shared" ref="E129:H129" si="21">D129+E107</f>
        <v>65385.959479926329</v>
      </c>
      <c r="F129" s="182">
        <f t="shared" si="21"/>
        <v>80964.06810500531</v>
      </c>
      <c r="G129" s="182">
        <f t="shared" si="21"/>
        <v>102099.98759259218</v>
      </c>
      <c r="H129" s="182">
        <f t="shared" si="21"/>
        <v>129349.49902893776</v>
      </c>
    </row>
    <row r="130" spans="1:8" s="71" customFormat="1" ht="17" thickBot="1" x14ac:dyDescent="0.25">
      <c r="A130" s="192" t="s">
        <v>143</v>
      </c>
      <c r="B130" s="209">
        <f>B128+B129</f>
        <v>176064</v>
      </c>
      <c r="C130" s="209">
        <f>C128+C129</f>
        <v>146781.8835</v>
      </c>
      <c r="D130" s="209">
        <f>D129+D128</f>
        <v>158507.3423856</v>
      </c>
      <c r="E130" s="209">
        <f>E129+E128</f>
        <v>175397.58930124633</v>
      </c>
      <c r="F130" s="209">
        <f>F129+F128</f>
        <v>197976.86090845731</v>
      </c>
      <c r="G130" s="209">
        <f>G129+G128</f>
        <v>226814.05967638938</v>
      </c>
      <c r="H130" s="210">
        <f>H129+H128</f>
        <v>262534.97832111473</v>
      </c>
    </row>
    <row r="131" spans="1:8" s="71" customFormat="1" ht="17" thickBot="1" x14ac:dyDescent="0.25">
      <c r="A131" s="156"/>
      <c r="B131" s="163"/>
      <c r="C131" s="165"/>
      <c r="D131" s="165"/>
      <c r="E131" s="165"/>
      <c r="F131" s="165"/>
      <c r="G131" s="165"/>
      <c r="H131" s="157"/>
    </row>
    <row r="132" spans="1:8" s="71" customFormat="1" ht="16" x14ac:dyDescent="0.2">
      <c r="A132" s="213" t="s">
        <v>142</v>
      </c>
      <c r="B132" s="203"/>
      <c r="C132" s="214"/>
      <c r="D132" s="214"/>
      <c r="E132" s="214"/>
      <c r="F132" s="214"/>
      <c r="G132" s="214"/>
      <c r="H132" s="215"/>
    </row>
    <row r="133" spans="1:8" s="71" customFormat="1" ht="16" x14ac:dyDescent="0.2">
      <c r="A133" s="181" t="s">
        <v>141</v>
      </c>
      <c r="B133" s="218">
        <f t="shared" ref="B133:H133" si="22">B105/B129</f>
        <v>0.53360184119677789</v>
      </c>
      <c r="C133" s="218">
        <f t="shared" si="22"/>
        <v>0.85294921861886797</v>
      </c>
      <c r="D133" s="218">
        <f t="shared" si="22"/>
        <v>0.83726180462479494</v>
      </c>
      <c r="E133" s="218">
        <f t="shared" si="22"/>
        <v>0.77272787150944566</v>
      </c>
      <c r="F133" s="218">
        <f t="shared" si="22"/>
        <v>0.6864540026941045</v>
      </c>
      <c r="G133" s="218">
        <f t="shared" si="22"/>
        <v>0.5987847886087555</v>
      </c>
      <c r="H133" s="219">
        <f t="shared" si="22"/>
        <v>0.51990546497053447</v>
      </c>
    </row>
    <row r="134" spans="1:8" s="71" customFormat="1" ht="16" x14ac:dyDescent="0.2">
      <c r="A134" s="176" t="s">
        <v>140</v>
      </c>
      <c r="B134" s="174">
        <f t="shared" ref="B134:H134" si="23">B97/B120</f>
        <v>0.88892675390766995</v>
      </c>
      <c r="C134" s="174">
        <f t="shared" si="23"/>
        <v>1.0662623769915038</v>
      </c>
      <c r="D134" s="174">
        <f t="shared" si="23"/>
        <v>1.0861250804470002</v>
      </c>
      <c r="E134" s="174">
        <f t="shared" si="23"/>
        <v>1.0796880433444727</v>
      </c>
      <c r="F134" s="174">
        <f t="shared" si="23"/>
        <v>1.0522045204884913</v>
      </c>
      <c r="G134" s="174">
        <f t="shared" si="23"/>
        <v>1.0102696593277067</v>
      </c>
      <c r="H134" s="175">
        <f t="shared" si="23"/>
        <v>0.96009187305967447</v>
      </c>
    </row>
    <row r="135" spans="1:8" s="71" customFormat="1" ht="16" x14ac:dyDescent="0.2">
      <c r="A135" s="176" t="s">
        <v>139</v>
      </c>
      <c r="B135" s="174">
        <f t="shared" ref="B135:H135" si="24">B120/B129</f>
        <v>2.2511699271192942</v>
      </c>
      <c r="C135" s="174">
        <f t="shared" si="24"/>
        <v>2.9999638856236244</v>
      </c>
      <c r="D135" s="174">
        <f t="shared" si="24"/>
        <v>2.8892848852196953</v>
      </c>
      <c r="E135" s="174">
        <f t="shared" si="24"/>
        <v>2.6824962223746804</v>
      </c>
      <c r="F135" s="174">
        <f t="shared" si="24"/>
        <v>2.4452434955676106</v>
      </c>
      <c r="G135" s="174">
        <f t="shared" si="24"/>
        <v>2.2214895909825341</v>
      </c>
      <c r="H135" s="175">
        <f t="shared" si="24"/>
        <v>2.0296559344414704</v>
      </c>
    </row>
    <row r="136" spans="1:8" s="71" customFormat="1" ht="17" thickBot="1" x14ac:dyDescent="0.25">
      <c r="A136" s="192" t="s">
        <v>138</v>
      </c>
      <c r="B136" s="216">
        <f t="shared" ref="B136:H136" si="25">B105/B97</f>
        <v>0.26665090602397323</v>
      </c>
      <c r="C136" s="216">
        <f t="shared" si="25"/>
        <v>0.26665090602397323</v>
      </c>
      <c r="D136" s="216">
        <f t="shared" si="25"/>
        <v>0.26680322286400693</v>
      </c>
      <c r="E136" s="216">
        <f t="shared" si="25"/>
        <v>0.26680205239436616</v>
      </c>
      <c r="F136" s="216">
        <f t="shared" si="25"/>
        <v>0.26680205239436616</v>
      </c>
      <c r="G136" s="216">
        <f t="shared" si="25"/>
        <v>0.26680205239436616</v>
      </c>
      <c r="H136" s="217">
        <f t="shared" si="25"/>
        <v>0.26680205239436622</v>
      </c>
    </row>
    <row r="137" spans="1:8" s="71" customFormat="1" ht="16" x14ac:dyDescent="0.2">
      <c r="A137" s="156"/>
      <c r="B137" s="163"/>
      <c r="C137" s="163"/>
      <c r="D137" s="163"/>
      <c r="E137" s="163"/>
      <c r="F137" s="163"/>
      <c r="G137" s="163"/>
      <c r="H137" s="170"/>
    </row>
    <row r="138" spans="1:8" s="71" customFormat="1" ht="16" x14ac:dyDescent="0.2">
      <c r="A138" s="156"/>
      <c r="B138" s="163"/>
      <c r="C138" s="162" t="s">
        <v>137</v>
      </c>
      <c r="D138" s="163"/>
      <c r="E138" s="152"/>
      <c r="F138" s="152"/>
      <c r="G138" s="163"/>
      <c r="H138" s="170"/>
    </row>
    <row r="139" spans="1:8" s="71" customFormat="1" ht="16" x14ac:dyDescent="0.2">
      <c r="A139" s="101"/>
      <c r="B139" s="144"/>
      <c r="C139" s="153"/>
      <c r="D139" s="144"/>
      <c r="E139" s="153"/>
      <c r="F139" s="144"/>
      <c r="G139" s="153"/>
      <c r="H139" s="145"/>
    </row>
    <row r="140" spans="1:8" s="71" customFormat="1" ht="17" thickBot="1" x14ac:dyDescent="0.25">
      <c r="A140" s="146"/>
      <c r="B140" s="147"/>
      <c r="C140" s="147"/>
      <c r="D140" s="147"/>
      <c r="E140" s="147"/>
      <c r="F140" s="147"/>
      <c r="G140" s="147"/>
      <c r="H140" s="148"/>
    </row>
    <row r="141" spans="1:8" s="71" customFormat="1" ht="16" x14ac:dyDescent="0.2">
      <c r="A141"/>
      <c r="B141"/>
      <c r="C141"/>
      <c r="D141"/>
      <c r="E141"/>
      <c r="F141"/>
      <c r="G141"/>
      <c r="H141"/>
    </row>
    <row r="142" spans="1:8" s="71" customFormat="1" ht="16" x14ac:dyDescent="0.2">
      <c r="A142"/>
      <c r="B142"/>
      <c r="C142"/>
      <c r="D142"/>
      <c r="E142"/>
      <c r="F142"/>
      <c r="G142"/>
      <c r="H142"/>
    </row>
    <row r="143" spans="1:8" s="71" customFormat="1" ht="16" x14ac:dyDescent="0.2">
      <c r="A143"/>
      <c r="B143"/>
      <c r="C143"/>
      <c r="D143"/>
      <c r="E143"/>
      <c r="F143"/>
      <c r="G143"/>
      <c r="H143"/>
    </row>
    <row r="144" spans="1:8" s="71" customFormat="1" ht="17" thickBot="1" x14ac:dyDescent="0.25">
      <c r="A144" s="302" t="s">
        <v>215</v>
      </c>
      <c r="B144" s="302"/>
      <c r="C144" s="302"/>
      <c r="D144" s="302"/>
      <c r="E144" s="302"/>
      <c r="F144" s="302"/>
      <c r="G144" s="302"/>
      <c r="H144" s="302"/>
    </row>
    <row r="145" spans="1:8" s="71" customFormat="1" ht="16" x14ac:dyDescent="0.2">
      <c r="A145" s="303" t="s">
        <v>222</v>
      </c>
      <c r="B145" s="304"/>
      <c r="C145" s="304"/>
      <c r="D145" s="304"/>
      <c r="E145" s="304"/>
      <c r="F145" s="304"/>
      <c r="G145" s="304"/>
      <c r="H145" s="305"/>
    </row>
    <row r="146" spans="1:8" s="71" customFormat="1" ht="16" x14ac:dyDescent="0.2">
      <c r="A146" s="306"/>
      <c r="B146" s="307"/>
      <c r="C146" s="307"/>
      <c r="D146" s="307"/>
      <c r="E146" s="307"/>
      <c r="F146" s="307"/>
      <c r="G146" s="307"/>
      <c r="H146" s="308"/>
    </row>
    <row r="147" spans="1:8" s="71" customFormat="1" ht="16" x14ac:dyDescent="0.2">
      <c r="A147" s="306"/>
      <c r="B147" s="307"/>
      <c r="C147" s="307"/>
      <c r="D147" s="307"/>
      <c r="E147" s="307"/>
      <c r="F147" s="307"/>
      <c r="G147" s="307"/>
      <c r="H147" s="308"/>
    </row>
    <row r="148" spans="1:8" s="71" customFormat="1" ht="17" thickBot="1" x14ac:dyDescent="0.25">
      <c r="A148" s="309"/>
      <c r="B148" s="310"/>
      <c r="C148" s="310"/>
      <c r="D148" s="310"/>
      <c r="E148" s="310"/>
      <c r="F148" s="310"/>
      <c r="G148" s="310"/>
      <c r="H148" s="311"/>
    </row>
    <row r="149" spans="1:8" s="71" customFormat="1" ht="17" thickBot="1" x14ac:dyDescent="0.25">
      <c r="A149" s="116"/>
      <c r="B149" s="171"/>
      <c r="C149" s="171"/>
      <c r="D149" s="171"/>
      <c r="E149" s="171"/>
      <c r="F149" s="171"/>
      <c r="G149" s="171"/>
      <c r="H149" s="172"/>
    </row>
    <row r="150" spans="1:8" s="71" customFormat="1" ht="16" x14ac:dyDescent="0.2">
      <c r="A150" s="189" t="s">
        <v>180</v>
      </c>
      <c r="B150" s="190"/>
      <c r="C150" s="190"/>
      <c r="D150" s="190"/>
      <c r="E150" s="190"/>
      <c r="F150" s="190"/>
      <c r="G150" s="190"/>
      <c r="H150" s="191"/>
    </row>
    <row r="151" spans="1:8" s="71" customFormat="1" ht="16" x14ac:dyDescent="0.2">
      <c r="A151" s="176" t="s">
        <v>181</v>
      </c>
      <c r="B151" s="224">
        <v>50000</v>
      </c>
      <c r="C151" s="222"/>
      <c r="D151" s="222" t="s">
        <v>182</v>
      </c>
      <c r="E151" s="222"/>
      <c r="F151" s="224">
        <v>50000</v>
      </c>
      <c r="G151" s="222"/>
      <c r="H151" s="223"/>
    </row>
    <row r="152" spans="1:8" s="71" customFormat="1" ht="17" thickBot="1" x14ac:dyDescent="0.25">
      <c r="A152" s="192" t="s">
        <v>179</v>
      </c>
      <c r="B152" s="193">
        <v>0.1</v>
      </c>
      <c r="C152" s="194"/>
      <c r="D152" s="194" t="s">
        <v>178</v>
      </c>
      <c r="E152" s="194"/>
      <c r="F152" s="195">
        <f>F22</f>
        <v>5.6338028169014086E-2</v>
      </c>
      <c r="G152" s="194"/>
      <c r="H152" s="196"/>
    </row>
    <row r="153" spans="1:8" s="71" customFormat="1" ht="17" thickBot="1" x14ac:dyDescent="0.25">
      <c r="A153" s="156"/>
      <c r="B153" s="160"/>
      <c r="C153" s="160"/>
      <c r="D153" s="160"/>
      <c r="E153" s="160"/>
      <c r="F153" s="160"/>
      <c r="G153" s="160"/>
      <c r="H153" s="161"/>
    </row>
    <row r="154" spans="1:8" s="71" customFormat="1" ht="16" x14ac:dyDescent="0.2">
      <c r="A154" s="189"/>
      <c r="B154" s="197" t="s">
        <v>177</v>
      </c>
      <c r="C154" s="197" t="s">
        <v>176</v>
      </c>
      <c r="D154" s="198">
        <v>2013</v>
      </c>
      <c r="E154" s="198">
        <v>2014</v>
      </c>
      <c r="F154" s="198">
        <v>2015</v>
      </c>
      <c r="G154" s="198">
        <v>2016</v>
      </c>
      <c r="H154" s="199">
        <v>2017</v>
      </c>
    </row>
    <row r="155" spans="1:8" s="71" customFormat="1" ht="16" x14ac:dyDescent="0.2">
      <c r="A155" s="176" t="s">
        <v>175</v>
      </c>
      <c r="B155" s="186">
        <f>B182/B164</f>
        <v>0.11943159455107726</v>
      </c>
      <c r="C155" s="186">
        <f>C182/C164</f>
        <v>0.11943159455107726</v>
      </c>
      <c r="D155" s="187">
        <v>0.11899999999999999</v>
      </c>
      <c r="E155" s="187">
        <v>0.11899999999999999</v>
      </c>
      <c r="F155" s="187">
        <v>0.11899999999999999</v>
      </c>
      <c r="G155" s="187">
        <v>0.11899999999999999</v>
      </c>
      <c r="H155" s="188">
        <v>0.11899999999999999</v>
      </c>
    </row>
    <row r="156" spans="1:8" s="71" customFormat="1" ht="16" x14ac:dyDescent="0.2">
      <c r="A156" s="176" t="s">
        <v>174</v>
      </c>
      <c r="B156" s="186">
        <f>B183/B165</f>
        <v>9.0043940532295152E-3</v>
      </c>
      <c r="C156" s="186">
        <f>C183/C165</f>
        <v>9.0043940532295152E-3</v>
      </c>
      <c r="D156" s="187">
        <v>8.9999999999999993E-3</v>
      </c>
      <c r="E156" s="187">
        <v>8.9999999999999993E-3</v>
      </c>
      <c r="F156" s="187">
        <v>8.9999999999999993E-3</v>
      </c>
      <c r="G156" s="187">
        <v>8.9999999999999993E-3</v>
      </c>
      <c r="H156" s="188">
        <v>8.9999999999999993E-3</v>
      </c>
    </row>
    <row r="157" spans="1:8" s="71" customFormat="1" ht="16" x14ac:dyDescent="0.2">
      <c r="A157" s="176" t="s">
        <v>173</v>
      </c>
      <c r="B157" s="186">
        <f>B165/B164</f>
        <v>0.56128760191172333</v>
      </c>
      <c r="C157" s="186">
        <f>C165/C164</f>
        <v>0.56128760191172333</v>
      </c>
      <c r="D157" s="187">
        <v>0.56100000000000005</v>
      </c>
      <c r="E157" s="187">
        <v>0.56100000000000005</v>
      </c>
      <c r="F157" s="187">
        <v>0.56100000000000005</v>
      </c>
      <c r="G157" s="187">
        <v>0.56100000000000005</v>
      </c>
      <c r="H157" s="188">
        <v>0.56100000000000005</v>
      </c>
    </row>
    <row r="158" spans="1:8" s="71" customFormat="1" ht="16" x14ac:dyDescent="0.2">
      <c r="A158" s="176" t="s">
        <v>172</v>
      </c>
      <c r="B158" s="186">
        <f>B166/B164</f>
        <v>2.1602729572929181E-2</v>
      </c>
      <c r="C158" s="186">
        <f>C166/C164</f>
        <v>2.1602729572929181E-2</v>
      </c>
      <c r="D158" s="187">
        <v>2.1999999999999999E-2</v>
      </c>
      <c r="E158" s="187">
        <v>2.1999999999999999E-2</v>
      </c>
      <c r="F158" s="187">
        <v>2.1999999999999999E-2</v>
      </c>
      <c r="G158" s="187">
        <v>2.1999999999999999E-2</v>
      </c>
      <c r="H158" s="188">
        <v>2.1999999999999999E-2</v>
      </c>
    </row>
    <row r="159" spans="1:8" s="71" customFormat="1" ht="16" x14ac:dyDescent="0.2">
      <c r="A159" s="176" t="s">
        <v>171</v>
      </c>
      <c r="B159" s="186">
        <f>B167/B164</f>
        <v>6.4150075395506934E-2</v>
      </c>
      <c r="C159" s="186">
        <f>C167/C164</f>
        <v>6.4150075395506934E-2</v>
      </c>
      <c r="D159" s="187">
        <v>6.4000000000000001E-2</v>
      </c>
      <c r="E159" s="187">
        <v>6.4000000000000001E-2</v>
      </c>
      <c r="F159" s="187">
        <v>6.4000000000000001E-2</v>
      </c>
      <c r="G159" s="187">
        <v>6.4000000000000001E-2</v>
      </c>
      <c r="H159" s="188">
        <v>6.4000000000000001E-2</v>
      </c>
    </row>
    <row r="160" spans="1:8" s="71" customFormat="1" ht="16" x14ac:dyDescent="0.2">
      <c r="A160" s="176" t="s">
        <v>170</v>
      </c>
      <c r="B160" s="186">
        <f>(B170-B172)/B170</f>
        <v>0.22935017450556755</v>
      </c>
      <c r="C160" s="186">
        <f>(C170-C172)/C170</f>
        <v>0.22935017450556755</v>
      </c>
      <c r="D160" s="187">
        <v>0.22900000000000001</v>
      </c>
      <c r="E160" s="187">
        <v>0.22900000000000001</v>
      </c>
      <c r="F160" s="187">
        <v>0.22900000000000001</v>
      </c>
      <c r="G160" s="187">
        <v>0.22900000000000001</v>
      </c>
      <c r="H160" s="188">
        <v>0.22900000000000001</v>
      </c>
    </row>
    <row r="161" spans="1:8" s="71" customFormat="1" ht="17" thickBot="1" x14ac:dyDescent="0.25">
      <c r="A161" s="192" t="s">
        <v>169</v>
      </c>
      <c r="B161" s="200">
        <f>B185/B165</f>
        <v>0.17589873187168453</v>
      </c>
      <c r="C161" s="200">
        <f>C185/C165</f>
        <v>0.17589873187168453</v>
      </c>
      <c r="D161" s="195">
        <v>0.17599999999999999</v>
      </c>
      <c r="E161" s="195">
        <v>0.17599999999999999</v>
      </c>
      <c r="F161" s="195">
        <v>0.17599999999999999</v>
      </c>
      <c r="G161" s="195">
        <v>0.17599999999999999</v>
      </c>
      <c r="H161" s="201">
        <v>0.17599999999999999</v>
      </c>
    </row>
    <row r="162" spans="1:8" s="71" customFormat="1" ht="17" thickBot="1" x14ac:dyDescent="0.25">
      <c r="A162" s="156"/>
      <c r="B162" s="163"/>
      <c r="C162" s="162"/>
      <c r="D162" s="159"/>
      <c r="E162" s="159"/>
      <c r="F162" s="159"/>
      <c r="G162" s="159"/>
      <c r="H162" s="164"/>
    </row>
    <row r="163" spans="1:8" s="71" customFormat="1" ht="16" x14ac:dyDescent="0.2">
      <c r="A163" s="202" t="s">
        <v>42</v>
      </c>
      <c r="B163" s="203"/>
      <c r="C163" s="204"/>
      <c r="D163" s="204"/>
      <c r="E163" s="204"/>
      <c r="F163" s="204"/>
      <c r="G163" s="204"/>
      <c r="H163" s="205"/>
    </row>
    <row r="164" spans="1:8" s="71" customFormat="1" ht="16" x14ac:dyDescent="0.2">
      <c r="A164" s="176" t="s">
        <v>168</v>
      </c>
      <c r="B164" s="177">
        <v>156508</v>
      </c>
      <c r="C164" s="177">
        <v>156508</v>
      </c>
      <c r="D164" s="177">
        <f>C164*(1+$B$22)</f>
        <v>172158.80000000002</v>
      </c>
      <c r="E164" s="177">
        <f>D164*(1+$B$22)</f>
        <v>189374.68000000002</v>
      </c>
      <c r="F164" s="177">
        <f>E164*(1+$B$22)</f>
        <v>208312.14800000004</v>
      </c>
      <c r="G164" s="177">
        <f>F164*(1+$B$22)</f>
        <v>229143.36280000006</v>
      </c>
      <c r="H164" s="178">
        <f>G164*(1+$B$22)</f>
        <v>252057.69908000008</v>
      </c>
    </row>
    <row r="165" spans="1:8" s="71" customFormat="1" ht="16" x14ac:dyDescent="0.2">
      <c r="A165" s="176" t="s">
        <v>167</v>
      </c>
      <c r="B165" s="177">
        <v>87846</v>
      </c>
      <c r="C165" s="177">
        <v>87846</v>
      </c>
      <c r="D165" s="177">
        <f>D164*D157</f>
        <v>96581.086800000019</v>
      </c>
      <c r="E165" s="177">
        <f>E164*E157</f>
        <v>106239.19548000002</v>
      </c>
      <c r="F165" s="177">
        <f>F164*F157</f>
        <v>116863.11502800003</v>
      </c>
      <c r="G165" s="177">
        <f>G164*G157</f>
        <v>128549.42653080005</v>
      </c>
      <c r="H165" s="178">
        <f>H164*H157</f>
        <v>141404.36918388004</v>
      </c>
    </row>
    <row r="166" spans="1:8" s="71" customFormat="1" ht="16" x14ac:dyDescent="0.2">
      <c r="A166" s="176" t="s">
        <v>166</v>
      </c>
      <c r="B166" s="177">
        <v>3381</v>
      </c>
      <c r="C166" s="177">
        <v>3381</v>
      </c>
      <c r="D166" s="177">
        <f>D164*D158</f>
        <v>3787.4936000000002</v>
      </c>
      <c r="E166" s="177">
        <f>E164*E158</f>
        <v>4166.2429600000005</v>
      </c>
      <c r="F166" s="177">
        <f>F164*F158</f>
        <v>4582.8672560000005</v>
      </c>
      <c r="G166" s="177">
        <f>G164*G158</f>
        <v>5041.1539816000013</v>
      </c>
      <c r="H166" s="178">
        <f>H164*H158</f>
        <v>5545.2693797600014</v>
      </c>
    </row>
    <row r="167" spans="1:8" s="71" customFormat="1" ht="16" x14ac:dyDescent="0.2">
      <c r="A167" s="176" t="s">
        <v>165</v>
      </c>
      <c r="B167" s="177">
        <v>10040</v>
      </c>
      <c r="C167" s="177">
        <v>10040</v>
      </c>
      <c r="D167" s="177">
        <f>D164*D159</f>
        <v>11018.163200000001</v>
      </c>
      <c r="E167" s="177">
        <f>E164*E159</f>
        <v>12119.979520000001</v>
      </c>
      <c r="F167" s="177">
        <f>F164*F159</f>
        <v>13331.977472000002</v>
      </c>
      <c r="G167" s="177">
        <f>G164*G159</f>
        <v>14665.175219200004</v>
      </c>
      <c r="H167" s="178">
        <f>H164*H159</f>
        <v>16131.692741120005</v>
      </c>
    </row>
    <row r="168" spans="1:8" s="71" customFormat="1" ht="16" x14ac:dyDescent="0.2">
      <c r="A168" s="176" t="s">
        <v>122</v>
      </c>
      <c r="B168" s="177">
        <v>55241</v>
      </c>
      <c r="C168" s="177">
        <v>55241</v>
      </c>
      <c r="D168" s="177">
        <f>D164-SUM(D165:D167)</f>
        <v>60772.056400000001</v>
      </c>
      <c r="E168" s="177">
        <f>E164-SUM(E165:E167)</f>
        <v>66849.262040000001</v>
      </c>
      <c r="F168" s="177">
        <f>F164-SUM(F165:F167)</f>
        <v>73534.188244000019</v>
      </c>
      <c r="G168" s="177">
        <f>G164-SUM(G165:G167)</f>
        <v>80887.607068400015</v>
      </c>
      <c r="H168" s="178">
        <f>H164-SUM(H165:H167)</f>
        <v>88976.36777524004</v>
      </c>
    </row>
    <row r="169" spans="1:8" s="71" customFormat="1" ht="16" x14ac:dyDescent="0.2">
      <c r="A169" s="176" t="s">
        <v>164</v>
      </c>
      <c r="B169" s="177">
        <v>1088</v>
      </c>
      <c r="C169" s="177">
        <v>1088</v>
      </c>
      <c r="D169" s="177">
        <f>(C193)*$F$152*(1+$B$152)+$F$152*C194</f>
        <v>4013.7014084507045</v>
      </c>
      <c r="E169" s="177">
        <f>(D193)*$F$152*(1+$B$152)+$F$152*D194</f>
        <v>4133.6689017239441</v>
      </c>
      <c r="F169" s="177">
        <f>(E193)*$F$152*(1+$B$152)+$F$152*E194</f>
        <v>4265.3456510512679</v>
      </c>
      <c r="G169" s="177">
        <f>(F193)*$F$152*(1+$B$152)+$F$152*F194</f>
        <v>4410.1900753113241</v>
      </c>
      <c r="H169" s="178">
        <f>(G193)*$F$152*(1+$B$152)+$F$152*G194</f>
        <v>4569.5189419973867</v>
      </c>
    </row>
    <row r="170" spans="1:8" s="71" customFormat="1" ht="16" x14ac:dyDescent="0.2">
      <c r="A170" s="176" t="s">
        <v>163</v>
      </c>
      <c r="B170" s="177">
        <f>B168-B169</f>
        <v>54153</v>
      </c>
      <c r="C170" s="177">
        <f t="shared" ref="C170:G170" si="26">C168-C169</f>
        <v>54153</v>
      </c>
      <c r="D170" s="177">
        <f t="shared" si="26"/>
        <v>56758.354991549299</v>
      </c>
      <c r="E170" s="177">
        <f t="shared" si="26"/>
        <v>62715.593138276061</v>
      </c>
      <c r="F170" s="177">
        <f t="shared" si="26"/>
        <v>69268.842592948757</v>
      </c>
      <c r="G170" s="177">
        <f t="shared" si="26"/>
        <v>76477.416993088686</v>
      </c>
      <c r="H170" s="178">
        <f>H168-H169</f>
        <v>84406.84883324265</v>
      </c>
    </row>
    <row r="171" spans="1:8" s="71" customFormat="1" ht="16" x14ac:dyDescent="0.2">
      <c r="A171" s="176" t="s">
        <v>162</v>
      </c>
      <c r="B171" s="177">
        <f>B170-B172</f>
        <v>12420</v>
      </c>
      <c r="C171" s="177">
        <f>C170-C172</f>
        <v>12420</v>
      </c>
      <c r="D171" s="177">
        <f>D170*D160</f>
        <v>12997.66329306479</v>
      </c>
      <c r="E171" s="177">
        <f>E170*E160</f>
        <v>14361.870828665218</v>
      </c>
      <c r="F171" s="177">
        <f>F170*F160</f>
        <v>15862.564953785266</v>
      </c>
      <c r="G171" s="177">
        <f>G170*G160</f>
        <v>17513.328491417309</v>
      </c>
      <c r="H171" s="178">
        <f>H170*H160</f>
        <v>19329.168382812568</v>
      </c>
    </row>
    <row r="172" spans="1:8" s="71" customFormat="1" ht="16" x14ac:dyDescent="0.2">
      <c r="A172" s="176" t="s">
        <v>161</v>
      </c>
      <c r="B172" s="177">
        <v>41733</v>
      </c>
      <c r="C172" s="177">
        <v>41733</v>
      </c>
      <c r="D172" s="177">
        <f>D170-D171</f>
        <v>43760.691698484508</v>
      </c>
      <c r="E172" s="177">
        <f>E170-E171</f>
        <v>48353.722309610843</v>
      </c>
      <c r="F172" s="177">
        <f>F170-F171</f>
        <v>53406.277639163491</v>
      </c>
      <c r="G172" s="177">
        <f>G170-G171</f>
        <v>58964.088501671373</v>
      </c>
      <c r="H172" s="178">
        <f>H170-H171</f>
        <v>65077.680450430082</v>
      </c>
    </row>
    <row r="173" spans="1:8" s="71" customFormat="1" ht="16" x14ac:dyDescent="0.2">
      <c r="A173" s="181" t="s">
        <v>181</v>
      </c>
      <c r="B173" s="182">
        <f t="shared" ref="B173:H173" si="27">$B$151</f>
        <v>50000</v>
      </c>
      <c r="C173" s="182">
        <f t="shared" si="27"/>
        <v>50000</v>
      </c>
      <c r="D173" s="182">
        <f t="shared" si="27"/>
        <v>50000</v>
      </c>
      <c r="E173" s="182">
        <f t="shared" si="27"/>
        <v>50000</v>
      </c>
      <c r="F173" s="182">
        <f t="shared" si="27"/>
        <v>50000</v>
      </c>
      <c r="G173" s="182">
        <f t="shared" si="27"/>
        <v>50000</v>
      </c>
      <c r="H173" s="183">
        <f t="shared" si="27"/>
        <v>50000</v>
      </c>
    </row>
    <row r="174" spans="1:8" s="71" customFormat="1" ht="16" x14ac:dyDescent="0.2">
      <c r="A174" s="181" t="s">
        <v>219</v>
      </c>
      <c r="B174" s="182">
        <f>B172-B173</f>
        <v>-8267</v>
      </c>
      <c r="C174" s="182">
        <f t="shared" ref="C174" si="28">C172-C173</f>
        <v>-8267</v>
      </c>
      <c r="D174" s="182">
        <f>D172-D173</f>
        <v>-6239.3083015154916</v>
      </c>
      <c r="E174" s="182">
        <f t="shared" ref="E174:G174" si="29">E172-E173</f>
        <v>-1646.2776903891572</v>
      </c>
      <c r="F174" s="182">
        <f t="shared" si="29"/>
        <v>3406.2776391634907</v>
      </c>
      <c r="G174" s="182">
        <f t="shared" si="29"/>
        <v>8964.0885016713728</v>
      </c>
      <c r="H174" s="183">
        <f>H172-H173</f>
        <v>15077.680450430082</v>
      </c>
    </row>
    <row r="175" spans="1:8" s="71" customFormat="1" ht="16" x14ac:dyDescent="0.2">
      <c r="A175" s="176"/>
      <c r="B175" s="173"/>
      <c r="C175" s="179"/>
      <c r="D175" s="179"/>
      <c r="E175" s="179"/>
      <c r="F175" s="179"/>
      <c r="G175" s="179"/>
      <c r="H175" s="180"/>
    </row>
    <row r="176" spans="1:8" s="71" customFormat="1" ht="17" thickBot="1" x14ac:dyDescent="0.25">
      <c r="A176" s="192" t="s">
        <v>160</v>
      </c>
      <c r="B176" s="206">
        <f t="shared" ref="B176:H176" si="30">B168/B169</f>
        <v>50.772977941176471</v>
      </c>
      <c r="C176" s="206">
        <f t="shared" si="30"/>
        <v>50.772977941176471</v>
      </c>
      <c r="D176" s="206">
        <f t="shared" si="30"/>
        <v>15.141150328733127</v>
      </c>
      <c r="E176" s="206">
        <f t="shared" si="30"/>
        <v>16.171895628147809</v>
      </c>
      <c r="F176" s="206">
        <f t="shared" si="30"/>
        <v>17.239913071494279</v>
      </c>
      <c r="G176" s="206">
        <f t="shared" si="30"/>
        <v>18.341070495173611</v>
      </c>
      <c r="H176" s="207">
        <f t="shared" si="30"/>
        <v>19.471714398090995</v>
      </c>
    </row>
    <row r="177" spans="1:8" s="71" customFormat="1" ht="17" thickBot="1" x14ac:dyDescent="0.25">
      <c r="A177" s="156"/>
      <c r="B177" s="168"/>
      <c r="C177" s="168"/>
      <c r="D177" s="168"/>
      <c r="E177" s="168"/>
      <c r="F177" s="168"/>
      <c r="G177" s="168"/>
      <c r="H177" s="169"/>
    </row>
    <row r="178" spans="1:8" s="71" customFormat="1" ht="16" x14ac:dyDescent="0.2">
      <c r="A178" s="202" t="s">
        <v>0</v>
      </c>
      <c r="B178" s="203"/>
      <c r="C178" s="203"/>
      <c r="D178" s="203"/>
      <c r="E178" s="203"/>
      <c r="F178" s="203"/>
      <c r="G178" s="203"/>
      <c r="H178" s="208"/>
    </row>
    <row r="179" spans="1:8" s="71" customFormat="1" ht="16" x14ac:dyDescent="0.2">
      <c r="A179" s="176" t="s">
        <v>159</v>
      </c>
      <c r="B179" s="177">
        <f>(29129+92122)+$F$151</f>
        <v>171251</v>
      </c>
      <c r="C179" s="177">
        <f>(29129+92122)*(1-0.69*0.35)+$F$151</f>
        <v>141968.8835</v>
      </c>
      <c r="D179" s="177">
        <f>SUM(D180:D181)</f>
        <v>136153.78752488451</v>
      </c>
      <c r="E179" s="177">
        <f t="shared" ref="E179:H179" si="31">SUM(E180:E181)</f>
        <v>134854.03106713534</v>
      </c>
      <c r="F179" s="177">
        <f t="shared" si="31"/>
        <v>138641.48206220282</v>
      </c>
      <c r="G179" s="177">
        <f t="shared" si="31"/>
        <v>148024.8612553686</v>
      </c>
      <c r="H179" s="178">
        <f t="shared" si="31"/>
        <v>113563.76146644252</v>
      </c>
    </row>
    <row r="180" spans="1:8" s="71" customFormat="1" ht="16" x14ac:dyDescent="0.2">
      <c r="A180" s="176" t="s">
        <v>158</v>
      </c>
      <c r="B180" s="177">
        <f t="shared" ref="B180:H180" si="32">2*B167</f>
        <v>20080</v>
      </c>
      <c r="C180" s="177">
        <f t="shared" si="32"/>
        <v>20080</v>
      </c>
      <c r="D180" s="177">
        <f t="shared" si="32"/>
        <v>22036.326400000002</v>
      </c>
      <c r="E180" s="177">
        <f t="shared" si="32"/>
        <v>24239.959040000002</v>
      </c>
      <c r="F180" s="177">
        <f t="shared" si="32"/>
        <v>26663.954944000005</v>
      </c>
      <c r="G180" s="177">
        <f t="shared" si="32"/>
        <v>29330.350438400008</v>
      </c>
      <c r="H180" s="178">
        <f t="shared" si="32"/>
        <v>32263.38548224001</v>
      </c>
    </row>
    <row r="181" spans="1:8" s="71" customFormat="1" ht="16" x14ac:dyDescent="0.2">
      <c r="A181" s="181" t="s">
        <v>157</v>
      </c>
      <c r="B181" s="182">
        <f>B179-B180</f>
        <v>151171</v>
      </c>
      <c r="C181" s="182">
        <f>C179-C180</f>
        <v>121888.8835</v>
      </c>
      <c r="D181" s="182">
        <f>D198-SUM(D182:D186)-D180</f>
        <v>114117.4611248845</v>
      </c>
      <c r="E181" s="182">
        <f>E198-SUM(E182:E186)-E180</f>
        <v>110614.07202713533</v>
      </c>
      <c r="F181" s="182">
        <f>F198-SUM(F182:F186)-F180</f>
        <v>111977.52711820282</v>
      </c>
      <c r="G181" s="182">
        <f>G198-SUM(G182:G186)-G180</f>
        <v>118694.51081696858</v>
      </c>
      <c r="H181" s="183">
        <f>H198-SUM(H182:H186)-H180</f>
        <v>81300.375984202517</v>
      </c>
    </row>
    <row r="182" spans="1:8" s="71" customFormat="1" ht="16" x14ac:dyDescent="0.2">
      <c r="A182" s="176" t="s">
        <v>156</v>
      </c>
      <c r="B182" s="177">
        <v>18692</v>
      </c>
      <c r="C182" s="177">
        <v>18692</v>
      </c>
      <c r="D182" s="177">
        <f t="shared" ref="D182:H183" si="33">D164*D155</f>
        <v>20486.897199999999</v>
      </c>
      <c r="E182" s="177">
        <f t="shared" si="33"/>
        <v>22535.586920000002</v>
      </c>
      <c r="F182" s="177">
        <f t="shared" si="33"/>
        <v>24789.145612000004</v>
      </c>
      <c r="G182" s="177">
        <f t="shared" si="33"/>
        <v>27268.060173200007</v>
      </c>
      <c r="H182" s="178">
        <f t="shared" si="33"/>
        <v>29994.86619052001</v>
      </c>
    </row>
    <row r="183" spans="1:8" s="71" customFormat="1" ht="16" x14ac:dyDescent="0.2">
      <c r="A183" s="176" t="s">
        <v>155</v>
      </c>
      <c r="B183" s="177">
        <v>791</v>
      </c>
      <c r="C183" s="177">
        <v>791</v>
      </c>
      <c r="D183" s="177">
        <f t="shared" si="33"/>
        <v>869.22978120000016</v>
      </c>
      <c r="E183" s="177">
        <f t="shared" si="33"/>
        <v>956.1527593200002</v>
      </c>
      <c r="F183" s="177">
        <f t="shared" si="33"/>
        <v>1051.7680352520001</v>
      </c>
      <c r="G183" s="177">
        <f t="shared" si="33"/>
        <v>1156.9448387772004</v>
      </c>
      <c r="H183" s="178">
        <f t="shared" si="33"/>
        <v>1272.6393226549203</v>
      </c>
    </row>
    <row r="184" spans="1:8" s="71" customFormat="1" ht="16" x14ac:dyDescent="0.2">
      <c r="A184" s="176" t="s">
        <v>154</v>
      </c>
      <c r="B184" s="177">
        <f>2583+278+6180</f>
        <v>9041</v>
      </c>
      <c r="C184" s="177">
        <f>2583+278+6180</f>
        <v>9041</v>
      </c>
      <c r="D184" s="177">
        <f>D165*0.103</f>
        <v>9947.8519404000017</v>
      </c>
      <c r="E184" s="177">
        <f>E165*0.103</f>
        <v>10942.637134440001</v>
      </c>
      <c r="F184" s="177">
        <f>F165*0.103</f>
        <v>12036.900847884002</v>
      </c>
      <c r="G184" s="177">
        <f>G165*0.103</f>
        <v>13240.590932672405</v>
      </c>
      <c r="H184" s="178">
        <f>H165*0.103</f>
        <v>14564.650025939643</v>
      </c>
    </row>
    <row r="185" spans="1:8" s="71" customFormat="1" ht="16" x14ac:dyDescent="0.2">
      <c r="A185" s="176" t="s">
        <v>153</v>
      </c>
      <c r="B185" s="177">
        <v>15452</v>
      </c>
      <c r="C185" s="177">
        <v>15452</v>
      </c>
      <c r="D185" s="177">
        <f>D165*D161</f>
        <v>16998.271276800002</v>
      </c>
      <c r="E185" s="177">
        <f>E165*E161</f>
        <v>18698.098404480003</v>
      </c>
      <c r="F185" s="177">
        <f>F165*F161</f>
        <v>20567.908244928003</v>
      </c>
      <c r="G185" s="177">
        <f>G165*G161</f>
        <v>22624.699069420807</v>
      </c>
      <c r="H185" s="178">
        <f>H165*H161</f>
        <v>24887.168976362886</v>
      </c>
    </row>
    <row r="186" spans="1:8" s="71" customFormat="1" ht="16" x14ac:dyDescent="0.2">
      <c r="A186" s="176" t="s">
        <v>152</v>
      </c>
      <c r="B186" s="184">
        <f>1135+4224+5478</f>
        <v>10837</v>
      </c>
      <c r="C186" s="184">
        <f>1135+4224+5478</f>
        <v>10837</v>
      </c>
      <c r="D186" s="184">
        <f>D165*0.123</f>
        <v>11879.473676400003</v>
      </c>
      <c r="E186" s="184">
        <f>E165*0.123</f>
        <v>13067.421044040002</v>
      </c>
      <c r="F186" s="184">
        <f>F165*0.123</f>
        <v>14374.163148444004</v>
      </c>
      <c r="G186" s="184">
        <f>G165*0.123</f>
        <v>15811.579463288406</v>
      </c>
      <c r="H186" s="185">
        <f>H165*0.123</f>
        <v>17392.737409617246</v>
      </c>
    </row>
    <row r="187" spans="1:8" s="71" customFormat="1" ht="16" x14ac:dyDescent="0.2">
      <c r="A187" s="176" t="s">
        <v>151</v>
      </c>
      <c r="B187" s="177">
        <f>SUM(B180:B186)</f>
        <v>226064</v>
      </c>
      <c r="C187" s="177">
        <f>SUM(C180:C186)</f>
        <v>196781.8835</v>
      </c>
      <c r="D187" s="177">
        <f>SUM(D180:D186)</f>
        <v>196335.5113996845</v>
      </c>
      <c r="E187" s="177">
        <f t="shared" ref="E187:G187" si="34">SUM(E180:E186)</f>
        <v>201053.92732941534</v>
      </c>
      <c r="F187" s="177">
        <f t="shared" si="34"/>
        <v>211461.36795071082</v>
      </c>
      <c r="G187" s="177">
        <f t="shared" si="34"/>
        <v>228126.73573272745</v>
      </c>
      <c r="H187" s="178">
        <f>SUM(H180:H186)</f>
        <v>201675.82339153724</v>
      </c>
    </row>
    <row r="188" spans="1:8" s="71" customFormat="1" ht="16" x14ac:dyDescent="0.2">
      <c r="A188" s="156"/>
      <c r="B188" s="166"/>
      <c r="C188" s="166"/>
      <c r="D188" s="166"/>
      <c r="E188" s="166"/>
      <c r="F188" s="166"/>
      <c r="G188" s="166"/>
      <c r="H188" s="167"/>
    </row>
    <row r="189" spans="1:8" s="71" customFormat="1" ht="16" x14ac:dyDescent="0.2">
      <c r="A189" s="225" t="s">
        <v>150</v>
      </c>
      <c r="B189" s="179"/>
      <c r="C189" s="179"/>
      <c r="D189" s="179"/>
      <c r="E189" s="179"/>
      <c r="F189" s="179"/>
      <c r="G189" s="179"/>
      <c r="H189" s="180"/>
    </row>
    <row r="190" spans="1:8" s="71" customFormat="1" ht="16" x14ac:dyDescent="0.2">
      <c r="A190" s="176" t="s">
        <v>149</v>
      </c>
      <c r="B190" s="177">
        <v>21175</v>
      </c>
      <c r="C190" s="177">
        <v>21175</v>
      </c>
      <c r="D190" s="177">
        <f>D165*0.241</f>
        <v>23276.041918800005</v>
      </c>
      <c r="E190" s="177">
        <f>E165*0.241</f>
        <v>25603.646110680005</v>
      </c>
      <c r="F190" s="177">
        <f>F165*0.241</f>
        <v>28164.010721748007</v>
      </c>
      <c r="G190" s="177">
        <f>G165*0.241</f>
        <v>30980.411793922809</v>
      </c>
      <c r="H190" s="178">
        <f>H165*0.241</f>
        <v>34078.452973315092</v>
      </c>
    </row>
    <row r="191" spans="1:8" s="71" customFormat="1" ht="16" x14ac:dyDescent="0.2">
      <c r="A191" s="176" t="s">
        <v>148</v>
      </c>
      <c r="B191" s="177">
        <f>6749</f>
        <v>6749</v>
      </c>
      <c r="C191" s="177">
        <f>6749</f>
        <v>6749</v>
      </c>
      <c r="D191" s="177">
        <f>D165*0.077</f>
        <v>7436.7436836000015</v>
      </c>
      <c r="E191" s="177">
        <f>E165*0.077</f>
        <v>8180.4180519600013</v>
      </c>
      <c r="F191" s="177">
        <f>F165*0.077</f>
        <v>8998.4598571560018</v>
      </c>
      <c r="G191" s="177">
        <f>G165*0.077</f>
        <v>9898.3058428716031</v>
      </c>
      <c r="H191" s="178">
        <f>H165*0.077</f>
        <v>10888.136427158763</v>
      </c>
    </row>
    <row r="192" spans="1:8" s="71" customFormat="1" ht="16" x14ac:dyDescent="0.2">
      <c r="A192" s="176" t="s">
        <v>147</v>
      </c>
      <c r="B192" s="177">
        <f>1535+7445+1638</f>
        <v>10618</v>
      </c>
      <c r="C192" s="177">
        <f>1535+7445+1638</f>
        <v>10618</v>
      </c>
      <c r="D192" s="177">
        <f>D165*0.121</f>
        <v>11686.311502800001</v>
      </c>
      <c r="E192" s="177">
        <f>E165*0.121</f>
        <v>12854.942653080003</v>
      </c>
      <c r="F192" s="177">
        <f>F165*0.121</f>
        <v>14140.436918388003</v>
      </c>
      <c r="G192" s="177">
        <f>G165*0.121</f>
        <v>15554.480610226805</v>
      </c>
      <c r="H192" s="178">
        <f>H165*0.121</f>
        <v>17109.928671249483</v>
      </c>
    </row>
    <row r="193" spans="1:8" s="71" customFormat="1" ht="16" x14ac:dyDescent="0.2">
      <c r="A193" s="176" t="s">
        <v>146</v>
      </c>
      <c r="B193" s="177">
        <f>B196-SUM(B190,B191,B192,B194:B195)</f>
        <v>19312</v>
      </c>
      <c r="C193" s="177">
        <f>C196-SUM(C190,C191,C192,C194:C195)</f>
        <v>19312</v>
      </c>
      <c r="D193" s="177">
        <f>D165*0.22</f>
        <v>21247.839096000003</v>
      </c>
      <c r="E193" s="177">
        <f>E165*0.22</f>
        <v>23372.623005600006</v>
      </c>
      <c r="F193" s="177">
        <f>F165*0.22</f>
        <v>25709.885306160006</v>
      </c>
      <c r="G193" s="177">
        <f>G165*0.22</f>
        <v>28280.873836776009</v>
      </c>
      <c r="H193" s="178">
        <f>H165*0.22</f>
        <v>31108.96122045361</v>
      </c>
    </row>
    <row r="194" spans="1:8" s="71" customFormat="1" ht="16" x14ac:dyDescent="0.2">
      <c r="A194" s="181" t="s">
        <v>217</v>
      </c>
      <c r="B194" s="182">
        <f t="shared" ref="B194:G194" si="35">$F$151</f>
        <v>50000</v>
      </c>
      <c r="C194" s="182">
        <f t="shared" si="35"/>
        <v>50000</v>
      </c>
      <c r="D194" s="182">
        <f t="shared" si="35"/>
        <v>50000</v>
      </c>
      <c r="E194" s="182">
        <f t="shared" si="35"/>
        <v>50000</v>
      </c>
      <c r="F194" s="182">
        <f t="shared" si="35"/>
        <v>50000</v>
      </c>
      <c r="G194" s="182">
        <f t="shared" si="35"/>
        <v>50000</v>
      </c>
      <c r="H194" s="183"/>
    </row>
    <row r="195" spans="1:8" s="71" customFormat="1" ht="16" x14ac:dyDescent="0.2">
      <c r="A195" s="181" t="s">
        <v>181</v>
      </c>
      <c r="B195" s="182">
        <f t="shared" ref="B195:H195" si="36">$B$151</f>
        <v>50000</v>
      </c>
      <c r="C195" s="182">
        <f t="shared" si="36"/>
        <v>50000</v>
      </c>
      <c r="D195" s="182">
        <f t="shared" si="36"/>
        <v>50000</v>
      </c>
      <c r="E195" s="182">
        <f t="shared" si="36"/>
        <v>50000</v>
      </c>
      <c r="F195" s="182">
        <f t="shared" si="36"/>
        <v>50000</v>
      </c>
      <c r="G195" s="182">
        <f t="shared" si="36"/>
        <v>50000</v>
      </c>
      <c r="H195" s="183">
        <f t="shared" si="36"/>
        <v>50000</v>
      </c>
    </row>
    <row r="196" spans="1:8" s="71" customFormat="1" ht="16" x14ac:dyDescent="0.2">
      <c r="A196" s="176" t="s">
        <v>145</v>
      </c>
      <c r="B196" s="177">
        <f>57854+SUM(B194:B195)</f>
        <v>157854</v>
      </c>
      <c r="C196" s="177">
        <f>57854+SUM(C194:C195)</f>
        <v>157854</v>
      </c>
      <c r="D196" s="177">
        <f>SUM(D190:D195)</f>
        <v>163646.93620120001</v>
      </c>
      <c r="E196" s="177">
        <f>SUM(E190:E195)</f>
        <v>170011.62982132001</v>
      </c>
      <c r="F196" s="177">
        <f t="shared" ref="F196:H196" si="37">SUM(F190:F195)</f>
        <v>177012.792803452</v>
      </c>
      <c r="G196" s="177">
        <f t="shared" si="37"/>
        <v>184714.07208379722</v>
      </c>
      <c r="H196" s="178">
        <f t="shared" si="37"/>
        <v>143185.47929217695</v>
      </c>
    </row>
    <row r="197" spans="1:8" s="71" customFormat="1" ht="16" x14ac:dyDescent="0.2">
      <c r="A197" s="176" t="s">
        <v>144</v>
      </c>
      <c r="B197" s="177">
        <f>B187-B196</f>
        <v>68210</v>
      </c>
      <c r="C197" s="177">
        <f>C187-C196</f>
        <v>38927.883499999996</v>
      </c>
      <c r="D197" s="177">
        <f>C197+D174</f>
        <v>32688.575198484505</v>
      </c>
      <c r="E197" s="177">
        <f>D197+E174</f>
        <v>31042.297508095347</v>
      </c>
      <c r="F197" s="177">
        <f t="shared" ref="F197:G197" si="38">E197+F174</f>
        <v>34448.575147258838</v>
      </c>
      <c r="G197" s="177">
        <f t="shared" si="38"/>
        <v>43412.663648930211</v>
      </c>
      <c r="H197" s="178">
        <f>G197+H174</f>
        <v>58490.344099360293</v>
      </c>
    </row>
    <row r="198" spans="1:8" s="71" customFormat="1" ht="17" thickBot="1" x14ac:dyDescent="0.25">
      <c r="A198" s="192" t="s">
        <v>143</v>
      </c>
      <c r="B198" s="209">
        <f>B196+B197</f>
        <v>226064</v>
      </c>
      <c r="C198" s="209">
        <f>C196+C197</f>
        <v>196781.8835</v>
      </c>
      <c r="D198" s="209">
        <f>D197+D196</f>
        <v>196335.5113996845</v>
      </c>
      <c r="E198" s="209">
        <f>E197+E196</f>
        <v>201053.92732941534</v>
      </c>
      <c r="F198" s="209">
        <f>F197+F196</f>
        <v>211461.36795071085</v>
      </c>
      <c r="G198" s="209">
        <f>G197+G196</f>
        <v>228126.73573272742</v>
      </c>
      <c r="H198" s="210">
        <f>H197+H196</f>
        <v>201675.82339153724</v>
      </c>
    </row>
    <row r="199" spans="1:8" s="71" customFormat="1" ht="17" thickBot="1" x14ac:dyDescent="0.25">
      <c r="A199" s="156"/>
      <c r="B199" s="163"/>
      <c r="C199" s="165"/>
      <c r="D199" s="165"/>
      <c r="E199" s="165"/>
      <c r="F199" s="165"/>
      <c r="G199" s="165"/>
      <c r="H199" s="157"/>
    </row>
    <row r="200" spans="1:8" s="71" customFormat="1" ht="16" x14ac:dyDescent="0.2">
      <c r="A200" s="213" t="s">
        <v>142</v>
      </c>
      <c r="B200" s="203"/>
      <c r="C200" s="214"/>
      <c r="D200" s="214"/>
      <c r="E200" s="214"/>
      <c r="F200" s="214"/>
      <c r="G200" s="214"/>
      <c r="H200" s="215"/>
    </row>
    <row r="201" spans="1:8" s="71" customFormat="1" ht="16" x14ac:dyDescent="0.2">
      <c r="A201" s="181" t="s">
        <v>214</v>
      </c>
      <c r="B201" s="218">
        <f t="shared" ref="B201:H201" si="39">B169/B168</f>
        <v>1.9695516011658008E-2</v>
      </c>
      <c r="C201" s="218">
        <f t="shared" si="39"/>
        <v>1.9695516011658008E-2</v>
      </c>
      <c r="D201" s="218">
        <f t="shared" si="39"/>
        <v>6.6045180074747384E-2</v>
      </c>
      <c r="E201" s="218">
        <f t="shared" si="39"/>
        <v>6.1835669917351031E-2</v>
      </c>
      <c r="F201" s="218">
        <f t="shared" si="39"/>
        <v>5.8004932846991701E-2</v>
      </c>
      <c r="G201" s="218">
        <f t="shared" si="39"/>
        <v>5.4522444601210515E-2</v>
      </c>
      <c r="H201" s="219">
        <f t="shared" si="39"/>
        <v>5.1356546195954887E-2</v>
      </c>
    </row>
    <row r="202" spans="1:8" s="71" customFormat="1" ht="16" x14ac:dyDescent="0.2">
      <c r="A202" s="181" t="s">
        <v>192</v>
      </c>
      <c r="B202" s="221">
        <f t="shared" ref="B202:G202" si="40">SUM(B194,B193)/B198</f>
        <v>0.30660343973388066</v>
      </c>
      <c r="C202" s="221">
        <f t="shared" si="40"/>
        <v>0.35222754639402565</v>
      </c>
      <c r="D202" s="221">
        <f t="shared" si="40"/>
        <v>0.36288819372548059</v>
      </c>
      <c r="E202" s="221">
        <f t="shared" si="40"/>
        <v>0.36494001375751872</v>
      </c>
      <c r="F202" s="221">
        <f t="shared" si="40"/>
        <v>0.3580317579512069</v>
      </c>
      <c r="G202" s="221">
        <f t="shared" si="40"/>
        <v>0.34314642510157001</v>
      </c>
      <c r="H202" s="219">
        <f>H193/H198</f>
        <v>0.15425230797277117</v>
      </c>
    </row>
    <row r="203" spans="1:8" s="71" customFormat="1" ht="16" x14ac:dyDescent="0.2">
      <c r="A203" s="181" t="s">
        <v>141</v>
      </c>
      <c r="B203" s="218">
        <f t="shared" ref="B203:H203" si="41">B172/B197</f>
        <v>0.61183110980794608</v>
      </c>
      <c r="C203" s="218">
        <f t="shared" si="41"/>
        <v>1.0720593119325381</v>
      </c>
      <c r="D203" s="218">
        <f t="shared" si="41"/>
        <v>1.3387151759527691</v>
      </c>
      <c r="E203" s="218">
        <f t="shared" si="41"/>
        <v>1.5576721502975399</v>
      </c>
      <c r="F203" s="218">
        <f t="shared" si="41"/>
        <v>1.5503189148133218</v>
      </c>
      <c r="G203" s="218">
        <f t="shared" si="41"/>
        <v>1.3582232359318589</v>
      </c>
      <c r="H203" s="219">
        <f t="shared" si="41"/>
        <v>1.11262262946991</v>
      </c>
    </row>
    <row r="204" spans="1:8" s="71" customFormat="1" ht="16" x14ac:dyDescent="0.2">
      <c r="A204" s="176" t="s">
        <v>140</v>
      </c>
      <c r="B204" s="174">
        <f t="shared" ref="B204:H204" si="42">B164/B187</f>
        <v>0.69231721990232853</v>
      </c>
      <c r="C204" s="174">
        <f t="shared" si="42"/>
        <v>0.79533744273771012</v>
      </c>
      <c r="D204" s="174">
        <f t="shared" si="42"/>
        <v>0.87686022142745523</v>
      </c>
      <c r="E204" s="174">
        <f t="shared" si="42"/>
        <v>0.94190987719290087</v>
      </c>
      <c r="F204" s="174">
        <f t="shared" si="42"/>
        <v>0.98510735090182133</v>
      </c>
      <c r="G204" s="174">
        <f t="shared" si="42"/>
        <v>1.0044564135107061</v>
      </c>
      <c r="H204" s="175">
        <f t="shared" si="42"/>
        <v>1.2498161397891037</v>
      </c>
    </row>
    <row r="205" spans="1:8" s="71" customFormat="1" ht="16" x14ac:dyDescent="0.2">
      <c r="A205" s="176" t="s">
        <v>139</v>
      </c>
      <c r="B205" s="174">
        <f t="shared" ref="B205:H205" si="43">B187/B197</f>
        <v>3.3142354493476032</v>
      </c>
      <c r="C205" s="174">
        <f t="shared" si="43"/>
        <v>5.055036796439242</v>
      </c>
      <c r="D205" s="174">
        <f t="shared" si="43"/>
        <v>6.0062425543951798</v>
      </c>
      <c r="E205" s="174">
        <f t="shared" si="43"/>
        <v>6.4767734178497456</v>
      </c>
      <c r="F205" s="174">
        <f t="shared" si="43"/>
        <v>6.1384648580316492</v>
      </c>
      <c r="G205" s="174">
        <f t="shared" si="43"/>
        <v>5.2548430931938226</v>
      </c>
      <c r="H205" s="175">
        <f t="shared" si="43"/>
        <v>3.4480190960911608</v>
      </c>
    </row>
    <row r="206" spans="1:8" s="71" customFormat="1" ht="17" thickBot="1" x14ac:dyDescent="0.25">
      <c r="A206" s="192" t="s">
        <v>138</v>
      </c>
      <c r="B206" s="216">
        <f t="shared" ref="B206:H206" si="44">B172/B164</f>
        <v>0.26665090602397323</v>
      </c>
      <c r="C206" s="216">
        <f t="shared" si="44"/>
        <v>0.26665090602397323</v>
      </c>
      <c r="D206" s="216">
        <f t="shared" si="44"/>
        <v>0.25418794565531649</v>
      </c>
      <c r="E206" s="216">
        <f t="shared" si="44"/>
        <v>0.25533361856828396</v>
      </c>
      <c r="F206" s="216">
        <f t="shared" si="44"/>
        <v>0.2563762034615642</v>
      </c>
      <c r="G206" s="216">
        <f t="shared" si="44"/>
        <v>0.25732400791000071</v>
      </c>
      <c r="H206" s="217">
        <f t="shared" si="44"/>
        <v>0.25818564831767032</v>
      </c>
    </row>
    <row r="207" spans="1:8" s="71" customFormat="1" ht="16" x14ac:dyDescent="0.2">
      <c r="A207" s="156"/>
      <c r="B207" s="163"/>
      <c r="C207" s="163"/>
      <c r="D207" s="163"/>
      <c r="E207" s="163"/>
      <c r="F207" s="163"/>
      <c r="G207" s="163"/>
      <c r="H207" s="170"/>
    </row>
    <row r="208" spans="1:8" s="71" customFormat="1" ht="16" x14ac:dyDescent="0.2">
      <c r="A208" s="156"/>
      <c r="B208" s="163"/>
      <c r="C208" s="162" t="s">
        <v>221</v>
      </c>
      <c r="D208" s="163"/>
      <c r="E208" s="152"/>
      <c r="F208" s="152"/>
      <c r="G208" s="163"/>
      <c r="H208" s="170"/>
    </row>
    <row r="209" spans="1:8" s="71" customFormat="1" ht="16" x14ac:dyDescent="0.2">
      <c r="A209" s="101"/>
      <c r="B209" s="144"/>
      <c r="C209" s="153"/>
      <c r="D209" s="144"/>
      <c r="E209" s="153"/>
      <c r="F209" s="144"/>
      <c r="G209" s="153"/>
      <c r="H209" s="145"/>
    </row>
    <row r="210" spans="1:8" s="71" customFormat="1" ht="17" thickBot="1" x14ac:dyDescent="0.25">
      <c r="A210" s="146"/>
      <c r="B210" s="147"/>
      <c r="C210" s="147"/>
      <c r="D210" s="147"/>
      <c r="E210" s="147"/>
      <c r="F210" s="147"/>
      <c r="G210" s="147"/>
      <c r="H210" s="148"/>
    </row>
  </sheetData>
  <mergeCells count="10">
    <mergeCell ref="A77:H77"/>
    <mergeCell ref="A78:H81"/>
    <mergeCell ref="A144:H144"/>
    <mergeCell ref="A145:H148"/>
    <mergeCell ref="A1:I1"/>
    <mergeCell ref="A2:B2"/>
    <mergeCell ref="E2:I2"/>
    <mergeCell ref="H3:I13"/>
    <mergeCell ref="A4:B4"/>
    <mergeCell ref="A18:H18"/>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D31C4-BA90-6042-BF66-D5E9EC34607D}">
  <sheetPr>
    <tabColor theme="5"/>
  </sheetPr>
  <dimension ref="A1:O45"/>
  <sheetViews>
    <sheetView zoomScale="181" zoomScaleNormal="100" workbookViewId="0">
      <selection sqref="A1:D1"/>
    </sheetView>
  </sheetViews>
  <sheetFormatPr baseColWidth="10" defaultColWidth="8.83203125" defaultRowHeight="15" x14ac:dyDescent="0.2"/>
  <cols>
    <col min="1" max="1" width="20.6640625" customWidth="1"/>
    <col min="2" max="3" width="9.5" customWidth="1"/>
    <col min="4" max="4" width="20.6640625" customWidth="1"/>
    <col min="5" max="5" width="8.1640625" bestFit="1" customWidth="1"/>
    <col min="6" max="6" width="12.5" bestFit="1" customWidth="1"/>
    <col min="7" max="7" width="15.83203125" customWidth="1"/>
  </cols>
  <sheetData>
    <row r="1" spans="1:15" ht="16" thickBot="1" x14ac:dyDescent="0.25">
      <c r="A1" s="323" t="s">
        <v>223</v>
      </c>
      <c r="B1" s="323"/>
      <c r="C1" s="323"/>
      <c r="D1" s="323"/>
      <c r="K1" s="244"/>
      <c r="L1" s="244"/>
      <c r="M1" s="244"/>
      <c r="N1" s="244"/>
      <c r="O1" s="244"/>
    </row>
    <row r="2" spans="1:15" ht="16" thickTop="1" x14ac:dyDescent="0.2">
      <c r="A2" t="s">
        <v>224</v>
      </c>
      <c r="B2" s="226">
        <v>20550</v>
      </c>
      <c r="C2" s="227" t="s">
        <v>182</v>
      </c>
      <c r="D2" s="226">
        <v>68742</v>
      </c>
      <c r="K2" s="244"/>
      <c r="L2" s="244"/>
      <c r="M2" s="244"/>
      <c r="N2" s="244"/>
      <c r="O2" s="244"/>
    </row>
    <row r="3" spans="1:15" x14ac:dyDescent="0.2">
      <c r="A3" t="s">
        <v>130</v>
      </c>
      <c r="B3" s="226">
        <v>116562</v>
      </c>
      <c r="C3" s="228" t="s">
        <v>144</v>
      </c>
      <c r="D3" s="226">
        <v>127346</v>
      </c>
      <c r="K3" s="244"/>
      <c r="L3" s="244"/>
      <c r="M3" s="244"/>
      <c r="N3" s="244"/>
      <c r="O3" s="244"/>
    </row>
    <row r="4" spans="1:15" x14ac:dyDescent="0.2">
      <c r="A4" s="229" t="s">
        <v>225</v>
      </c>
      <c r="B4" s="230">
        <v>58976</v>
      </c>
      <c r="C4" s="231"/>
      <c r="D4" s="229"/>
      <c r="K4" s="244"/>
      <c r="L4" s="244"/>
      <c r="M4" s="244"/>
      <c r="N4" s="244"/>
      <c r="O4" s="244"/>
    </row>
    <row r="5" spans="1:15" x14ac:dyDescent="0.2">
      <c r="A5" t="s">
        <v>226</v>
      </c>
      <c r="B5" s="226">
        <f>SUM(B2:B4)</f>
        <v>196088</v>
      </c>
      <c r="C5" s="228" t="s">
        <v>226</v>
      </c>
      <c r="D5" s="226">
        <f>SUM(D2:D4)</f>
        <v>196088</v>
      </c>
      <c r="K5" s="244"/>
      <c r="L5" s="244"/>
      <c r="M5" s="244"/>
      <c r="N5" s="244"/>
      <c r="O5" s="244"/>
    </row>
    <row r="6" spans="1:15" x14ac:dyDescent="0.2">
      <c r="K6" s="244"/>
      <c r="L6" s="244"/>
      <c r="M6" s="244"/>
      <c r="N6" s="244"/>
      <c r="O6" s="244"/>
    </row>
    <row r="7" spans="1:15" x14ac:dyDescent="0.2">
      <c r="A7" t="s">
        <v>134</v>
      </c>
      <c r="B7" s="226">
        <f>ROUND(0.69*0.35*SUM(B2:B3),0)</f>
        <v>33113</v>
      </c>
      <c r="K7" s="244"/>
      <c r="L7" s="244"/>
      <c r="M7" s="244"/>
      <c r="N7" s="244"/>
      <c r="O7" s="244"/>
    </row>
    <row r="8" spans="1:15" x14ac:dyDescent="0.2">
      <c r="K8" s="244"/>
      <c r="L8" s="244"/>
      <c r="M8" s="244"/>
      <c r="N8" s="244"/>
      <c r="O8" s="244"/>
    </row>
    <row r="9" spans="1:15" ht="16" thickBot="1" x14ac:dyDescent="0.25">
      <c r="A9" s="323" t="s">
        <v>227</v>
      </c>
      <c r="B9" s="323"/>
      <c r="C9" s="323"/>
      <c r="D9" s="323"/>
      <c r="K9" s="244"/>
    </row>
    <row r="10" spans="1:15" ht="16" thickTop="1" x14ac:dyDescent="0.2">
      <c r="A10" t="s">
        <v>224</v>
      </c>
      <c r="B10" s="226">
        <v>20550</v>
      </c>
      <c r="C10" s="227" t="s">
        <v>182</v>
      </c>
      <c r="D10" s="226">
        <v>68472</v>
      </c>
      <c r="K10" s="244"/>
    </row>
    <row r="11" spans="1:15" x14ac:dyDescent="0.2">
      <c r="A11" t="s">
        <v>130</v>
      </c>
      <c r="B11" s="226">
        <f>B3-B7</f>
        <v>83449</v>
      </c>
      <c r="C11" s="228" t="s">
        <v>144</v>
      </c>
      <c r="D11" s="226">
        <f>D3-B7</f>
        <v>94233</v>
      </c>
      <c r="K11" s="244"/>
    </row>
    <row r="12" spans="1:15" x14ac:dyDescent="0.2">
      <c r="A12" s="229" t="s">
        <v>225</v>
      </c>
      <c r="B12" s="230">
        <v>58976</v>
      </c>
      <c r="C12" s="231"/>
      <c r="D12" s="229"/>
      <c r="K12" s="244"/>
    </row>
    <row r="13" spans="1:15" x14ac:dyDescent="0.2">
      <c r="A13" t="s">
        <v>226</v>
      </c>
      <c r="B13" s="226">
        <f>SUM(B10:B12)</f>
        <v>162975</v>
      </c>
      <c r="C13" s="228" t="s">
        <v>226</v>
      </c>
      <c r="D13" s="226">
        <f>SUM(D10:D12)</f>
        <v>162705</v>
      </c>
      <c r="K13" s="244"/>
    </row>
    <row r="14" spans="1:15" x14ac:dyDescent="0.2">
      <c r="K14" s="244"/>
      <c r="L14" s="244"/>
      <c r="M14" s="244"/>
      <c r="N14" s="244"/>
      <c r="O14" s="244"/>
    </row>
    <row r="16" spans="1:15" ht="16" thickBot="1" x14ac:dyDescent="0.25">
      <c r="A16" s="324" t="s">
        <v>243</v>
      </c>
      <c r="B16" s="324"/>
      <c r="C16" s="324"/>
      <c r="D16" s="324"/>
    </row>
    <row r="17" spans="1:15" ht="16" thickTop="1" x14ac:dyDescent="0.2">
      <c r="A17" t="s">
        <v>224</v>
      </c>
      <c r="B17" s="226">
        <v>20550</v>
      </c>
      <c r="C17" s="227" t="s">
        <v>182</v>
      </c>
      <c r="D17" s="226">
        <v>68472</v>
      </c>
    </row>
    <row r="18" spans="1:15" x14ac:dyDescent="0.2">
      <c r="A18" t="s">
        <v>130</v>
      </c>
      <c r="B18" s="226">
        <f>0</f>
        <v>0</v>
      </c>
      <c r="C18" s="228" t="s">
        <v>144</v>
      </c>
      <c r="D18" s="226">
        <f>D11-B11</f>
        <v>10784</v>
      </c>
    </row>
    <row r="19" spans="1:15" x14ac:dyDescent="0.2">
      <c r="A19" s="229" t="s">
        <v>225</v>
      </c>
      <c r="B19" s="230">
        <v>58976</v>
      </c>
      <c r="C19" s="231"/>
      <c r="D19" s="229"/>
    </row>
    <row r="20" spans="1:15" x14ac:dyDescent="0.2">
      <c r="A20" t="s">
        <v>226</v>
      </c>
      <c r="B20" s="226">
        <f>SUM(B17:B19)</f>
        <v>79526</v>
      </c>
      <c r="C20" s="228" t="s">
        <v>226</v>
      </c>
      <c r="D20" s="226">
        <f>SUM(D17:D19)</f>
        <v>79256</v>
      </c>
    </row>
    <row r="23" spans="1:15" x14ac:dyDescent="0.2">
      <c r="A23" s="232" t="s">
        <v>242</v>
      </c>
      <c r="C23" s="233">
        <f>B11</f>
        <v>83449</v>
      </c>
      <c r="K23" s="244"/>
      <c r="L23" s="244"/>
      <c r="M23" s="244"/>
      <c r="N23" s="244"/>
      <c r="O23" s="244"/>
    </row>
    <row r="24" spans="1:15" x14ac:dyDescent="0.2">
      <c r="A24" t="s">
        <v>228</v>
      </c>
      <c r="C24">
        <v>939.1</v>
      </c>
      <c r="J24" s="244"/>
      <c r="K24" s="244"/>
      <c r="L24" s="244"/>
      <c r="M24" s="244"/>
      <c r="N24" s="244"/>
      <c r="O24" s="244"/>
    </row>
    <row r="25" spans="1:15" x14ac:dyDescent="0.2">
      <c r="A25" s="244" t="s">
        <v>238</v>
      </c>
      <c r="B25" s="244"/>
      <c r="C25" s="249">
        <v>450.5</v>
      </c>
      <c r="J25" s="244"/>
      <c r="K25" s="244"/>
      <c r="L25" s="244"/>
      <c r="M25" s="244"/>
      <c r="N25" s="244"/>
      <c r="O25" s="244"/>
    </row>
    <row r="26" spans="1:15" x14ac:dyDescent="0.2">
      <c r="A26" t="s">
        <v>58</v>
      </c>
      <c r="C26" s="226">
        <v>41747</v>
      </c>
      <c r="J26" s="244"/>
      <c r="K26" s="244"/>
      <c r="L26" s="244"/>
      <c r="M26" s="244"/>
      <c r="N26" s="244"/>
      <c r="O26" s="244"/>
    </row>
    <row r="27" spans="1:15" x14ac:dyDescent="0.2">
      <c r="C27" s="226"/>
      <c r="J27" s="244"/>
      <c r="K27" s="244"/>
      <c r="L27" s="244"/>
      <c r="M27" s="244"/>
      <c r="N27" s="244"/>
      <c r="O27" s="244"/>
    </row>
    <row r="28" spans="1:15" x14ac:dyDescent="0.2">
      <c r="A28" s="322" t="s">
        <v>181</v>
      </c>
      <c r="B28" s="322"/>
      <c r="C28" s="322"/>
      <c r="D28" s="322"/>
      <c r="E28" s="322"/>
      <c r="J28" s="244"/>
      <c r="K28" s="244"/>
      <c r="L28" s="244"/>
      <c r="M28" s="244"/>
      <c r="N28" s="244"/>
      <c r="O28" s="244"/>
    </row>
    <row r="29" spans="1:15" x14ac:dyDescent="0.2">
      <c r="A29" t="s">
        <v>229</v>
      </c>
      <c r="C29" s="234">
        <f>C23/C24</f>
        <v>88.860611223511867</v>
      </c>
      <c r="J29" s="244"/>
      <c r="K29" s="244"/>
      <c r="L29" s="244"/>
      <c r="M29" s="244"/>
      <c r="N29" s="244"/>
      <c r="O29" s="244"/>
    </row>
    <row r="30" spans="1:15" x14ac:dyDescent="0.2">
      <c r="L30" s="244"/>
      <c r="M30" s="244"/>
      <c r="N30" s="244"/>
      <c r="O30" s="244"/>
    </row>
    <row r="31" spans="1:15" x14ac:dyDescent="0.2">
      <c r="A31" s="235" t="s">
        <v>230</v>
      </c>
      <c r="B31" s="236">
        <f>C24</f>
        <v>939.1</v>
      </c>
      <c r="C31" s="236"/>
      <c r="D31" s="236" t="s">
        <v>231</v>
      </c>
      <c r="E31" s="237">
        <f>C24</f>
        <v>939.1</v>
      </c>
      <c r="L31" s="244"/>
      <c r="M31" s="244"/>
      <c r="N31" s="244"/>
      <c r="O31" s="244"/>
    </row>
    <row r="32" spans="1:15" x14ac:dyDescent="0.2">
      <c r="A32" s="228" t="s">
        <v>232</v>
      </c>
      <c r="B32" s="238">
        <f>C26/B31</f>
        <v>44.454264721541904</v>
      </c>
      <c r="D32" t="s">
        <v>233</v>
      </c>
      <c r="E32" s="239">
        <f>C26/E31</f>
        <v>44.454264721541904</v>
      </c>
      <c r="L32" s="244"/>
      <c r="M32" s="244"/>
      <c r="N32" s="244"/>
      <c r="O32" s="244"/>
    </row>
    <row r="33" spans="1:5" x14ac:dyDescent="0.2">
      <c r="A33" s="228" t="s">
        <v>234</v>
      </c>
      <c r="B33" s="240">
        <v>450.5</v>
      </c>
      <c r="D33" t="s">
        <v>235</v>
      </c>
      <c r="E33" s="241">
        <f>B33-C29</f>
        <v>361.63938877648815</v>
      </c>
    </row>
    <row r="34" spans="1:5" x14ac:dyDescent="0.2">
      <c r="A34" s="231" t="s">
        <v>236</v>
      </c>
      <c r="B34" s="242">
        <f>B33/B32</f>
        <v>10.134010827125302</v>
      </c>
      <c r="C34" s="229"/>
      <c r="D34" s="229" t="s">
        <v>237</v>
      </c>
      <c r="E34" s="243">
        <f>E33/E32</f>
        <v>8.1350887488921355</v>
      </c>
    </row>
    <row r="36" spans="1:5" x14ac:dyDescent="0.2">
      <c r="A36" s="322" t="s">
        <v>244</v>
      </c>
      <c r="B36" s="322"/>
      <c r="C36" s="322"/>
      <c r="D36" s="322"/>
      <c r="E36" s="322"/>
    </row>
    <row r="37" spans="1:5" x14ac:dyDescent="0.2">
      <c r="A37" s="244" t="s">
        <v>239</v>
      </c>
      <c r="B37" s="244"/>
      <c r="C37" s="250">
        <f>C23/C25</f>
        <v>185.23640399556049</v>
      </c>
    </row>
    <row r="38" spans="1:5" x14ac:dyDescent="0.2">
      <c r="A38" s="244" t="s">
        <v>240</v>
      </c>
      <c r="B38" s="244"/>
      <c r="C38" s="250">
        <f>C24-C37</f>
        <v>753.8635960044395</v>
      </c>
    </row>
    <row r="39" spans="1:5" x14ac:dyDescent="0.2">
      <c r="A39" s="244" t="s">
        <v>241</v>
      </c>
      <c r="B39" s="244"/>
      <c r="C39" s="251">
        <f>C37/C24</f>
        <v>0.19724885954164678</v>
      </c>
    </row>
    <row r="40" spans="1:5" x14ac:dyDescent="0.2">
      <c r="A40" s="244" t="s">
        <v>58</v>
      </c>
      <c r="B40" s="244"/>
      <c r="C40" s="245">
        <v>41747</v>
      </c>
    </row>
    <row r="42" spans="1:5" x14ac:dyDescent="0.2">
      <c r="A42" s="252" t="s">
        <v>230</v>
      </c>
      <c r="B42" s="253">
        <f>C24</f>
        <v>939.1</v>
      </c>
      <c r="C42" s="253"/>
      <c r="D42" s="253" t="s">
        <v>231</v>
      </c>
      <c r="E42" s="254">
        <f>C38</f>
        <v>753.8635960044395</v>
      </c>
    </row>
    <row r="43" spans="1:5" x14ac:dyDescent="0.2">
      <c r="A43" s="246" t="s">
        <v>232</v>
      </c>
      <c r="B43" s="255">
        <f>C26/B42</f>
        <v>44.454264721541904</v>
      </c>
      <c r="C43" s="244"/>
      <c r="D43" s="244" t="s">
        <v>233</v>
      </c>
      <c r="E43" s="256">
        <f>C26/E42</f>
        <v>55.37739217182488</v>
      </c>
    </row>
    <row r="44" spans="1:5" x14ac:dyDescent="0.2">
      <c r="A44" s="246" t="s">
        <v>234</v>
      </c>
      <c r="B44" s="257">
        <f>C25</f>
        <v>450.5</v>
      </c>
      <c r="C44" s="244"/>
      <c r="D44" s="244" t="s">
        <v>235</v>
      </c>
      <c r="E44" s="258">
        <v>450.5</v>
      </c>
    </row>
    <row r="45" spans="1:5" x14ac:dyDescent="0.2">
      <c r="A45" s="248" t="s">
        <v>236</v>
      </c>
      <c r="B45" s="259">
        <f>B44/B43</f>
        <v>10.134010827125302</v>
      </c>
      <c r="C45" s="247"/>
      <c r="D45" s="247" t="s">
        <v>237</v>
      </c>
      <c r="E45" s="260">
        <f>E44/E43</f>
        <v>8.1350887488921355</v>
      </c>
    </row>
  </sheetData>
  <mergeCells count="5">
    <mergeCell ref="A36:E36"/>
    <mergeCell ref="A28:E28"/>
    <mergeCell ref="A1:D1"/>
    <mergeCell ref="A9:D9"/>
    <mergeCell ref="A16:D16"/>
  </mergeCells>
  <pageMargins left="0.7" right="0.7" top="0.75" bottom="0.75" header="0.3" footer="0.3"/>
  <pageSetup orientation="landscape" r:id="rId1"/>
  <headerFooter>
    <oddHeader xml:space="preserve">&amp;C&amp;20Dividend Analysis&amp;11
</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1F8EC-C7C2-8646-B972-E03251A5C0B9}">
  <sheetPr>
    <tabColor theme="5"/>
  </sheetPr>
  <dimension ref="A1:D27"/>
  <sheetViews>
    <sheetView zoomScale="200" zoomScaleNormal="100" workbookViewId="0"/>
  </sheetViews>
  <sheetFormatPr baseColWidth="10" defaultColWidth="8.83203125" defaultRowHeight="15" x14ac:dyDescent="0.2"/>
  <cols>
    <col min="1" max="1" width="28" customWidth="1"/>
    <col min="2" max="2" width="9" customWidth="1"/>
    <col min="3" max="3" width="7.83203125" customWidth="1"/>
    <col min="4" max="4" width="61" bestFit="1" customWidth="1"/>
    <col min="5" max="5" width="5" bestFit="1" customWidth="1"/>
    <col min="6" max="6" width="5.83203125" bestFit="1" customWidth="1"/>
    <col min="7" max="7" width="3.5" customWidth="1"/>
    <col min="8" max="8" width="18.6640625" bestFit="1" customWidth="1"/>
    <col min="9" max="9" width="5.6640625" bestFit="1" customWidth="1"/>
  </cols>
  <sheetData>
    <row r="1" spans="1:4" x14ac:dyDescent="0.2">
      <c r="A1" t="s">
        <v>245</v>
      </c>
      <c r="B1" s="262">
        <v>50</v>
      </c>
    </row>
    <row r="2" spans="1:4" x14ac:dyDescent="0.2">
      <c r="A2" t="s">
        <v>259</v>
      </c>
      <c r="B2">
        <v>5</v>
      </c>
    </row>
    <row r="3" spans="1:4" x14ac:dyDescent="0.2">
      <c r="A3" t="s">
        <v>260</v>
      </c>
      <c r="B3" s="262">
        <v>2</v>
      </c>
    </row>
    <row r="4" spans="1:4" x14ac:dyDescent="0.2">
      <c r="A4" t="s">
        <v>261</v>
      </c>
      <c r="B4">
        <v>939.1</v>
      </c>
    </row>
    <row r="6" spans="1:4" x14ac:dyDescent="0.2">
      <c r="B6" s="266" t="s">
        <v>257</v>
      </c>
      <c r="C6" s="267" t="s">
        <v>258</v>
      </c>
    </row>
    <row r="7" spans="1:4" x14ac:dyDescent="0.2">
      <c r="A7" t="s">
        <v>250</v>
      </c>
      <c r="B7" s="265">
        <f>C7/B4</f>
        <v>44.454264721541904</v>
      </c>
      <c r="C7" s="262">
        <v>41747</v>
      </c>
    </row>
    <row r="8" spans="1:4" x14ac:dyDescent="0.2">
      <c r="A8" t="s">
        <v>251</v>
      </c>
      <c r="B8" s="262">
        <f>C8/B4</f>
        <v>10</v>
      </c>
      <c r="C8" s="263">
        <f>B3*B2*B4</f>
        <v>9391</v>
      </c>
    </row>
    <row r="9" spans="1:4" x14ac:dyDescent="0.2">
      <c r="A9" t="s">
        <v>252</v>
      </c>
      <c r="B9" s="262">
        <f>B7-B8</f>
        <v>34.454264721541904</v>
      </c>
      <c r="C9" s="262">
        <f>C7-C8</f>
        <v>32356</v>
      </c>
    </row>
    <row r="13" spans="1:4" x14ac:dyDescent="0.2">
      <c r="A13" t="s">
        <v>262</v>
      </c>
      <c r="B13" s="264">
        <v>10</v>
      </c>
      <c r="C13" s="264"/>
      <c r="D13" t="s">
        <v>263</v>
      </c>
    </row>
    <row r="14" spans="1:4" x14ac:dyDescent="0.2">
      <c r="A14" t="s">
        <v>254</v>
      </c>
      <c r="B14" s="262">
        <f>B13*B9</f>
        <v>344.54264721541904</v>
      </c>
    </row>
    <row r="16" spans="1:4" x14ac:dyDescent="0.2">
      <c r="A16" t="s">
        <v>255</v>
      </c>
      <c r="B16" s="262">
        <v>450</v>
      </c>
    </row>
    <row r="17" spans="1:4" x14ac:dyDescent="0.2">
      <c r="A17" t="s">
        <v>256</v>
      </c>
      <c r="B17" s="262">
        <f>ROUND(B14-B16,0)</f>
        <v>-105</v>
      </c>
    </row>
    <row r="21" spans="1:4" x14ac:dyDescent="0.2">
      <c r="A21" t="s">
        <v>246</v>
      </c>
      <c r="B21" s="261">
        <v>450</v>
      </c>
      <c r="D21" t="s">
        <v>247</v>
      </c>
    </row>
    <row r="23" spans="1:4" x14ac:dyDescent="0.2">
      <c r="A23" s="325" t="s">
        <v>249</v>
      </c>
      <c r="B23" s="262">
        <f>B1*B2</f>
        <v>250</v>
      </c>
      <c r="D23" t="s">
        <v>265</v>
      </c>
    </row>
    <row r="24" spans="1:4" x14ac:dyDescent="0.2">
      <c r="A24" s="325"/>
      <c r="B24" s="262">
        <f>B13*B9</f>
        <v>344.54264721541904</v>
      </c>
      <c r="D24" t="s">
        <v>264</v>
      </c>
    </row>
    <row r="25" spans="1:4" x14ac:dyDescent="0.2">
      <c r="B25" s="261">
        <f>SUM(B23:B24)</f>
        <v>594.54264721541904</v>
      </c>
    </row>
    <row r="27" spans="1:4" x14ac:dyDescent="0.2">
      <c r="A27" s="232" t="s">
        <v>253</v>
      </c>
      <c r="B27" s="261">
        <f>B25-B21</f>
        <v>144.54264721541904</v>
      </c>
      <c r="D27" s="232" t="s">
        <v>248</v>
      </c>
    </row>
  </sheetData>
  <mergeCells count="1">
    <mergeCell ref="A23:A24"/>
  </mergeCells>
  <pageMargins left="0.7" right="0.7" top="0.75" bottom="0.75" header="0.3" footer="0.3"/>
  <pageSetup orientation="landscape" r:id="rId1"/>
  <headerFooter>
    <oddHeader>&amp;C&amp;20iPref Analysis</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3"/>
  <sheetViews>
    <sheetView view="pageLayout" zoomScaleNormal="100" workbookViewId="0"/>
  </sheetViews>
  <sheetFormatPr baseColWidth="10" defaultColWidth="8.83203125" defaultRowHeight="15" x14ac:dyDescent="0.2"/>
  <cols>
    <col min="1" max="1" width="36.6640625" style="10" bestFit="1" customWidth="1"/>
    <col min="2" max="4" width="13.6640625" style="10" customWidth="1"/>
  </cols>
  <sheetData>
    <row r="1" spans="1:4" x14ac:dyDescent="0.2">
      <c r="A1" s="1" t="s">
        <v>0</v>
      </c>
      <c r="B1" s="1"/>
      <c r="C1" s="1"/>
      <c r="D1" s="1"/>
    </row>
    <row r="2" spans="1:4" x14ac:dyDescent="0.2">
      <c r="A2" s="11" t="s">
        <v>1</v>
      </c>
      <c r="B2" s="12" t="s">
        <v>2</v>
      </c>
      <c r="C2" s="12" t="s">
        <v>3</v>
      </c>
      <c r="D2" s="12" t="s">
        <v>4</v>
      </c>
    </row>
    <row r="3" spans="1:4" x14ac:dyDescent="0.2">
      <c r="A3" s="2" t="s">
        <v>5</v>
      </c>
      <c r="B3" s="3"/>
      <c r="C3" s="3"/>
      <c r="D3" s="3"/>
    </row>
    <row r="4" spans="1:4" x14ac:dyDescent="0.2">
      <c r="A4" s="3" t="s">
        <v>6</v>
      </c>
      <c r="B4" s="4">
        <v>11261</v>
      </c>
      <c r="C4" s="4">
        <v>9815</v>
      </c>
      <c r="D4" s="4">
        <v>10746</v>
      </c>
    </row>
    <row r="5" spans="1:4" x14ac:dyDescent="0.2">
      <c r="A5" s="3" t="s">
        <v>7</v>
      </c>
      <c r="B5" s="4">
        <v>14359</v>
      </c>
      <c r="C5" s="4">
        <v>16137</v>
      </c>
      <c r="D5" s="4">
        <v>18383</v>
      </c>
    </row>
    <row r="6" spans="1:4" x14ac:dyDescent="0.2">
      <c r="A6" s="3" t="s">
        <v>8</v>
      </c>
      <c r="B6" s="4" t="s">
        <v>9</v>
      </c>
      <c r="C6" s="4" t="s">
        <v>9</v>
      </c>
      <c r="D6" s="4" t="s">
        <v>9</v>
      </c>
    </row>
    <row r="7" spans="1:4" x14ac:dyDescent="0.2">
      <c r="A7" s="2" t="s">
        <v>10</v>
      </c>
      <c r="B7" s="5">
        <v>25620</v>
      </c>
      <c r="C7" s="5">
        <v>25952</v>
      </c>
      <c r="D7" s="5">
        <v>29129</v>
      </c>
    </row>
    <row r="8" spans="1:4" x14ac:dyDescent="0.2">
      <c r="A8" s="3"/>
      <c r="B8" s="3"/>
      <c r="C8" s="3"/>
      <c r="D8" s="3"/>
    </row>
    <row r="9" spans="1:4" x14ac:dyDescent="0.2">
      <c r="A9" s="3" t="s">
        <v>11</v>
      </c>
      <c r="B9" s="4">
        <v>5510</v>
      </c>
      <c r="C9" s="4">
        <v>5369</v>
      </c>
      <c r="D9" s="4">
        <v>10930</v>
      </c>
    </row>
    <row r="10" spans="1:4" x14ac:dyDescent="0.2">
      <c r="A10" s="3" t="s">
        <v>12</v>
      </c>
      <c r="B10" s="4">
        <v>4414</v>
      </c>
      <c r="C10" s="4">
        <v>6348</v>
      </c>
      <c r="D10" s="4">
        <v>7762</v>
      </c>
    </row>
    <row r="11" spans="1:4" x14ac:dyDescent="0.2">
      <c r="A11" s="2" t="s">
        <v>13</v>
      </c>
      <c r="B11" s="5">
        <v>9924</v>
      </c>
      <c r="C11" s="5">
        <v>11717</v>
      </c>
      <c r="D11" s="5">
        <v>18692</v>
      </c>
    </row>
    <row r="12" spans="1:4" x14ac:dyDescent="0.2">
      <c r="A12" s="3"/>
      <c r="B12" s="3"/>
      <c r="C12" s="3"/>
      <c r="D12" s="3"/>
    </row>
    <row r="13" spans="1:4" x14ac:dyDescent="0.2">
      <c r="A13" s="3" t="s">
        <v>14</v>
      </c>
      <c r="B13" s="4">
        <v>1051</v>
      </c>
      <c r="C13" s="4">
        <v>776</v>
      </c>
      <c r="D13" s="4">
        <v>791</v>
      </c>
    </row>
    <row r="14" spans="1:4" x14ac:dyDescent="0.2">
      <c r="A14" s="3" t="s">
        <v>15</v>
      </c>
      <c r="B14" s="4">
        <v>1636</v>
      </c>
      <c r="C14" s="4">
        <v>2014</v>
      </c>
      <c r="D14" s="4">
        <v>2583</v>
      </c>
    </row>
    <row r="15" spans="1:4" x14ac:dyDescent="0.2">
      <c r="A15" s="3" t="s">
        <v>16</v>
      </c>
      <c r="B15" s="4">
        <v>445</v>
      </c>
      <c r="C15" s="4" t="s">
        <v>9</v>
      </c>
      <c r="D15" s="4">
        <v>278</v>
      </c>
    </row>
    <row r="16" spans="1:4" x14ac:dyDescent="0.2">
      <c r="A16" s="3" t="s">
        <v>17</v>
      </c>
      <c r="B16" s="4">
        <v>3002</v>
      </c>
      <c r="C16" s="4">
        <v>4529</v>
      </c>
      <c r="D16" s="4">
        <v>6180</v>
      </c>
    </row>
    <row r="17" spans="1:4" x14ac:dyDescent="0.2">
      <c r="A17" s="2" t="s">
        <v>18</v>
      </c>
      <c r="B17" s="5">
        <v>41678</v>
      </c>
      <c r="C17" s="5">
        <v>44988</v>
      </c>
      <c r="D17" s="5">
        <v>57653</v>
      </c>
    </row>
    <row r="18" spans="1:4" x14ac:dyDescent="0.2">
      <c r="A18" s="3"/>
      <c r="B18" s="3"/>
      <c r="C18" s="3"/>
      <c r="D18" s="3"/>
    </row>
    <row r="19" spans="1:4" x14ac:dyDescent="0.2">
      <c r="A19" s="2" t="s">
        <v>19</v>
      </c>
      <c r="B19" s="6">
        <v>4768</v>
      </c>
      <c r="C19" s="6">
        <v>7777</v>
      </c>
      <c r="D19" s="6">
        <v>15452</v>
      </c>
    </row>
    <row r="20" spans="1:4" x14ac:dyDescent="0.2">
      <c r="A20" s="3"/>
      <c r="B20" s="3"/>
      <c r="C20" s="3"/>
      <c r="D20" s="3"/>
    </row>
    <row r="21" spans="1:4" x14ac:dyDescent="0.2">
      <c r="A21" s="3" t="s">
        <v>20</v>
      </c>
      <c r="B21" s="4">
        <v>25391</v>
      </c>
      <c r="C21" s="4">
        <v>55618</v>
      </c>
      <c r="D21" s="4">
        <v>92122</v>
      </c>
    </row>
    <row r="22" spans="1:4" x14ac:dyDescent="0.2">
      <c r="A22" s="3" t="s">
        <v>21</v>
      </c>
      <c r="B22" s="4">
        <v>741</v>
      </c>
      <c r="C22" s="4">
        <v>896</v>
      </c>
      <c r="D22" s="4">
        <v>1135</v>
      </c>
    </row>
    <row r="23" spans="1:4" x14ac:dyDescent="0.2">
      <c r="A23" s="3" t="s">
        <v>22</v>
      </c>
      <c r="B23" s="4">
        <v>342</v>
      </c>
      <c r="C23" s="4">
        <v>3536</v>
      </c>
      <c r="D23" s="4">
        <v>4224</v>
      </c>
    </row>
    <row r="24" spans="1:4" x14ac:dyDescent="0.2">
      <c r="A24" s="3" t="s">
        <v>23</v>
      </c>
      <c r="B24" s="4">
        <v>2263</v>
      </c>
      <c r="C24" s="4">
        <v>3556</v>
      </c>
      <c r="D24" s="4">
        <v>5478</v>
      </c>
    </row>
    <row r="25" spans="1:4" x14ac:dyDescent="0.2">
      <c r="A25" s="2" t="s">
        <v>24</v>
      </c>
      <c r="B25" s="7">
        <v>75183</v>
      </c>
      <c r="C25" s="7">
        <v>116371</v>
      </c>
      <c r="D25" s="7">
        <v>176064</v>
      </c>
    </row>
    <row r="26" spans="1:4" x14ac:dyDescent="0.2">
      <c r="A26" s="3"/>
      <c r="B26" s="3"/>
      <c r="C26" s="3"/>
      <c r="D26" s="3"/>
    </row>
    <row r="27" spans="1:4" x14ac:dyDescent="0.2">
      <c r="A27" s="2" t="s">
        <v>25</v>
      </c>
      <c r="B27" s="3"/>
      <c r="C27" s="3"/>
      <c r="D27" s="3"/>
    </row>
    <row r="28" spans="1:4" x14ac:dyDescent="0.2">
      <c r="A28" s="3" t="s">
        <v>26</v>
      </c>
      <c r="B28" s="4">
        <v>12015</v>
      </c>
      <c r="C28" s="4">
        <v>14632</v>
      </c>
      <c r="D28" s="4">
        <v>21175</v>
      </c>
    </row>
    <row r="29" spans="1:4" x14ac:dyDescent="0.2">
      <c r="A29" s="3" t="s">
        <v>27</v>
      </c>
      <c r="B29" s="4">
        <v>3641</v>
      </c>
      <c r="C29" s="4">
        <v>4829</v>
      </c>
      <c r="D29" s="4">
        <v>6749</v>
      </c>
    </row>
    <row r="30" spans="1:4" x14ac:dyDescent="0.2">
      <c r="A30" s="3" t="s">
        <v>28</v>
      </c>
      <c r="B30" s="4">
        <v>658</v>
      </c>
      <c r="C30" s="4">
        <v>1140</v>
      </c>
      <c r="D30" s="4">
        <v>1535</v>
      </c>
    </row>
    <row r="31" spans="1:4" x14ac:dyDescent="0.2">
      <c r="A31" s="3" t="s">
        <v>29</v>
      </c>
      <c r="B31" s="4">
        <v>3647</v>
      </c>
      <c r="C31" s="4">
        <v>6129</v>
      </c>
      <c r="D31" s="4">
        <v>7445</v>
      </c>
    </row>
    <row r="32" spans="1:4" x14ac:dyDescent="0.2">
      <c r="A32" s="3" t="s">
        <v>30</v>
      </c>
      <c r="B32" s="4">
        <v>761</v>
      </c>
      <c r="C32" s="4">
        <v>1240</v>
      </c>
      <c r="D32" s="4">
        <v>1638</v>
      </c>
    </row>
    <row r="33" spans="1:4" x14ac:dyDescent="0.2">
      <c r="A33" s="2" t="s">
        <v>31</v>
      </c>
      <c r="B33" s="5">
        <v>20722</v>
      </c>
      <c r="C33" s="5">
        <v>27970</v>
      </c>
      <c r="D33" s="5">
        <v>38542</v>
      </c>
    </row>
    <row r="34" spans="1:4" x14ac:dyDescent="0.2">
      <c r="A34" s="3"/>
      <c r="B34" s="3"/>
      <c r="C34" s="3"/>
      <c r="D34" s="3"/>
    </row>
    <row r="35" spans="1:4" x14ac:dyDescent="0.2">
      <c r="A35" s="3" t="s">
        <v>32</v>
      </c>
      <c r="B35" s="4" t="s">
        <v>9</v>
      </c>
      <c r="C35" s="4" t="s">
        <v>9</v>
      </c>
      <c r="D35" s="4" t="s">
        <v>9</v>
      </c>
    </row>
    <row r="36" spans="1:4" x14ac:dyDescent="0.2">
      <c r="A36" s="3" t="s">
        <v>33</v>
      </c>
      <c r="B36" s="4">
        <v>1139</v>
      </c>
      <c r="C36" s="4">
        <v>1686</v>
      </c>
      <c r="D36" s="4">
        <v>2648</v>
      </c>
    </row>
    <row r="37" spans="1:4" x14ac:dyDescent="0.2">
      <c r="A37" s="3" t="s">
        <v>34</v>
      </c>
      <c r="B37" s="4">
        <v>4300</v>
      </c>
      <c r="C37" s="4">
        <v>8159</v>
      </c>
      <c r="D37" s="4">
        <v>13847</v>
      </c>
    </row>
    <row r="38" spans="1:4" x14ac:dyDescent="0.2">
      <c r="A38" s="3" t="s">
        <v>35</v>
      </c>
      <c r="B38" s="4">
        <v>1231</v>
      </c>
      <c r="C38" s="4">
        <v>1941</v>
      </c>
      <c r="D38" s="4">
        <v>2817</v>
      </c>
    </row>
    <row r="39" spans="1:4" x14ac:dyDescent="0.2">
      <c r="A39" s="2" t="s">
        <v>36</v>
      </c>
      <c r="B39" s="5">
        <v>27392</v>
      </c>
      <c r="C39" s="5">
        <v>39756</v>
      </c>
      <c r="D39" s="5">
        <v>57854</v>
      </c>
    </row>
    <row r="40" spans="1:4" x14ac:dyDescent="0.2">
      <c r="A40" s="3"/>
      <c r="B40" s="3"/>
      <c r="C40" s="3"/>
      <c r="D40" s="3"/>
    </row>
    <row r="41" spans="1:4" x14ac:dyDescent="0.2">
      <c r="A41" s="3" t="s">
        <v>37</v>
      </c>
      <c r="B41" s="4">
        <v>10668</v>
      </c>
      <c r="C41" s="4">
        <v>13331</v>
      </c>
      <c r="D41" s="4">
        <v>16422</v>
      </c>
    </row>
    <row r="42" spans="1:4" x14ac:dyDescent="0.2">
      <c r="A42" s="3" t="s">
        <v>38</v>
      </c>
      <c r="B42" s="4">
        <v>37169</v>
      </c>
      <c r="C42" s="4">
        <v>62841</v>
      </c>
      <c r="D42" s="4">
        <v>101289</v>
      </c>
    </row>
    <row r="43" spans="1:4" x14ac:dyDescent="0.2">
      <c r="A43" s="3" t="s">
        <v>39</v>
      </c>
      <c r="B43" s="4">
        <v>-46</v>
      </c>
      <c r="C43" s="4">
        <v>443</v>
      </c>
      <c r="D43" s="4">
        <v>499</v>
      </c>
    </row>
    <row r="44" spans="1:4" x14ac:dyDescent="0.2">
      <c r="A44" s="2" t="s">
        <v>40</v>
      </c>
      <c r="B44" s="5">
        <v>47791</v>
      </c>
      <c r="C44" s="5">
        <v>76615</v>
      </c>
      <c r="D44" s="5">
        <v>118210</v>
      </c>
    </row>
    <row r="45" spans="1:4" x14ac:dyDescent="0.2">
      <c r="A45" s="3"/>
      <c r="B45" s="3"/>
      <c r="C45" s="3"/>
      <c r="D45" s="3"/>
    </row>
    <row r="46" spans="1:4" x14ac:dyDescent="0.2">
      <c r="A46" s="2" t="s">
        <v>41</v>
      </c>
      <c r="B46" s="8">
        <v>75183</v>
      </c>
      <c r="C46" s="8">
        <v>116371</v>
      </c>
      <c r="D46" s="8">
        <v>176064</v>
      </c>
    </row>
    <row r="47" spans="1:4" x14ac:dyDescent="0.2">
      <c r="A47" s="11"/>
      <c r="B47" s="11"/>
      <c r="C47" s="11"/>
      <c r="D47" s="11"/>
    </row>
    <row r="48" spans="1:4" x14ac:dyDescent="0.2">
      <c r="A48" s="1"/>
      <c r="B48" s="1"/>
      <c r="C48" s="1"/>
      <c r="D48" s="1"/>
    </row>
    <row r="49" spans="1:4" x14ac:dyDescent="0.2">
      <c r="A49" s="9"/>
      <c r="B49" s="9"/>
      <c r="C49" s="9"/>
      <c r="D49" s="9"/>
    </row>
    <row r="50" spans="1:4" x14ac:dyDescent="0.2">
      <c r="A50" s="9"/>
      <c r="B50" s="9"/>
      <c r="C50" s="9"/>
      <c r="D50" s="9"/>
    </row>
    <row r="51" spans="1:4" x14ac:dyDescent="0.2">
      <c r="A51" s="9"/>
      <c r="B51" s="9"/>
      <c r="C51" s="9"/>
      <c r="D51" s="9"/>
    </row>
    <row r="52" spans="1:4" x14ac:dyDescent="0.2">
      <c r="A52" s="9"/>
      <c r="B52" s="9"/>
      <c r="C52" s="9"/>
      <c r="D52" s="9"/>
    </row>
    <row r="53" spans="1:4" x14ac:dyDescent="0.2">
      <c r="A53" s="9"/>
      <c r="B53" s="9"/>
      <c r="C53" s="9"/>
      <c r="D53" s="9"/>
    </row>
  </sheetData>
  <pageMargins left="0.7" right="0.7" top="0.5" bottom="0.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0"/>
  <sheetViews>
    <sheetView zoomScaleNormal="100" workbookViewId="0">
      <selection activeCell="B39" sqref="B39"/>
    </sheetView>
  </sheetViews>
  <sheetFormatPr baseColWidth="10" defaultColWidth="8.83203125" defaultRowHeight="15" x14ac:dyDescent="0.2"/>
  <cols>
    <col min="1" max="1" width="42.5" style="10" bestFit="1" customWidth="1"/>
    <col min="2" max="4" width="14.6640625" style="10" customWidth="1"/>
  </cols>
  <sheetData>
    <row r="1" spans="1:4" x14ac:dyDescent="0.2">
      <c r="A1" s="1" t="s">
        <v>42</v>
      </c>
      <c r="B1" s="1"/>
      <c r="C1" s="1"/>
      <c r="D1" s="1"/>
    </row>
    <row r="2" spans="1:4" x14ac:dyDescent="0.2">
      <c r="A2" s="11" t="s">
        <v>43</v>
      </c>
      <c r="B2" s="12" t="s">
        <v>2</v>
      </c>
      <c r="C2" s="12" t="s">
        <v>3</v>
      </c>
      <c r="D2" s="12" t="s">
        <v>4</v>
      </c>
    </row>
    <row r="3" spans="1:4" x14ac:dyDescent="0.2">
      <c r="A3" s="2" t="s">
        <v>44</v>
      </c>
      <c r="B3" s="6">
        <v>65225</v>
      </c>
      <c r="C3" s="6">
        <v>108249</v>
      </c>
      <c r="D3" s="6">
        <v>156508</v>
      </c>
    </row>
    <row r="4" spans="1:4" x14ac:dyDescent="0.2">
      <c r="A4" s="2" t="s">
        <v>45</v>
      </c>
      <c r="B4" s="6">
        <v>39541</v>
      </c>
      <c r="C4" s="6">
        <v>64431</v>
      </c>
      <c r="D4" s="6">
        <v>87846</v>
      </c>
    </row>
    <row r="5" spans="1:4" x14ac:dyDescent="0.2">
      <c r="A5" s="2" t="s">
        <v>46</v>
      </c>
      <c r="B5" s="6">
        <v>25684</v>
      </c>
      <c r="C5" s="6">
        <v>43818</v>
      </c>
      <c r="D5" s="6">
        <v>68662</v>
      </c>
    </row>
    <row r="6" spans="1:4" x14ac:dyDescent="0.2">
      <c r="A6" s="3" t="s">
        <v>47</v>
      </c>
      <c r="B6" s="13">
        <v>5517</v>
      </c>
      <c r="C6" s="13">
        <v>7599</v>
      </c>
      <c r="D6" s="13">
        <v>10040</v>
      </c>
    </row>
    <row r="7" spans="1:4" x14ac:dyDescent="0.2">
      <c r="A7" s="3" t="s">
        <v>48</v>
      </c>
      <c r="B7" s="13">
        <v>1782</v>
      </c>
      <c r="C7" s="13">
        <v>2429</v>
      </c>
      <c r="D7" s="13">
        <v>3381</v>
      </c>
    </row>
    <row r="8" spans="1:4" x14ac:dyDescent="0.2">
      <c r="A8" s="2" t="s">
        <v>49</v>
      </c>
      <c r="B8" s="6">
        <v>7299</v>
      </c>
      <c r="C8" s="6">
        <v>10028</v>
      </c>
      <c r="D8" s="6">
        <v>13421</v>
      </c>
    </row>
    <row r="9" spans="1:4" x14ac:dyDescent="0.2">
      <c r="A9" s="2" t="s">
        <v>50</v>
      </c>
      <c r="B9" s="6">
        <v>18385</v>
      </c>
      <c r="C9" s="6">
        <v>33790</v>
      </c>
      <c r="D9" s="6">
        <v>55241</v>
      </c>
    </row>
    <row r="10" spans="1:4" x14ac:dyDescent="0.2">
      <c r="A10" s="3" t="s">
        <v>51</v>
      </c>
      <c r="B10" s="13" t="s">
        <v>9</v>
      </c>
      <c r="C10" s="13" t="s">
        <v>9</v>
      </c>
      <c r="D10" s="13" t="s">
        <v>9</v>
      </c>
    </row>
    <row r="11" spans="1:4" x14ac:dyDescent="0.2">
      <c r="A11" s="3" t="s">
        <v>52</v>
      </c>
      <c r="B11" s="13">
        <v>311</v>
      </c>
      <c r="C11" s="13">
        <v>519</v>
      </c>
      <c r="D11" s="13">
        <v>1088</v>
      </c>
    </row>
    <row r="12" spans="1:4" x14ac:dyDescent="0.2">
      <c r="A12" s="2" t="s">
        <v>53</v>
      </c>
      <c r="B12" s="6">
        <v>311</v>
      </c>
      <c r="C12" s="6">
        <v>519</v>
      </c>
      <c r="D12" s="6">
        <v>1088</v>
      </c>
    </row>
    <row r="13" spans="1:4" x14ac:dyDescent="0.2">
      <c r="A13" s="3" t="s">
        <v>54</v>
      </c>
      <c r="B13" s="13">
        <v>4527</v>
      </c>
      <c r="C13" s="13">
        <v>8283</v>
      </c>
      <c r="D13" s="13">
        <v>14030</v>
      </c>
    </row>
    <row r="14" spans="1:4" x14ac:dyDescent="0.2">
      <c r="A14" s="2" t="s">
        <v>55</v>
      </c>
      <c r="B14" s="6">
        <v>14013</v>
      </c>
      <c r="C14" s="6">
        <v>25922</v>
      </c>
      <c r="D14" s="6">
        <v>41733</v>
      </c>
    </row>
    <row r="15" spans="1:4" x14ac:dyDescent="0.2">
      <c r="A15" s="2" t="s">
        <v>56</v>
      </c>
      <c r="B15" s="6">
        <v>14013</v>
      </c>
      <c r="C15" s="6">
        <v>25922</v>
      </c>
      <c r="D15" s="6">
        <v>41733</v>
      </c>
    </row>
    <row r="16" spans="1:4" x14ac:dyDescent="0.2">
      <c r="A16" s="3" t="s">
        <v>57</v>
      </c>
      <c r="B16" s="13" t="s">
        <v>9</v>
      </c>
      <c r="C16" s="13" t="s">
        <v>9</v>
      </c>
      <c r="D16" s="13" t="s">
        <v>9</v>
      </c>
    </row>
    <row r="17" spans="1:4" x14ac:dyDescent="0.2">
      <c r="A17" s="2" t="s">
        <v>58</v>
      </c>
      <c r="B17" s="6">
        <v>14013</v>
      </c>
      <c r="C17" s="6">
        <v>25922</v>
      </c>
      <c r="D17" s="6">
        <v>41733</v>
      </c>
    </row>
    <row r="18" spans="1:4" x14ac:dyDescent="0.2">
      <c r="A18" s="2" t="s">
        <v>59</v>
      </c>
      <c r="B18" s="6">
        <v>14013</v>
      </c>
      <c r="C18" s="6">
        <v>25922</v>
      </c>
      <c r="D18" s="6">
        <v>41733</v>
      </c>
    </row>
    <row r="19" spans="1:4" x14ac:dyDescent="0.2">
      <c r="A19" s="2" t="s">
        <v>60</v>
      </c>
      <c r="B19" s="14"/>
      <c r="C19" s="14"/>
      <c r="D19" s="14"/>
    </row>
    <row r="20" spans="1:4" x14ac:dyDescent="0.2">
      <c r="A20" s="3" t="s">
        <v>61</v>
      </c>
      <c r="B20" s="15">
        <v>15.41</v>
      </c>
      <c r="C20" s="15">
        <v>28.05</v>
      </c>
      <c r="D20" s="15">
        <v>44.64</v>
      </c>
    </row>
    <row r="21" spans="1:4" x14ac:dyDescent="0.2">
      <c r="A21" s="3" t="s">
        <v>62</v>
      </c>
      <c r="B21" s="15">
        <v>15.15</v>
      </c>
      <c r="C21" s="15">
        <v>27.68</v>
      </c>
      <c r="D21" s="15">
        <v>44.15</v>
      </c>
    </row>
    <row r="22" spans="1:4" x14ac:dyDescent="0.2">
      <c r="A22" s="2" t="s">
        <v>63</v>
      </c>
      <c r="B22" s="16"/>
      <c r="C22" s="16"/>
      <c r="D22" s="16"/>
    </row>
    <row r="23" spans="1:4" x14ac:dyDescent="0.2">
      <c r="A23" s="3" t="s">
        <v>61</v>
      </c>
      <c r="B23" s="13">
        <v>909.46100000000001</v>
      </c>
      <c r="C23" s="13">
        <v>924.25800000000004</v>
      </c>
      <c r="D23" s="13">
        <v>934.81799999999998</v>
      </c>
    </row>
    <row r="24" spans="1:4" x14ac:dyDescent="0.2">
      <c r="A24" s="3" t="s">
        <v>62</v>
      </c>
      <c r="B24" s="13">
        <v>924.71199999999999</v>
      </c>
      <c r="C24" s="13">
        <v>936.64499999999998</v>
      </c>
      <c r="D24" s="13">
        <v>945.35500000000002</v>
      </c>
    </row>
    <row r="25" spans="1:4" x14ac:dyDescent="0.2">
      <c r="A25" s="2" t="s">
        <v>64</v>
      </c>
      <c r="B25" s="17" t="s">
        <v>9</v>
      </c>
      <c r="C25" s="17" t="s">
        <v>9</v>
      </c>
      <c r="D25" s="16">
        <v>2.65</v>
      </c>
    </row>
    <row r="26" spans="1:4" x14ac:dyDescent="0.2">
      <c r="A26" s="2" t="s">
        <v>65</v>
      </c>
      <c r="B26" s="18" t="s">
        <v>9</v>
      </c>
      <c r="C26" s="18" t="s">
        <v>9</v>
      </c>
      <c r="D26" s="19">
        <v>5.9617000000000003E-2</v>
      </c>
    </row>
    <row r="27" spans="1:4" x14ac:dyDescent="0.2">
      <c r="A27" s="2" t="s">
        <v>66</v>
      </c>
      <c r="B27" s="6">
        <v>19412</v>
      </c>
      <c r="C27" s="6">
        <v>35604</v>
      </c>
      <c r="D27" s="6">
        <v>58518</v>
      </c>
    </row>
    <row r="28" spans="1:4" x14ac:dyDescent="0.2">
      <c r="A28" s="11" t="s">
        <v>67</v>
      </c>
      <c r="B28" s="11"/>
      <c r="C28" s="11"/>
      <c r="D28" s="11"/>
    </row>
    <row r="29" spans="1:4" x14ac:dyDescent="0.2">
      <c r="A29" s="1"/>
      <c r="B29" s="1"/>
      <c r="C29" s="1"/>
      <c r="D29" s="1"/>
    </row>
    <row r="30" spans="1:4" x14ac:dyDescent="0.2">
      <c r="A30" s="9" t="s">
        <v>68</v>
      </c>
      <c r="B30" s="20"/>
      <c r="C30" s="20"/>
      <c r="D30" s="20"/>
    </row>
    <row r="31" spans="1:4" x14ac:dyDescent="0.2">
      <c r="A31" s="9" t="s">
        <v>69</v>
      </c>
      <c r="B31" s="20"/>
      <c r="C31" s="20"/>
      <c r="D31" s="20"/>
    </row>
    <row r="32" spans="1:4" x14ac:dyDescent="0.2">
      <c r="B32" s="21"/>
      <c r="C32" s="21"/>
      <c r="D32" s="21"/>
    </row>
    <row r="33" spans="2:4" x14ac:dyDescent="0.2">
      <c r="B33" s="21"/>
      <c r="C33" s="21"/>
      <c r="D33" s="21"/>
    </row>
    <row r="34" spans="2:4" x14ac:dyDescent="0.2">
      <c r="B34" s="21"/>
      <c r="C34" s="21"/>
      <c r="D34" s="21"/>
    </row>
    <row r="35" spans="2:4" x14ac:dyDescent="0.2">
      <c r="B35" s="21"/>
      <c r="C35" s="21"/>
      <c r="D35" s="21"/>
    </row>
    <row r="36" spans="2:4" x14ac:dyDescent="0.2">
      <c r="B36" s="21"/>
      <c r="C36" s="21"/>
      <c r="D36" s="21"/>
    </row>
    <row r="37" spans="2:4" x14ac:dyDescent="0.2">
      <c r="B37" s="21"/>
      <c r="C37" s="21"/>
      <c r="D37" s="21"/>
    </row>
    <row r="38" spans="2:4" x14ac:dyDescent="0.2">
      <c r="B38" s="21"/>
      <c r="C38" s="21"/>
      <c r="D38" s="21"/>
    </row>
    <row r="39" spans="2:4" x14ac:dyDescent="0.2">
      <c r="B39" s="21"/>
      <c r="C39" s="21"/>
      <c r="D39" s="21"/>
    </row>
    <row r="40" spans="2:4" x14ac:dyDescent="0.2">
      <c r="B40" s="21"/>
      <c r="C40" s="21"/>
      <c r="D40" s="21"/>
    </row>
    <row r="41" spans="2:4" x14ac:dyDescent="0.2">
      <c r="B41" s="21"/>
      <c r="C41" s="21"/>
      <c r="D41" s="21"/>
    </row>
    <row r="42" spans="2:4" x14ac:dyDescent="0.2">
      <c r="B42" s="21"/>
      <c r="C42" s="21"/>
      <c r="D42" s="21"/>
    </row>
    <row r="43" spans="2:4" x14ac:dyDescent="0.2">
      <c r="B43" s="21"/>
      <c r="C43" s="21"/>
      <c r="D43" s="21"/>
    </row>
    <row r="44" spans="2:4" x14ac:dyDescent="0.2">
      <c r="B44" s="21"/>
      <c r="C44" s="21"/>
      <c r="D44" s="21"/>
    </row>
    <row r="45" spans="2:4" x14ac:dyDescent="0.2">
      <c r="B45" s="21"/>
      <c r="C45" s="21"/>
      <c r="D45" s="21"/>
    </row>
    <row r="46" spans="2:4" x14ac:dyDescent="0.2">
      <c r="B46" s="21"/>
      <c r="C46" s="21"/>
      <c r="D46" s="21"/>
    </row>
    <row r="47" spans="2:4" x14ac:dyDescent="0.2">
      <c r="B47" s="21"/>
      <c r="C47" s="21"/>
      <c r="D47" s="21"/>
    </row>
    <row r="48" spans="2:4" x14ac:dyDescent="0.2">
      <c r="B48" s="21"/>
      <c r="C48" s="21"/>
      <c r="D48" s="21"/>
    </row>
    <row r="49" spans="2:4" x14ac:dyDescent="0.2">
      <c r="B49" s="21"/>
      <c r="C49" s="21"/>
      <c r="D49" s="21"/>
    </row>
    <row r="50" spans="2:4" x14ac:dyDescent="0.2">
      <c r="B50" s="21"/>
      <c r="C50" s="21"/>
      <c r="D50" s="21"/>
    </row>
    <row r="51" spans="2:4" x14ac:dyDescent="0.2">
      <c r="B51" s="21"/>
      <c r="C51" s="21"/>
      <c r="D51" s="21"/>
    </row>
    <row r="52" spans="2:4" x14ac:dyDescent="0.2">
      <c r="B52" s="21"/>
      <c r="C52" s="21"/>
      <c r="D52" s="21"/>
    </row>
    <row r="53" spans="2:4" x14ac:dyDescent="0.2">
      <c r="B53" s="21"/>
      <c r="C53" s="21"/>
      <c r="D53" s="21"/>
    </row>
    <row r="54" spans="2:4" x14ac:dyDescent="0.2">
      <c r="B54" s="21"/>
      <c r="C54" s="21"/>
      <c r="D54" s="21"/>
    </row>
    <row r="55" spans="2:4" x14ac:dyDescent="0.2">
      <c r="B55" s="21"/>
      <c r="C55" s="21"/>
      <c r="D55" s="21"/>
    </row>
    <row r="56" spans="2:4" x14ac:dyDescent="0.2">
      <c r="B56" s="21"/>
      <c r="C56" s="21"/>
      <c r="D56" s="21"/>
    </row>
    <row r="57" spans="2:4" x14ac:dyDescent="0.2">
      <c r="B57" s="21"/>
      <c r="C57" s="21"/>
      <c r="D57" s="21"/>
    </row>
    <row r="58" spans="2:4" x14ac:dyDescent="0.2">
      <c r="B58" s="21"/>
      <c r="C58" s="21"/>
      <c r="D58" s="21"/>
    </row>
    <row r="59" spans="2:4" x14ac:dyDescent="0.2">
      <c r="B59" s="21"/>
      <c r="C59" s="21"/>
      <c r="D59" s="21"/>
    </row>
    <row r="60" spans="2:4" x14ac:dyDescent="0.2">
      <c r="B60" s="21"/>
      <c r="C60" s="21"/>
      <c r="D60" s="21"/>
    </row>
    <row r="61" spans="2:4" x14ac:dyDescent="0.2">
      <c r="B61" s="21"/>
      <c r="C61" s="21"/>
      <c r="D61" s="21"/>
    </row>
    <row r="62" spans="2:4" x14ac:dyDescent="0.2">
      <c r="B62" s="21"/>
      <c r="C62" s="21"/>
      <c r="D62" s="21"/>
    </row>
    <row r="63" spans="2:4" x14ac:dyDescent="0.2">
      <c r="B63" s="21"/>
      <c r="C63" s="21"/>
      <c r="D63" s="21"/>
    </row>
    <row r="64" spans="2:4" x14ac:dyDescent="0.2">
      <c r="B64" s="21"/>
      <c r="C64" s="21"/>
      <c r="D64" s="21"/>
    </row>
    <row r="65" spans="2:4" x14ac:dyDescent="0.2">
      <c r="B65" s="21"/>
      <c r="C65" s="21"/>
      <c r="D65" s="21"/>
    </row>
    <row r="66" spans="2:4" x14ac:dyDescent="0.2">
      <c r="B66" s="21"/>
      <c r="C66" s="21"/>
      <c r="D66" s="21"/>
    </row>
    <row r="67" spans="2:4" x14ac:dyDescent="0.2">
      <c r="B67" s="21"/>
      <c r="C67" s="21"/>
      <c r="D67" s="21"/>
    </row>
    <row r="68" spans="2:4" x14ac:dyDescent="0.2">
      <c r="B68" s="21"/>
      <c r="C68" s="21"/>
      <c r="D68" s="21"/>
    </row>
    <row r="69" spans="2:4" x14ac:dyDescent="0.2">
      <c r="B69" s="21"/>
      <c r="C69" s="21"/>
      <c r="D69" s="21"/>
    </row>
    <row r="70" spans="2:4" x14ac:dyDescent="0.2">
      <c r="B70" s="21"/>
      <c r="C70" s="21"/>
      <c r="D70" s="2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5"/>
  <sheetViews>
    <sheetView view="pageLayout" zoomScaleNormal="100" workbookViewId="0">
      <selection activeCell="E37" sqref="E37"/>
    </sheetView>
  </sheetViews>
  <sheetFormatPr baseColWidth="10" defaultColWidth="8.83203125" defaultRowHeight="15" x14ac:dyDescent="0.2"/>
  <cols>
    <col min="1" max="1" width="34.6640625" style="10" bestFit="1" customWidth="1"/>
    <col min="2" max="4" width="12.6640625" style="10" customWidth="1"/>
  </cols>
  <sheetData>
    <row r="1" spans="1:4" x14ac:dyDescent="0.2">
      <c r="A1" s="1" t="s">
        <v>70</v>
      </c>
      <c r="B1" s="1"/>
      <c r="C1" s="1"/>
      <c r="D1" s="1"/>
    </row>
    <row r="2" spans="1:4" x14ac:dyDescent="0.2">
      <c r="A2" s="11" t="s">
        <v>43</v>
      </c>
      <c r="B2" s="23" t="s">
        <v>2</v>
      </c>
      <c r="C2" s="23" t="s">
        <v>3</v>
      </c>
      <c r="D2" s="23" t="s">
        <v>4</v>
      </c>
    </row>
    <row r="3" spans="1:4" x14ac:dyDescent="0.2">
      <c r="A3" s="2" t="s">
        <v>58</v>
      </c>
      <c r="B3" s="22">
        <v>14013</v>
      </c>
      <c r="C3" s="22">
        <v>25922</v>
      </c>
      <c r="D3" s="22">
        <v>41733</v>
      </c>
    </row>
    <row r="4" spans="1:4" x14ac:dyDescent="0.2">
      <c r="A4" s="3" t="s">
        <v>71</v>
      </c>
      <c r="B4" s="4">
        <v>958</v>
      </c>
      <c r="C4" s="4">
        <v>1622</v>
      </c>
      <c r="D4" s="4">
        <v>2672</v>
      </c>
    </row>
    <row r="5" spans="1:4" x14ac:dyDescent="0.2">
      <c r="A5" s="3" t="s">
        <v>72</v>
      </c>
      <c r="B5" s="4">
        <v>69</v>
      </c>
      <c r="C5" s="4">
        <v>192</v>
      </c>
      <c r="D5" s="4">
        <v>605</v>
      </c>
    </row>
    <row r="6" spans="1:4" x14ac:dyDescent="0.2">
      <c r="A6" s="2" t="s">
        <v>73</v>
      </c>
      <c r="B6" s="5">
        <v>1027</v>
      </c>
      <c r="C6" s="5">
        <v>1814</v>
      </c>
      <c r="D6" s="5">
        <v>3277</v>
      </c>
    </row>
    <row r="7" spans="1:4" x14ac:dyDescent="0.2">
      <c r="A7" s="3" t="s">
        <v>74</v>
      </c>
      <c r="B7" s="4">
        <v>879</v>
      </c>
      <c r="C7" s="4">
        <v>1168</v>
      </c>
      <c r="D7" s="4">
        <v>1740</v>
      </c>
    </row>
    <row r="8" spans="1:4" x14ac:dyDescent="0.2">
      <c r="A8" s="3" t="s">
        <v>75</v>
      </c>
      <c r="B8" s="4">
        <v>1440</v>
      </c>
      <c r="C8" s="4">
        <v>2868</v>
      </c>
      <c r="D8" s="4">
        <v>4405</v>
      </c>
    </row>
    <row r="9" spans="1:4" x14ac:dyDescent="0.2">
      <c r="A9" s="3" t="s">
        <v>76</v>
      </c>
      <c r="B9" s="4">
        <v>-2142</v>
      </c>
      <c r="C9" s="4">
        <v>143</v>
      </c>
      <c r="D9" s="4">
        <v>-5551</v>
      </c>
    </row>
    <row r="10" spans="1:4" x14ac:dyDescent="0.2">
      <c r="A10" s="3" t="s">
        <v>77</v>
      </c>
      <c r="B10" s="4">
        <v>-596</v>
      </c>
      <c r="C10" s="4">
        <v>275</v>
      </c>
      <c r="D10" s="4">
        <v>-15</v>
      </c>
    </row>
    <row r="11" spans="1:4" x14ac:dyDescent="0.2">
      <c r="A11" s="3" t="s">
        <v>78</v>
      </c>
      <c r="B11" s="4">
        <v>6307</v>
      </c>
      <c r="C11" s="4">
        <v>2515</v>
      </c>
      <c r="D11" s="4">
        <v>4467</v>
      </c>
    </row>
    <row r="12" spans="1:4" x14ac:dyDescent="0.2">
      <c r="A12" s="3" t="s">
        <v>79</v>
      </c>
      <c r="B12" s="4">
        <v>1217</v>
      </c>
      <c r="C12" s="4">
        <v>1654</v>
      </c>
      <c r="D12" s="4">
        <v>2824</v>
      </c>
    </row>
    <row r="13" spans="1:4" x14ac:dyDescent="0.2">
      <c r="A13" s="3" t="s">
        <v>80</v>
      </c>
      <c r="B13" s="4">
        <v>-3550</v>
      </c>
      <c r="C13" s="4">
        <v>1170</v>
      </c>
      <c r="D13" s="4">
        <v>-2024</v>
      </c>
    </row>
    <row r="14" spans="1:4" x14ac:dyDescent="0.2">
      <c r="A14" s="2" t="s">
        <v>81</v>
      </c>
      <c r="B14" s="5">
        <v>18595</v>
      </c>
      <c r="C14" s="5">
        <v>37529</v>
      </c>
      <c r="D14" s="5">
        <v>50856</v>
      </c>
    </row>
    <row r="15" spans="1:4" x14ac:dyDescent="0.2">
      <c r="A15" s="3" t="s">
        <v>82</v>
      </c>
      <c r="B15" s="4">
        <v>-2005</v>
      </c>
      <c r="C15" s="4">
        <v>-4260</v>
      </c>
      <c r="D15" s="4">
        <v>-8295</v>
      </c>
    </row>
    <row r="16" spans="1:4" x14ac:dyDescent="0.2">
      <c r="A16" s="3" t="s">
        <v>83</v>
      </c>
      <c r="B16" s="4">
        <v>-638</v>
      </c>
      <c r="C16" s="4">
        <v>-244</v>
      </c>
      <c r="D16" s="4">
        <v>-350</v>
      </c>
    </row>
    <row r="17" spans="1:4" x14ac:dyDescent="0.2">
      <c r="A17" s="3" t="s">
        <v>84</v>
      </c>
      <c r="B17" s="4" t="s">
        <v>9</v>
      </c>
      <c r="C17" s="4" t="s">
        <v>9</v>
      </c>
      <c r="D17" s="4" t="s">
        <v>9</v>
      </c>
    </row>
    <row r="18" spans="1:4" x14ac:dyDescent="0.2">
      <c r="A18" s="3" t="s">
        <v>85</v>
      </c>
      <c r="B18" s="4">
        <v>-116</v>
      </c>
      <c r="C18" s="4">
        <v>-3192</v>
      </c>
      <c r="D18" s="4">
        <v>-1107</v>
      </c>
    </row>
    <row r="19" spans="1:4" x14ac:dyDescent="0.2">
      <c r="A19" s="3" t="s">
        <v>86</v>
      </c>
      <c r="B19" s="4">
        <v>-11075</v>
      </c>
      <c r="C19" s="4">
        <v>-32464</v>
      </c>
      <c r="D19" s="4">
        <v>-38427</v>
      </c>
    </row>
    <row r="20" spans="1:4" x14ac:dyDescent="0.2">
      <c r="A20" s="3" t="s">
        <v>87</v>
      </c>
      <c r="B20" s="4" t="s">
        <v>9</v>
      </c>
      <c r="C20" s="4" t="s">
        <v>9</v>
      </c>
      <c r="D20" s="4" t="s">
        <v>9</v>
      </c>
    </row>
    <row r="21" spans="1:4" x14ac:dyDescent="0.2">
      <c r="A21" s="3" t="s">
        <v>88</v>
      </c>
      <c r="B21" s="4">
        <v>-20</v>
      </c>
      <c r="C21" s="4">
        <v>-259</v>
      </c>
      <c r="D21" s="4">
        <v>-48</v>
      </c>
    </row>
    <row r="22" spans="1:4" x14ac:dyDescent="0.2">
      <c r="A22" s="2" t="s">
        <v>89</v>
      </c>
      <c r="B22" s="5">
        <v>-13854</v>
      </c>
      <c r="C22" s="5">
        <v>-40419</v>
      </c>
      <c r="D22" s="5">
        <v>-48227</v>
      </c>
    </row>
    <row r="23" spans="1:4" x14ac:dyDescent="0.2">
      <c r="A23" s="3" t="s">
        <v>90</v>
      </c>
      <c r="B23" s="4" t="s">
        <v>9</v>
      </c>
      <c r="C23" s="4" t="s">
        <v>9</v>
      </c>
      <c r="D23" s="4" t="s">
        <v>9</v>
      </c>
    </row>
    <row r="24" spans="1:4" x14ac:dyDescent="0.2">
      <c r="A24" s="3" t="s">
        <v>91</v>
      </c>
      <c r="B24" s="4" t="s">
        <v>9</v>
      </c>
      <c r="C24" s="4" t="s">
        <v>9</v>
      </c>
      <c r="D24" s="4" t="s">
        <v>9</v>
      </c>
    </row>
    <row r="25" spans="1:4" x14ac:dyDescent="0.2">
      <c r="A25" s="2" t="s">
        <v>92</v>
      </c>
      <c r="B25" s="5" t="s">
        <v>9</v>
      </c>
      <c r="C25" s="5" t="s">
        <v>9</v>
      </c>
      <c r="D25" s="5" t="s">
        <v>9</v>
      </c>
    </row>
    <row r="26" spans="1:4" x14ac:dyDescent="0.2">
      <c r="A26" s="3" t="s">
        <v>93</v>
      </c>
      <c r="B26" s="4" t="s">
        <v>9</v>
      </c>
      <c r="C26" s="4" t="s">
        <v>9</v>
      </c>
      <c r="D26" s="4" t="s">
        <v>9</v>
      </c>
    </row>
    <row r="27" spans="1:4" x14ac:dyDescent="0.2">
      <c r="A27" s="3" t="s">
        <v>94</v>
      </c>
      <c r="B27" s="4" t="s">
        <v>9</v>
      </c>
      <c r="C27" s="4" t="s">
        <v>9</v>
      </c>
      <c r="D27" s="4" t="s">
        <v>9</v>
      </c>
    </row>
    <row r="28" spans="1:4" x14ac:dyDescent="0.2">
      <c r="A28" s="2" t="s">
        <v>95</v>
      </c>
      <c r="B28" s="5" t="s">
        <v>9</v>
      </c>
      <c r="C28" s="5" t="s">
        <v>9</v>
      </c>
      <c r="D28" s="5" t="s">
        <v>9</v>
      </c>
    </row>
    <row r="29" spans="1:4" x14ac:dyDescent="0.2">
      <c r="A29" s="3" t="s">
        <v>96</v>
      </c>
      <c r="B29" s="4">
        <v>912</v>
      </c>
      <c r="C29" s="4">
        <v>831</v>
      </c>
      <c r="D29" s="4">
        <v>665</v>
      </c>
    </row>
    <row r="30" spans="1:4" x14ac:dyDescent="0.2">
      <c r="A30" s="3" t="s">
        <v>97</v>
      </c>
      <c r="B30" s="4" t="s">
        <v>9</v>
      </c>
      <c r="C30" s="4" t="s">
        <v>9</v>
      </c>
      <c r="D30" s="4" t="s">
        <v>9</v>
      </c>
    </row>
    <row r="31" spans="1:4" x14ac:dyDescent="0.2">
      <c r="A31" s="3" t="s">
        <v>98</v>
      </c>
      <c r="B31" s="4" t="s">
        <v>9</v>
      </c>
      <c r="C31" s="4" t="s">
        <v>9</v>
      </c>
      <c r="D31" s="4">
        <v>-2488</v>
      </c>
    </row>
    <row r="32" spans="1:4" x14ac:dyDescent="0.2">
      <c r="A32" s="3" t="s">
        <v>99</v>
      </c>
      <c r="B32" s="4">
        <v>345</v>
      </c>
      <c r="C32" s="4">
        <v>613</v>
      </c>
      <c r="D32" s="4">
        <v>125</v>
      </c>
    </row>
    <row r="33" spans="1:4" x14ac:dyDescent="0.2">
      <c r="A33" s="2" t="s">
        <v>100</v>
      </c>
      <c r="B33" s="5">
        <v>1257</v>
      </c>
      <c r="C33" s="5">
        <v>1444</v>
      </c>
      <c r="D33" s="5">
        <v>-1698</v>
      </c>
    </row>
    <row r="34" spans="1:4" x14ac:dyDescent="0.2">
      <c r="A34" s="2" t="s">
        <v>101</v>
      </c>
      <c r="B34" s="7">
        <v>5998</v>
      </c>
      <c r="C34" s="7">
        <v>-1446</v>
      </c>
      <c r="D34" s="7">
        <v>931</v>
      </c>
    </row>
    <row r="35" spans="1:4" x14ac:dyDescent="0.2">
      <c r="A35" s="3" t="s">
        <v>102</v>
      </c>
      <c r="B35" s="4" t="s">
        <v>103</v>
      </c>
      <c r="C35" s="4" t="s">
        <v>103</v>
      </c>
      <c r="D35" s="4" t="s">
        <v>103</v>
      </c>
    </row>
    <row r="36" spans="1:4" x14ac:dyDescent="0.2">
      <c r="A36" s="3" t="s">
        <v>104</v>
      </c>
      <c r="B36" s="4">
        <v>2697</v>
      </c>
      <c r="C36" s="4">
        <v>3338</v>
      </c>
      <c r="D36" s="4">
        <v>7682</v>
      </c>
    </row>
    <row r="37" spans="1:4" x14ac:dyDescent="0.2">
      <c r="A37" s="3" t="s">
        <v>105</v>
      </c>
      <c r="B37" s="4">
        <v>12524.625</v>
      </c>
      <c r="C37" s="4">
        <v>20918.75</v>
      </c>
      <c r="D37" s="4">
        <v>31224.625</v>
      </c>
    </row>
    <row r="38" spans="1:4" x14ac:dyDescent="0.2">
      <c r="A38" s="3" t="s">
        <v>106</v>
      </c>
      <c r="B38" s="4">
        <v>12524.625</v>
      </c>
      <c r="C38" s="4">
        <v>20918.75</v>
      </c>
      <c r="D38" s="4">
        <v>31224.625</v>
      </c>
    </row>
    <row r="39" spans="1:4" x14ac:dyDescent="0.2">
      <c r="A39" s="3" t="s">
        <v>107</v>
      </c>
      <c r="B39" s="4">
        <v>-1249</v>
      </c>
      <c r="C39" s="4">
        <v>-4270</v>
      </c>
      <c r="D39" s="4">
        <v>-1084</v>
      </c>
    </row>
    <row r="40" spans="1:4" x14ac:dyDescent="0.2">
      <c r="A40" s="3" t="s">
        <v>108</v>
      </c>
      <c r="B40" s="4" t="s">
        <v>103</v>
      </c>
      <c r="C40" s="4" t="s">
        <v>103</v>
      </c>
      <c r="D40" s="4" t="s">
        <v>103</v>
      </c>
    </row>
    <row r="41" spans="1:4" x14ac:dyDescent="0.2">
      <c r="A41" s="11"/>
      <c r="B41" s="11"/>
      <c r="C41" s="11"/>
      <c r="D41" s="11"/>
    </row>
    <row r="42" spans="1:4" x14ac:dyDescent="0.2">
      <c r="A42" s="1" t="s">
        <v>109</v>
      </c>
      <c r="B42" s="1"/>
      <c r="C42" s="1"/>
      <c r="D42" s="1"/>
    </row>
    <row r="43" spans="1:4" x14ac:dyDescent="0.2">
      <c r="A43" s="9"/>
      <c r="B43" s="9"/>
      <c r="C43" s="9"/>
      <c r="D43" s="9"/>
    </row>
    <row r="44" spans="1:4" x14ac:dyDescent="0.2">
      <c r="A44" s="9"/>
      <c r="B44" s="9"/>
      <c r="C44" s="9"/>
      <c r="D44" s="9"/>
    </row>
    <row r="45" spans="1:4" x14ac:dyDescent="0.2">
      <c r="A45" s="9"/>
      <c r="B45" s="9"/>
      <c r="C45" s="9"/>
      <c r="D45" s="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4"/>
  <sheetViews>
    <sheetView zoomScaleNormal="100" zoomScalePageLayoutView="125" workbookViewId="0">
      <selection activeCell="N19" sqref="N19"/>
    </sheetView>
  </sheetViews>
  <sheetFormatPr baseColWidth="10" defaultColWidth="8.83203125" defaultRowHeight="15" x14ac:dyDescent="0.2"/>
  <cols>
    <col min="1" max="1" width="24.6640625" bestFit="1" customWidth="1"/>
    <col min="2" max="7" width="7.83203125" bestFit="1" customWidth="1"/>
    <col min="8" max="8" width="7.83203125" customWidth="1"/>
    <col min="9" max="14" width="7.83203125" bestFit="1" customWidth="1"/>
  </cols>
  <sheetData>
    <row r="1" spans="1:14" x14ac:dyDescent="0.2">
      <c r="A1" s="26"/>
      <c r="B1" s="28"/>
      <c r="C1" s="28"/>
      <c r="D1" s="28"/>
      <c r="E1" s="28"/>
      <c r="F1" s="28"/>
      <c r="G1" s="28"/>
      <c r="H1" s="28"/>
      <c r="I1" s="28"/>
      <c r="J1" s="28"/>
      <c r="K1" s="28"/>
      <c r="L1" s="28"/>
      <c r="M1" s="28"/>
      <c r="N1" s="28"/>
    </row>
    <row r="2" spans="1:14" ht="14.5" customHeight="1" x14ac:dyDescent="0.2">
      <c r="A2" s="29" t="s">
        <v>110</v>
      </c>
      <c r="B2" s="30">
        <v>36799</v>
      </c>
      <c r="C2" s="30">
        <v>37163</v>
      </c>
      <c r="D2" s="30">
        <v>37527</v>
      </c>
      <c r="E2" s="30">
        <v>37891</v>
      </c>
      <c r="F2" s="30">
        <v>38255</v>
      </c>
      <c r="G2" s="30">
        <v>38619</v>
      </c>
      <c r="H2" s="30">
        <v>38990</v>
      </c>
      <c r="I2" s="30">
        <v>39354</v>
      </c>
      <c r="J2" s="30">
        <v>39718</v>
      </c>
      <c r="K2" s="30">
        <v>40082</v>
      </c>
      <c r="L2" s="30">
        <v>40446</v>
      </c>
      <c r="M2" s="30">
        <v>40810</v>
      </c>
      <c r="N2" s="30">
        <v>41181</v>
      </c>
    </row>
    <row r="3" spans="1:14" x14ac:dyDescent="0.2">
      <c r="A3" s="31"/>
      <c r="B3" s="32"/>
      <c r="C3" s="32"/>
      <c r="D3" s="32"/>
      <c r="E3" s="32"/>
      <c r="F3" s="32"/>
      <c r="G3" s="32"/>
      <c r="H3" s="32"/>
      <c r="I3" s="32"/>
      <c r="J3" s="32"/>
      <c r="K3" s="32"/>
      <c r="L3" s="32"/>
      <c r="M3" s="32"/>
      <c r="N3" s="32"/>
    </row>
    <row r="4" spans="1:14" x14ac:dyDescent="0.2">
      <c r="A4" s="31" t="s">
        <v>120</v>
      </c>
      <c r="B4" s="33">
        <v>7983</v>
      </c>
      <c r="C4" s="33">
        <v>5363</v>
      </c>
      <c r="D4" s="33">
        <v>5742</v>
      </c>
      <c r="E4" s="33">
        <v>6207</v>
      </c>
      <c r="F4" s="33">
        <v>8279</v>
      </c>
      <c r="G4" s="33">
        <v>13931</v>
      </c>
      <c r="H4" s="33">
        <v>19315</v>
      </c>
      <c r="I4" s="33">
        <v>24578</v>
      </c>
      <c r="J4" s="33">
        <v>37491</v>
      </c>
      <c r="K4" s="33">
        <v>42905</v>
      </c>
      <c r="L4" s="33">
        <v>65225</v>
      </c>
      <c r="M4" s="33">
        <v>108249</v>
      </c>
      <c r="N4" s="33">
        <v>156508</v>
      </c>
    </row>
    <row r="5" spans="1:14" x14ac:dyDescent="0.2">
      <c r="A5" s="31"/>
      <c r="B5" s="43"/>
      <c r="C5" s="43"/>
      <c r="D5" s="43"/>
      <c r="E5" s="43"/>
      <c r="F5" s="43"/>
      <c r="G5" s="43"/>
      <c r="H5" s="43"/>
      <c r="I5" s="43"/>
      <c r="J5" s="43"/>
      <c r="K5" s="43"/>
      <c r="L5" s="43"/>
      <c r="M5" s="43"/>
      <c r="N5" s="43"/>
    </row>
    <row r="6" spans="1:14" x14ac:dyDescent="0.2">
      <c r="A6" s="31" t="s">
        <v>45</v>
      </c>
      <c r="B6" s="44">
        <v>5817</v>
      </c>
      <c r="C6" s="44">
        <v>4128</v>
      </c>
      <c r="D6" s="44">
        <v>4139</v>
      </c>
      <c r="E6" s="44">
        <v>4499</v>
      </c>
      <c r="F6" s="44">
        <v>6022</v>
      </c>
      <c r="G6" s="44">
        <v>9889</v>
      </c>
      <c r="H6" s="44">
        <v>13717</v>
      </c>
      <c r="I6" s="44">
        <v>16426</v>
      </c>
      <c r="J6" s="44">
        <v>24294</v>
      </c>
      <c r="K6" s="44">
        <v>25683</v>
      </c>
      <c r="L6" s="44">
        <v>39541</v>
      </c>
      <c r="M6" s="44">
        <v>64431</v>
      </c>
      <c r="N6" s="44">
        <v>87846</v>
      </c>
    </row>
    <row r="7" spans="1:14" x14ac:dyDescent="0.2">
      <c r="A7" s="31"/>
      <c r="B7" s="45"/>
      <c r="C7" s="45"/>
      <c r="D7" s="45"/>
      <c r="E7" s="45"/>
      <c r="F7" s="45"/>
      <c r="G7" s="45"/>
      <c r="H7" s="45"/>
      <c r="I7" s="45"/>
      <c r="J7" s="45"/>
      <c r="K7" s="45"/>
      <c r="L7" s="45"/>
      <c r="M7" s="45"/>
      <c r="N7" s="45"/>
    </row>
    <row r="8" spans="1:14" x14ac:dyDescent="0.2">
      <c r="A8" s="31" t="s">
        <v>121</v>
      </c>
      <c r="B8" s="44">
        <v>1256</v>
      </c>
      <c r="C8" s="44">
        <v>1138</v>
      </c>
      <c r="D8" s="44">
        <v>1109</v>
      </c>
      <c r="E8" s="44">
        <v>1212</v>
      </c>
      <c r="F8" s="44">
        <v>1430</v>
      </c>
      <c r="G8" s="44">
        <v>1864</v>
      </c>
      <c r="H8" s="44">
        <v>2433</v>
      </c>
      <c r="I8" s="44">
        <v>2963</v>
      </c>
      <c r="J8" s="44">
        <v>3761</v>
      </c>
      <c r="K8" s="44">
        <v>4149</v>
      </c>
      <c r="L8" s="44">
        <v>5517</v>
      </c>
      <c r="M8" s="44">
        <v>7599</v>
      </c>
      <c r="N8" s="44">
        <v>10040</v>
      </c>
    </row>
    <row r="9" spans="1:14" x14ac:dyDescent="0.2">
      <c r="A9" s="31"/>
      <c r="B9" s="43"/>
      <c r="C9" s="43"/>
      <c r="D9" s="43"/>
      <c r="E9" s="43"/>
      <c r="F9" s="43"/>
      <c r="G9" s="43"/>
      <c r="H9" s="43"/>
      <c r="I9" s="43"/>
      <c r="J9" s="43"/>
      <c r="K9" s="43"/>
      <c r="L9" s="43"/>
      <c r="M9" s="43"/>
      <c r="N9" s="43"/>
    </row>
    <row r="10" spans="1:14" x14ac:dyDescent="0.2">
      <c r="A10" s="31" t="s">
        <v>46</v>
      </c>
      <c r="B10" s="33">
        <v>2166</v>
      </c>
      <c r="C10" s="33">
        <v>1235</v>
      </c>
      <c r="D10" s="33">
        <v>1603</v>
      </c>
      <c r="E10" s="33">
        <v>1708</v>
      </c>
      <c r="F10" s="33">
        <v>2257</v>
      </c>
      <c r="G10" s="33">
        <v>4042</v>
      </c>
      <c r="H10" s="33">
        <v>5598</v>
      </c>
      <c r="I10" s="33">
        <v>8152</v>
      </c>
      <c r="J10" s="33">
        <v>13197</v>
      </c>
      <c r="K10" s="33">
        <v>17222</v>
      </c>
      <c r="L10" s="33">
        <v>25684</v>
      </c>
      <c r="M10" s="33">
        <v>43818</v>
      </c>
      <c r="N10" s="33">
        <v>68662</v>
      </c>
    </row>
    <row r="11" spans="1:14" x14ac:dyDescent="0.2">
      <c r="A11" s="31"/>
      <c r="B11" s="43"/>
      <c r="C11" s="43"/>
      <c r="D11" s="43"/>
      <c r="E11" s="43"/>
      <c r="F11" s="43"/>
      <c r="G11" s="43"/>
      <c r="H11" s="43"/>
      <c r="I11" s="43"/>
      <c r="J11" s="43"/>
      <c r="K11" s="43"/>
      <c r="L11" s="43"/>
      <c r="M11" s="43"/>
      <c r="N11" s="43"/>
    </row>
    <row r="12" spans="1:14" x14ac:dyDescent="0.2">
      <c r="A12" s="31" t="s">
        <v>122</v>
      </c>
      <c r="B12" s="47">
        <v>530</v>
      </c>
      <c r="C12" s="47">
        <v>-333</v>
      </c>
      <c r="D12" s="47">
        <v>48</v>
      </c>
      <c r="E12" s="47">
        <v>25</v>
      </c>
      <c r="F12" s="47">
        <v>336</v>
      </c>
      <c r="G12" s="33">
        <v>1643</v>
      </c>
      <c r="H12" s="33">
        <v>2453</v>
      </c>
      <c r="I12" s="33">
        <v>4407</v>
      </c>
      <c r="J12" s="33">
        <v>8327</v>
      </c>
      <c r="K12" s="33">
        <v>11740</v>
      </c>
      <c r="L12" s="33">
        <v>18385</v>
      </c>
      <c r="M12" s="33">
        <v>33790</v>
      </c>
      <c r="N12" s="33">
        <v>55241</v>
      </c>
    </row>
    <row r="13" spans="1:14" x14ac:dyDescent="0.2">
      <c r="A13" s="35"/>
      <c r="B13" s="46"/>
      <c r="C13" s="46"/>
      <c r="D13" s="46"/>
      <c r="E13" s="46"/>
      <c r="F13" s="46"/>
      <c r="G13" s="46"/>
      <c r="H13" s="46"/>
      <c r="I13" s="46"/>
      <c r="J13" s="46"/>
      <c r="K13" s="46"/>
      <c r="L13" s="46"/>
      <c r="M13" s="46"/>
      <c r="N13" s="46"/>
    </row>
    <row r="14" spans="1:14" x14ac:dyDescent="0.2">
      <c r="A14" s="31" t="s">
        <v>58</v>
      </c>
      <c r="B14" s="47">
        <v>786</v>
      </c>
      <c r="C14" s="47">
        <v>-25</v>
      </c>
      <c r="D14" s="47">
        <v>65</v>
      </c>
      <c r="E14" s="47">
        <v>69</v>
      </c>
      <c r="F14" s="47">
        <v>266</v>
      </c>
      <c r="G14" s="33">
        <v>1328</v>
      </c>
      <c r="H14" s="33">
        <v>1989</v>
      </c>
      <c r="I14" s="33">
        <v>3495</v>
      </c>
      <c r="J14" s="33">
        <v>6119</v>
      </c>
      <c r="K14" s="33">
        <v>8235</v>
      </c>
      <c r="L14" s="33">
        <v>14013</v>
      </c>
      <c r="M14" s="33">
        <v>25922</v>
      </c>
      <c r="N14" s="33">
        <v>41733</v>
      </c>
    </row>
    <row r="15" spans="1:14" x14ac:dyDescent="0.2">
      <c r="A15" s="31"/>
      <c r="B15" s="47"/>
      <c r="C15" s="47"/>
      <c r="D15" s="47"/>
      <c r="E15" s="47"/>
      <c r="F15" s="47"/>
      <c r="G15" s="47"/>
      <c r="H15" s="47"/>
      <c r="I15" s="47"/>
      <c r="J15" s="47"/>
      <c r="K15" s="47"/>
      <c r="L15" s="47"/>
      <c r="M15" s="47"/>
      <c r="N15" s="47"/>
    </row>
    <row r="16" spans="1:14" x14ac:dyDescent="0.2">
      <c r="A16" s="24"/>
      <c r="B16" s="46"/>
      <c r="C16" s="46"/>
      <c r="D16" s="46"/>
      <c r="E16" s="46"/>
      <c r="F16" s="46"/>
      <c r="G16" s="46"/>
      <c r="H16" s="46"/>
      <c r="I16" s="46"/>
      <c r="J16" s="46"/>
      <c r="K16" s="46"/>
      <c r="L16" s="46"/>
      <c r="M16" s="46"/>
      <c r="N16" s="46"/>
    </row>
    <row r="17" spans="1:14" x14ac:dyDescent="0.2">
      <c r="A17" s="31" t="s">
        <v>70</v>
      </c>
      <c r="B17" s="47">
        <v>868</v>
      </c>
      <c r="C17" s="47">
        <v>185</v>
      </c>
      <c r="D17" s="47">
        <v>89</v>
      </c>
      <c r="E17" s="47">
        <v>289</v>
      </c>
      <c r="F17" s="47">
        <v>934</v>
      </c>
      <c r="G17" s="33">
        <v>2535</v>
      </c>
      <c r="H17" s="33">
        <v>2220</v>
      </c>
      <c r="I17" s="33">
        <v>5470</v>
      </c>
      <c r="J17" s="33">
        <v>9596</v>
      </c>
      <c r="K17" s="33">
        <v>10159</v>
      </c>
      <c r="L17" s="33">
        <v>18595</v>
      </c>
      <c r="M17" s="33">
        <v>37529</v>
      </c>
      <c r="N17" s="33">
        <v>50856</v>
      </c>
    </row>
    <row r="18" spans="1:14" x14ac:dyDescent="0.2">
      <c r="A18" s="31"/>
      <c r="B18" s="43"/>
      <c r="C18" s="43"/>
      <c r="D18" s="43"/>
      <c r="E18" s="43"/>
      <c r="F18" s="43"/>
      <c r="G18" s="43"/>
      <c r="H18" s="43"/>
      <c r="I18" s="43"/>
      <c r="J18" s="43"/>
      <c r="K18" s="43"/>
      <c r="L18" s="43"/>
      <c r="M18" s="43"/>
      <c r="N18" s="43"/>
    </row>
    <row r="19" spans="1:14" x14ac:dyDescent="0.2">
      <c r="A19" s="31" t="s">
        <v>123</v>
      </c>
      <c r="B19" s="33">
        <v>4027</v>
      </c>
      <c r="C19" s="33">
        <v>4336</v>
      </c>
      <c r="D19" s="33">
        <v>4337</v>
      </c>
      <c r="E19" s="33">
        <v>4566</v>
      </c>
      <c r="F19" s="33">
        <v>5464</v>
      </c>
      <c r="G19" s="33">
        <v>8261</v>
      </c>
      <c r="H19" s="33">
        <v>10110</v>
      </c>
      <c r="I19" s="33">
        <v>15386</v>
      </c>
      <c r="J19" s="33">
        <v>24490</v>
      </c>
      <c r="K19" s="33">
        <v>33992</v>
      </c>
      <c r="L19" s="33">
        <v>51011</v>
      </c>
      <c r="M19" s="33">
        <v>81570</v>
      </c>
      <c r="N19" s="33">
        <v>121251</v>
      </c>
    </row>
    <row r="20" spans="1:14" x14ac:dyDescent="0.2">
      <c r="A20" s="31"/>
      <c r="B20" s="46"/>
      <c r="C20" s="46"/>
      <c r="D20" s="46"/>
      <c r="E20" s="46"/>
      <c r="F20" s="46"/>
      <c r="G20" s="46"/>
      <c r="H20" s="46"/>
      <c r="I20" s="46"/>
      <c r="J20" s="46"/>
      <c r="K20" s="46"/>
      <c r="L20" s="46"/>
      <c r="M20" s="46"/>
      <c r="N20" s="46"/>
    </row>
    <row r="21" spans="1:14" x14ac:dyDescent="0.2">
      <c r="A21" s="31" t="s">
        <v>11</v>
      </c>
      <c r="B21" s="47">
        <v>953</v>
      </c>
      <c r="C21" s="47">
        <v>466</v>
      </c>
      <c r="D21" s="47">
        <v>565</v>
      </c>
      <c r="E21" s="47">
        <v>766</v>
      </c>
      <c r="F21" s="47">
        <v>774</v>
      </c>
      <c r="G21" s="47">
        <v>895</v>
      </c>
      <c r="H21" s="33">
        <v>1252</v>
      </c>
      <c r="I21" s="33">
        <v>1637</v>
      </c>
      <c r="J21" s="33">
        <v>2422</v>
      </c>
      <c r="K21" s="33">
        <v>3361</v>
      </c>
      <c r="L21" s="33">
        <v>5510</v>
      </c>
      <c r="M21" s="33">
        <v>5369</v>
      </c>
      <c r="N21" s="33">
        <v>10930</v>
      </c>
    </row>
    <row r="22" spans="1:14" x14ac:dyDescent="0.2">
      <c r="A22" s="31"/>
      <c r="B22" s="46"/>
      <c r="C22" s="46"/>
      <c r="D22" s="46"/>
      <c r="E22" s="46"/>
      <c r="F22" s="46"/>
      <c r="G22" s="46"/>
      <c r="H22" s="46"/>
      <c r="I22" s="46"/>
      <c r="J22" s="46"/>
      <c r="K22" s="46"/>
      <c r="L22" s="46"/>
      <c r="M22" s="46"/>
      <c r="N22" s="46"/>
    </row>
    <row r="23" spans="1:14" x14ac:dyDescent="0.2">
      <c r="A23" s="31" t="s">
        <v>14</v>
      </c>
      <c r="B23" s="47">
        <v>33</v>
      </c>
      <c r="C23" s="47">
        <v>11</v>
      </c>
      <c r="D23" s="47">
        <v>45</v>
      </c>
      <c r="E23" s="47">
        <v>56</v>
      </c>
      <c r="F23" s="47">
        <v>101</v>
      </c>
      <c r="G23" s="47">
        <v>165</v>
      </c>
      <c r="H23" s="47">
        <v>270</v>
      </c>
      <c r="I23" s="47">
        <v>346</v>
      </c>
      <c r="J23" s="47">
        <v>509</v>
      </c>
      <c r="K23" s="47">
        <v>455</v>
      </c>
      <c r="L23" s="33">
        <v>1051</v>
      </c>
      <c r="M23" s="47">
        <v>776</v>
      </c>
      <c r="N23" s="47">
        <v>791</v>
      </c>
    </row>
    <row r="24" spans="1:14" x14ac:dyDescent="0.2">
      <c r="A24" s="31"/>
      <c r="B24" s="46"/>
      <c r="C24" s="46"/>
      <c r="D24" s="46"/>
      <c r="E24" s="46"/>
      <c r="F24" s="46"/>
      <c r="G24" s="46"/>
      <c r="H24" s="46"/>
      <c r="I24" s="46"/>
      <c r="J24" s="46"/>
      <c r="K24" s="46"/>
      <c r="L24" s="46"/>
      <c r="M24" s="46"/>
      <c r="N24" s="46"/>
    </row>
    <row r="25" spans="1:14" x14ac:dyDescent="0.2">
      <c r="A25" s="31" t="s">
        <v>24</v>
      </c>
      <c r="B25" s="33">
        <v>6803</v>
      </c>
      <c r="C25" s="33">
        <v>6021</v>
      </c>
      <c r="D25" s="33">
        <v>6298</v>
      </c>
      <c r="E25" s="33">
        <v>6815</v>
      </c>
      <c r="F25" s="33">
        <v>8050</v>
      </c>
      <c r="G25" s="33">
        <v>11516</v>
      </c>
      <c r="H25" s="33">
        <v>17205</v>
      </c>
      <c r="I25" s="33">
        <v>25347</v>
      </c>
      <c r="J25" s="33">
        <v>36171</v>
      </c>
      <c r="K25" s="33">
        <v>47501</v>
      </c>
      <c r="L25" s="33">
        <v>75183</v>
      </c>
      <c r="M25" s="33">
        <v>116371</v>
      </c>
      <c r="N25" s="33">
        <v>176064</v>
      </c>
    </row>
    <row r="26" spans="1:14" x14ac:dyDescent="0.2">
      <c r="A26" s="31"/>
      <c r="B26" s="46"/>
      <c r="C26" s="46"/>
      <c r="D26" s="46"/>
      <c r="E26" s="46"/>
      <c r="F26" s="46"/>
      <c r="G26" s="46"/>
      <c r="H26" s="46"/>
      <c r="I26" s="46"/>
      <c r="J26" s="46"/>
      <c r="K26" s="46"/>
      <c r="L26" s="46"/>
      <c r="M26" s="46"/>
      <c r="N26" s="46"/>
    </row>
    <row r="27" spans="1:14" x14ac:dyDescent="0.2">
      <c r="A27" s="31" t="s">
        <v>26</v>
      </c>
      <c r="B27" s="33">
        <v>1157</v>
      </c>
      <c r="C27" s="47">
        <v>801</v>
      </c>
      <c r="D27" s="47">
        <v>911</v>
      </c>
      <c r="E27" s="33">
        <v>1154</v>
      </c>
      <c r="F27" s="33">
        <v>1451</v>
      </c>
      <c r="G27" s="33">
        <v>1779</v>
      </c>
      <c r="H27" s="33">
        <v>3390</v>
      </c>
      <c r="I27" s="33">
        <v>4970</v>
      </c>
      <c r="J27" s="33">
        <v>5520</v>
      </c>
      <c r="K27" s="33">
        <v>5601</v>
      </c>
      <c r="L27" s="33">
        <v>12015</v>
      </c>
      <c r="M27" s="33">
        <v>14632</v>
      </c>
      <c r="N27" s="33">
        <v>21175</v>
      </c>
    </row>
    <row r="28" spans="1:14" x14ac:dyDescent="0.2">
      <c r="A28" s="31"/>
      <c r="B28" s="46"/>
      <c r="C28" s="46"/>
      <c r="D28" s="46"/>
      <c r="E28" s="46"/>
      <c r="F28" s="46"/>
      <c r="G28" s="46"/>
      <c r="H28" s="46"/>
      <c r="I28" s="46"/>
      <c r="J28" s="46"/>
      <c r="K28" s="46"/>
      <c r="L28" s="46"/>
      <c r="M28" s="46"/>
      <c r="N28" s="46"/>
    </row>
    <row r="29" spans="1:14" x14ac:dyDescent="0.2">
      <c r="A29" s="31" t="s">
        <v>124</v>
      </c>
      <c r="B29" s="47">
        <v>300</v>
      </c>
      <c r="C29" s="47">
        <v>317</v>
      </c>
      <c r="D29" s="47">
        <v>316</v>
      </c>
      <c r="E29" s="47">
        <v>0</v>
      </c>
      <c r="F29" s="47">
        <v>0</v>
      </c>
      <c r="G29" s="47">
        <v>0</v>
      </c>
      <c r="H29" s="47">
        <v>0</v>
      </c>
      <c r="I29" s="47">
        <v>0</v>
      </c>
      <c r="J29" s="47">
        <v>0</v>
      </c>
      <c r="K29" s="47">
        <v>0</v>
      </c>
      <c r="L29" s="47">
        <v>0</v>
      </c>
      <c r="M29" s="47">
        <v>0</v>
      </c>
      <c r="N29" s="47">
        <v>0</v>
      </c>
    </row>
    <row r="30" spans="1:14" x14ac:dyDescent="0.2">
      <c r="A30" s="31"/>
      <c r="B30" s="46"/>
      <c r="C30" s="46"/>
      <c r="D30" s="46"/>
      <c r="E30" s="46"/>
      <c r="F30" s="46"/>
      <c r="G30" s="46"/>
      <c r="H30" s="46"/>
      <c r="I30" s="46"/>
      <c r="J30" s="46"/>
      <c r="K30" s="46"/>
      <c r="L30" s="46"/>
      <c r="M30" s="46"/>
      <c r="N30" s="46"/>
    </row>
    <row r="31" spans="1:14" x14ac:dyDescent="0.2">
      <c r="A31" s="31" t="s">
        <v>111</v>
      </c>
      <c r="B31" s="33">
        <v>4107</v>
      </c>
      <c r="C31" s="33">
        <v>3920</v>
      </c>
      <c r="D31" s="33">
        <v>4095</v>
      </c>
      <c r="E31" s="33">
        <v>4223</v>
      </c>
      <c r="F31" s="33">
        <v>5076</v>
      </c>
      <c r="G31" s="33">
        <v>7428</v>
      </c>
      <c r="H31" s="33">
        <v>9984</v>
      </c>
      <c r="I31" s="33">
        <v>14532</v>
      </c>
      <c r="J31" s="33">
        <v>22297</v>
      </c>
      <c r="K31" s="33">
        <v>31640</v>
      </c>
      <c r="L31" s="33">
        <v>47791</v>
      </c>
      <c r="M31" s="33">
        <v>76615</v>
      </c>
      <c r="N31" s="33">
        <v>118210</v>
      </c>
    </row>
    <row r="32" spans="1:14" x14ac:dyDescent="0.2">
      <c r="A32" s="31"/>
      <c r="B32" s="36"/>
      <c r="C32" s="36"/>
      <c r="D32" s="36"/>
      <c r="E32" s="36"/>
      <c r="F32" s="36"/>
      <c r="G32" s="36"/>
      <c r="H32" s="36"/>
      <c r="I32" s="36"/>
      <c r="J32" s="36"/>
      <c r="K32" s="36"/>
      <c r="L32" s="36"/>
      <c r="M32" s="36"/>
      <c r="N32" s="36"/>
    </row>
    <row r="33" spans="1:14" x14ac:dyDescent="0.2">
      <c r="A33" s="37"/>
      <c r="B33" s="38"/>
      <c r="C33" s="38"/>
      <c r="D33" s="38"/>
      <c r="E33" s="38"/>
      <c r="F33" s="38"/>
      <c r="G33" s="38"/>
      <c r="H33" s="38"/>
      <c r="I33" s="38"/>
      <c r="J33" s="38"/>
      <c r="K33" s="38"/>
      <c r="L33" s="38"/>
      <c r="M33" s="38"/>
      <c r="N33" s="38"/>
    </row>
    <row r="34" spans="1:14" x14ac:dyDescent="0.2">
      <c r="A34" s="40"/>
      <c r="B34" s="42"/>
      <c r="C34" s="42"/>
      <c r="D34" s="42"/>
      <c r="E34" s="42"/>
      <c r="F34" s="42"/>
      <c r="G34" s="42"/>
      <c r="H34" s="42"/>
      <c r="I34" s="42"/>
      <c r="J34" s="42"/>
      <c r="K34" s="42"/>
      <c r="L34" s="42"/>
      <c r="M34" s="42"/>
      <c r="N34" s="42"/>
    </row>
  </sheetData>
  <pageMargins left="0.25" right="0.25"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view="pageLayout" zoomScaleNormal="100" workbookViewId="0"/>
  </sheetViews>
  <sheetFormatPr baseColWidth="10" defaultColWidth="8.83203125" defaultRowHeight="15" x14ac:dyDescent="0.2"/>
  <cols>
    <col min="1" max="1" width="24.6640625" bestFit="1" customWidth="1"/>
    <col min="2" max="3" width="7.83203125" bestFit="1" customWidth="1"/>
    <col min="4" max="4" width="8.6640625" bestFit="1" customWidth="1"/>
    <col min="5" max="7" width="7.83203125" bestFit="1" customWidth="1"/>
    <col min="8" max="8" width="8.6640625" bestFit="1" customWidth="1"/>
  </cols>
  <sheetData>
    <row r="1" spans="1:8" x14ac:dyDescent="0.2">
      <c r="A1" s="26"/>
      <c r="B1" s="27"/>
      <c r="C1" s="27"/>
      <c r="D1" s="27"/>
      <c r="E1" s="27"/>
      <c r="F1" s="27"/>
      <c r="G1" s="27"/>
      <c r="H1" s="27"/>
    </row>
    <row r="2" spans="1:8" ht="14.5" customHeight="1" x14ac:dyDescent="0.2">
      <c r="A2" s="29" t="s">
        <v>125</v>
      </c>
      <c r="B2" s="30">
        <v>40719</v>
      </c>
      <c r="C2" s="30">
        <v>40810</v>
      </c>
      <c r="D2" s="30">
        <v>40908</v>
      </c>
      <c r="E2" s="30">
        <v>40999</v>
      </c>
      <c r="F2" s="30">
        <v>41090</v>
      </c>
      <c r="G2" s="30">
        <v>41181</v>
      </c>
      <c r="H2" s="30">
        <v>41272</v>
      </c>
    </row>
    <row r="3" spans="1:8" x14ac:dyDescent="0.2">
      <c r="A3" s="31"/>
      <c r="B3" s="32"/>
      <c r="C3" s="32"/>
      <c r="D3" s="32"/>
      <c r="E3" s="32"/>
      <c r="F3" s="32"/>
      <c r="G3" s="32"/>
      <c r="H3" s="32"/>
    </row>
    <row r="4" spans="1:8" x14ac:dyDescent="0.2">
      <c r="A4" s="31" t="s">
        <v>120</v>
      </c>
      <c r="B4" s="33">
        <v>28571</v>
      </c>
      <c r="C4" s="33">
        <v>28270</v>
      </c>
      <c r="D4" s="33">
        <v>46333</v>
      </c>
      <c r="E4" s="33">
        <v>39186</v>
      </c>
      <c r="F4" s="33">
        <v>35023</v>
      </c>
      <c r="G4" s="33">
        <v>35966</v>
      </c>
      <c r="H4" s="33">
        <v>54512</v>
      </c>
    </row>
    <row r="5" spans="1:8" x14ac:dyDescent="0.2">
      <c r="A5" s="31"/>
      <c r="B5" s="43"/>
      <c r="C5" s="43"/>
      <c r="D5" s="43"/>
      <c r="E5" s="43"/>
      <c r="F5" s="43"/>
      <c r="G5" s="43"/>
      <c r="H5" s="43"/>
    </row>
    <row r="6" spans="1:8" x14ac:dyDescent="0.2">
      <c r="A6" s="31" t="s">
        <v>45</v>
      </c>
      <c r="B6" s="44">
        <v>16649</v>
      </c>
      <c r="C6" s="44">
        <v>16890</v>
      </c>
      <c r="D6" s="44">
        <v>25630</v>
      </c>
      <c r="E6" s="44">
        <v>20622</v>
      </c>
      <c r="F6" s="44">
        <v>20029</v>
      </c>
      <c r="G6" s="44">
        <v>21565</v>
      </c>
      <c r="H6" s="44">
        <v>33452</v>
      </c>
    </row>
    <row r="7" spans="1:8" x14ac:dyDescent="0.2">
      <c r="A7" s="31"/>
      <c r="B7" s="43"/>
      <c r="C7" s="43"/>
      <c r="D7" s="43"/>
      <c r="E7" s="43"/>
      <c r="F7" s="43"/>
      <c r="G7" s="43"/>
      <c r="H7" s="43"/>
    </row>
    <row r="8" spans="1:8" x14ac:dyDescent="0.2">
      <c r="A8" s="31" t="s">
        <v>46</v>
      </c>
      <c r="B8" s="33">
        <v>11922</v>
      </c>
      <c r="C8" s="33">
        <v>11380</v>
      </c>
      <c r="D8" s="33">
        <v>20703</v>
      </c>
      <c r="E8" s="33">
        <v>18564</v>
      </c>
      <c r="F8" s="33">
        <v>14994</v>
      </c>
      <c r="G8" s="33">
        <v>14401</v>
      </c>
      <c r="H8" s="33">
        <v>21060</v>
      </c>
    </row>
    <row r="9" spans="1:8" x14ac:dyDescent="0.2">
      <c r="A9" s="31"/>
      <c r="B9" s="43"/>
      <c r="C9" s="43"/>
      <c r="D9" s="43"/>
      <c r="E9" s="43"/>
      <c r="F9" s="43"/>
      <c r="G9" s="43"/>
      <c r="H9" s="43"/>
    </row>
    <row r="10" spans="1:8" x14ac:dyDescent="0.2">
      <c r="A10" s="31" t="s">
        <v>121</v>
      </c>
      <c r="B10" s="44">
        <v>1915</v>
      </c>
      <c r="C10" s="44">
        <v>2025</v>
      </c>
      <c r="D10" s="44">
        <v>2605</v>
      </c>
      <c r="E10" s="44">
        <v>2339</v>
      </c>
      <c r="F10" s="44">
        <v>2545</v>
      </c>
      <c r="G10" s="44">
        <v>2551</v>
      </c>
      <c r="H10" s="44">
        <v>2840</v>
      </c>
    </row>
    <row r="11" spans="1:8" x14ac:dyDescent="0.2">
      <c r="A11" s="31"/>
      <c r="B11" s="45"/>
      <c r="C11" s="45"/>
      <c r="D11" s="45"/>
      <c r="E11" s="45"/>
      <c r="F11" s="45"/>
      <c r="G11" s="45"/>
      <c r="H11" s="45"/>
    </row>
    <row r="12" spans="1:8" x14ac:dyDescent="0.2">
      <c r="A12" s="31" t="s">
        <v>122</v>
      </c>
      <c r="B12" s="33">
        <v>9379</v>
      </c>
      <c r="C12" s="33">
        <v>8710</v>
      </c>
      <c r="D12" s="33">
        <v>17340</v>
      </c>
      <c r="E12" s="33">
        <v>15384</v>
      </c>
      <c r="F12" s="33">
        <v>11573</v>
      </c>
      <c r="G12" s="33">
        <v>10944</v>
      </c>
      <c r="H12" s="33">
        <v>17210</v>
      </c>
    </row>
    <row r="13" spans="1:8" x14ac:dyDescent="0.2">
      <c r="A13" s="31"/>
      <c r="B13" s="43"/>
      <c r="C13" s="43"/>
      <c r="D13" s="43"/>
      <c r="E13" s="43"/>
      <c r="F13" s="43"/>
      <c r="G13" s="43"/>
      <c r="H13" s="43"/>
    </row>
    <row r="14" spans="1:8" x14ac:dyDescent="0.2">
      <c r="A14" s="31" t="s">
        <v>58</v>
      </c>
      <c r="B14" s="33">
        <v>7308</v>
      </c>
      <c r="C14" s="33">
        <v>6623</v>
      </c>
      <c r="D14" s="33">
        <v>13064</v>
      </c>
      <c r="E14" s="33">
        <v>11622</v>
      </c>
      <c r="F14" s="33">
        <v>8824</v>
      </c>
      <c r="G14" s="33">
        <v>8223</v>
      </c>
      <c r="H14" s="33">
        <v>13078</v>
      </c>
    </row>
    <row r="15" spans="1:8" x14ac:dyDescent="0.2">
      <c r="A15" s="31"/>
      <c r="B15" s="43"/>
      <c r="C15" s="43"/>
      <c r="D15" s="43"/>
      <c r="E15" s="43"/>
      <c r="F15" s="43"/>
      <c r="G15" s="43"/>
      <c r="H15" s="43"/>
    </row>
    <row r="16" spans="1:8" x14ac:dyDescent="0.2">
      <c r="A16" s="31" t="s">
        <v>70</v>
      </c>
      <c r="B16" s="33">
        <v>11108</v>
      </c>
      <c r="C16" s="33">
        <v>10429</v>
      </c>
      <c r="D16" s="33">
        <v>17554</v>
      </c>
      <c r="E16" s="33">
        <v>13977</v>
      </c>
      <c r="F16" s="33">
        <v>10189</v>
      </c>
      <c r="G16" s="33">
        <v>9136</v>
      </c>
      <c r="H16" s="33">
        <v>23426</v>
      </c>
    </row>
    <row r="17" spans="1:8" x14ac:dyDescent="0.2">
      <c r="A17" s="31"/>
      <c r="B17" s="46"/>
      <c r="C17" s="46"/>
      <c r="D17" s="46"/>
      <c r="E17" s="46"/>
      <c r="F17" s="46"/>
      <c r="G17" s="46"/>
      <c r="H17" s="46"/>
    </row>
    <row r="18" spans="1:8" x14ac:dyDescent="0.2">
      <c r="A18" s="31" t="s">
        <v>123</v>
      </c>
      <c r="B18" s="33">
        <v>76156</v>
      </c>
      <c r="C18" s="33">
        <v>81570</v>
      </c>
      <c r="D18" s="33">
        <v>97601</v>
      </c>
      <c r="E18" s="33">
        <v>110176</v>
      </c>
      <c r="F18" s="33">
        <v>117221</v>
      </c>
      <c r="G18" s="33">
        <v>121251</v>
      </c>
      <c r="H18" s="33">
        <v>137112</v>
      </c>
    </row>
    <row r="19" spans="1:8" x14ac:dyDescent="0.2">
      <c r="A19" s="31"/>
      <c r="B19" s="46"/>
      <c r="C19" s="46"/>
      <c r="D19" s="46"/>
      <c r="E19" s="46"/>
      <c r="F19" s="46"/>
      <c r="G19" s="46"/>
      <c r="H19" s="46"/>
    </row>
    <row r="20" spans="1:8" x14ac:dyDescent="0.2">
      <c r="A20" s="31" t="s">
        <v>11</v>
      </c>
      <c r="B20" s="33">
        <v>6102</v>
      </c>
      <c r="C20" s="33">
        <v>5369</v>
      </c>
      <c r="D20" s="33">
        <v>8930</v>
      </c>
      <c r="E20" s="33">
        <v>7042</v>
      </c>
      <c r="F20" s="33">
        <v>7657</v>
      </c>
      <c r="G20" s="33">
        <v>10930</v>
      </c>
      <c r="H20" s="33">
        <v>11598</v>
      </c>
    </row>
    <row r="21" spans="1:8" x14ac:dyDescent="0.2">
      <c r="A21" s="31"/>
      <c r="B21" s="46"/>
      <c r="C21" s="46"/>
      <c r="D21" s="46"/>
      <c r="E21" s="46"/>
      <c r="F21" s="46"/>
      <c r="G21" s="46"/>
      <c r="H21" s="46"/>
    </row>
    <row r="22" spans="1:8" x14ac:dyDescent="0.2">
      <c r="A22" s="31" t="s">
        <v>14</v>
      </c>
      <c r="B22" s="47">
        <v>889</v>
      </c>
      <c r="C22" s="47">
        <v>776</v>
      </c>
      <c r="D22" s="33">
        <v>1236</v>
      </c>
      <c r="E22" s="33">
        <v>1102</v>
      </c>
      <c r="F22" s="33">
        <v>1122</v>
      </c>
      <c r="G22" s="47">
        <v>791</v>
      </c>
      <c r="H22" s="33">
        <v>1455</v>
      </c>
    </row>
    <row r="23" spans="1:8" x14ac:dyDescent="0.2">
      <c r="A23" s="31"/>
      <c r="B23" s="46"/>
      <c r="C23" s="46"/>
      <c r="D23" s="46"/>
      <c r="E23" s="46"/>
      <c r="F23" s="46"/>
      <c r="G23" s="46"/>
      <c r="H23" s="46"/>
    </row>
    <row r="24" spans="1:8" x14ac:dyDescent="0.2">
      <c r="A24" s="31" t="s">
        <v>24</v>
      </c>
      <c r="B24" s="33">
        <v>106758</v>
      </c>
      <c r="C24" s="33">
        <v>116371</v>
      </c>
      <c r="D24" s="33">
        <v>138681</v>
      </c>
      <c r="E24" s="33">
        <v>150934</v>
      </c>
      <c r="F24" s="33">
        <v>162896</v>
      </c>
      <c r="G24" s="33">
        <v>176064</v>
      </c>
      <c r="H24" s="33">
        <v>196088</v>
      </c>
    </row>
    <row r="25" spans="1:8" x14ac:dyDescent="0.2">
      <c r="A25" s="31"/>
      <c r="B25" s="46"/>
      <c r="C25" s="46"/>
      <c r="D25" s="46"/>
      <c r="E25" s="46"/>
      <c r="F25" s="46"/>
      <c r="G25" s="46"/>
      <c r="H25" s="46"/>
    </row>
    <row r="26" spans="1:8" x14ac:dyDescent="0.2">
      <c r="A26" s="31" t="s">
        <v>26</v>
      </c>
      <c r="B26" s="33">
        <v>15270</v>
      </c>
      <c r="C26" s="33">
        <v>14632</v>
      </c>
      <c r="D26" s="33">
        <v>18221</v>
      </c>
      <c r="E26" s="33">
        <v>17011</v>
      </c>
      <c r="F26" s="33">
        <v>16808</v>
      </c>
      <c r="G26" s="33">
        <v>21175</v>
      </c>
      <c r="H26" s="33">
        <v>26398</v>
      </c>
    </row>
    <row r="27" spans="1:8" x14ac:dyDescent="0.2">
      <c r="A27" s="31"/>
      <c r="B27" s="46"/>
      <c r="C27" s="46"/>
      <c r="D27" s="46"/>
      <c r="E27" s="46"/>
      <c r="F27" s="46"/>
      <c r="G27" s="46"/>
      <c r="H27" s="46"/>
    </row>
    <row r="28" spans="1:8" x14ac:dyDescent="0.2">
      <c r="A28" s="31" t="s">
        <v>124</v>
      </c>
      <c r="B28" s="47">
        <v>0</v>
      </c>
      <c r="C28" s="47">
        <v>0</v>
      </c>
      <c r="D28" s="47">
        <v>0</v>
      </c>
      <c r="E28" s="47">
        <v>0</v>
      </c>
      <c r="F28" s="47">
        <v>0</v>
      </c>
      <c r="G28" s="47">
        <v>0</v>
      </c>
      <c r="H28" s="47">
        <v>0</v>
      </c>
    </row>
    <row r="29" spans="1:8" x14ac:dyDescent="0.2">
      <c r="A29" s="31"/>
      <c r="B29" s="46"/>
      <c r="C29" s="46"/>
      <c r="D29" s="46"/>
      <c r="E29" s="46"/>
      <c r="F29" s="46"/>
      <c r="G29" s="46"/>
      <c r="H29" s="46"/>
    </row>
    <row r="30" spans="1:8" x14ac:dyDescent="0.2">
      <c r="A30" s="31" t="s">
        <v>111</v>
      </c>
      <c r="B30" s="33">
        <v>69343</v>
      </c>
      <c r="C30" s="33">
        <v>76615</v>
      </c>
      <c r="D30" s="33">
        <v>90054</v>
      </c>
      <c r="E30" s="33">
        <v>102498</v>
      </c>
      <c r="F30" s="33">
        <v>111746</v>
      </c>
      <c r="G30" s="33">
        <v>118210</v>
      </c>
      <c r="H30" s="33">
        <v>127346</v>
      </c>
    </row>
    <row r="31" spans="1:8" x14ac:dyDescent="0.2">
      <c r="A31" s="31"/>
      <c r="B31" s="34"/>
      <c r="C31" s="34"/>
      <c r="D31" s="34"/>
      <c r="E31" s="34"/>
      <c r="F31" s="34"/>
      <c r="G31" s="34"/>
      <c r="H31" s="34"/>
    </row>
    <row r="32" spans="1:8" x14ac:dyDescent="0.2">
      <c r="A32" s="37"/>
      <c r="B32" s="38"/>
      <c r="C32" s="38"/>
      <c r="D32" s="38"/>
      <c r="E32" s="38"/>
      <c r="F32" s="38"/>
      <c r="G32" s="38"/>
      <c r="H32" s="38"/>
    </row>
    <row r="33" spans="1:8" x14ac:dyDescent="0.2">
      <c r="A33" s="39"/>
      <c r="B33" s="41"/>
      <c r="C33" s="41"/>
      <c r="D33" s="41"/>
      <c r="E33" s="41"/>
      <c r="F33" s="41"/>
      <c r="G33" s="41"/>
      <c r="H33" s="41"/>
    </row>
    <row r="34" spans="1:8" x14ac:dyDescent="0.2">
      <c r="A34" s="25"/>
      <c r="B34" s="25"/>
      <c r="C34" s="25"/>
      <c r="D34" s="25"/>
      <c r="E34" s="25"/>
      <c r="F34" s="25"/>
      <c r="G34" s="25"/>
      <c r="H34" s="25"/>
    </row>
    <row r="35" spans="1:8" x14ac:dyDescent="0.2">
      <c r="A35" s="25"/>
      <c r="B35" s="25"/>
      <c r="C35" s="25"/>
      <c r="D35" s="25"/>
      <c r="E35" s="25"/>
      <c r="F35" s="25"/>
      <c r="G35" s="25"/>
      <c r="H35" s="25"/>
    </row>
    <row r="36" spans="1:8" x14ac:dyDescent="0.2">
      <c r="A36" s="25"/>
      <c r="B36" s="25"/>
      <c r="C36" s="25"/>
      <c r="D36" s="25"/>
      <c r="E36" s="25"/>
      <c r="F36" s="25"/>
      <c r="G36" s="25"/>
      <c r="H36" s="25"/>
    </row>
    <row r="37" spans="1:8" x14ac:dyDescent="0.2">
      <c r="A37" s="25"/>
      <c r="B37" s="25"/>
      <c r="C37" s="25"/>
      <c r="D37" s="25"/>
      <c r="E37" s="25"/>
      <c r="F37" s="25"/>
      <c r="G37" s="25"/>
      <c r="H37" s="25"/>
    </row>
    <row r="38" spans="1:8" x14ac:dyDescent="0.2">
      <c r="A38" s="25"/>
      <c r="B38" s="25"/>
      <c r="C38" s="25"/>
      <c r="D38" s="25"/>
      <c r="E38" s="25"/>
      <c r="F38" s="25"/>
      <c r="G38" s="25"/>
      <c r="H38" s="25"/>
    </row>
    <row r="39" spans="1:8" x14ac:dyDescent="0.2">
      <c r="A39" s="25"/>
      <c r="B39" s="25"/>
      <c r="C39" s="25"/>
      <c r="D39" s="25"/>
      <c r="E39" s="25"/>
      <c r="F39" s="25"/>
      <c r="G39" s="25"/>
      <c r="H39" s="25"/>
    </row>
    <row r="40" spans="1:8" x14ac:dyDescent="0.2">
      <c r="A40" s="25"/>
      <c r="B40" s="25"/>
      <c r="C40" s="25"/>
      <c r="D40" s="25"/>
      <c r="E40" s="25"/>
      <c r="F40" s="25"/>
      <c r="G40" s="25"/>
      <c r="H40" s="25"/>
    </row>
    <row r="41" spans="1:8" x14ac:dyDescent="0.2">
      <c r="A41" s="25"/>
      <c r="B41" s="25"/>
      <c r="C41" s="25"/>
      <c r="D41" s="25"/>
      <c r="E41" s="25"/>
      <c r="F41" s="25"/>
      <c r="G41" s="25"/>
      <c r="H41" s="25"/>
    </row>
    <row r="42" spans="1:8" x14ac:dyDescent="0.2">
      <c r="A42" s="25"/>
      <c r="B42" s="25"/>
      <c r="C42" s="25"/>
      <c r="D42" s="25"/>
      <c r="E42" s="25"/>
      <c r="F42" s="25"/>
      <c r="G42" s="25"/>
      <c r="H42" s="25"/>
    </row>
    <row r="43" spans="1:8" x14ac:dyDescent="0.2">
      <c r="A43" s="25"/>
      <c r="B43" s="25"/>
      <c r="C43" s="25"/>
      <c r="D43" s="25"/>
      <c r="E43" s="25"/>
      <c r="F43" s="25"/>
      <c r="G43" s="25"/>
      <c r="H43" s="25"/>
    </row>
    <row r="44" spans="1:8" x14ac:dyDescent="0.2">
      <c r="A44" s="25"/>
      <c r="B44" s="25"/>
      <c r="C44" s="25"/>
      <c r="D44" s="25"/>
      <c r="E44" s="25"/>
      <c r="F44" s="25"/>
      <c r="G44" s="25"/>
      <c r="H44" s="25"/>
    </row>
    <row r="45" spans="1:8" x14ac:dyDescent="0.2">
      <c r="A45" s="25"/>
      <c r="B45" s="25"/>
      <c r="C45" s="25"/>
      <c r="D45" s="25"/>
      <c r="E45" s="25"/>
      <c r="F45" s="25"/>
      <c r="G45" s="25"/>
      <c r="H45" s="25"/>
    </row>
    <row r="46" spans="1:8" x14ac:dyDescent="0.2">
      <c r="A46" s="25"/>
      <c r="B46" s="25"/>
      <c r="C46" s="25"/>
      <c r="D46" s="25"/>
      <c r="E46" s="25"/>
      <c r="F46" s="25"/>
      <c r="G46" s="25"/>
      <c r="H46" s="25"/>
    </row>
    <row r="47" spans="1:8" x14ac:dyDescent="0.2">
      <c r="A47" s="25"/>
      <c r="B47" s="25"/>
      <c r="C47" s="25"/>
      <c r="D47" s="25"/>
      <c r="E47" s="25"/>
      <c r="F47" s="25"/>
      <c r="G47" s="25"/>
      <c r="H47" s="25"/>
    </row>
    <row r="48" spans="1:8" x14ac:dyDescent="0.2">
      <c r="A48" s="25"/>
      <c r="B48" s="25"/>
      <c r="C48" s="25"/>
      <c r="D48" s="25"/>
      <c r="E48" s="25"/>
      <c r="F48" s="25"/>
      <c r="G48" s="25"/>
      <c r="H48" s="25"/>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properties xmlns:p="http://schemas.microsoft.com/office/2006/metadata/properties" xmlns:xsi="http://www.w3.org/2001/XMLSchema-instance" xmlns:pc="http://schemas.microsoft.com/office/infopath/2007/PartnerControls">
  <documentManagement>
    <ContentTypeId xmlns="http://schemas.microsoft.com/sharepoint/v3">0x00041BB9609029574BB48B0D67EE7C5EF0</ContentTypeId>
    <TemplateUrl xmlns="http://schemas.microsoft.com/sharepoint/v3" xsi:nil="true"/>
    <RISState xmlns="60B91B04-2990-4B57-B48B-0D67EE7C5EF0" xsi:nil="true"/>
    <RISOtherType xmlns="60B91B04-2990-4B57-B48B-0D67EE7C5EF0" xsi:nil="true"/>
    <RISGuid xmlns="60B91B04-2990-4B57-B48B-0D67EE7C5EF0">c67fc125-a0fc-4a42-b75c-7232ee8f6b2e</RISGuid>
    <RISCreatedBy xmlns="60B91B04-2990-4B57-B48B-0D67EE7C5EF0" xsi:nil="true"/>
    <RISSaveFlagAdmin xmlns="60B91B04-2990-4B57-B48B-0D67EE7C5EF0" xsi:nil="true"/>
    <RISPRelatedType xmlns="60B91B04-2990-4B57-B48B-0D67EE7C5EF0">File</RISPRelatedType>
    <_SourceUrl xmlns="http://schemas.microsoft.com/sharepoint/v3" xsi:nil="true"/>
    <RISProductID xmlns="60B91B04-2990-4B57-B48B-0D67EE7C5EF0">48142</RISProductID>
    <RISWCMFlag xmlns="60B91B04-2990-4B57-B48B-0D67EE7C5EF0">New</RISWCMFlag>
    <RISCreateDate xmlns="60B91B04-2990-4B57-B48B-0D67EE7C5EF0" xsi:nil="true"/>
    <RISEmbargoDate xmlns="60B91B04-2990-4B57-B48B-0D67EE7C5EF0" xsi:nil="true"/>
    <RISModifiedDate xmlns="60B91B04-2990-4B57-B48B-0D67EE7C5EF0" xsi:nil="true"/>
    <xd_ProgID xmlns="http://schemas.microsoft.com/sharepoint/v3" xsi:nil="true"/>
    <RISAccessLevel xmlns="60B91B04-2990-4B57-B48B-0D67EE7C5EF0" xsi:nil="true"/>
    <RISPrimaryCitation xmlns="60B91B04-2990-4B57-B48B-0D67EE7C5EF0" xsi:nil="true"/>
    <RISUserType xmlns="60B91B04-2990-4B57-B48B-0D67EE7C5EF0" xsi:nil="true"/>
    <RISVisibility xmlns="60B91B04-2990-4B57-B48B-0D67EE7C5EF0" xsi:nil="true"/>
    <RISManuscriptType xmlns="60B91B04-2990-4B57-B48B-0D67EE7C5EF0" xsi:nil="true"/>
    <RISModifiedBy xmlns="60B91B04-2990-4B57-B48B-0D67EE7C5EF0" xsi:nil="true"/>
    <RISIncludeinFRProfile xmlns="60B91B04-2990-4B57-B48B-0D67EE7C5EF0" xsi:nil="true"/>
    <RISSendToDash xmlns="60B91B04-2990-4B57-B48B-0D67EE7C5EF0" xsi:nil="true"/>
    <RISDisplayName xmlns="60B91B04-2990-4B57-B48B-0D67EE7C5EF0">TN Excel Supplement.xlsx</RISDisplayName>
    <RISSaveFlag xmlns="60B91B04-2990-4B57-B48B-0D67EE7C5EF0">Draft</RISSaveFlag>
    <Order xmlns="http://schemas.microsoft.com/sharepoint/v3" xsi:nil="true"/>
    <_SharedFileIndex xmlns="http://schemas.microsoft.com/sharepoint/v3" xsi:nil="true"/>
    <RISPersonID xmlns="60B91B04-2990-4B57-B48B-0D67EE7C5EF0">6585</RISPersonID>
    <MetaInfo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Publication Files" ma:contentTypeID="0x00041BB9609029574BB48B0D67EE7C5EF0" ma:contentTypeVersion="" ma:contentTypeDescription="" ma:contentTypeScope="" ma:versionID="e006b2bdfc7100d96a4b29f4bdfa4515">
  <xsd:schema xmlns:xsd="http://www.w3.org/2001/XMLSchema" xmlns:xs="http://www.w3.org/2001/XMLSchema" xmlns:p="http://schemas.microsoft.com/office/2006/metadata/properties" xmlns:ns1="http://schemas.microsoft.com/sharepoint/v3" xmlns:ns2="60B91B04-2990-4B57-B48B-0D67EE7C5EF0" targetNamespace="http://schemas.microsoft.com/office/2006/metadata/properties" ma:root="true" ma:fieldsID="dada58345766a1a0cc3b93590a79a703" ns1:_="" ns2:_="">
    <xsd:import namespace="http://schemas.microsoft.com/sharepoint/v3"/>
    <xsd:import namespace="60B91B04-2990-4B57-B48B-0D67EE7C5EF0"/>
    <xsd:element name="properties">
      <xsd:complexType>
        <xsd:sequence>
          <xsd:element name="documentManagement">
            <xsd:complexType>
              <xsd:all>
                <xsd:element ref="ns1:ContentTypeId" minOccurs="0"/>
                <xsd:element ref="ns1:_ModerationComments" minOccurs="0"/>
                <xsd:element ref="ns1:File_x0020_Type" minOccurs="0"/>
                <xsd:element ref="ns1:HTML_x0020_File_x0020_Type" minOccurs="0"/>
                <xsd:element ref="ns1:_SourceUrl" minOccurs="0"/>
                <xsd:element ref="ns1:_SharedFileIndex" minOccurs="0"/>
                <xsd:element ref="ns1:TemplateUrl" minOccurs="0"/>
                <xsd:element ref="ns1:xd_ProgID" minOccurs="0"/>
                <xsd:element ref="ns1:xd_Signature" minOccurs="0"/>
                <xsd:element ref="ns2:RISManuscriptType" minOccurs="0"/>
                <xsd:element ref="ns2:RISOtherType" minOccurs="0"/>
                <xsd:element ref="ns2:RISAccessLevel" minOccurs="0"/>
                <xsd:element ref="ns2:RISEmbargoDate" minOccurs="0"/>
                <xsd:element ref="ns2:RISSendToDash" minOccurs="0"/>
                <xsd:element ref="ns2:RISProductID" minOccurs="0"/>
                <xsd:element ref="ns2:RISPrimaryCitation" minOccurs="0"/>
                <xsd:element ref="ns2:RISDisplayName" minOccurs="0"/>
                <xsd:element ref="ns2:RISSaveFlag" minOccurs="0"/>
                <xsd:element ref="ns2:RISUserType" minOccurs="0"/>
                <xsd:element ref="ns2:RISSaveFlagAdmin" minOccurs="0"/>
                <xsd:element ref="ns2:RISState" minOccurs="0"/>
                <xsd:element ref="ns2:RISWCMFlag" minOccurs="0"/>
                <xsd:element ref="ns2:RISCreateDate" minOccurs="0"/>
                <xsd:element ref="ns2:RISModifiedDate" minOccurs="0"/>
                <xsd:element ref="ns2:RISCreatedBy" minOccurs="0"/>
                <xsd:element ref="ns2:RISModifiedBy" minOccurs="0"/>
                <xsd:element ref="ns2:RISVisibility" minOccurs="0"/>
                <xsd:element ref="ns2:RISIncludeinFRProfile" minOccurs="0"/>
                <xsd:element ref="ns2:RISGuid" minOccurs="0"/>
                <xsd:element ref="ns2:RISPersonID" minOccurs="0"/>
                <xsd:element ref="ns2:RISPRelatedType" minOccurs="0"/>
                <xsd:element ref="ns1:ID" minOccurs="0"/>
                <xsd:element ref="ns1:Author" minOccurs="0"/>
                <xsd:element ref="ns1:Editor" minOccurs="0"/>
                <xsd:element ref="ns1:_HasCopyDestinations" minOccurs="0"/>
                <xsd:element ref="ns1:_CopySource" minOccurs="0"/>
                <xsd:element ref="ns1:_ModerationStatus" minOccurs="0"/>
                <xsd:element ref="ns1:FileRef" minOccurs="0"/>
                <xsd:element ref="ns1:FileDirRef" minOccurs="0"/>
                <xsd:element ref="ns1:Last_x0020_Modified" minOccurs="0"/>
                <xsd:element ref="ns1:Created_x0020_Date" minOccurs="0"/>
                <xsd:element ref="ns1:File_x0020_Size" minOccurs="0"/>
                <xsd:element ref="ns1:FSObjType" minOccurs="0"/>
                <xsd:element ref="ns1:SortBehavior" minOccurs="0"/>
                <xsd:element ref="ns1:CheckedOutUserId" minOccurs="0"/>
                <xsd:element ref="ns1:IsCheckedoutToLocal" minOccurs="0"/>
                <xsd:element ref="ns1:CheckoutUser" minOccurs="0"/>
                <xsd:element ref="ns1:UniqueId" minOccurs="0"/>
                <xsd:element ref="ns1:SyncClientId" minOccurs="0"/>
                <xsd:element ref="ns1:ProgId" minOccurs="0"/>
                <xsd:element ref="ns1:ScopeId" minOccurs="0"/>
                <xsd:element ref="ns1:VirusStatus" minOccurs="0"/>
                <xsd:element ref="ns1:CheckedOutTitle" minOccurs="0"/>
                <xsd:element ref="ns1:_CheckinComment" minOccurs="0"/>
                <xsd:element ref="ns1:MetaInfo" minOccurs="0"/>
                <xsd:element ref="ns1:_Level" minOccurs="0"/>
                <xsd:element ref="ns1:_IsCurrentVersion" minOccurs="0"/>
                <xsd:element ref="ns1:ItemChildCount" minOccurs="0"/>
                <xsd:element ref="ns1:FolderChildCount" minOccurs="0"/>
                <xsd:element ref="ns1:owshiddenversion" minOccurs="0"/>
                <xsd:element ref="ns1:_UIVersion" minOccurs="0"/>
                <xsd:element ref="ns1:_UIVersionString" minOccurs="0"/>
                <xsd:element ref="ns1:InstanceID" minOccurs="0"/>
                <xsd:element ref="ns1:Order" minOccurs="0"/>
                <xsd:element ref="ns1:GUID" minOccurs="0"/>
                <xsd:element ref="ns1:WorkflowVersion" minOccurs="0"/>
                <xsd:element ref="ns1:WorkflowInstanceID" minOccurs="0"/>
                <xsd:element ref="ns1:ParentVersionString" minOccurs="0"/>
                <xsd:element ref="ns1:ParentLeafName" minOccurs="0"/>
                <xsd:element ref="ns1:DocConcurrency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ntentTypeId" ma:index="0" nillable="true" ma:displayName="Content Type ID" ma:hidden="true" ma:internalName="ContentTypeId" ma:readOnly="true">
      <xsd:simpleType>
        <xsd:restriction base="dms:Unknown"/>
      </xsd:simpleType>
    </xsd:element>
    <xsd:element name="_ModerationComments" ma:index="1" nillable="true" ma:displayName="Approver Comments" ma:hidden="true" ma:internalName="_ModerationComments" ma:readOnly="true">
      <xsd:simpleType>
        <xsd:restriction base="dms:Note"/>
      </xsd:simpleType>
    </xsd:element>
    <xsd:element name="File_x0020_Type" ma:index="5" nillable="true" ma:displayName="File Type" ma:hidden="true" ma:internalName="File_x0020_Type" ma:readOnly="true">
      <xsd:simpleType>
        <xsd:restriction base="dms:Text"/>
      </xsd:simpleType>
    </xsd:element>
    <xsd:element name="HTML_x0020_File_x0020_Type" ma:index="6" nillable="true" ma:displayName="HTML File Type" ma:hidden="true" ma:internalName="HTML_x0020_File_x0020_Type" ma:readOnly="true">
      <xsd:simpleType>
        <xsd:restriction base="dms:Text"/>
      </xsd:simpleType>
    </xsd:element>
    <xsd:element name="_SourceUrl" ma:index="7" nillable="true" ma:displayName="Source URL" ma:hidden="true" ma:internalName="_SourceUrl">
      <xsd:simpleType>
        <xsd:restriction base="dms:Text"/>
      </xsd:simpleType>
    </xsd:element>
    <xsd:element name="_SharedFileIndex" ma:index="8" nillable="true" ma:displayName="Shared File Index" ma:hidden="true" ma:internalName="_SharedFileIndex">
      <xsd:simpleType>
        <xsd:restriction base="dms:Text"/>
      </xsd:simpleType>
    </xsd:element>
    <xsd:element name="TemplateUrl" ma:index="10" nillable="true" ma:displayName="Template Link" ma:hidden="true" ma:internalName="TemplateUrl">
      <xsd:simpleType>
        <xsd:restriction base="dms:Text"/>
      </xsd:simpleType>
    </xsd:element>
    <xsd:element name="xd_ProgID" ma:index="11" nillable="true" ma:displayName="HTML File Link" ma:hidden="true" ma:internalName="xd_ProgID">
      <xsd:simpleType>
        <xsd:restriction base="dms:Text"/>
      </xsd:simpleType>
    </xsd:element>
    <xsd:element name="xd_Signature" ma:index="12" nillable="true" ma:displayName="Is Signed" ma:hidden="true" ma:internalName="xd_Signature" ma:readOnly="true">
      <xsd:simpleType>
        <xsd:restriction base="dms:Boolean"/>
      </xsd:simpleType>
    </xsd:element>
    <xsd:element name="ID" ma:index="35" nillable="true" ma:displayName="ID" ma:internalName="ID" ma:readOnly="true">
      <xsd:simpleType>
        <xsd:restriction base="dms:Unknown"/>
      </xsd:simpleType>
    </xsd:element>
    <xsd:element name="Author" ma:index="38" nillable="true" ma:displayName="Created By" ma:list="UserInfo" ma:internalName="Auth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 ma:index="40" nillable="true" ma:displayName="Modified By" ma:list="UserInfo" ma:internalName="Edit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HasCopyDestinations" ma:index="41" nillable="true" ma:displayName="Has Copy Destinations" ma:hidden="true" ma:internalName="_HasCopyDestinations" ma:readOnly="true">
      <xsd:simpleType>
        <xsd:restriction base="dms:Boolean"/>
      </xsd:simpleType>
    </xsd:element>
    <xsd:element name="_CopySource" ma:index="42" nillable="true" ma:displayName="Copy Source" ma:internalName="_CopySource" ma:readOnly="true">
      <xsd:simpleType>
        <xsd:restriction base="dms:Text"/>
      </xsd:simpleType>
    </xsd:element>
    <xsd:element name="_ModerationStatus" ma:index="43" nillable="true" ma:displayName="Approval Status" ma:default="0" ma:hidden="true" ma:internalName="_ModerationStatus" ma:readOnly="true">
      <xsd:simpleType>
        <xsd:restriction base="dms:Unknown"/>
      </xsd:simpleType>
    </xsd:element>
    <xsd:element name="FileRef" ma:index="44" nillable="true" ma:displayName="URL Path" ma:hidden="true" ma:list="Docs" ma:internalName="FileRef" ma:readOnly="true" ma:showField="FullUrl">
      <xsd:simpleType>
        <xsd:restriction base="dms:Lookup"/>
      </xsd:simpleType>
    </xsd:element>
    <xsd:element name="FileDirRef" ma:index="45" nillable="true" ma:displayName="Path" ma:hidden="true" ma:list="Docs" ma:internalName="FileDirRef" ma:readOnly="true" ma:showField="DirName">
      <xsd:simpleType>
        <xsd:restriction base="dms:Lookup"/>
      </xsd:simpleType>
    </xsd:element>
    <xsd:element name="Last_x0020_Modified" ma:index="46" nillable="true" ma:displayName="Modified" ma:format="TRUE" ma:hidden="true" ma:list="Docs" ma:internalName="Last_x0020_Modified" ma:readOnly="true" ma:showField="TimeLastModified">
      <xsd:simpleType>
        <xsd:restriction base="dms:Lookup"/>
      </xsd:simpleType>
    </xsd:element>
    <xsd:element name="Created_x0020_Date" ma:index="47" nillable="true" ma:displayName="Created" ma:format="TRUE" ma:hidden="true" ma:list="Docs" ma:internalName="Created_x0020_Date" ma:readOnly="true" ma:showField="TimeCreated">
      <xsd:simpleType>
        <xsd:restriction base="dms:Lookup"/>
      </xsd:simpleType>
    </xsd:element>
    <xsd:element name="File_x0020_Size" ma:index="48" nillable="true" ma:displayName="File Size" ma:format="TRUE" ma:hidden="true" ma:list="Docs" ma:internalName="File_x0020_Size" ma:readOnly="true" ma:showField="SizeInKB">
      <xsd:simpleType>
        <xsd:restriction base="dms:Lookup"/>
      </xsd:simpleType>
    </xsd:element>
    <xsd:element name="FSObjType" ma:index="49" nillable="true" ma:displayName="Item Type" ma:hidden="true" ma:list="Docs" ma:internalName="FSObjType" ma:readOnly="true" ma:showField="FSType">
      <xsd:simpleType>
        <xsd:restriction base="dms:Lookup"/>
      </xsd:simpleType>
    </xsd:element>
    <xsd:element name="SortBehavior" ma:index="50" nillable="true" ma:displayName="Sort Type" ma:hidden="true" ma:list="Docs" ma:internalName="SortBehavior" ma:readOnly="true" ma:showField="SortBehavior">
      <xsd:simpleType>
        <xsd:restriction base="dms:Lookup"/>
      </xsd:simpleType>
    </xsd:element>
    <xsd:element name="CheckedOutUserId" ma:index="52" nillable="true" ma:displayName="ID of the User who has the item Checked Out" ma:hidden="true" ma:list="Docs" ma:internalName="CheckedOutUserId" ma:readOnly="true" ma:showField="CheckoutUserId">
      <xsd:simpleType>
        <xsd:restriction base="dms:Lookup"/>
      </xsd:simpleType>
    </xsd:element>
    <xsd:element name="IsCheckedoutToLocal" ma:index="53" nillable="true" ma:displayName="Is Checked out to local" ma:hidden="true" ma:list="Docs" ma:internalName="IsCheckedoutToLocal" ma:readOnly="true" ma:showField="IsCheckoutToLocal">
      <xsd:simpleType>
        <xsd:restriction base="dms:Lookup"/>
      </xsd:simpleType>
    </xsd:element>
    <xsd:element name="CheckoutUser" ma:index="54" nillable="true" ma:displayName="Checked Out To" ma:list="UserInfo" ma:internalName="CheckoutUse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UniqueId" ma:index="55" nillable="true" ma:displayName="Unique Id" ma:hidden="true" ma:list="Docs" ma:internalName="UniqueId" ma:readOnly="true" ma:showField="UniqueId">
      <xsd:simpleType>
        <xsd:restriction base="dms:Lookup"/>
      </xsd:simpleType>
    </xsd:element>
    <xsd:element name="SyncClientId" ma:index="56" nillable="true" ma:displayName="Client Id" ma:hidden="true" ma:list="Docs" ma:internalName="SyncClientId" ma:readOnly="true" ma:showField="SyncClientId">
      <xsd:simpleType>
        <xsd:restriction base="dms:Lookup"/>
      </xsd:simpleType>
    </xsd:element>
    <xsd:element name="ProgId" ma:index="57" nillable="true" ma:displayName="ProgId" ma:hidden="true" ma:list="Docs" ma:internalName="ProgId" ma:readOnly="true" ma:showField="ProgId">
      <xsd:simpleType>
        <xsd:restriction base="dms:Lookup"/>
      </xsd:simpleType>
    </xsd:element>
    <xsd:element name="ScopeId" ma:index="58" nillable="true" ma:displayName="ScopeId" ma:hidden="true" ma:list="Docs" ma:internalName="ScopeId" ma:readOnly="true" ma:showField="ScopeId">
      <xsd:simpleType>
        <xsd:restriction base="dms:Lookup"/>
      </xsd:simpleType>
    </xsd:element>
    <xsd:element name="VirusStatus" ma:index="59" nillable="true" ma:displayName="Virus Status" ma:format="TRUE" ma:hidden="true" ma:list="Docs" ma:internalName="VirusStatus" ma:readOnly="true" ma:showField="Size">
      <xsd:simpleType>
        <xsd:restriction base="dms:Lookup"/>
      </xsd:simpleType>
    </xsd:element>
    <xsd:element name="CheckedOutTitle" ma:index="60" nillable="true" ma:displayName="Checked Out To" ma:format="TRUE" ma:hidden="true" ma:list="Docs" ma:internalName="CheckedOutTitle" ma:readOnly="true" ma:showField="CheckedOutTitle">
      <xsd:simpleType>
        <xsd:restriction base="dms:Lookup"/>
      </xsd:simpleType>
    </xsd:element>
    <xsd:element name="_CheckinComment" ma:index="61" nillable="true" ma:displayName="Check In Comment" ma:format="TRUE" ma:list="Docs" ma:internalName="_CheckinComment" ma:readOnly="true" ma:showField="CheckinComment">
      <xsd:simpleType>
        <xsd:restriction base="dms:Lookup"/>
      </xsd:simpleType>
    </xsd:element>
    <xsd:element name="MetaInfo" ma:index="74" nillable="true" ma:displayName="Property Bag" ma:hidden="true" ma:list="Docs" ma:internalName="MetaInfo" ma:showField="MetaInfo">
      <xsd:simpleType>
        <xsd:restriction base="dms:Lookup"/>
      </xsd:simpleType>
    </xsd:element>
    <xsd:element name="_Level" ma:index="75" nillable="true" ma:displayName="Level" ma:hidden="true" ma:internalName="_Level" ma:readOnly="true">
      <xsd:simpleType>
        <xsd:restriction base="dms:Unknown"/>
      </xsd:simpleType>
    </xsd:element>
    <xsd:element name="_IsCurrentVersion" ma:index="76" nillable="true" ma:displayName="Is Current Version" ma:hidden="true" ma:internalName="_IsCurrentVersion" ma:readOnly="true">
      <xsd:simpleType>
        <xsd:restriction base="dms:Boolean"/>
      </xsd:simpleType>
    </xsd:element>
    <xsd:element name="ItemChildCount" ma:index="77" nillable="true" ma:displayName="Item Child Count" ma:hidden="true" ma:list="Docs" ma:internalName="ItemChildCount" ma:readOnly="true" ma:showField="ItemChildCount">
      <xsd:simpleType>
        <xsd:restriction base="dms:Lookup"/>
      </xsd:simpleType>
    </xsd:element>
    <xsd:element name="FolderChildCount" ma:index="78" nillable="true" ma:displayName="Folder Child Count" ma:hidden="true" ma:list="Docs" ma:internalName="FolderChildCount" ma:readOnly="true" ma:showField="FolderChildCount">
      <xsd:simpleType>
        <xsd:restriction base="dms:Lookup"/>
      </xsd:simpleType>
    </xsd:element>
    <xsd:element name="owshiddenversion" ma:index="82" nillable="true" ma:displayName="owshiddenversion" ma:hidden="true" ma:internalName="owshiddenversion" ma:readOnly="true">
      <xsd:simpleType>
        <xsd:restriction base="dms:Unknown"/>
      </xsd:simpleType>
    </xsd:element>
    <xsd:element name="_UIVersion" ma:index="83" nillable="true" ma:displayName="UI Version" ma:hidden="true" ma:internalName="_UIVersion" ma:readOnly="true">
      <xsd:simpleType>
        <xsd:restriction base="dms:Unknown"/>
      </xsd:simpleType>
    </xsd:element>
    <xsd:element name="_UIVersionString" ma:index="84" nillable="true" ma:displayName="Version" ma:internalName="_UIVersionString" ma:readOnly="true">
      <xsd:simpleType>
        <xsd:restriction base="dms:Text"/>
      </xsd:simpleType>
    </xsd:element>
    <xsd:element name="InstanceID" ma:index="85" nillable="true" ma:displayName="Instance ID" ma:hidden="true" ma:internalName="InstanceID" ma:readOnly="true">
      <xsd:simpleType>
        <xsd:restriction base="dms:Unknown"/>
      </xsd:simpleType>
    </xsd:element>
    <xsd:element name="Order" ma:index="86" nillable="true" ma:displayName="Order" ma:hidden="true" ma:internalName="Order">
      <xsd:simpleType>
        <xsd:restriction base="dms:Number"/>
      </xsd:simpleType>
    </xsd:element>
    <xsd:element name="GUID" ma:index="87" nillable="true" ma:displayName="GUID" ma:hidden="true" ma:internalName="GUID" ma:readOnly="true">
      <xsd:simpleType>
        <xsd:restriction base="dms:Unknown"/>
      </xsd:simpleType>
    </xsd:element>
    <xsd:element name="WorkflowVersion" ma:index="88" nillable="true" ma:displayName="Workflow Version" ma:hidden="true" ma:internalName="WorkflowVersion" ma:readOnly="true">
      <xsd:simpleType>
        <xsd:restriction base="dms:Unknown"/>
      </xsd:simpleType>
    </xsd:element>
    <xsd:element name="WorkflowInstanceID" ma:index="89" nillable="true" ma:displayName="Workflow Instance ID" ma:hidden="true" ma:internalName="WorkflowInstanceID" ma:readOnly="true">
      <xsd:simpleType>
        <xsd:restriction base="dms:Unknown"/>
      </xsd:simpleType>
    </xsd:element>
    <xsd:element name="ParentVersionString" ma:index="90" nillable="true" ma:displayName="Source Version (Converted Document)" ma:hidden="true" ma:list="Docs" ma:internalName="ParentVersionString" ma:readOnly="true" ma:showField="ParentVersionString">
      <xsd:simpleType>
        <xsd:restriction base="dms:Lookup"/>
      </xsd:simpleType>
    </xsd:element>
    <xsd:element name="ParentLeafName" ma:index="91" nillable="true" ma:displayName="Source Name (Converted Document)" ma:hidden="true" ma:list="Docs" ma:internalName="ParentLeafName" ma:readOnly="true" ma:showField="ParentLeafName">
      <xsd:simpleType>
        <xsd:restriction base="dms:Lookup"/>
      </xsd:simpleType>
    </xsd:element>
    <xsd:element name="DocConcurrencyNumber" ma:index="92" nillable="true" ma:displayName="Document Concurrency Number" ma:hidden="true" ma:list="Docs" ma:internalName="DocConcurrencyNumber" ma:readOnly="true" ma:showField="DocConcurrencyNumber">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60B91B04-2990-4B57-B48B-0D67EE7C5EF0" elementFormDefault="qualified">
    <xsd:import namespace="http://schemas.microsoft.com/office/2006/documentManagement/types"/>
    <xsd:import namespace="http://schemas.microsoft.com/office/infopath/2007/PartnerControls"/>
    <xsd:element name="RISManuscriptType" ma:index="13" nillable="true" ma:displayName="Manuscript Type" ma:format="Dropdown" ma:internalName="RISManuscriptType">
      <xsd:simpleType>
        <xsd:restriction base="dms:Choice">
          <xsd:enumeration value="Author's original"/>
          <xsd:enumeration value="Author's final version"/>
          <xsd:enumeration value="Proof"/>
          <xsd:enumeration value="Published version"/>
          <xsd:enumeration value="Other"/>
        </xsd:restriction>
      </xsd:simpleType>
    </xsd:element>
    <xsd:element name="RISOtherType" ma:index="14" nillable="true" ma:displayName="Type" ma:internalName="RISOtherType">
      <xsd:simpleType>
        <xsd:restriction base="dms:Text">
          <xsd:maxLength value="120"/>
        </xsd:restriction>
      </xsd:simpleType>
    </xsd:element>
    <xsd:element name="RISAccessLevel" ma:index="15" nillable="true" ma:displayName="Access To" ma:format="Dropdown" ma:internalName="RISAccessLevel">
      <xsd:simpleType>
        <xsd:restriction base="dms:Choice">
          <xsd:enumeration value="Everyone"/>
          <xsd:enumeration value="HBS Only"/>
          <xsd:enumeration value="Private"/>
        </xsd:restriction>
      </xsd:simpleType>
    </xsd:element>
    <xsd:element name="RISEmbargoDate" ma:index="16" nillable="true" ma:displayName="Availability/Embargo Date" ma:format="DateOnly" ma:internalName="RISEmbargoDate">
      <xsd:simpleType>
        <xsd:restriction base="dms:DateTime"/>
      </xsd:simpleType>
    </xsd:element>
    <xsd:element name="RISSendToDash" ma:index="17" nillable="true" ma:displayName="DASH" ma:format="Dropdown" ma:internalName="RISSendToDash">
      <xsd:simpleType>
        <xsd:restriction base="dms:Choice">
          <xsd:enumeration value="Citation and File"/>
          <xsd:enumeration value="Citation Only"/>
          <xsd:enumeration value="Dark"/>
          <xsd:enumeration value="Do not send to DASH"/>
        </xsd:restriction>
      </xsd:simpleType>
    </xsd:element>
    <xsd:element name="RISProductID" ma:index="18" nillable="true" ma:displayName="Product ID" ma:internalName="RISProductID">
      <xsd:simpleType>
        <xsd:restriction base="dms:Number"/>
      </xsd:simpleType>
    </xsd:element>
    <xsd:element name="RISPrimaryCitation" ma:index="19" nillable="true" ma:displayName="Primary Citation" ma:format="Dropdown" ma:internalName="RISPrimaryCitation">
      <xsd:simpleType>
        <xsd:restriction base="dms:Choice">
          <xsd:enumeration value="F"/>
          <xsd:enumeration value="T"/>
        </xsd:restriction>
      </xsd:simpleType>
    </xsd:element>
    <xsd:element name="RISDisplayName" ma:index="20" nillable="true" ma:displayName="Display Name" ma:internalName="RISDisplayName">
      <xsd:simpleType>
        <xsd:restriction base="dms:Text">
          <xsd:maxLength value="120"/>
        </xsd:restriction>
      </xsd:simpleType>
    </xsd:element>
    <xsd:element name="RISSaveFlag" ma:index="21" nillable="true" ma:displayName="Save Flag" ma:internalName="RISSaveFlag">
      <xsd:simpleType>
        <xsd:restriction base="dms:Text">
          <xsd:maxLength value="255"/>
        </xsd:restriction>
      </xsd:simpleType>
    </xsd:element>
    <xsd:element name="RISUserType" ma:index="22" nillable="true" ma:displayName="User Type" ma:internalName="RISUserType">
      <xsd:simpleType>
        <xsd:restriction base="dms:Text">
          <xsd:maxLength value="100"/>
        </xsd:restriction>
      </xsd:simpleType>
    </xsd:element>
    <xsd:element name="RISSaveFlagAdmin" ma:index="23" nillable="true" ma:displayName="Save Flag Admin" ma:internalName="RISSaveFlagAdmin">
      <xsd:simpleType>
        <xsd:restriction base="dms:Text">
          <xsd:maxLength value="255"/>
        </xsd:restriction>
      </xsd:simpleType>
    </xsd:element>
    <xsd:element name="RISState" ma:index="24" nillable="true" ma:displayName="Publication State" ma:internalName="RISState">
      <xsd:simpleType>
        <xsd:restriction base="dms:Text">
          <xsd:maxLength value="255"/>
        </xsd:restriction>
      </xsd:simpleType>
    </xsd:element>
    <xsd:element name="RISWCMFlag" ma:index="25" nillable="true" ma:displayName="WCM Flag" ma:format="Dropdown" ma:internalName="RISWCMFlag">
      <xsd:simpleType>
        <xsd:restriction base="dms:Choice">
          <xsd:enumeration value="New"/>
          <xsd:enumeration value="Updated"/>
          <xsd:enumeration value="NoChange"/>
          <xsd:enumeration value="Deleted"/>
        </xsd:restriction>
      </xsd:simpleType>
    </xsd:element>
    <xsd:element name="RISCreateDate" ma:index="26" nillable="true" ma:displayName="Created Date" ma:format="DateOnly" ma:internalName="RISCreateDate">
      <xsd:simpleType>
        <xsd:restriction base="dms:DateTime"/>
      </xsd:simpleType>
    </xsd:element>
    <xsd:element name="RISModifiedDate" ma:index="27" nillable="true" ma:displayName="Modified Date" ma:format="DateOnly" ma:internalName="RISModifiedDate">
      <xsd:simpleType>
        <xsd:restriction base="dms:DateTime"/>
      </xsd:simpleType>
    </xsd:element>
    <xsd:element name="RISCreatedBy" ma:index="28" nillable="true" ma:displayName="RIS Created By" ma:internalName="RISCreatedBy">
      <xsd:simpleType>
        <xsd:restriction base="dms:Text">
          <xsd:maxLength value="100"/>
        </xsd:restriction>
      </xsd:simpleType>
    </xsd:element>
    <xsd:element name="RISModifiedBy" ma:index="29" nillable="true" ma:displayName="RIS Modified By" ma:internalName="RISModifiedBy">
      <xsd:simpleType>
        <xsd:restriction base="dms:Text">
          <xsd:maxLength value="100"/>
        </xsd:restriction>
      </xsd:simpleType>
    </xsd:element>
    <xsd:element name="RISVisibility" ma:index="30" nillable="true" ma:displayName="Visibility" ma:format="Dropdown" ma:internalName="RISVisibility">
      <xsd:simpleType>
        <xsd:restriction base="dms:Choice">
          <xsd:enumeration value="Public"/>
          <xsd:enumeration value="Suppressed"/>
        </xsd:restriction>
      </xsd:simpleType>
    </xsd:element>
    <xsd:element name="RISIncludeinFRProfile" ma:index="31" nillable="true" ma:displayName="Show on My F And R Profile" ma:internalName="RISIncludeinFRProfile">
      <xsd:simpleType>
        <xsd:restriction base="dms:Boolean"/>
      </xsd:simpleType>
    </xsd:element>
    <xsd:element name="RISGuid" ma:index="32" nillable="true" ma:displayName="Unique ID" ma:internalName="RISGuid">
      <xsd:simpleType>
        <xsd:restriction base="dms:Text">
          <xsd:maxLength value="36"/>
        </xsd:restriction>
      </xsd:simpleType>
    </xsd:element>
    <xsd:element name="RISPersonID" ma:index="33" nillable="true" ma:displayName="Person ID" ma:internalName="RISPersonID">
      <xsd:simpleType>
        <xsd:restriction base="dms:Text">
          <xsd:maxLength value="10"/>
        </xsd:restriction>
      </xsd:simpleType>
    </xsd:element>
    <xsd:element name="RISPRelatedType" ma:index="34" nillable="true" ma:displayName="Related Type" ma:internalName="RISPRelatedType">
      <xsd:simpleType>
        <xsd:restriction base="dms:Text">
          <xsd:maxLength value="120"/>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6" ma:displayName="Content Type"/>
        <xsd:element ref="dc:title" minOccurs="0" maxOccurs="1" ma:index="9"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8E3E57-FE87-4C3F-83D2-F7DC549C00CF}">
  <ds:schemaRefs>
    <ds:schemaRef ds:uri="http://schemas.microsoft.com/office/2006/documentManagement/types"/>
    <ds:schemaRef ds:uri="http://purl.org/dc/terms/"/>
    <ds:schemaRef ds:uri="http://schemas.microsoft.com/office/2006/metadata/properties"/>
    <ds:schemaRef ds:uri="http://www.w3.org/XML/1998/namespace"/>
    <ds:schemaRef ds:uri="http://schemas.openxmlformats.org/package/2006/metadata/core-properties"/>
    <ds:schemaRef ds:uri="http://purl.org/dc/dcmitype/"/>
    <ds:schemaRef ds:uri="60B91B04-2990-4B57-B48B-0D67EE7C5EF0"/>
    <ds:schemaRef ds:uri="http://purl.org/dc/elements/1.1/"/>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41B92E72-190F-4E8C-AAE8-E5041D9B61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0B91B04-2990-4B57-B48B-0D67EE7C5E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The Situation</vt:lpstr>
      <vt:lpstr>Forecasting Cash Needs</vt:lpstr>
      <vt:lpstr>Dividend Analysis</vt:lpstr>
      <vt:lpstr>iPref Analysis</vt:lpstr>
      <vt:lpstr>Balance Sheet</vt:lpstr>
      <vt:lpstr>Income Statement</vt:lpstr>
      <vt:lpstr>Cash Flows</vt:lpstr>
      <vt:lpstr>Annual Summary</vt:lpstr>
      <vt:lpstr>Quarterly Summary</vt:lpstr>
      <vt:lpstr>Blank Forecast from 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TN Excel Supplement_1784e6ed-f8a8-43fa-8bf2-9e916802f1cc.xlsx</dc:title>
  <dc:creator>Beth Meyer</dc:creator>
  <cp:lastModifiedBy>Microsoft Office User</cp:lastModifiedBy>
  <cp:lastPrinted>2021-04-26T18:52:57Z</cp:lastPrinted>
  <dcterms:created xsi:type="dcterms:W3CDTF">2014-04-08T16:06:17Z</dcterms:created>
  <dcterms:modified xsi:type="dcterms:W3CDTF">2022-04-04T22:42:47Z</dcterms:modified>
</cp:coreProperties>
</file>