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13"/>
  <workbookPr defaultThemeVersion="124226"/>
  <mc:AlternateContent xmlns:mc="http://schemas.openxmlformats.org/markup-compatibility/2006">
    <mc:Choice Requires="x15">
      <x15ac:absPath xmlns:x15ac="http://schemas.microsoft.com/office/spreadsheetml/2010/11/ac" url="/Users/elliotsykora/Documents/UChicagoTA/Week1_Media_General/Solutions/"/>
    </mc:Choice>
  </mc:AlternateContent>
  <xr:revisionPtr revIDLastSave="0" documentId="8_{403BFBEE-31D9-D74D-9D05-02FB2FE5E3B4}" xr6:coauthVersionLast="47" xr6:coauthVersionMax="47" xr10:uidLastSave="{00000000-0000-0000-0000-000000000000}"/>
  <bookViews>
    <workbookView xWindow="300" yWindow="2620" windowWidth="25480" windowHeight="17200" tabRatio="691" xr2:uid="{00000000-000D-0000-FFFF-FFFF00000000}"/>
  </bookViews>
  <sheets>
    <sheet name="Solution" sheetId="19" r:id="rId1"/>
    <sheet name="Assumptions" sheetId="18" r:id="rId2"/>
    <sheet name="FM Athletic" sheetId="14" r:id="rId3"/>
    <sheet name="Comps" sheetId="17" r:id="rId4"/>
  </sheets>
  <definedNames>
    <definedName name="active_size">#REF!</definedName>
    <definedName name="comp_size">#REF!</definedName>
    <definedName name="dsi">#REF!</definedName>
    <definedName name="exhibit_1">#REF!</definedName>
    <definedName name="exhibit_2">#REF!</definedName>
    <definedName name="exhibit_3">#REF!</definedName>
    <definedName name="exhibit_4">#REF!</definedName>
    <definedName name="exhibit_5">#REF!</definedName>
    <definedName name="exhibit_6">#REF!</definedName>
    <definedName name="exhibit_7">#REF!</definedName>
    <definedName name="size">#REF!</definedName>
    <definedName name="w_casual_ebit">#REF!</definedName>
    <definedName name="w_casual_growth">#REF!</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86" i="19" l="1"/>
  <c r="E84" i="19"/>
  <c r="I63" i="19"/>
  <c r="I64" i="19"/>
  <c r="J64" i="19" s="1"/>
  <c r="I65" i="19"/>
  <c r="I66" i="19"/>
  <c r="I67" i="19"/>
  <c r="J67" i="19" s="1"/>
  <c r="I68" i="19"/>
  <c r="J68" i="19" s="1"/>
  <c r="I69" i="19"/>
  <c r="I70" i="19"/>
  <c r="J70" i="19" s="1"/>
  <c r="I62" i="19"/>
  <c r="H64" i="19"/>
  <c r="H67" i="19"/>
  <c r="G63" i="19"/>
  <c r="H63" i="19" s="1"/>
  <c r="G64" i="19"/>
  <c r="G65" i="19"/>
  <c r="H65" i="19" s="1"/>
  <c r="G66" i="19"/>
  <c r="H66" i="19" s="1"/>
  <c r="J66" i="19" s="1"/>
  <c r="G67" i="19"/>
  <c r="G68" i="19"/>
  <c r="H68" i="19" s="1"/>
  <c r="G69" i="19"/>
  <c r="H69" i="19" s="1"/>
  <c r="J69" i="19" s="1"/>
  <c r="G70" i="19"/>
  <c r="H70" i="19" s="1"/>
  <c r="G62" i="19"/>
  <c r="H62" i="19" s="1"/>
  <c r="F45" i="19"/>
  <c r="D45" i="19"/>
  <c r="K45" i="19" s="1"/>
  <c r="D42" i="19"/>
  <c r="E42" i="19" s="1"/>
  <c r="E34" i="19"/>
  <c r="E35" i="19" s="1"/>
  <c r="E45" i="19" s="1"/>
  <c r="F34" i="19"/>
  <c r="F35" i="19" s="1"/>
  <c r="G34" i="19"/>
  <c r="G35" i="19" s="1"/>
  <c r="G45" i="19" s="1"/>
  <c r="H34" i="19"/>
  <c r="H35" i="19" s="1"/>
  <c r="H45" i="19" s="1"/>
  <c r="I34" i="19"/>
  <c r="I35" i="19" s="1"/>
  <c r="I45" i="19" s="1"/>
  <c r="J34" i="19"/>
  <c r="J35" i="19" s="1"/>
  <c r="J45" i="19" s="1"/>
  <c r="D34" i="19"/>
  <c r="D35" i="19" s="1"/>
  <c r="J26" i="19"/>
  <c r="J44" i="19" s="1"/>
  <c r="I26" i="19"/>
  <c r="I29" i="19" s="1"/>
  <c r="H26" i="19"/>
  <c r="H29" i="19" s="1"/>
  <c r="G26" i="19"/>
  <c r="G29" i="19" s="1"/>
  <c r="F26" i="19"/>
  <c r="F44" i="19" s="1"/>
  <c r="E26" i="19"/>
  <c r="E44" i="19" s="1"/>
  <c r="D26" i="19"/>
  <c r="D44" i="19" s="1"/>
  <c r="C26" i="19"/>
  <c r="C29" i="19" s="1"/>
  <c r="J25" i="19"/>
  <c r="I25" i="19"/>
  <c r="H25" i="19"/>
  <c r="G25" i="19"/>
  <c r="F25" i="19"/>
  <c r="E25" i="19"/>
  <c r="D25" i="19"/>
  <c r="C25" i="19"/>
  <c r="D3" i="19"/>
  <c r="E3" i="19" s="1"/>
  <c r="J65" i="19" l="1"/>
  <c r="J62" i="19"/>
  <c r="J71" i="19" s="1"/>
  <c r="C75" i="19" s="1"/>
  <c r="J63" i="19"/>
  <c r="H43" i="19"/>
  <c r="I28" i="19"/>
  <c r="I31" i="19" s="1"/>
  <c r="I82" i="19" s="1"/>
  <c r="H44" i="19"/>
  <c r="H28" i="19"/>
  <c r="H31" i="19" s="1"/>
  <c r="H82" i="19" s="1"/>
  <c r="G43" i="19"/>
  <c r="G44" i="19"/>
  <c r="F43" i="19"/>
  <c r="E43" i="19"/>
  <c r="J29" i="19"/>
  <c r="D43" i="19"/>
  <c r="C43" i="19"/>
  <c r="C44" i="19"/>
  <c r="J43" i="19"/>
  <c r="I43" i="19"/>
  <c r="I44" i="19"/>
  <c r="J28" i="19"/>
  <c r="G28" i="19"/>
  <c r="G31" i="19" s="1"/>
  <c r="G82" i="19" s="1"/>
  <c r="E28" i="19"/>
  <c r="F28" i="19"/>
  <c r="D28" i="19"/>
  <c r="F29" i="19"/>
  <c r="E29" i="19"/>
  <c r="D29" i="19"/>
  <c r="H83" i="19" l="1"/>
  <c r="H89" i="19"/>
  <c r="H90" i="19" s="1"/>
  <c r="I89" i="19"/>
  <c r="I90" i="19" s="1"/>
  <c r="I83" i="19"/>
  <c r="G89" i="19"/>
  <c r="G90" i="19" s="1"/>
  <c r="G83" i="19"/>
  <c r="K43" i="19"/>
  <c r="D31" i="19"/>
  <c r="J31" i="19"/>
  <c r="K44" i="19"/>
  <c r="H36" i="19"/>
  <c r="H37" i="19" s="1"/>
  <c r="I36" i="19"/>
  <c r="I37" i="19" s="1"/>
  <c r="E31" i="19"/>
  <c r="F31" i="19"/>
  <c r="J36" i="19" l="1"/>
  <c r="J37" i="19" s="1"/>
  <c r="J82" i="19"/>
  <c r="C78" i="19"/>
  <c r="K82" i="19" s="1"/>
  <c r="K83" i="19" s="1"/>
  <c r="F36" i="19"/>
  <c r="F37" i="19" s="1"/>
  <c r="F82" i="19"/>
  <c r="E36" i="19"/>
  <c r="E37" i="19" s="1"/>
  <c r="G36" i="19"/>
  <c r="G37" i="19" s="1"/>
  <c r="F89" i="19" l="1"/>
  <c r="F90" i="19" s="1"/>
  <c r="F83" i="19"/>
  <c r="J83" i="19"/>
  <c r="J89" i="19"/>
  <c r="J90" i="19" l="1"/>
  <c r="E91" i="19" s="1"/>
  <c r="E93" i="19" s="1"/>
  <c r="K89" i="19"/>
  <c r="K90" i="19" s="1"/>
  <c r="J33" i="14" l="1"/>
  <c r="I33" i="14"/>
  <c r="H33" i="14"/>
  <c r="G33" i="14"/>
  <c r="F33" i="14"/>
  <c r="E33" i="14"/>
  <c r="D33" i="14"/>
  <c r="J32" i="14"/>
  <c r="I32" i="14"/>
  <c r="H32" i="14"/>
  <c r="G32" i="14"/>
  <c r="F32" i="14"/>
  <c r="E32" i="14"/>
  <c r="D32" i="14"/>
  <c r="C33" i="14"/>
  <c r="C32" i="14"/>
  <c r="D3" i="14"/>
  <c r="E3" i="14" s="1"/>
</calcChain>
</file>

<file path=xl/sharedStrings.xml><?xml version="1.0" encoding="utf-8"?>
<sst xmlns="http://schemas.openxmlformats.org/spreadsheetml/2006/main" count="160" uniqueCount="103">
  <si>
    <t>Accounts Receivable</t>
  </si>
  <si>
    <t>Inventory</t>
  </si>
  <si>
    <t>Prepaid Expenses</t>
  </si>
  <si>
    <t>Property, Plant &amp; Equipment</t>
  </si>
  <si>
    <t>Trademarks &amp; Other Intangibles</t>
  </si>
  <si>
    <t>Goodwill</t>
  </si>
  <si>
    <t>Other Assets</t>
  </si>
  <si>
    <t>Accounts Payable</t>
  </si>
  <si>
    <t>Accrued Expenses</t>
  </si>
  <si>
    <t>EBITDA Margin</t>
  </si>
  <si>
    <t>EBIT Margin</t>
  </si>
  <si>
    <t>Revenue</t>
  </si>
  <si>
    <t>Earnings</t>
  </si>
  <si>
    <t>Company</t>
  </si>
  <si>
    <t>Cash Used in Operations</t>
  </si>
  <si>
    <t>Liabilities</t>
  </si>
  <si>
    <t>Select Balance Sheet Accounts</t>
  </si>
  <si>
    <t>Select Income Statement Accounts</t>
  </si>
  <si>
    <t>Capital Expenditures</t>
  </si>
  <si>
    <t>Depreciation</t>
  </si>
  <si>
    <t>Other Operating Costs</t>
  </si>
  <si>
    <t>Cost of Goods Sold</t>
  </si>
  <si>
    <t>Current</t>
  </si>
  <si>
    <t>Non-Current</t>
  </si>
  <si>
    <t>Assets</t>
  </si>
  <si>
    <t>Equity Beta</t>
  </si>
  <si>
    <t>Revenue Growth 2000-06</t>
  </si>
  <si>
    <t>Comp D</t>
  </si>
  <si>
    <t>Comp C</t>
  </si>
  <si>
    <t>Comp B</t>
  </si>
  <si>
    <t>Comp A</t>
  </si>
  <si>
    <t>Comp E</t>
  </si>
  <si>
    <t>Comp F</t>
  </si>
  <si>
    <t>Comp G</t>
  </si>
  <si>
    <t>Comp H</t>
  </si>
  <si>
    <t>Comp I</t>
  </si>
  <si>
    <t>Debt Value</t>
  </si>
  <si>
    <t>Equity Book Value</t>
  </si>
  <si>
    <t>Historic</t>
  </si>
  <si>
    <t>Forecasted</t>
  </si>
  <si>
    <t>Key Metrics for Comps</t>
  </si>
  <si>
    <t>Risk-free Rate</t>
  </si>
  <si>
    <t>Market Premium</t>
  </si>
  <si>
    <t>Debt beta for all firms</t>
  </si>
  <si>
    <t>Perpetual growth rate</t>
  </si>
  <si>
    <t>Value</t>
  </si>
  <si>
    <t>Parameter</t>
  </si>
  <si>
    <t>None</t>
  </si>
  <si>
    <t>As of the end of 2006</t>
  </si>
  <si>
    <t>Equity Market Value</t>
  </si>
  <si>
    <t>Acquisition price</t>
  </si>
  <si>
    <t>Marginal Tax Rate</t>
  </si>
  <si>
    <t>Financial Statements for FM Athletic</t>
  </si>
  <si>
    <t>Compiled Measures for Use</t>
  </si>
  <si>
    <t>Net Working Capital (NWC)</t>
  </si>
  <si>
    <t>Earnings Before Interest and Tax (EBIT)</t>
  </si>
  <si>
    <t>FCF</t>
  </si>
  <si>
    <t>Change in NWC</t>
  </si>
  <si>
    <t>Taxes</t>
  </si>
  <si>
    <t>1b.</t>
  </si>
  <si>
    <t>Growth in revenue</t>
  </si>
  <si>
    <t>Growth rate in revenues</t>
  </si>
  <si>
    <t>Growth in FCF</t>
  </si>
  <si>
    <t>Growth rate in FCF</t>
  </si>
  <si>
    <t>1c.</t>
  </si>
  <si>
    <t>In 2007, revenue has the highest forcasted growth rate. The FCF growth is not as strong as revenue that year due to high working capital change.</t>
  </si>
  <si>
    <t>2a.</t>
  </si>
  <si>
    <t>Average</t>
  </si>
  <si>
    <t>Revenue Growth</t>
  </si>
  <si>
    <t>Comp B is not suitable. It has a much higher EBIT and EBITDA margin and revenue growth.</t>
  </si>
  <si>
    <t>wd</t>
  </si>
  <si>
    <t>1-wd</t>
  </si>
  <si>
    <t>beta_debt</t>
  </si>
  <si>
    <t>beta_asset</t>
  </si>
  <si>
    <t>AVG beta_asset.</t>
  </si>
  <si>
    <t>This is our estimate of FM Athletics asset beta</t>
  </si>
  <si>
    <t>2b.</t>
  </si>
  <si>
    <t>2c.</t>
  </si>
  <si>
    <t>discount rate</t>
  </si>
  <si>
    <t>r_f+r_m*beta_asset</t>
  </si>
  <si>
    <t>3a.</t>
  </si>
  <si>
    <t>Terminal Value</t>
  </si>
  <si>
    <t>3b.</t>
  </si>
  <si>
    <t>PV FCF</t>
  </si>
  <si>
    <t>Terminal Value (2011)</t>
  </si>
  <si>
    <t>PV</t>
  </si>
  <si>
    <t>Acquisition Price</t>
  </si>
  <si>
    <t>NPV</t>
  </si>
  <si>
    <t>3c.</t>
  </si>
  <si>
    <t>IRR</t>
  </si>
  <si>
    <t>FCF (using IRR discount rate for TV)</t>
  </si>
  <si>
    <t>FCF PV (using IRR discount rate)</t>
  </si>
  <si>
    <t>Goal seek NPV to 0 by changing the IRR</t>
  </si>
  <si>
    <t>4a.</t>
  </si>
  <si>
    <t>NWC is the sum of all current assets minus current liabilities. These are the short term assets that are needed to sustain business operations. Cash for operations, AR, Inventory, and Prepaid expenses are the current assets.  AP and Accrued Expenses are the current liabilites.</t>
  </si>
  <si>
    <t>4b.</t>
  </si>
  <si>
    <t>4c.</t>
  </si>
  <si>
    <t>EBIT is revenue minus expenses (excluding interest and taxes). This is sometimes called "operating profit".  The relevant expenses are COGS, Other Operating Costs, and Depreciation. Capex is not considered an expense in this measure because the expense is already being accounted for in depreciation. When you initially make capital expenditures you also get capital assets (not a loss at first). The actual "expense" is the asset degrading over time which is the accounting value we call depreciation.</t>
  </si>
  <si>
    <t xml:space="preserve">No, these steps do not cancel each other out. Taxes are calculated based on EBIT. Taxes = EBIT * Marginal Tax Rate. Tax law allows you to subtract depreciation so you are not paying taxes on that amount. We add back depreciation to FCF because it is just an accounting measure (we want acutal cash flows for FCF). We could not have skipped the depreciation step completely because we would have calculated our taxes incorrectly. </t>
  </si>
  <si>
    <t>4d.</t>
  </si>
  <si>
    <t xml:space="preserve">We do not need to change how we valued the asset. We have the forcasted cash flows to the asset and the discount rate of the asset. We calculated the PV of the asset. We simply need to subtract the face value of debt from the PV of the asset to get the PV of the equity. </t>
  </si>
  <si>
    <t>1a.</t>
  </si>
  <si>
    <t>Section 2: A DCF Valuation Exercise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</si>
</sst>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6" formatCode="&quot;$&quot;#,##0_);[Red]\(&quot;$&quot;#,##0\)"/>
    <numFmt numFmtId="44" formatCode="_(&quot;$&quot;* #,##0.00_);_(&quot;$&quot;* \(#,##0.00\);_(&quot;$&quot;* &quot;-&quot;??_);_(@_)"/>
    <numFmt numFmtId="164" formatCode="0.0%"/>
    <numFmt numFmtId="165" formatCode="0_);\(0\)"/>
    <numFmt numFmtId="166" formatCode="&quot;$&quot;#,##0"/>
    <numFmt numFmtId="167" formatCode="_(&quot;$&quot;* #,##0_);_(&quot;$&quot;* \(#,##0\);_(&quot;$&quot;* &quot;-&quot;??_);_(@_)"/>
    <numFmt numFmtId="168" formatCode="#,##0.000"/>
    <numFmt numFmtId="174" formatCode="&quot;$&quot;#,##0.00"/>
  </numFmts>
  <fonts count="15" x14ac:knownFonts="1">
    <font>
      <sz val="8"/>
      <color theme="1"/>
      <name val="Times New Roman"/>
      <family val="2"/>
    </font>
    <font>
      <sz val="8"/>
      <color theme="1"/>
      <name val="Times New Roman"/>
      <family val="2"/>
    </font>
    <font>
      <i/>
      <u/>
      <sz val="12"/>
      <color rgb="FF000000"/>
      <name val="Times New Roman"/>
      <family val="1"/>
    </font>
    <font>
      <i/>
      <sz val="12"/>
      <color rgb="FF000000"/>
      <name val="Times New Roman"/>
      <family val="1"/>
    </font>
    <font>
      <b/>
      <sz val="12"/>
      <color rgb="FF000000"/>
      <name val="Times New Roman"/>
      <family val="1"/>
    </font>
    <font>
      <sz val="12"/>
      <color theme="1"/>
      <name val="Times New Roman"/>
      <family val="1"/>
    </font>
    <font>
      <sz val="12"/>
      <color rgb="FF000000"/>
      <name val="Times New Roman"/>
      <family val="1"/>
    </font>
    <font>
      <sz val="12"/>
      <color theme="1"/>
      <name val="Times New Roman"/>
      <family val="2"/>
    </font>
    <font>
      <b/>
      <i/>
      <u/>
      <sz val="12"/>
      <color rgb="FF000000"/>
      <name val="Times New Roman"/>
      <family val="1"/>
    </font>
    <font>
      <i/>
      <u/>
      <sz val="12"/>
      <color theme="1"/>
      <name val="Times New Roman"/>
      <family val="1"/>
    </font>
    <font>
      <b/>
      <sz val="12"/>
      <color theme="1"/>
      <name val="Times New Roman"/>
      <family val="1"/>
    </font>
    <font>
      <b/>
      <u/>
      <sz val="12"/>
      <color theme="1"/>
      <name val="Times New Roman"/>
      <family val="1"/>
    </font>
    <font>
      <b/>
      <sz val="20"/>
      <color theme="1"/>
      <name val="Times New Roman"/>
      <family val="1"/>
    </font>
    <font>
      <b/>
      <sz val="18"/>
      <color theme="1"/>
      <name val="Times New Roman"/>
      <family val="1"/>
    </font>
    <font>
      <i/>
      <sz val="12"/>
      <color theme="1"/>
      <name val="Times New Roman"/>
      <family val="1"/>
    </font>
  </fonts>
  <fills count="5">
    <fill>
      <patternFill patternType="none"/>
    </fill>
    <fill>
      <patternFill patternType="gray125"/>
    </fill>
    <fill>
      <patternFill patternType="solid">
        <fgColor rgb="FFFFFFCC"/>
        <bgColor rgb="FF000000"/>
      </patternFill>
    </fill>
    <fill>
      <patternFill patternType="solid">
        <fgColor theme="0" tint="-0.34998626667073579"/>
        <bgColor indexed="64"/>
      </patternFill>
    </fill>
    <fill>
      <patternFill patternType="solid">
        <fgColor rgb="FFFFFF00"/>
        <bgColor indexed="64"/>
      </patternFill>
    </fill>
  </fills>
  <borders count="9">
    <border>
      <left/>
      <right/>
      <top/>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style="thin">
        <color auto="1"/>
      </left>
      <right/>
      <top style="thin">
        <color auto="1"/>
      </top>
      <bottom/>
      <diagonal/>
    </border>
    <border>
      <left/>
      <right style="thick">
        <color auto="1"/>
      </right>
      <top/>
      <bottom/>
      <diagonal/>
    </border>
    <border>
      <left/>
      <right/>
      <top style="double">
        <color indexed="64"/>
      </top>
      <bottom/>
      <diagonal/>
    </border>
  </borders>
  <cellStyleXfs count="3">
    <xf numFmtId="0" fontId="0" fillId="0" borderId="0"/>
    <xf numFmtId="9" fontId="1" fillId="0" borderId="0" applyFont="0" applyFill="0" applyBorder="0" applyAlignment="0" applyProtection="0"/>
    <xf numFmtId="44" fontId="1" fillId="0" borderId="0" applyFont="0" applyFill="0" applyBorder="0" applyAlignment="0" applyProtection="0"/>
  </cellStyleXfs>
  <cellXfs count="51">
    <xf numFmtId="0" fontId="0" fillId="0" borderId="0" xfId="0"/>
    <xf numFmtId="0" fontId="5" fillId="0" borderId="0" xfId="0" applyFont="1"/>
    <xf numFmtId="37" fontId="4" fillId="0" borderId="5" xfId="0" applyNumberFormat="1" applyFont="1" applyBorder="1"/>
    <xf numFmtId="37" fontId="2" fillId="0" borderId="5" xfId="0" applyNumberFormat="1" applyFont="1" applyBorder="1"/>
    <xf numFmtId="166" fontId="5" fillId="0" borderId="0" xfId="0" applyNumberFormat="1" applyFont="1"/>
    <xf numFmtId="1" fontId="4" fillId="2" borderId="2" xfId="0" applyNumberFormat="1" applyFont="1" applyFill="1" applyBorder="1"/>
    <xf numFmtId="1" fontId="4" fillId="2" borderId="3" xfId="0" applyNumberFormat="1" applyFont="1" applyFill="1" applyBorder="1"/>
    <xf numFmtId="1" fontId="4" fillId="2" borderId="4" xfId="0" applyNumberFormat="1" applyFont="1" applyFill="1" applyBorder="1"/>
    <xf numFmtId="0" fontId="7" fillId="0" borderId="0" xfId="0" applyFont="1"/>
    <xf numFmtId="166" fontId="7" fillId="0" borderId="0" xfId="0" applyNumberFormat="1" applyFont="1"/>
    <xf numFmtId="37" fontId="2" fillId="0" borderId="0" xfId="0" applyNumberFormat="1" applyFont="1" applyBorder="1"/>
    <xf numFmtId="37" fontId="3" fillId="0" borderId="0" xfId="0" applyNumberFormat="1" applyFont="1" applyBorder="1"/>
    <xf numFmtId="37" fontId="8" fillId="0" borderId="0" xfId="0" applyNumberFormat="1" applyFont="1" applyBorder="1"/>
    <xf numFmtId="37" fontId="4" fillId="0" borderId="0" xfId="0" applyNumberFormat="1" applyFont="1" applyBorder="1"/>
    <xf numFmtId="0" fontId="9" fillId="0" borderId="0" xfId="0" applyFont="1"/>
    <xf numFmtId="37" fontId="8" fillId="0" borderId="6" xfId="0" applyNumberFormat="1" applyFont="1" applyBorder="1"/>
    <xf numFmtId="37" fontId="6" fillId="0" borderId="0" xfId="0" applyNumberFormat="1" applyFont="1" applyBorder="1"/>
    <xf numFmtId="166" fontId="6" fillId="0" borderId="0" xfId="0" applyNumberFormat="1" applyFont="1" applyBorder="1"/>
    <xf numFmtId="167" fontId="7" fillId="0" borderId="0" xfId="0" applyNumberFormat="1" applyFont="1"/>
    <xf numFmtId="164" fontId="7" fillId="0" borderId="0" xfId="1" applyNumberFormat="1" applyFont="1"/>
    <xf numFmtId="2" fontId="7" fillId="0" borderId="0" xfId="0" applyNumberFormat="1" applyFont="1"/>
    <xf numFmtId="0" fontId="11" fillId="0" borderId="0" xfId="0" applyFont="1"/>
    <xf numFmtId="0" fontId="11" fillId="0" borderId="0" xfId="0" applyFont="1" applyAlignment="1">
      <alignment wrapText="1"/>
    </xf>
    <xf numFmtId="6" fontId="7" fillId="0" borderId="0" xfId="0" applyNumberFormat="1" applyFont="1"/>
    <xf numFmtId="0" fontId="12" fillId="0" borderId="0" xfId="0" applyFont="1"/>
    <xf numFmtId="37" fontId="5" fillId="0" borderId="0" xfId="0" applyNumberFormat="1" applyFont="1" applyBorder="1"/>
    <xf numFmtId="165" fontId="10" fillId="3" borderId="2" xfId="0" applyNumberFormat="1" applyFont="1" applyFill="1" applyBorder="1"/>
    <xf numFmtId="165" fontId="10" fillId="3" borderId="3" xfId="0" applyNumberFormat="1" applyFont="1" applyFill="1" applyBorder="1"/>
    <xf numFmtId="165" fontId="10" fillId="3" borderId="4" xfId="0" applyNumberFormat="1" applyFont="1" applyFill="1" applyBorder="1"/>
    <xf numFmtId="0" fontId="5" fillId="0" borderId="7" xfId="0" applyFont="1" applyBorder="1"/>
    <xf numFmtId="9" fontId="7" fillId="0" borderId="0" xfId="0" applyNumberFormat="1" applyFont="1"/>
    <xf numFmtId="166" fontId="6" fillId="0" borderId="7" xfId="0" applyNumberFormat="1" applyFont="1" applyBorder="1"/>
    <xf numFmtId="166" fontId="5" fillId="0" borderId="7" xfId="0" applyNumberFormat="1" applyFont="1" applyBorder="1"/>
    <xf numFmtId="166" fontId="7" fillId="0" borderId="7" xfId="0" applyNumberFormat="1" applyFont="1" applyBorder="1"/>
    <xf numFmtId="0" fontId="10" fillId="0" borderId="0" xfId="0" applyFont="1"/>
    <xf numFmtId="0" fontId="14" fillId="0" borderId="0" xfId="0" applyFont="1"/>
    <xf numFmtId="167" fontId="7" fillId="0" borderId="0" xfId="2" applyNumberFormat="1" applyFont="1"/>
    <xf numFmtId="0" fontId="13" fillId="0" borderId="1" xfId="0" applyFont="1" applyBorder="1" applyAlignment="1">
      <alignment horizontal="center"/>
    </xf>
    <xf numFmtId="166" fontId="10" fillId="0" borderId="0" xfId="0" applyNumberFormat="1" applyFont="1"/>
    <xf numFmtId="10" fontId="5" fillId="0" borderId="0" xfId="0" applyNumberFormat="1" applyFont="1"/>
    <xf numFmtId="0" fontId="7" fillId="0" borderId="8" xfId="0" applyFont="1" applyBorder="1"/>
    <xf numFmtId="166" fontId="11" fillId="0" borderId="0" xfId="0" applyNumberFormat="1" applyFont="1"/>
    <xf numFmtId="168" fontId="5" fillId="0" borderId="0" xfId="0" applyNumberFormat="1" applyFont="1"/>
    <xf numFmtId="168" fontId="10" fillId="0" borderId="0" xfId="0" applyNumberFormat="1" applyFont="1"/>
    <xf numFmtId="174" fontId="5" fillId="0" borderId="0" xfId="0" applyNumberFormat="1" applyFont="1"/>
    <xf numFmtId="10" fontId="10" fillId="0" borderId="0" xfId="0" applyNumberFormat="1" applyFont="1"/>
    <xf numFmtId="166" fontId="5" fillId="0" borderId="0" xfId="0" applyNumberFormat="1" applyFont="1" applyAlignment="1">
      <alignment wrapText="1"/>
    </xf>
    <xf numFmtId="0" fontId="5" fillId="0" borderId="0" xfId="0" applyFont="1" applyAlignment="1">
      <alignment horizontal="left" wrapText="1"/>
    </xf>
    <xf numFmtId="0" fontId="10" fillId="4" borderId="0" xfId="0" applyFont="1" applyFill="1"/>
    <xf numFmtId="0" fontId="4" fillId="4" borderId="0" xfId="0" applyFont="1" applyFill="1"/>
    <xf numFmtId="0" fontId="12" fillId="0" borderId="0" xfId="0" applyFont="1" applyAlignment="1">
      <alignment horizontal="left" wrapText="1"/>
    </xf>
  </cellXfs>
  <cellStyles count="3">
    <cellStyle name="Currency" xfId="2" builtinId="4"/>
    <cellStyle name="Normal" xfId="0" builtinId="0"/>
    <cellStyle name="Percent" xfId="1" builtinId="5"/>
  </cellStyles>
  <dxfs count="0"/>
  <tableStyles count="0" defaultTableStyle="TableStyleMedium9" defaultPivotStyle="PivotStyleLight16"/>
  <colors>
    <mruColors>
      <color rgb="FF800080"/>
      <color rgb="FFFFFFCC"/>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F30C1-ECE4-7846-81E5-6D1042674350}">
  <dimension ref="A1:K109"/>
  <sheetViews>
    <sheetView tabSelected="1" zoomScale="125" workbookViewId="0">
      <selection activeCell="B7" sqref="B7"/>
    </sheetView>
  </sheetViews>
  <sheetFormatPr baseColWidth="10" defaultRowHeight="16" x14ac:dyDescent="0.2"/>
  <cols>
    <col min="1" max="1" width="7" style="1" customWidth="1"/>
    <col min="2" max="2" width="53.75" style="1" bestFit="1" customWidth="1"/>
    <col min="3" max="3" width="20" style="1" customWidth="1"/>
    <col min="4" max="4" width="19.5" style="1" customWidth="1"/>
    <col min="5" max="5" width="19.25" style="1" customWidth="1"/>
    <col min="6" max="6" width="15.75" style="4" bestFit="1" customWidth="1"/>
    <col min="7" max="7" width="22.75" style="4" customWidth="1"/>
    <col min="8" max="8" width="21" style="4" customWidth="1"/>
    <col min="9" max="9" width="15.75" style="4" bestFit="1" customWidth="1"/>
    <col min="10" max="10" width="15" style="4" customWidth="1"/>
    <col min="11" max="11" width="30.75" style="1" customWidth="1"/>
    <col min="12" max="16384" width="10.75" style="1"/>
  </cols>
  <sheetData>
    <row r="1" spans="1:10" ht="37" customHeight="1" x14ac:dyDescent="0.25">
      <c r="A1" s="50" t="s">
        <v>102</v>
      </c>
      <c r="B1" s="50"/>
      <c r="C1" s="50"/>
      <c r="D1" s="50"/>
      <c r="E1" s="50"/>
    </row>
    <row r="2" spans="1:10" ht="23" x14ac:dyDescent="0.25">
      <c r="A2" s="48" t="s">
        <v>101</v>
      </c>
      <c r="B2" s="34"/>
      <c r="C2" s="37"/>
      <c r="D2" s="37"/>
      <c r="E2" s="37"/>
      <c r="F2" s="37"/>
      <c r="G2" s="37"/>
      <c r="H2" s="37"/>
      <c r="I2" s="37"/>
      <c r="J2" s="37"/>
    </row>
    <row r="3" spans="1:10" x14ac:dyDescent="0.2">
      <c r="A3" s="15"/>
      <c r="B3" s="15"/>
      <c r="C3" s="26">
        <v>2004</v>
      </c>
      <c r="D3" s="27">
        <f>C3+1</f>
        <v>2005</v>
      </c>
      <c r="E3" s="28">
        <f>D3+1</f>
        <v>2006</v>
      </c>
      <c r="F3" s="5">
        <v>2007</v>
      </c>
      <c r="G3" s="6">
        <v>2008</v>
      </c>
      <c r="H3" s="6">
        <v>2009</v>
      </c>
      <c r="I3" s="6">
        <v>2010</v>
      </c>
      <c r="J3" s="7">
        <v>2011</v>
      </c>
    </row>
    <row r="4" spans="1:10" x14ac:dyDescent="0.2">
      <c r="A4" s="13" t="s">
        <v>24</v>
      </c>
      <c r="E4" s="29"/>
      <c r="F4" s="11"/>
      <c r="G4" s="11"/>
      <c r="H4" s="11"/>
      <c r="I4" s="11"/>
      <c r="J4" s="11"/>
    </row>
    <row r="5" spans="1:10" x14ac:dyDescent="0.2">
      <c r="A5" s="10" t="s">
        <v>22</v>
      </c>
      <c r="E5" s="29"/>
      <c r="F5" s="11"/>
      <c r="G5" s="11"/>
      <c r="H5" s="11"/>
      <c r="I5" s="11"/>
      <c r="J5" s="11"/>
    </row>
    <row r="6" spans="1:10" x14ac:dyDescent="0.2">
      <c r="B6" s="16" t="s">
        <v>14</v>
      </c>
      <c r="C6" s="17">
        <v>12203.05</v>
      </c>
      <c r="D6" s="17">
        <v>20187.34</v>
      </c>
      <c r="E6" s="31">
        <v>10676.22</v>
      </c>
      <c r="F6" s="17">
        <v>4161</v>
      </c>
      <c r="G6" s="17">
        <v>4195</v>
      </c>
      <c r="H6" s="17">
        <v>4566</v>
      </c>
      <c r="I6" s="17">
        <v>4894</v>
      </c>
      <c r="J6" s="17">
        <v>5130</v>
      </c>
    </row>
    <row r="7" spans="1:10" x14ac:dyDescent="0.2">
      <c r="B7" s="16" t="s">
        <v>0</v>
      </c>
      <c r="C7" s="17">
        <v>29115.3</v>
      </c>
      <c r="D7" s="17">
        <v>38654.480000000003</v>
      </c>
      <c r="E7" s="31">
        <v>45910.43</v>
      </c>
      <c r="F7" s="17">
        <v>47888</v>
      </c>
      <c r="G7" s="17">
        <v>48857</v>
      </c>
      <c r="H7" s="17">
        <v>53164</v>
      </c>
      <c r="I7" s="17">
        <v>56978</v>
      </c>
      <c r="J7" s="17">
        <v>59715</v>
      </c>
    </row>
    <row r="8" spans="1:10" x14ac:dyDescent="0.2">
      <c r="B8" s="16" t="s">
        <v>1</v>
      </c>
      <c r="C8" s="17">
        <v>53551.9</v>
      </c>
      <c r="D8" s="17">
        <v>70817.95</v>
      </c>
      <c r="E8" s="31">
        <v>73149.37</v>
      </c>
      <c r="F8" s="17">
        <v>83770</v>
      </c>
      <c r="G8" s="17">
        <v>85465</v>
      </c>
      <c r="H8" s="17">
        <v>92999</v>
      </c>
      <c r="I8" s="17">
        <v>99672</v>
      </c>
      <c r="J8" s="17">
        <v>104460</v>
      </c>
    </row>
    <row r="9" spans="1:10" x14ac:dyDescent="0.2">
      <c r="B9" s="16" t="s">
        <v>2</v>
      </c>
      <c r="C9" s="17">
        <v>7809.22</v>
      </c>
      <c r="D9" s="17">
        <v>15809.98</v>
      </c>
      <c r="E9" s="31">
        <v>10172.36</v>
      </c>
      <c r="F9" s="17">
        <v>14474</v>
      </c>
      <c r="G9" s="17">
        <v>14767</v>
      </c>
      <c r="H9" s="17">
        <v>16069</v>
      </c>
      <c r="I9" s="17">
        <v>17222</v>
      </c>
      <c r="J9" s="17">
        <v>18049</v>
      </c>
    </row>
    <row r="10" spans="1:10" x14ac:dyDescent="0.2">
      <c r="B10" s="16"/>
      <c r="C10" s="17"/>
      <c r="D10" s="17"/>
      <c r="E10" s="31"/>
      <c r="F10" s="17"/>
      <c r="G10" s="17"/>
      <c r="H10" s="17"/>
      <c r="I10" s="17"/>
      <c r="J10" s="17"/>
    </row>
    <row r="11" spans="1:10" x14ac:dyDescent="0.2">
      <c r="A11" s="2" t="s">
        <v>15</v>
      </c>
      <c r="B11" s="10"/>
      <c r="C11" s="17"/>
      <c r="D11" s="17"/>
      <c r="E11" s="31"/>
      <c r="F11" s="17"/>
      <c r="G11" s="17"/>
      <c r="H11" s="17"/>
      <c r="I11" s="17"/>
      <c r="J11" s="17"/>
    </row>
    <row r="12" spans="1:10" x14ac:dyDescent="0.2">
      <c r="A12" s="3" t="s">
        <v>22</v>
      </c>
      <c r="B12" s="10"/>
      <c r="C12" s="17"/>
      <c r="D12" s="17"/>
      <c r="E12" s="31"/>
      <c r="F12" s="17"/>
      <c r="G12" s="17"/>
      <c r="H12" s="17"/>
      <c r="I12" s="17"/>
      <c r="J12" s="17"/>
    </row>
    <row r="13" spans="1:10" x14ac:dyDescent="0.2">
      <c r="B13" s="16" t="s">
        <v>7</v>
      </c>
      <c r="C13" s="17">
        <v>12838.06</v>
      </c>
      <c r="D13" s="17">
        <v>14753.46</v>
      </c>
      <c r="E13" s="31">
        <v>16981.18</v>
      </c>
      <c r="F13" s="17">
        <v>18830</v>
      </c>
      <c r="G13" s="17">
        <v>18985</v>
      </c>
      <c r="H13" s="17">
        <v>20664</v>
      </c>
      <c r="I13" s="17">
        <v>22149</v>
      </c>
      <c r="J13" s="17">
        <v>23214</v>
      </c>
    </row>
    <row r="14" spans="1:10" x14ac:dyDescent="0.2">
      <c r="B14" s="16" t="s">
        <v>8</v>
      </c>
      <c r="C14" s="17">
        <v>13039.97</v>
      </c>
      <c r="D14" s="17">
        <v>21954.51</v>
      </c>
      <c r="E14" s="31">
        <v>18809.96</v>
      </c>
      <c r="F14" s="17">
        <v>22778</v>
      </c>
      <c r="G14" s="17">
        <v>22966</v>
      </c>
      <c r="H14" s="17">
        <v>24996</v>
      </c>
      <c r="I14" s="17">
        <v>26792</v>
      </c>
      <c r="J14" s="17">
        <v>28081</v>
      </c>
    </row>
    <row r="15" spans="1:10" x14ac:dyDescent="0.2">
      <c r="C15" s="25"/>
      <c r="D15" s="25"/>
      <c r="E15" s="32"/>
    </row>
    <row r="16" spans="1:10" x14ac:dyDescent="0.2">
      <c r="A16" s="12" t="s">
        <v>17</v>
      </c>
      <c r="C16" s="25"/>
      <c r="D16" s="25"/>
      <c r="E16" s="32"/>
    </row>
    <row r="17" spans="1:10" x14ac:dyDescent="0.2">
      <c r="B17" s="8" t="s">
        <v>11</v>
      </c>
      <c r="C17" s="9">
        <v>340577.64</v>
      </c>
      <c r="D17" s="9">
        <v>358780.04</v>
      </c>
      <c r="E17" s="33">
        <v>431120.55</v>
      </c>
      <c r="F17" s="9">
        <v>479329.05919999996</v>
      </c>
      <c r="G17" s="9">
        <v>489028.14218999998</v>
      </c>
      <c r="H17" s="9">
        <v>532136.98787507997</v>
      </c>
      <c r="I17" s="9">
        <v>570319.19179205864</v>
      </c>
      <c r="J17" s="9">
        <v>597716.8308729626</v>
      </c>
    </row>
    <row r="18" spans="1:10" x14ac:dyDescent="0.2">
      <c r="B18" s="8" t="s">
        <v>21</v>
      </c>
      <c r="C18" s="9">
        <v>198114.7935</v>
      </c>
      <c r="D18" s="9">
        <v>205820.37450000001</v>
      </c>
      <c r="E18" s="33">
        <v>239382.71174999999</v>
      </c>
      <c r="F18" s="9">
        <v>414249.67690547428</v>
      </c>
      <c r="G18" s="9">
        <v>417552.81301498268</v>
      </c>
      <c r="H18" s="9">
        <v>454467.35515341227</v>
      </c>
      <c r="I18" s="9">
        <v>487128.33449805633</v>
      </c>
      <c r="J18" s="9">
        <v>510567.65484224388</v>
      </c>
    </row>
    <row r="19" spans="1:10" x14ac:dyDescent="0.2">
      <c r="B19" s="8" t="s">
        <v>20</v>
      </c>
      <c r="C19" s="9">
        <v>102410.0025</v>
      </c>
      <c r="D19" s="9">
        <v>113892.246</v>
      </c>
      <c r="E19" s="33">
        <v>139933.37474999999</v>
      </c>
      <c r="F19" s="9">
        <v>8487.0611899192099</v>
      </c>
      <c r="G19" s="9">
        <v>8658.7943849806998</v>
      </c>
      <c r="H19" s="9">
        <v>9422.0850808685991</v>
      </c>
      <c r="I19" s="9">
        <v>10098.1440319996</v>
      </c>
      <c r="J19" s="9">
        <v>10583.2501086624</v>
      </c>
    </row>
    <row r="20" spans="1:10" x14ac:dyDescent="0.2">
      <c r="B20" s="8" t="s">
        <v>18</v>
      </c>
      <c r="C20" s="9">
        <v>7318</v>
      </c>
      <c r="D20" s="9">
        <v>6245.1800000000012</v>
      </c>
      <c r="E20" s="33">
        <v>10789.679999999998</v>
      </c>
      <c r="F20" s="9">
        <v>11983.226479999999</v>
      </c>
      <c r="G20" s="9">
        <v>12225.70355475</v>
      </c>
      <c r="H20" s="9">
        <v>13303.424696877</v>
      </c>
      <c r="I20" s="9">
        <v>14257.9797948015</v>
      </c>
      <c r="J20" s="9">
        <v>14942.9207718241</v>
      </c>
    </row>
    <row r="21" spans="1:10" x14ac:dyDescent="0.2">
      <c r="B21" s="8" t="s">
        <v>19</v>
      </c>
      <c r="C21" s="9">
        <v>7699.42</v>
      </c>
      <c r="D21" s="9">
        <v>8001.37</v>
      </c>
      <c r="E21" s="33">
        <v>9505.6299999999992</v>
      </c>
      <c r="F21" s="9">
        <v>9586.5811840000006</v>
      </c>
      <c r="G21" s="9">
        <v>9780.5628438000003</v>
      </c>
      <c r="H21" s="9">
        <v>10642.7397575016</v>
      </c>
      <c r="I21" s="9">
        <v>11406.383835841199</v>
      </c>
      <c r="J21" s="9">
        <v>11954.336617459299</v>
      </c>
    </row>
    <row r="22" spans="1:10" x14ac:dyDescent="0.2">
      <c r="E22" s="33"/>
      <c r="F22" s="9"/>
    </row>
    <row r="23" spans="1:10" x14ac:dyDescent="0.2">
      <c r="E23" s="33"/>
      <c r="F23" s="9"/>
    </row>
    <row r="24" spans="1:10" x14ac:dyDescent="0.2">
      <c r="A24" s="12" t="s">
        <v>53</v>
      </c>
      <c r="E24" s="33"/>
      <c r="F24" s="9"/>
    </row>
    <row r="25" spans="1:10" x14ac:dyDescent="0.2">
      <c r="B25" s="1" t="s">
        <v>54</v>
      </c>
      <c r="C25" s="4">
        <f>SUM(C6:C9) - SUM(C13:C14)</f>
        <v>76801.440000000002</v>
      </c>
      <c r="D25" s="4">
        <f>SUM(D6:D9) - SUM(D13:D14)</f>
        <v>108761.78</v>
      </c>
      <c r="E25" s="33">
        <f>SUM(E6:E9) - SUM(E13:E14)</f>
        <v>104117.24</v>
      </c>
      <c r="F25" s="9">
        <f>SUM(F6:F9) - SUM(F13:F14)</f>
        <v>108685</v>
      </c>
      <c r="G25" s="4">
        <f>SUM(G6:G9) - SUM(G13:G14)</f>
        <v>111333</v>
      </c>
      <c r="H25" s="4">
        <f>SUM(H6:H9) - SUM(H13:H14)</f>
        <v>121138</v>
      </c>
      <c r="I25" s="4">
        <f>SUM(I6:I9) - SUM(I13:I14)</f>
        <v>129825</v>
      </c>
      <c r="J25" s="4">
        <f>SUM(J6:J9) - SUM(J13:J14)</f>
        <v>136059</v>
      </c>
    </row>
    <row r="26" spans="1:10" x14ac:dyDescent="0.2">
      <c r="B26" s="1" t="s">
        <v>55</v>
      </c>
      <c r="C26" s="4">
        <f>C17-C18-C19-C21</f>
        <v>32353.424000000014</v>
      </c>
      <c r="D26" s="4">
        <f t="shared" ref="D26:J26" si="0">D17-D18-D19-D21</f>
        <v>31066.049499999976</v>
      </c>
      <c r="E26" s="33">
        <f t="shared" si="0"/>
        <v>42298.833500000015</v>
      </c>
      <c r="F26" s="9">
        <f t="shared" si="0"/>
        <v>47005.739920606473</v>
      </c>
      <c r="G26" s="4">
        <f t="shared" si="0"/>
        <v>53035.971946236612</v>
      </c>
      <c r="H26" s="4">
        <f t="shared" si="0"/>
        <v>57604.807883297508</v>
      </c>
      <c r="I26" s="4">
        <f t="shared" si="0"/>
        <v>61686.329426161508</v>
      </c>
      <c r="J26" s="4">
        <f t="shared" si="0"/>
        <v>64611.58930459703</v>
      </c>
    </row>
    <row r="27" spans="1:10" x14ac:dyDescent="0.2">
      <c r="B27" s="35"/>
      <c r="C27" s="35"/>
      <c r="E27" s="33"/>
      <c r="F27" s="9"/>
    </row>
    <row r="28" spans="1:10" x14ac:dyDescent="0.2">
      <c r="B28" s="1" t="s">
        <v>57</v>
      </c>
      <c r="D28" s="4">
        <f>D25-C25</f>
        <v>31960.339999999997</v>
      </c>
      <c r="E28" s="4">
        <f t="shared" ref="E28:J28" si="1">E25-D25</f>
        <v>-4644.5399999999936</v>
      </c>
      <c r="F28" s="4">
        <f t="shared" si="1"/>
        <v>4567.7599999999948</v>
      </c>
      <c r="G28" s="4">
        <f t="shared" si="1"/>
        <v>2648</v>
      </c>
      <c r="H28" s="4">
        <f t="shared" si="1"/>
        <v>9805</v>
      </c>
      <c r="I28" s="4">
        <f t="shared" si="1"/>
        <v>8687</v>
      </c>
      <c r="J28" s="4">
        <f t="shared" si="1"/>
        <v>6234</v>
      </c>
    </row>
    <row r="29" spans="1:10" x14ac:dyDescent="0.2">
      <c r="B29" s="1" t="s">
        <v>58</v>
      </c>
      <c r="C29" s="4">
        <f>Assumptions!$B$2*C26</f>
        <v>9706.0272000000041</v>
      </c>
      <c r="D29" s="4">
        <f>Assumptions!$B$2*D26</f>
        <v>9319.8148499999916</v>
      </c>
      <c r="E29" s="4">
        <f>Assumptions!$B$2*E26</f>
        <v>12689.650050000004</v>
      </c>
      <c r="F29" s="4">
        <f>Assumptions!$B$2*F26</f>
        <v>14101.721976181941</v>
      </c>
      <c r="G29" s="4">
        <f>Assumptions!$B$2*G26</f>
        <v>15910.791583870983</v>
      </c>
      <c r="H29" s="4">
        <f>Assumptions!$B$2*H26</f>
        <v>17281.442364989252</v>
      </c>
      <c r="I29" s="4">
        <f>Assumptions!$B$2*I26</f>
        <v>18505.89882784845</v>
      </c>
      <c r="J29" s="4">
        <f>Assumptions!$B$2*J26</f>
        <v>19383.476791379107</v>
      </c>
    </row>
    <row r="31" spans="1:10" x14ac:dyDescent="0.2">
      <c r="B31" s="34" t="s">
        <v>56</v>
      </c>
      <c r="C31" s="34"/>
      <c r="D31" s="38">
        <f>D26+D21-D29-D28-D20</f>
        <v>-8457.9153500000139</v>
      </c>
      <c r="E31" s="38">
        <f t="shared" ref="E31:J31" si="2">E26+E21-E29-E28-E20</f>
        <v>32969.673450000002</v>
      </c>
      <c r="F31" s="38">
        <f t="shared" si="2"/>
        <v>25939.61264842454</v>
      </c>
      <c r="G31" s="38">
        <f t="shared" si="2"/>
        <v>32032.039651415631</v>
      </c>
      <c r="H31" s="38">
        <f t="shared" si="2"/>
        <v>27857.68057893285</v>
      </c>
      <c r="I31" s="38">
        <f t="shared" si="2"/>
        <v>31641.834639352764</v>
      </c>
      <c r="J31" s="38">
        <f t="shared" si="2"/>
        <v>36005.528358853117</v>
      </c>
    </row>
    <row r="33" spans="1:11" x14ac:dyDescent="0.2">
      <c r="A33" s="48" t="s">
        <v>59</v>
      </c>
      <c r="B33" s="34"/>
    </row>
    <row r="34" spans="1:11" x14ac:dyDescent="0.2">
      <c r="B34" s="1" t="s">
        <v>60</v>
      </c>
      <c r="D34" s="4">
        <f>D17-C17</f>
        <v>18202.399999999965</v>
      </c>
      <c r="E34" s="4">
        <f t="shared" ref="E34:J34" si="3">E17-D17</f>
        <v>72340.510000000009</v>
      </c>
      <c r="F34" s="4">
        <f t="shared" si="3"/>
        <v>48208.509199999971</v>
      </c>
      <c r="G34" s="4">
        <f t="shared" si="3"/>
        <v>9699.0829900000244</v>
      </c>
      <c r="H34" s="4">
        <f t="shared" si="3"/>
        <v>43108.845685079985</v>
      </c>
      <c r="I34" s="4">
        <f t="shared" si="3"/>
        <v>38182.203916978673</v>
      </c>
      <c r="J34" s="4">
        <f t="shared" si="3"/>
        <v>27397.639080903959</v>
      </c>
    </row>
    <row r="35" spans="1:11" x14ac:dyDescent="0.2">
      <c r="B35" s="1" t="s">
        <v>61</v>
      </c>
      <c r="D35" s="39">
        <f>D34/C17</f>
        <v>5.3445669539550406E-2</v>
      </c>
      <c r="E35" s="39">
        <f t="shared" ref="E35:J35" si="4">E34/D17</f>
        <v>0.20162913745145916</v>
      </c>
      <c r="F35" s="39">
        <f t="shared" si="4"/>
        <v>0.11182141329147954</v>
      </c>
      <c r="G35" s="39">
        <f t="shared" si="4"/>
        <v>2.0234706834148113E-2</v>
      </c>
      <c r="H35" s="39">
        <f t="shared" si="4"/>
        <v>8.8152075445038683E-2</v>
      </c>
      <c r="I35" s="39">
        <f t="shared" si="4"/>
        <v>7.1752583990538174E-2</v>
      </c>
      <c r="J35" s="39">
        <f t="shared" si="4"/>
        <v>4.8039132252967007E-2</v>
      </c>
    </row>
    <row r="36" spans="1:11" x14ac:dyDescent="0.2">
      <c r="B36" s="1" t="s">
        <v>62</v>
      </c>
      <c r="E36" s="4">
        <f>E31-D31</f>
        <v>41427.588800000012</v>
      </c>
      <c r="F36" s="4">
        <f t="shared" ref="F36:J36" si="5">F31-E31</f>
        <v>-7030.0608015754624</v>
      </c>
      <c r="G36" s="4">
        <f t="shared" si="5"/>
        <v>6092.4270029910913</v>
      </c>
      <c r="H36" s="4">
        <f t="shared" si="5"/>
        <v>-4174.3590724827809</v>
      </c>
      <c r="I36" s="4">
        <f t="shared" si="5"/>
        <v>3784.1540604199145</v>
      </c>
      <c r="J36" s="4">
        <f t="shared" si="5"/>
        <v>4363.693719500352</v>
      </c>
    </row>
    <row r="37" spans="1:11" x14ac:dyDescent="0.2">
      <c r="B37" s="1" t="s">
        <v>63</v>
      </c>
      <c r="E37" s="39">
        <f>E36/D31</f>
        <v>-4.8980850582762034</v>
      </c>
      <c r="F37" s="39">
        <f t="shared" ref="F37:J37" si="6">F36/E31</f>
        <v>-0.21322809921781199</v>
      </c>
      <c r="G37" s="39">
        <f t="shared" si="6"/>
        <v>0.23486962143828</v>
      </c>
      <c r="H37" s="39">
        <f t="shared" si="6"/>
        <v>-0.13031824129558039</v>
      </c>
      <c r="I37" s="39">
        <f t="shared" si="6"/>
        <v>0.13583880573609747</v>
      </c>
      <c r="J37" s="39">
        <f t="shared" si="6"/>
        <v>0.13790899830040992</v>
      </c>
    </row>
    <row r="39" spans="1:11" ht="17" thickBot="1" x14ac:dyDescent="0.25">
      <c r="A39" s="48" t="s">
        <v>64</v>
      </c>
    </row>
    <row r="40" spans="1:11" ht="17" thickTop="1" x14ac:dyDescent="0.2">
      <c r="B40" s="40" t="s">
        <v>65</v>
      </c>
    </row>
    <row r="42" spans="1:11" x14ac:dyDescent="0.2">
      <c r="A42" s="48" t="s">
        <v>66</v>
      </c>
      <c r="C42" s="26">
        <v>2004</v>
      </c>
      <c r="D42" s="27">
        <f>C42+1</f>
        <v>2005</v>
      </c>
      <c r="E42" s="28">
        <f>D42+1</f>
        <v>2006</v>
      </c>
      <c r="F42" s="5">
        <v>2007</v>
      </c>
      <c r="G42" s="6">
        <v>2008</v>
      </c>
      <c r="H42" s="6">
        <v>2009</v>
      </c>
      <c r="I42" s="6">
        <v>2010</v>
      </c>
      <c r="J42" s="7">
        <v>2011</v>
      </c>
      <c r="K42" s="1" t="s">
        <v>67</v>
      </c>
    </row>
    <row r="43" spans="1:11" x14ac:dyDescent="0.2">
      <c r="A43" s="34"/>
      <c r="B43" s="1" t="s">
        <v>10</v>
      </c>
      <c r="C43" s="39">
        <f>C26/C17</f>
        <v>9.4995737242174833E-2</v>
      </c>
      <c r="D43" s="39">
        <f t="shared" ref="D43:J43" si="7">D26/D17</f>
        <v>8.6588009466747301E-2</v>
      </c>
      <c r="E43" s="39">
        <f t="shared" si="7"/>
        <v>9.8113702768286071E-2</v>
      </c>
      <c r="F43" s="39">
        <f t="shared" si="7"/>
        <v>9.8065700416868185E-2</v>
      </c>
      <c r="G43" s="39">
        <f t="shared" si="7"/>
        <v>0.10845177888684937</v>
      </c>
      <c r="H43" s="39">
        <f t="shared" si="7"/>
        <v>0.10825183965001946</v>
      </c>
      <c r="I43" s="39">
        <f t="shared" si="7"/>
        <v>0.10816106193503772</v>
      </c>
      <c r="J43" s="39">
        <f t="shared" si="7"/>
        <v>0.1080973229584854</v>
      </c>
      <c r="K43" s="39">
        <f>AVERAGE(C43:J43)</f>
        <v>0.10134064416555855</v>
      </c>
    </row>
    <row r="44" spans="1:11" x14ac:dyDescent="0.2">
      <c r="A44" s="34"/>
      <c r="B44" s="1" t="s">
        <v>9</v>
      </c>
      <c r="C44" s="39">
        <f>(C26+C21)/C17</f>
        <v>0.11760268231349542</v>
      </c>
      <c r="D44" s="39">
        <f t="shared" ref="D44:J44" si="8">(D26+D21)/D17</f>
        <v>0.10888961242102536</v>
      </c>
      <c r="E44" s="39">
        <f t="shared" si="8"/>
        <v>0.12016236178024919</v>
      </c>
      <c r="F44" s="39">
        <f t="shared" si="8"/>
        <v>0.1180657004168682</v>
      </c>
      <c r="G44" s="39">
        <f t="shared" si="8"/>
        <v>0.12845177888684936</v>
      </c>
      <c r="H44" s="39">
        <f t="shared" si="8"/>
        <v>0.12825183965001946</v>
      </c>
      <c r="I44" s="39">
        <f t="shared" si="8"/>
        <v>0.12816106193503776</v>
      </c>
      <c r="J44" s="39">
        <f t="shared" si="8"/>
        <v>0.12809732295848547</v>
      </c>
      <c r="K44" s="39">
        <f>AVERAGE(C44:J44)</f>
        <v>0.12221029504525377</v>
      </c>
    </row>
    <row r="45" spans="1:11" x14ac:dyDescent="0.2">
      <c r="A45" s="34"/>
      <c r="B45" s="1" t="s">
        <v>68</v>
      </c>
      <c r="D45" s="39">
        <f>D35</f>
        <v>5.3445669539550406E-2</v>
      </c>
      <c r="E45" s="39">
        <f t="shared" ref="E45:J45" si="9">E35</f>
        <v>0.20162913745145916</v>
      </c>
      <c r="F45" s="39">
        <f t="shared" si="9"/>
        <v>0.11182141329147954</v>
      </c>
      <c r="G45" s="39">
        <f t="shared" si="9"/>
        <v>2.0234706834148113E-2</v>
      </c>
      <c r="H45" s="39">
        <f t="shared" si="9"/>
        <v>8.8152075445038683E-2</v>
      </c>
      <c r="I45" s="39">
        <f t="shared" si="9"/>
        <v>7.1752583990538174E-2</v>
      </c>
      <c r="J45" s="39">
        <f t="shared" si="9"/>
        <v>4.8039132252967007E-2</v>
      </c>
      <c r="K45" s="39">
        <f>AVERAGE(C45:J45)</f>
        <v>8.5010674115025858E-2</v>
      </c>
    </row>
    <row r="46" spans="1:11" ht="51" x14ac:dyDescent="0.2">
      <c r="B46" s="21" t="s">
        <v>13</v>
      </c>
      <c r="C46" s="22" t="s">
        <v>11</v>
      </c>
      <c r="D46" s="22" t="s">
        <v>12</v>
      </c>
      <c r="E46" s="22" t="s">
        <v>26</v>
      </c>
      <c r="F46" s="22" t="s">
        <v>9</v>
      </c>
      <c r="G46" s="22" t="s">
        <v>10</v>
      </c>
      <c r="H46" s="1"/>
      <c r="I46" s="1"/>
      <c r="J46" s="1"/>
    </row>
    <row r="47" spans="1:11" x14ac:dyDescent="0.2">
      <c r="B47" s="8" t="s">
        <v>30</v>
      </c>
      <c r="C47" s="18">
        <v>2545057.9</v>
      </c>
      <c r="D47" s="18">
        <v>67679.240000000005</v>
      </c>
      <c r="E47" s="19">
        <v>6.6000000000000003E-2</v>
      </c>
      <c r="F47" s="19">
        <v>6.0679582181607697E-2</v>
      </c>
      <c r="G47" s="19">
        <v>4.3759637059730599E-2</v>
      </c>
      <c r="H47" s="1"/>
      <c r="I47" s="1"/>
      <c r="J47" s="1"/>
    </row>
    <row r="48" spans="1:11" x14ac:dyDescent="0.2">
      <c r="B48" s="8" t="s">
        <v>29</v>
      </c>
      <c r="C48" s="18">
        <v>313555.69</v>
      </c>
      <c r="D48" s="18">
        <v>41923.06</v>
      </c>
      <c r="E48" s="19">
        <v>0.17799999999999999</v>
      </c>
      <c r="F48" s="19">
        <v>0.230902395679696</v>
      </c>
      <c r="G48" s="19">
        <v>0.22077832489660801</v>
      </c>
      <c r="H48" s="1"/>
      <c r="I48" s="1"/>
      <c r="J48" s="1"/>
    </row>
    <row r="49" spans="1:10" x14ac:dyDescent="0.2">
      <c r="B49" s="8" t="s">
        <v>28</v>
      </c>
      <c r="C49" s="18">
        <v>1322392.28</v>
      </c>
      <c r="D49" s="18">
        <v>64566.58</v>
      </c>
      <c r="E49" s="19">
        <v>0.112</v>
      </c>
      <c r="F49" s="19">
        <v>0.11484676090214301</v>
      </c>
      <c r="G49" s="19">
        <v>8.7879982178964297E-2</v>
      </c>
      <c r="H49" s="1"/>
      <c r="I49" s="1"/>
      <c r="J49" s="1"/>
    </row>
    <row r="50" spans="1:10" x14ac:dyDescent="0.2">
      <c r="B50" s="8" t="s">
        <v>27</v>
      </c>
      <c r="C50" s="18">
        <v>552593.97</v>
      </c>
      <c r="D50" s="18">
        <v>27567.95</v>
      </c>
      <c r="E50" s="19">
        <v>4.5999999999999999E-2</v>
      </c>
      <c r="F50" s="19">
        <v>8.9029056904113502E-2</v>
      </c>
      <c r="G50" s="19">
        <v>6.9168814853336202E-2</v>
      </c>
      <c r="H50" s="1"/>
      <c r="I50" s="1"/>
      <c r="J50" s="1"/>
    </row>
    <row r="51" spans="1:10" x14ac:dyDescent="0.2">
      <c r="B51" s="8" t="s">
        <v>31</v>
      </c>
      <c r="C51" s="18">
        <v>15403547</v>
      </c>
      <c r="D51" s="18">
        <v>1433760</v>
      </c>
      <c r="E51" s="19">
        <v>7.9000000000000001E-2</v>
      </c>
      <c r="F51" s="19">
        <v>0.15989408153849199</v>
      </c>
      <c r="G51" s="19">
        <v>0.14103738573979099</v>
      </c>
      <c r="H51" s="1"/>
      <c r="I51" s="1"/>
      <c r="J51" s="1"/>
    </row>
    <row r="52" spans="1:10" x14ac:dyDescent="0.2">
      <c r="B52" s="8" t="s">
        <v>32</v>
      </c>
      <c r="C52" s="18">
        <v>1241529.04</v>
      </c>
      <c r="D52" s="18">
        <v>73123.820000000007</v>
      </c>
      <c r="E52" s="19">
        <v>0.10100000000000001</v>
      </c>
      <c r="F52" s="19">
        <v>0.10786249510522899</v>
      </c>
      <c r="G52" s="19">
        <v>9.3368996024450604E-2</v>
      </c>
      <c r="H52" s="1"/>
      <c r="I52" s="1"/>
      <c r="J52" s="1"/>
    </row>
    <row r="53" spans="1:10" x14ac:dyDescent="0.2">
      <c r="B53" s="8" t="s">
        <v>33</v>
      </c>
      <c r="C53" s="18">
        <v>1614647.57</v>
      </c>
      <c r="D53" s="18">
        <v>112015.38400000001</v>
      </c>
      <c r="E53" s="19">
        <v>6.2E-2</v>
      </c>
      <c r="F53" s="19">
        <v>0.122125337853139</v>
      </c>
      <c r="G53" s="19">
        <v>0.104337214591045</v>
      </c>
      <c r="H53" s="1"/>
      <c r="I53" s="1"/>
      <c r="J53" s="1"/>
    </row>
    <row r="54" spans="1:10" x14ac:dyDescent="0.2">
      <c r="B54" s="8" t="s">
        <v>34</v>
      </c>
      <c r="C54" s="18">
        <v>1176143.6100000001</v>
      </c>
      <c r="D54" s="18">
        <v>86156.41</v>
      </c>
      <c r="E54" s="19">
        <v>8.5000000000000006E-2</v>
      </c>
      <c r="F54" s="19">
        <v>0.126034362419399</v>
      </c>
      <c r="G54" s="19">
        <v>0.10797478209314899</v>
      </c>
      <c r="H54" s="1"/>
      <c r="I54" s="1"/>
      <c r="J54" s="1"/>
    </row>
    <row r="55" spans="1:10" x14ac:dyDescent="0.2">
      <c r="B55" s="8" t="s">
        <v>35</v>
      </c>
      <c r="C55" s="18">
        <v>516182.44</v>
      </c>
      <c r="D55" s="18">
        <v>79169.919999999998</v>
      </c>
      <c r="E55" s="19">
        <v>0.14399999999999999</v>
      </c>
      <c r="F55" s="19">
        <v>0.20228355695323499</v>
      </c>
      <c r="G55" s="19">
        <v>0.198915290493028</v>
      </c>
      <c r="H55" s="1"/>
      <c r="I55" s="1"/>
      <c r="J55" s="1"/>
    </row>
    <row r="57" spans="1:10" x14ac:dyDescent="0.2">
      <c r="B57" s="34" t="s">
        <v>69</v>
      </c>
    </row>
    <row r="60" spans="1:10" x14ac:dyDescent="0.2">
      <c r="A60" s="48" t="s">
        <v>76</v>
      </c>
    </row>
    <row r="61" spans="1:10" ht="34" x14ac:dyDescent="0.2">
      <c r="B61" s="21" t="s">
        <v>13</v>
      </c>
      <c r="C61" s="22" t="s">
        <v>36</v>
      </c>
      <c r="D61" s="22" t="s">
        <v>49</v>
      </c>
      <c r="E61" s="22" t="s">
        <v>37</v>
      </c>
      <c r="F61" s="22" t="s">
        <v>25</v>
      </c>
      <c r="G61" s="41" t="s">
        <v>70</v>
      </c>
      <c r="H61" s="41" t="s">
        <v>71</v>
      </c>
      <c r="I61" s="41" t="s">
        <v>72</v>
      </c>
      <c r="J61" s="41" t="s">
        <v>73</v>
      </c>
    </row>
    <row r="62" spans="1:10" x14ac:dyDescent="0.2">
      <c r="B62" s="8" t="s">
        <v>30</v>
      </c>
      <c r="C62" s="23">
        <v>125441.55416666671</v>
      </c>
      <c r="D62" s="18">
        <v>420098.375</v>
      </c>
      <c r="E62" s="18">
        <v>219034.17139356965</v>
      </c>
      <c r="F62" s="8">
        <v>2.68</v>
      </c>
      <c r="G62" s="42">
        <f>C62/(C62+D62)</f>
        <v>0.22994018853630666</v>
      </c>
      <c r="H62" s="42">
        <f>1-G62</f>
        <v>0.7700598114636934</v>
      </c>
      <c r="I62" s="42">
        <f>Assumptions!$B$5</f>
        <v>0.33</v>
      </c>
      <c r="J62" s="42">
        <f>I62*G62+H62*F62</f>
        <v>2.1396405569396797</v>
      </c>
    </row>
    <row r="63" spans="1:10" x14ac:dyDescent="0.2">
      <c r="B63" s="8" t="s">
        <v>29</v>
      </c>
      <c r="C63" s="23">
        <v>-91558.76</v>
      </c>
      <c r="D63" s="18">
        <v>1205795.25</v>
      </c>
      <c r="E63" s="18">
        <v>413808.38492080185</v>
      </c>
      <c r="F63" s="8">
        <v>1.94</v>
      </c>
      <c r="G63" s="42">
        <f t="shared" ref="G63:G70" si="10">C63/(C63+D63)</f>
        <v>-8.2171747938357326E-2</v>
      </c>
      <c r="H63" s="42">
        <f t="shared" ref="H63:H70" si="11">1-G63</f>
        <v>1.0821717479383572</v>
      </c>
      <c r="I63" s="42">
        <f>Assumptions!$B$5</f>
        <v>0.33</v>
      </c>
      <c r="J63" s="42">
        <f t="shared" ref="J63:J70" si="12">I63*G63+H63*F63</f>
        <v>2.072296514180755</v>
      </c>
    </row>
    <row r="64" spans="1:10" x14ac:dyDescent="0.2">
      <c r="B64" s="8" t="s">
        <v>28</v>
      </c>
      <c r="C64" s="23">
        <v>171834.94291666624</v>
      </c>
      <c r="D64" s="18">
        <v>533462.75</v>
      </c>
      <c r="E64" s="18">
        <v>190865.67256992983</v>
      </c>
      <c r="F64" s="8">
        <v>1.92</v>
      </c>
      <c r="G64" s="42">
        <f t="shared" si="10"/>
        <v>0.24363463065654636</v>
      </c>
      <c r="H64" s="42">
        <f t="shared" si="11"/>
        <v>0.75636536934345366</v>
      </c>
      <c r="I64" s="42">
        <f>Assumptions!$B$5</f>
        <v>0.33</v>
      </c>
      <c r="J64" s="42">
        <f t="shared" si="12"/>
        <v>1.5326209372560913</v>
      </c>
    </row>
    <row r="65" spans="1:11" x14ac:dyDescent="0.2">
      <c r="B65" s="8" t="s">
        <v>27</v>
      </c>
      <c r="C65" s="23">
        <v>82235.843750000073</v>
      </c>
      <c r="D65" s="18">
        <v>165559.625</v>
      </c>
      <c r="E65" s="18">
        <v>46702.018512694805</v>
      </c>
      <c r="F65" s="8">
        <v>1.1200000000000001</v>
      </c>
      <c r="G65" s="42">
        <f t="shared" si="10"/>
        <v>0.3318698447749564</v>
      </c>
      <c r="H65" s="42">
        <f t="shared" si="11"/>
        <v>0.6681301552250436</v>
      </c>
      <c r="I65" s="42">
        <f>Assumptions!$B$5</f>
        <v>0.33</v>
      </c>
      <c r="J65" s="42">
        <f t="shared" si="12"/>
        <v>0.85782282262778453</v>
      </c>
    </row>
    <row r="66" spans="1:11" x14ac:dyDescent="0.2">
      <c r="B66" s="8" t="s">
        <v>31</v>
      </c>
      <c r="C66" s="23">
        <v>7653206.5784700001</v>
      </c>
      <c r="D66" s="18">
        <v>35303250</v>
      </c>
      <c r="E66" s="18">
        <v>25136195.32267756</v>
      </c>
      <c r="F66" s="8">
        <v>0.97</v>
      </c>
      <c r="G66" s="42">
        <f t="shared" si="10"/>
        <v>0.17816196185757618</v>
      </c>
      <c r="H66" s="42">
        <f t="shared" si="11"/>
        <v>0.82183803814242384</v>
      </c>
      <c r="I66" s="42">
        <f>Assumptions!$B$5</f>
        <v>0.33</v>
      </c>
      <c r="J66" s="42">
        <f t="shared" si="12"/>
        <v>0.85597634441115134</v>
      </c>
    </row>
    <row r="67" spans="1:11" x14ac:dyDescent="0.2">
      <c r="B67" s="8" t="s">
        <v>32</v>
      </c>
      <c r="C67" s="23">
        <v>195540.13541666672</v>
      </c>
      <c r="D67" s="18">
        <v>570684.375</v>
      </c>
      <c r="E67" s="18">
        <v>490764.37766060245</v>
      </c>
      <c r="F67" s="8">
        <v>2.13</v>
      </c>
      <c r="G67" s="42">
        <f t="shared" si="10"/>
        <v>0.25519953063147716</v>
      </c>
      <c r="H67" s="42">
        <f t="shared" si="11"/>
        <v>0.74480046936852284</v>
      </c>
      <c r="I67" s="42">
        <f>Assumptions!$B$5</f>
        <v>0.33</v>
      </c>
      <c r="J67" s="42">
        <f t="shared" si="12"/>
        <v>1.670640844863341</v>
      </c>
    </row>
    <row r="68" spans="1:11" x14ac:dyDescent="0.2">
      <c r="B68" s="8" t="s">
        <v>33</v>
      </c>
      <c r="C68" s="23">
        <v>300550.13750000013</v>
      </c>
      <c r="D68" s="18">
        <v>1056033.25</v>
      </c>
      <c r="E68" s="18">
        <v>277288.2720745785</v>
      </c>
      <c r="F68" s="8">
        <v>1.27</v>
      </c>
      <c r="G68" s="42">
        <f t="shared" si="10"/>
        <v>0.2215493277223993</v>
      </c>
      <c r="H68" s="42">
        <f t="shared" si="11"/>
        <v>0.77845067227760067</v>
      </c>
      <c r="I68" s="42">
        <f>Assumptions!$B$5</f>
        <v>0.33</v>
      </c>
      <c r="J68" s="42">
        <f t="shared" si="12"/>
        <v>1.0617436319409446</v>
      </c>
    </row>
    <row r="69" spans="1:11" x14ac:dyDescent="0.2">
      <c r="B69" s="8" t="s">
        <v>34</v>
      </c>
      <c r="C69" s="23">
        <v>-97017.76</v>
      </c>
      <c r="D69" s="18">
        <v>1454875</v>
      </c>
      <c r="E69" s="18">
        <v>1317175.003216642</v>
      </c>
      <c r="F69" s="8">
        <v>1.01</v>
      </c>
      <c r="G69" s="42">
        <f t="shared" si="10"/>
        <v>-7.1449160590696559E-2</v>
      </c>
      <c r="H69" s="42">
        <f t="shared" si="11"/>
        <v>1.0714491605906966</v>
      </c>
      <c r="I69" s="42">
        <f>Assumptions!$B$5</f>
        <v>0.33</v>
      </c>
      <c r="J69" s="42">
        <f t="shared" si="12"/>
        <v>1.0585854292016736</v>
      </c>
    </row>
    <row r="70" spans="1:11" x14ac:dyDescent="0.2">
      <c r="B70" s="8" t="s">
        <v>35</v>
      </c>
      <c r="C70" s="23">
        <v>169579.43162125</v>
      </c>
      <c r="D70" s="18">
        <v>397708.75</v>
      </c>
      <c r="E70" s="18">
        <v>111179.62458732372</v>
      </c>
      <c r="F70" s="8">
        <v>0.98</v>
      </c>
      <c r="G70" s="42">
        <f t="shared" si="10"/>
        <v>0.29892995679305323</v>
      </c>
      <c r="H70" s="42">
        <f t="shared" si="11"/>
        <v>0.70107004320694677</v>
      </c>
      <c r="I70" s="42">
        <f>Assumptions!$B$5</f>
        <v>0.33</v>
      </c>
      <c r="J70" s="42">
        <f t="shared" si="12"/>
        <v>0.78569552808451537</v>
      </c>
    </row>
    <row r="71" spans="1:11" x14ac:dyDescent="0.2">
      <c r="J71" s="43">
        <f>AVERAGE(J62:J70)</f>
        <v>1.3372247343895483</v>
      </c>
      <c r="K71" s="34" t="s">
        <v>74</v>
      </c>
    </row>
    <row r="72" spans="1:11" x14ac:dyDescent="0.2">
      <c r="K72" s="34" t="s">
        <v>75</v>
      </c>
    </row>
    <row r="74" spans="1:11" x14ac:dyDescent="0.2">
      <c r="A74" s="49" t="s">
        <v>77</v>
      </c>
      <c r="C74" s="1" t="s">
        <v>79</v>
      </c>
    </row>
    <row r="75" spans="1:11" x14ac:dyDescent="0.2">
      <c r="B75" s="34" t="s">
        <v>78</v>
      </c>
      <c r="C75" s="45">
        <f>Assumptions!B3+Assumptions!B4*J71</f>
        <v>0.1002334840633729</v>
      </c>
    </row>
    <row r="77" spans="1:11" x14ac:dyDescent="0.2">
      <c r="A77" s="48" t="s">
        <v>80</v>
      </c>
    </row>
    <row r="78" spans="1:11" x14ac:dyDescent="0.2">
      <c r="B78" s="34" t="s">
        <v>81</v>
      </c>
      <c r="C78" s="38">
        <f>J31*(1+Assumptions!B6)/(C75-Assumptions!B6)</f>
        <v>528034.37995693961</v>
      </c>
    </row>
    <row r="80" spans="1:11" x14ac:dyDescent="0.2">
      <c r="A80" s="48" t="s">
        <v>82</v>
      </c>
    </row>
    <row r="81" spans="1:11" x14ac:dyDescent="0.2">
      <c r="C81" s="26"/>
      <c r="D81" s="27"/>
      <c r="E81" s="28"/>
      <c r="F81" s="5">
        <v>2007</v>
      </c>
      <c r="G81" s="6">
        <v>2008</v>
      </c>
      <c r="H81" s="6">
        <v>2009</v>
      </c>
      <c r="I81" s="6">
        <v>2010</v>
      </c>
      <c r="J81" s="7">
        <v>2011</v>
      </c>
      <c r="K81" s="7" t="s">
        <v>84</v>
      </c>
    </row>
    <row r="82" spans="1:11" x14ac:dyDescent="0.2">
      <c r="B82" s="1" t="s">
        <v>56</v>
      </c>
      <c r="C82" s="4"/>
      <c r="D82" s="4"/>
      <c r="E82" s="4"/>
      <c r="F82" s="4">
        <f t="shared" ref="D82:J82" si="13">F31</f>
        <v>25939.61264842454</v>
      </c>
      <c r="G82" s="4">
        <f t="shared" si="13"/>
        <v>32032.039651415631</v>
      </c>
      <c r="H82" s="4">
        <f t="shared" si="13"/>
        <v>27857.68057893285</v>
      </c>
      <c r="I82" s="4">
        <f t="shared" si="13"/>
        <v>31641.834639352764</v>
      </c>
      <c r="J82" s="4">
        <f t="shared" si="13"/>
        <v>36005.528358853117</v>
      </c>
      <c r="K82" s="4">
        <f>C78</f>
        <v>528034.37995693961</v>
      </c>
    </row>
    <row r="83" spans="1:11" x14ac:dyDescent="0.2">
      <c r="B83" s="1" t="s">
        <v>83</v>
      </c>
      <c r="F83" s="4">
        <f>F82/(1+$C$75)^(F81-2006)</f>
        <v>23576.461745760167</v>
      </c>
      <c r="G83" s="4">
        <f t="shared" ref="G83:J83" si="14">G82/(1+$C$75)^(G81-2006)</f>
        <v>26461.525496677212</v>
      </c>
      <c r="H83" s="4">
        <f t="shared" si="14"/>
        <v>20916.565770167505</v>
      </c>
      <c r="I83" s="4">
        <f t="shared" si="14"/>
        <v>21593.459414401124</v>
      </c>
      <c r="J83" s="4">
        <f t="shared" si="14"/>
        <v>22332.888544106914</v>
      </c>
      <c r="K83" s="4">
        <f>K82/(1+$C$75)^(J81-2006)</f>
        <v>327520.06407192082</v>
      </c>
    </row>
    <row r="84" spans="1:11" x14ac:dyDescent="0.2">
      <c r="B84" s="34" t="s">
        <v>85</v>
      </c>
      <c r="C84" s="34"/>
      <c r="D84" s="34"/>
      <c r="E84" s="38">
        <f>SUM(F83:K83)</f>
        <v>442400.96504303371</v>
      </c>
    </row>
    <row r="85" spans="1:11" x14ac:dyDescent="0.2">
      <c r="B85" s="1" t="s">
        <v>86</v>
      </c>
      <c r="E85" s="4">
        <v>325000</v>
      </c>
    </row>
    <row r="86" spans="1:11" x14ac:dyDescent="0.2">
      <c r="B86" s="34" t="s">
        <v>87</v>
      </c>
      <c r="C86" s="34"/>
      <c r="D86" s="34"/>
      <c r="E86" s="38">
        <f>E84-E85</f>
        <v>117400.96504303371</v>
      </c>
    </row>
    <row r="88" spans="1:11" x14ac:dyDescent="0.2">
      <c r="A88" s="48" t="s">
        <v>88</v>
      </c>
    </row>
    <row r="89" spans="1:11" x14ac:dyDescent="0.2">
      <c r="B89" s="1" t="s">
        <v>90</v>
      </c>
      <c r="C89" s="4"/>
      <c r="D89" s="4"/>
      <c r="E89" s="4"/>
      <c r="F89" s="4">
        <f>F82</f>
        <v>25939.61264842454</v>
      </c>
      <c r="G89" s="4">
        <f>G82</f>
        <v>32032.039651415631</v>
      </c>
      <c r="H89" s="4">
        <f>H82</f>
        <v>27857.68057893285</v>
      </c>
      <c r="I89" s="4">
        <f>I82</f>
        <v>31641.834639352764</v>
      </c>
      <c r="J89" s="4">
        <f>J82</f>
        <v>36005.528358853117</v>
      </c>
      <c r="K89" s="44">
        <f>J89*(1+Assumptions!B6)/(E95-Assumptions!B6)</f>
        <v>391196.21660776058</v>
      </c>
    </row>
    <row r="90" spans="1:11" x14ac:dyDescent="0.2">
      <c r="B90" s="1" t="s">
        <v>91</v>
      </c>
      <c r="F90" s="4">
        <f>F89/(1+$E$95)^(F81-2006)</f>
        <v>23061.517943684441</v>
      </c>
      <c r="G90" s="4">
        <f>G89/(1+$E$95)^(G81-2006)</f>
        <v>25318.233444181948</v>
      </c>
      <c r="H90" s="4">
        <f>H89/(1+$E$95)^(H81-2006)</f>
        <v>19575.738916554274</v>
      </c>
      <c r="I90" s="4">
        <f>I89/(1+$E$95)^(I81-2006)</f>
        <v>19767.842383423191</v>
      </c>
      <c r="J90" s="4">
        <f>J89/(1+$E$95)^(J81-2006)</f>
        <v>19998.213685192142</v>
      </c>
      <c r="K90" s="4">
        <f>K89/(1+$E$95)^(J81-2006)</f>
        <v>217278.45386935188</v>
      </c>
    </row>
    <row r="91" spans="1:11" x14ac:dyDescent="0.2">
      <c r="B91" s="1" t="s">
        <v>85</v>
      </c>
      <c r="E91" s="4">
        <f>SUM(F90:K90)</f>
        <v>325000.00024238788</v>
      </c>
    </row>
    <row r="92" spans="1:11" x14ac:dyDescent="0.2">
      <c r="B92" s="1" t="s">
        <v>86</v>
      </c>
      <c r="E92" s="4">
        <v>325000</v>
      </c>
    </row>
    <row r="93" spans="1:11" x14ac:dyDescent="0.2">
      <c r="B93" s="1" t="s">
        <v>87</v>
      </c>
      <c r="E93" s="4">
        <f>E91-E92</f>
        <v>2.4238787591457367E-4</v>
      </c>
    </row>
    <row r="95" spans="1:11" x14ac:dyDescent="0.2">
      <c r="B95" s="34" t="s">
        <v>89</v>
      </c>
      <c r="C95" s="34"/>
      <c r="D95" s="34"/>
      <c r="E95" s="45">
        <v>0.12480074866573493</v>
      </c>
    </row>
    <row r="97" spans="1:11" x14ac:dyDescent="0.2">
      <c r="B97" s="1" t="s">
        <v>92</v>
      </c>
    </row>
    <row r="99" spans="1:11" x14ac:dyDescent="0.2">
      <c r="A99" s="48" t="s">
        <v>93</v>
      </c>
    </row>
    <row r="100" spans="1:11" ht="71" customHeight="1" x14ac:dyDescent="0.2">
      <c r="B100" s="47" t="s">
        <v>94</v>
      </c>
      <c r="C100" s="47"/>
      <c r="D100" s="47"/>
      <c r="E100" s="47"/>
      <c r="F100" s="47"/>
      <c r="G100" s="46"/>
    </row>
    <row r="102" spans="1:11" x14ac:dyDescent="0.2">
      <c r="A102" s="48" t="s">
        <v>95</v>
      </c>
    </row>
    <row r="103" spans="1:11" ht="104" customHeight="1" x14ac:dyDescent="0.2">
      <c r="B103" s="47" t="s">
        <v>97</v>
      </c>
      <c r="C103" s="47"/>
      <c r="D103" s="47"/>
      <c r="E103" s="47"/>
      <c r="F103" s="47"/>
    </row>
    <row r="105" spans="1:11" x14ac:dyDescent="0.2">
      <c r="A105" s="48" t="s">
        <v>96</v>
      </c>
    </row>
    <row r="106" spans="1:11" ht="89" customHeight="1" x14ac:dyDescent="0.2">
      <c r="B106" s="47" t="s">
        <v>98</v>
      </c>
      <c r="C106" s="47"/>
      <c r="D106" s="47"/>
      <c r="E106" s="47"/>
    </row>
    <row r="108" spans="1:11" x14ac:dyDescent="0.2">
      <c r="A108" s="48" t="s">
        <v>99</v>
      </c>
      <c r="F108" s="1"/>
      <c r="G108" s="1"/>
      <c r="H108" s="1"/>
      <c r="I108" s="1"/>
      <c r="J108" s="1"/>
    </row>
    <row r="109" spans="1:11" ht="77" customHeight="1" x14ac:dyDescent="0.2">
      <c r="B109" s="47" t="s">
        <v>100</v>
      </c>
      <c r="C109" s="47"/>
      <c r="D109" s="47"/>
      <c r="E109" s="47"/>
      <c r="K109" s="4"/>
    </row>
  </sheetData>
  <mergeCells count="7">
    <mergeCell ref="A1:E1"/>
    <mergeCell ref="C2:E2"/>
    <mergeCell ref="F2:J2"/>
    <mergeCell ref="B100:F100"/>
    <mergeCell ref="B103:F103"/>
    <mergeCell ref="B106:E106"/>
    <mergeCell ref="B109:E10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154B1-198E-434C-A387-617EE6760364}">
  <dimension ref="A1:B7"/>
  <sheetViews>
    <sheetView zoomScale="125" workbookViewId="0"/>
  </sheetViews>
  <sheetFormatPr baseColWidth="10" defaultRowHeight="16" x14ac:dyDescent="0.2"/>
  <cols>
    <col min="1" max="1" width="45.5" style="8" bestFit="1" customWidth="1"/>
    <col min="2" max="2" width="19.75" style="8" bestFit="1" customWidth="1"/>
    <col min="3" max="16384" width="10.75" style="8"/>
  </cols>
  <sheetData>
    <row r="1" spans="1:2" x14ac:dyDescent="0.2">
      <c r="A1" s="21" t="s">
        <v>46</v>
      </c>
      <c r="B1" s="21" t="s">
        <v>45</v>
      </c>
    </row>
    <row r="2" spans="1:2" x14ac:dyDescent="0.2">
      <c r="A2" s="8" t="s">
        <v>51</v>
      </c>
      <c r="B2" s="30">
        <v>0.3</v>
      </c>
    </row>
    <row r="3" spans="1:2" x14ac:dyDescent="0.2">
      <c r="A3" s="8" t="s">
        <v>41</v>
      </c>
      <c r="B3" s="30">
        <v>0.02</v>
      </c>
    </row>
    <row r="4" spans="1:2" x14ac:dyDescent="0.2">
      <c r="A4" s="8" t="s">
        <v>42</v>
      </c>
      <c r="B4" s="30">
        <v>0.06</v>
      </c>
    </row>
    <row r="5" spans="1:2" x14ac:dyDescent="0.2">
      <c r="A5" s="8" t="s">
        <v>43</v>
      </c>
      <c r="B5" s="20">
        <v>0.33</v>
      </c>
    </row>
    <row r="6" spans="1:2" x14ac:dyDescent="0.2">
      <c r="A6" s="8" t="s">
        <v>44</v>
      </c>
      <c r="B6" s="30">
        <v>0.03</v>
      </c>
    </row>
    <row r="7" spans="1:2" x14ac:dyDescent="0.2">
      <c r="A7" s="8" t="s">
        <v>50</v>
      </c>
      <c r="B7" s="36">
        <v>325000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E9817F-90EF-3244-8C85-6C6F76946307}">
  <dimension ref="A1:J34"/>
  <sheetViews>
    <sheetView zoomScale="125" workbookViewId="0"/>
  </sheetViews>
  <sheetFormatPr baseColWidth="10" defaultRowHeight="16" x14ac:dyDescent="0.2"/>
  <cols>
    <col min="1" max="1" width="3.5" style="1" customWidth="1"/>
    <col min="2" max="2" width="53.75" style="1" bestFit="1" customWidth="1"/>
    <col min="3" max="4" width="14.5" style="1" customWidth="1"/>
    <col min="5" max="5" width="17" style="1" customWidth="1"/>
    <col min="6" max="9" width="15.75" style="4" bestFit="1" customWidth="1"/>
    <col min="10" max="10" width="15" style="4" customWidth="1"/>
    <col min="11" max="16384" width="10.75" style="1"/>
  </cols>
  <sheetData>
    <row r="1" spans="1:10" ht="25" x14ac:dyDescent="0.25">
      <c r="A1" s="24" t="s">
        <v>52</v>
      </c>
    </row>
    <row r="2" spans="1:10" ht="23" x14ac:dyDescent="0.25">
      <c r="C2" s="37" t="s">
        <v>38</v>
      </c>
      <c r="D2" s="37"/>
      <c r="E2" s="37"/>
      <c r="F2" s="37" t="s">
        <v>39</v>
      </c>
      <c r="G2" s="37"/>
      <c r="H2" s="37"/>
      <c r="I2" s="37"/>
      <c r="J2" s="37"/>
    </row>
    <row r="3" spans="1:10" x14ac:dyDescent="0.2">
      <c r="A3" s="15" t="s">
        <v>16</v>
      </c>
      <c r="B3" s="15"/>
      <c r="C3" s="26">
        <v>2004</v>
      </c>
      <c r="D3" s="27">
        <f>C3+1</f>
        <v>2005</v>
      </c>
      <c r="E3" s="28">
        <f>D3+1</f>
        <v>2006</v>
      </c>
      <c r="F3" s="5">
        <v>2007</v>
      </c>
      <c r="G3" s="6">
        <v>2008</v>
      </c>
      <c r="H3" s="6">
        <v>2009</v>
      </c>
      <c r="I3" s="6">
        <v>2010</v>
      </c>
      <c r="J3" s="7">
        <v>2011</v>
      </c>
    </row>
    <row r="4" spans="1:10" x14ac:dyDescent="0.2">
      <c r="A4" s="13" t="s">
        <v>24</v>
      </c>
      <c r="E4" s="29"/>
      <c r="F4" s="11"/>
      <c r="G4" s="11"/>
      <c r="H4" s="11"/>
      <c r="I4" s="11"/>
      <c r="J4" s="11"/>
    </row>
    <row r="5" spans="1:10" x14ac:dyDescent="0.2">
      <c r="A5" s="10" t="s">
        <v>22</v>
      </c>
      <c r="E5" s="29"/>
      <c r="F5" s="11"/>
      <c r="G5" s="11"/>
      <c r="H5" s="11"/>
      <c r="I5" s="11"/>
      <c r="J5" s="11"/>
    </row>
    <row r="6" spans="1:10" x14ac:dyDescent="0.2">
      <c r="B6" s="16" t="s">
        <v>14</v>
      </c>
      <c r="C6" s="17">
        <v>12203.05</v>
      </c>
      <c r="D6" s="17">
        <v>20187.34</v>
      </c>
      <c r="E6" s="31">
        <v>10676.22</v>
      </c>
      <c r="F6" s="17">
        <v>4161</v>
      </c>
      <c r="G6" s="17">
        <v>4195</v>
      </c>
      <c r="H6" s="17">
        <v>4566</v>
      </c>
      <c r="I6" s="17">
        <v>4894</v>
      </c>
      <c r="J6" s="17">
        <v>5130</v>
      </c>
    </row>
    <row r="7" spans="1:10" x14ac:dyDescent="0.2">
      <c r="B7" s="16" t="s">
        <v>0</v>
      </c>
      <c r="C7" s="17">
        <v>29115.3</v>
      </c>
      <c r="D7" s="17">
        <v>38654.480000000003</v>
      </c>
      <c r="E7" s="31">
        <v>45910.43</v>
      </c>
      <c r="F7" s="17">
        <v>47888</v>
      </c>
      <c r="G7" s="17">
        <v>48857</v>
      </c>
      <c r="H7" s="17">
        <v>53164</v>
      </c>
      <c r="I7" s="17">
        <v>56978</v>
      </c>
      <c r="J7" s="17">
        <v>59715</v>
      </c>
    </row>
    <row r="8" spans="1:10" x14ac:dyDescent="0.2">
      <c r="B8" s="16" t="s">
        <v>1</v>
      </c>
      <c r="C8" s="17">
        <v>53551.9</v>
      </c>
      <c r="D8" s="17">
        <v>70817.95</v>
      </c>
      <c r="E8" s="31">
        <v>73149.37</v>
      </c>
      <c r="F8" s="17">
        <v>83770</v>
      </c>
      <c r="G8" s="17">
        <v>85465</v>
      </c>
      <c r="H8" s="17">
        <v>92999</v>
      </c>
      <c r="I8" s="17">
        <v>99672</v>
      </c>
      <c r="J8" s="17">
        <v>104460</v>
      </c>
    </row>
    <row r="9" spans="1:10" x14ac:dyDescent="0.2">
      <c r="B9" s="16" t="s">
        <v>2</v>
      </c>
      <c r="C9" s="17">
        <v>7809.22</v>
      </c>
      <c r="D9" s="17">
        <v>15809.98</v>
      </c>
      <c r="E9" s="31">
        <v>10172.36</v>
      </c>
      <c r="F9" s="17">
        <v>14474</v>
      </c>
      <c r="G9" s="17">
        <v>14767</v>
      </c>
      <c r="H9" s="17">
        <v>16069</v>
      </c>
      <c r="I9" s="17">
        <v>17222</v>
      </c>
      <c r="J9" s="17">
        <v>18049</v>
      </c>
    </row>
    <row r="10" spans="1:10" x14ac:dyDescent="0.2">
      <c r="A10" s="14" t="s">
        <v>23</v>
      </c>
      <c r="B10" s="13"/>
      <c r="C10" s="17"/>
      <c r="D10" s="17"/>
      <c r="E10" s="31"/>
      <c r="F10" s="17"/>
      <c r="G10" s="17"/>
      <c r="H10" s="17"/>
      <c r="I10" s="17"/>
      <c r="J10" s="17"/>
    </row>
    <row r="11" spans="1:10" x14ac:dyDescent="0.2">
      <c r="B11" s="16" t="s">
        <v>3</v>
      </c>
      <c r="C11" s="17">
        <v>33090.06</v>
      </c>
      <c r="D11" s="17">
        <v>31333.87</v>
      </c>
      <c r="E11" s="31">
        <v>32617.919999999998</v>
      </c>
      <c r="F11" s="17">
        <v>35015</v>
      </c>
      <c r="G11" s="17">
        <v>37460</v>
      </c>
      <c r="H11" s="17">
        <v>40120</v>
      </c>
      <c r="I11" s="17">
        <v>42972</v>
      </c>
      <c r="J11" s="17">
        <v>45961</v>
      </c>
    </row>
    <row r="12" spans="1:10" x14ac:dyDescent="0.2">
      <c r="B12" s="16" t="s">
        <v>4</v>
      </c>
      <c r="C12" s="17">
        <v>1030.9000000000001</v>
      </c>
      <c r="D12" s="17">
        <v>35739.9</v>
      </c>
      <c r="E12" s="31">
        <v>43852.9</v>
      </c>
      <c r="F12" s="17">
        <v>43853</v>
      </c>
      <c r="G12" s="17">
        <v>43853</v>
      </c>
      <c r="H12" s="17">
        <v>43853</v>
      </c>
      <c r="I12" s="17">
        <v>43853</v>
      </c>
      <c r="J12" s="17">
        <v>43853</v>
      </c>
    </row>
    <row r="13" spans="1:10" x14ac:dyDescent="0.2">
      <c r="B13" s="16" t="s">
        <v>5</v>
      </c>
      <c r="C13" s="17">
        <v>553.88</v>
      </c>
      <c r="D13" s="17">
        <v>34604.69</v>
      </c>
      <c r="E13" s="31">
        <v>43050.75</v>
      </c>
      <c r="F13" s="17">
        <v>43051</v>
      </c>
      <c r="G13" s="17">
        <v>43051</v>
      </c>
      <c r="H13" s="17">
        <v>43051</v>
      </c>
      <c r="I13" s="17">
        <v>43051</v>
      </c>
      <c r="J13" s="17">
        <v>43051</v>
      </c>
    </row>
    <row r="14" spans="1:10" x14ac:dyDescent="0.2">
      <c r="B14" s="16" t="s">
        <v>6</v>
      </c>
      <c r="C14" s="17">
        <v>5656.53</v>
      </c>
      <c r="D14" s="17">
        <v>11884.02</v>
      </c>
      <c r="E14" s="31">
        <v>11162.39</v>
      </c>
      <c r="F14" s="17">
        <v>11162</v>
      </c>
      <c r="G14" s="17">
        <v>11162</v>
      </c>
      <c r="H14" s="17">
        <v>11162</v>
      </c>
      <c r="I14" s="17">
        <v>11162</v>
      </c>
      <c r="J14" s="17">
        <v>11162</v>
      </c>
    </row>
    <row r="15" spans="1:10" x14ac:dyDescent="0.2">
      <c r="B15" s="16"/>
      <c r="C15" s="17"/>
      <c r="D15" s="17"/>
      <c r="E15" s="31"/>
      <c r="F15" s="17"/>
      <c r="G15" s="17"/>
      <c r="H15" s="17"/>
      <c r="I15" s="17"/>
      <c r="J15" s="17"/>
    </row>
    <row r="16" spans="1:10" x14ac:dyDescent="0.2">
      <c r="A16" s="2" t="s">
        <v>15</v>
      </c>
      <c r="B16" s="10"/>
      <c r="C16" s="17"/>
      <c r="D16" s="17"/>
      <c r="E16" s="31"/>
      <c r="F16" s="17"/>
      <c r="G16" s="17"/>
      <c r="H16" s="17"/>
      <c r="I16" s="17"/>
      <c r="J16" s="17"/>
    </row>
    <row r="17" spans="1:10" x14ac:dyDescent="0.2">
      <c r="A17" s="3" t="s">
        <v>22</v>
      </c>
      <c r="B17" s="10"/>
      <c r="C17" s="17"/>
      <c r="D17" s="17"/>
      <c r="E17" s="31"/>
      <c r="F17" s="17"/>
      <c r="G17" s="17"/>
      <c r="H17" s="17"/>
      <c r="I17" s="17"/>
      <c r="J17" s="17"/>
    </row>
    <row r="18" spans="1:10" x14ac:dyDescent="0.2">
      <c r="B18" s="16" t="s">
        <v>7</v>
      </c>
      <c r="C18" s="17">
        <v>12838.06</v>
      </c>
      <c r="D18" s="17">
        <v>14753.46</v>
      </c>
      <c r="E18" s="31">
        <v>16981.18</v>
      </c>
      <c r="F18" s="17">
        <v>18830</v>
      </c>
      <c r="G18" s="17">
        <v>18985</v>
      </c>
      <c r="H18" s="17">
        <v>20664</v>
      </c>
      <c r="I18" s="17">
        <v>22149</v>
      </c>
      <c r="J18" s="17">
        <v>23214</v>
      </c>
    </row>
    <row r="19" spans="1:10" x14ac:dyDescent="0.2">
      <c r="B19" s="16" t="s">
        <v>8</v>
      </c>
      <c r="C19" s="17">
        <v>13039.97</v>
      </c>
      <c r="D19" s="17">
        <v>21954.51</v>
      </c>
      <c r="E19" s="31">
        <v>18809.96</v>
      </c>
      <c r="F19" s="17">
        <v>22778</v>
      </c>
      <c r="G19" s="17">
        <v>22966</v>
      </c>
      <c r="H19" s="17">
        <v>24996</v>
      </c>
      <c r="I19" s="17">
        <v>26792</v>
      </c>
      <c r="J19" s="17">
        <v>28081</v>
      </c>
    </row>
    <row r="20" spans="1:10" x14ac:dyDescent="0.2">
      <c r="A20" s="3" t="s">
        <v>23</v>
      </c>
      <c r="B20" s="10"/>
      <c r="C20" s="4"/>
      <c r="D20" s="4"/>
      <c r="E20" s="32"/>
    </row>
    <row r="21" spans="1:10" x14ac:dyDescent="0.2">
      <c r="B21" s="1" t="s">
        <v>47</v>
      </c>
      <c r="C21" s="25"/>
      <c r="D21" s="25"/>
      <c r="E21" s="32"/>
    </row>
    <row r="22" spans="1:10" x14ac:dyDescent="0.2">
      <c r="C22" s="25"/>
      <c r="D22" s="25"/>
      <c r="E22" s="32"/>
    </row>
    <row r="23" spans="1:10" x14ac:dyDescent="0.2">
      <c r="A23" s="12" t="s">
        <v>17</v>
      </c>
      <c r="C23" s="25"/>
      <c r="D23" s="25"/>
      <c r="E23" s="32"/>
    </row>
    <row r="24" spans="1:10" x14ac:dyDescent="0.2">
      <c r="B24" s="8" t="s">
        <v>11</v>
      </c>
      <c r="C24" s="9">
        <v>340577.64</v>
      </c>
      <c r="D24" s="9">
        <v>358780.04</v>
      </c>
      <c r="E24" s="33">
        <v>431120.55</v>
      </c>
      <c r="F24" s="9">
        <v>479329.05919999996</v>
      </c>
      <c r="G24" s="9">
        <v>489028.14218999998</v>
      </c>
      <c r="H24" s="9">
        <v>532136.98787507997</v>
      </c>
      <c r="I24" s="9">
        <v>570319.19179205864</v>
      </c>
      <c r="J24" s="9">
        <v>597716.8308729626</v>
      </c>
    </row>
    <row r="25" spans="1:10" x14ac:dyDescent="0.2">
      <c r="B25" s="8" t="s">
        <v>21</v>
      </c>
      <c r="C25" s="9">
        <v>198114.7935</v>
      </c>
      <c r="D25" s="9">
        <v>205820.37450000001</v>
      </c>
      <c r="E25" s="33">
        <v>239382.71174999999</v>
      </c>
      <c r="F25" s="9">
        <v>414249.67690547428</v>
      </c>
      <c r="G25" s="9">
        <v>417552.81301498268</v>
      </c>
      <c r="H25" s="9">
        <v>454467.35515341227</v>
      </c>
      <c r="I25" s="9">
        <v>487128.33449805633</v>
      </c>
      <c r="J25" s="9">
        <v>510567.65484224388</v>
      </c>
    </row>
    <row r="26" spans="1:10" x14ac:dyDescent="0.2">
      <c r="B26" s="8" t="s">
        <v>20</v>
      </c>
      <c r="C26" s="9">
        <v>102410.0025</v>
      </c>
      <c r="D26" s="9">
        <v>113892.246</v>
      </c>
      <c r="E26" s="33">
        <v>139933.37474999999</v>
      </c>
      <c r="F26" s="9">
        <v>8487.0611899192099</v>
      </c>
      <c r="G26" s="9">
        <v>8658.7943849806998</v>
      </c>
      <c r="H26" s="9">
        <v>9422.0850808685991</v>
      </c>
      <c r="I26" s="9">
        <v>10098.1440319996</v>
      </c>
      <c r="J26" s="9">
        <v>10583.2501086624</v>
      </c>
    </row>
    <row r="27" spans="1:10" x14ac:dyDescent="0.2">
      <c r="B27" s="8" t="s">
        <v>18</v>
      </c>
      <c r="C27" s="9">
        <v>7318</v>
      </c>
      <c r="D27" s="9">
        <v>6245.1800000000012</v>
      </c>
      <c r="E27" s="33">
        <v>10789.679999999998</v>
      </c>
      <c r="F27" s="9">
        <v>11983.226479999999</v>
      </c>
      <c r="G27" s="9">
        <v>12225.70355475</v>
      </c>
      <c r="H27" s="9">
        <v>13303.424696877</v>
      </c>
      <c r="I27" s="9">
        <v>14257.9797948015</v>
      </c>
      <c r="J27" s="9">
        <v>14942.9207718241</v>
      </c>
    </row>
    <row r="28" spans="1:10" x14ac:dyDescent="0.2">
      <c r="B28" s="8" t="s">
        <v>19</v>
      </c>
      <c r="C28" s="9">
        <v>7699.42</v>
      </c>
      <c r="D28" s="9">
        <v>8001.37</v>
      </c>
      <c r="E28" s="33">
        <v>9505.6299999999992</v>
      </c>
      <c r="F28" s="9">
        <v>9586.5811840000006</v>
      </c>
      <c r="G28" s="9">
        <v>9780.5628438000003</v>
      </c>
      <c r="H28" s="9">
        <v>10642.7397575016</v>
      </c>
      <c r="I28" s="9">
        <v>11406.383835841199</v>
      </c>
      <c r="J28" s="9">
        <v>11954.336617459299</v>
      </c>
    </row>
    <row r="29" spans="1:10" x14ac:dyDescent="0.2">
      <c r="E29" s="33"/>
      <c r="F29" s="9"/>
    </row>
    <row r="30" spans="1:10" x14ac:dyDescent="0.2">
      <c r="E30" s="33"/>
      <c r="F30" s="9"/>
    </row>
    <row r="31" spans="1:10" x14ac:dyDescent="0.2">
      <c r="A31" s="12" t="s">
        <v>53</v>
      </c>
      <c r="E31" s="33"/>
      <c r="F31" s="9"/>
    </row>
    <row r="32" spans="1:10" x14ac:dyDescent="0.2">
      <c r="B32" s="1" t="s">
        <v>54</v>
      </c>
      <c r="C32" s="4">
        <f>SUM(C6:C9) - SUM(C18:C19)</f>
        <v>76801.440000000002</v>
      </c>
      <c r="D32" s="4">
        <f t="shared" ref="D32:J32" si="0">SUM(D6:D9) - SUM(D18:D19)</f>
        <v>108761.78</v>
      </c>
      <c r="E32" s="33">
        <f t="shared" si="0"/>
        <v>104117.24</v>
      </c>
      <c r="F32" s="9">
        <f t="shared" si="0"/>
        <v>108685</v>
      </c>
      <c r="G32" s="4">
        <f t="shared" si="0"/>
        <v>111333</v>
      </c>
      <c r="H32" s="4">
        <f t="shared" si="0"/>
        <v>121138</v>
      </c>
      <c r="I32" s="4">
        <f t="shared" si="0"/>
        <v>129825</v>
      </c>
      <c r="J32" s="4">
        <f t="shared" si="0"/>
        <v>136059</v>
      </c>
    </row>
    <row r="33" spans="2:10" x14ac:dyDescent="0.2">
      <c r="B33" s="1" t="s">
        <v>55</v>
      </c>
      <c r="C33" s="4">
        <f>C24-C25-C26-C28</f>
        <v>32353.424000000014</v>
      </c>
      <c r="D33" s="4">
        <f t="shared" ref="D33:J33" si="1">D24-D25-D26-D28</f>
        <v>31066.049499999976</v>
      </c>
      <c r="E33" s="33">
        <f t="shared" si="1"/>
        <v>42298.833500000015</v>
      </c>
      <c r="F33" s="9">
        <f t="shared" si="1"/>
        <v>47005.739920606473</v>
      </c>
      <c r="G33" s="4">
        <f t="shared" si="1"/>
        <v>53035.971946236612</v>
      </c>
      <c r="H33" s="4">
        <f t="shared" si="1"/>
        <v>57604.807883297508</v>
      </c>
      <c r="I33" s="4">
        <f t="shared" si="1"/>
        <v>61686.329426161508</v>
      </c>
      <c r="J33" s="4">
        <f t="shared" si="1"/>
        <v>64611.58930459703</v>
      </c>
    </row>
    <row r="34" spans="2:10" x14ac:dyDescent="0.2">
      <c r="B34" s="35"/>
      <c r="C34" s="35"/>
      <c r="E34" s="33"/>
      <c r="F34" s="9"/>
    </row>
  </sheetData>
  <mergeCells count="2">
    <mergeCell ref="C2:E2"/>
    <mergeCell ref="F2:J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58FD2-9817-5840-9BCE-3CFD6B46A518}">
  <dimension ref="A1:J13"/>
  <sheetViews>
    <sheetView zoomScale="125" workbookViewId="0">
      <selection activeCell="A3" sqref="A3:J12"/>
    </sheetView>
  </sheetViews>
  <sheetFormatPr baseColWidth="10" defaultRowHeight="16" x14ac:dyDescent="0.2"/>
  <cols>
    <col min="1" max="1" width="14.5" style="8" bestFit="1" customWidth="1"/>
    <col min="2" max="2" width="17" style="8" bestFit="1" customWidth="1"/>
    <col min="3" max="3" width="21" style="8" bestFit="1" customWidth="1"/>
    <col min="4" max="4" width="19.75" style="8" bestFit="1" customWidth="1"/>
    <col min="5" max="5" width="10.5" style="8" bestFit="1" customWidth="1"/>
    <col min="6" max="6" width="19.75" style="8" bestFit="1" customWidth="1"/>
    <col min="7" max="7" width="18" style="8" bestFit="1" customWidth="1"/>
    <col min="8" max="8" width="13" style="8" customWidth="1"/>
    <col min="9" max="9" width="13.5" style="8" bestFit="1" customWidth="1"/>
    <col min="10" max="10" width="11.25" style="8" bestFit="1" customWidth="1"/>
    <col min="11" max="16384" width="10.75" style="8"/>
  </cols>
  <sheetData>
    <row r="1" spans="1:10" ht="25" x14ac:dyDescent="0.25">
      <c r="A1" s="24" t="s">
        <v>40</v>
      </c>
    </row>
    <row r="2" spans="1:10" ht="15" customHeight="1" x14ac:dyDescent="0.2">
      <c r="A2" s="34" t="s">
        <v>48</v>
      </c>
    </row>
    <row r="3" spans="1:10" ht="49" customHeight="1" x14ac:dyDescent="0.2">
      <c r="A3" s="21" t="s">
        <v>13</v>
      </c>
      <c r="B3" s="22" t="s">
        <v>36</v>
      </c>
      <c r="C3" s="22" t="s">
        <v>49</v>
      </c>
      <c r="D3" s="22" t="s">
        <v>37</v>
      </c>
      <c r="E3" s="22" t="s">
        <v>25</v>
      </c>
      <c r="F3" s="22" t="s">
        <v>11</v>
      </c>
      <c r="G3" s="22" t="s">
        <v>12</v>
      </c>
      <c r="H3" s="22" t="s">
        <v>26</v>
      </c>
      <c r="I3" s="22" t="s">
        <v>9</v>
      </c>
      <c r="J3" s="22" t="s">
        <v>10</v>
      </c>
    </row>
    <row r="4" spans="1:10" x14ac:dyDescent="0.2">
      <c r="A4" s="8" t="s">
        <v>30</v>
      </c>
      <c r="B4" s="23">
        <v>125441.55416666671</v>
      </c>
      <c r="C4" s="18">
        <v>420098.375</v>
      </c>
      <c r="D4" s="18">
        <v>219034.17139356965</v>
      </c>
      <c r="E4" s="8">
        <v>2.68</v>
      </c>
      <c r="F4" s="18">
        <v>2545057.9</v>
      </c>
      <c r="G4" s="18">
        <v>67679.240000000005</v>
      </c>
      <c r="H4" s="19">
        <v>6.6000000000000003E-2</v>
      </c>
      <c r="I4" s="19">
        <v>6.0679582181607697E-2</v>
      </c>
      <c r="J4" s="19">
        <v>4.3759637059730599E-2</v>
      </c>
    </row>
    <row r="5" spans="1:10" x14ac:dyDescent="0.2">
      <c r="A5" s="8" t="s">
        <v>29</v>
      </c>
      <c r="B5" s="23">
        <v>-91558.76</v>
      </c>
      <c r="C5" s="18">
        <v>1205795.25</v>
      </c>
      <c r="D5" s="18">
        <v>413808.38492080185</v>
      </c>
      <c r="E5" s="8">
        <v>1.94</v>
      </c>
      <c r="F5" s="18">
        <v>313555.69</v>
      </c>
      <c r="G5" s="18">
        <v>41923.06</v>
      </c>
      <c r="H5" s="19">
        <v>0.17799999999999999</v>
      </c>
      <c r="I5" s="19">
        <v>0.230902395679696</v>
      </c>
      <c r="J5" s="19">
        <v>0.22077832489660801</v>
      </c>
    </row>
    <row r="6" spans="1:10" x14ac:dyDescent="0.2">
      <c r="A6" s="8" t="s">
        <v>28</v>
      </c>
      <c r="B6" s="23">
        <v>171834.94291666624</v>
      </c>
      <c r="C6" s="18">
        <v>533462.75</v>
      </c>
      <c r="D6" s="18">
        <v>190865.67256992983</v>
      </c>
      <c r="E6" s="8">
        <v>1.92</v>
      </c>
      <c r="F6" s="18">
        <v>1322392.28</v>
      </c>
      <c r="G6" s="18">
        <v>64566.58</v>
      </c>
      <c r="H6" s="19">
        <v>0.112</v>
      </c>
      <c r="I6" s="19">
        <v>0.11484676090214301</v>
      </c>
      <c r="J6" s="19">
        <v>8.7879982178964297E-2</v>
      </c>
    </row>
    <row r="7" spans="1:10" x14ac:dyDescent="0.2">
      <c r="A7" s="8" t="s">
        <v>27</v>
      </c>
      <c r="B7" s="23">
        <v>82235.843750000073</v>
      </c>
      <c r="C7" s="18">
        <v>165559.625</v>
      </c>
      <c r="D7" s="18">
        <v>46702.018512694805</v>
      </c>
      <c r="E7" s="8">
        <v>1.1200000000000001</v>
      </c>
      <c r="F7" s="18">
        <v>552593.97</v>
      </c>
      <c r="G7" s="18">
        <v>27567.95</v>
      </c>
      <c r="H7" s="19">
        <v>4.5999999999999999E-2</v>
      </c>
      <c r="I7" s="19">
        <v>8.9029056904113502E-2</v>
      </c>
      <c r="J7" s="19">
        <v>6.9168814853336202E-2</v>
      </c>
    </row>
    <row r="8" spans="1:10" x14ac:dyDescent="0.2">
      <c r="A8" s="8" t="s">
        <v>31</v>
      </c>
      <c r="B8" s="23">
        <v>7653206.5784700001</v>
      </c>
      <c r="C8" s="18">
        <v>35303250</v>
      </c>
      <c r="D8" s="18">
        <v>25136195.32267756</v>
      </c>
      <c r="E8" s="8">
        <v>0.97</v>
      </c>
      <c r="F8" s="18">
        <v>15403547</v>
      </c>
      <c r="G8" s="18">
        <v>1433760</v>
      </c>
      <c r="H8" s="19">
        <v>7.9000000000000001E-2</v>
      </c>
      <c r="I8" s="19">
        <v>0.15989408153849199</v>
      </c>
      <c r="J8" s="19">
        <v>0.14103738573979099</v>
      </c>
    </row>
    <row r="9" spans="1:10" x14ac:dyDescent="0.2">
      <c r="A9" s="8" t="s">
        <v>32</v>
      </c>
      <c r="B9" s="23">
        <v>195540.13541666672</v>
      </c>
      <c r="C9" s="18">
        <v>570684.375</v>
      </c>
      <c r="D9" s="18">
        <v>490764.37766060245</v>
      </c>
      <c r="E9" s="8">
        <v>2.13</v>
      </c>
      <c r="F9" s="18">
        <v>1241529.04</v>
      </c>
      <c r="G9" s="18">
        <v>73123.820000000007</v>
      </c>
      <c r="H9" s="19">
        <v>0.10100000000000001</v>
      </c>
      <c r="I9" s="19">
        <v>0.10786249510522899</v>
      </c>
      <c r="J9" s="19">
        <v>9.3368996024450604E-2</v>
      </c>
    </row>
    <row r="10" spans="1:10" x14ac:dyDescent="0.2">
      <c r="A10" s="8" t="s">
        <v>33</v>
      </c>
      <c r="B10" s="23">
        <v>300550.13750000013</v>
      </c>
      <c r="C10" s="18">
        <v>1056033.25</v>
      </c>
      <c r="D10" s="18">
        <v>277288.2720745785</v>
      </c>
      <c r="E10" s="8">
        <v>1.27</v>
      </c>
      <c r="F10" s="18">
        <v>1614647.57</v>
      </c>
      <c r="G10" s="18">
        <v>112015.38400000001</v>
      </c>
      <c r="H10" s="19">
        <v>6.2E-2</v>
      </c>
      <c r="I10" s="19">
        <v>0.122125337853139</v>
      </c>
      <c r="J10" s="19">
        <v>0.104337214591045</v>
      </c>
    </row>
    <row r="11" spans="1:10" x14ac:dyDescent="0.2">
      <c r="A11" s="8" t="s">
        <v>34</v>
      </c>
      <c r="B11" s="23">
        <v>-97017.76</v>
      </c>
      <c r="C11" s="18">
        <v>1454875</v>
      </c>
      <c r="D11" s="18">
        <v>1317175.003216642</v>
      </c>
      <c r="E11" s="8">
        <v>1.01</v>
      </c>
      <c r="F11" s="18">
        <v>1176143.6100000001</v>
      </c>
      <c r="G11" s="18">
        <v>86156.41</v>
      </c>
      <c r="H11" s="19">
        <v>8.5000000000000006E-2</v>
      </c>
      <c r="I11" s="19">
        <v>0.126034362419399</v>
      </c>
      <c r="J11" s="19">
        <v>0.10797478209314899</v>
      </c>
    </row>
    <row r="12" spans="1:10" x14ac:dyDescent="0.2">
      <c r="A12" s="8" t="s">
        <v>35</v>
      </c>
      <c r="B12" s="23">
        <v>169579.43162125</v>
      </c>
      <c r="C12" s="18">
        <v>397708.75</v>
      </c>
      <c r="D12" s="18">
        <v>111179.62458732372</v>
      </c>
      <c r="E12" s="8">
        <v>0.98</v>
      </c>
      <c r="F12" s="18">
        <v>516182.44</v>
      </c>
      <c r="G12" s="18">
        <v>79169.919999999998</v>
      </c>
      <c r="H12" s="19">
        <v>0.14399999999999999</v>
      </c>
      <c r="I12" s="19">
        <v>0.20228355695323499</v>
      </c>
      <c r="J12" s="19">
        <v>0.198915290493028</v>
      </c>
    </row>
    <row r="13" spans="1:10" x14ac:dyDescent="0.2">
      <c r="H13" s="1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Solution</vt:lpstr>
      <vt:lpstr>Assumptions</vt:lpstr>
      <vt:lpstr>FM Athletic</vt:lpstr>
      <vt:lpstr>Comps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Mercury Athletic</dc:title>
  <dc:creator>Joel L. Heilprin</dc:creator>
  <cp:lastModifiedBy>Elliot Sykora</cp:lastModifiedBy>
  <cp:lastPrinted>2012-11-20T19:52:02Z</cp:lastPrinted>
  <dcterms:created xsi:type="dcterms:W3CDTF">2009-06-12T18:38:09Z</dcterms:created>
  <dcterms:modified xsi:type="dcterms:W3CDTF">2022-04-02T17:23:19Z</dcterms:modified>
</cp:coreProperties>
</file>