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spencerstires/Documents/"/>
    </mc:Choice>
  </mc:AlternateContent>
  <xr:revisionPtr revIDLastSave="0" documentId="13_ncr:1_{FC094F81-69C6-8143-BA4E-C8D176C3B170}" xr6:coauthVersionLast="47" xr6:coauthVersionMax="47" xr10:uidLastSave="{00000000-0000-0000-0000-000000000000}"/>
  <bookViews>
    <workbookView xWindow="10340" yWindow="500" windowWidth="18460" windowHeight="16600" xr2:uid="{00000000-000D-0000-FFFF-FFFF00000000}"/>
  </bookViews>
  <sheets>
    <sheet name="The Deal" sheetId="5" r:id="rId1"/>
    <sheet name="Basic Valuation" sheetId="6" r:id="rId2"/>
    <sheet name="CDS" sheetId="7" r:id="rId3"/>
    <sheet name="Media General"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8" i="11" l="1"/>
  <c r="D24" i="11"/>
  <c r="D20" i="11"/>
  <c r="D21" i="11" s="1"/>
  <c r="D47" i="11" s="1"/>
  <c r="I13" i="11" l="1"/>
  <c r="I14" i="11" s="1"/>
  <c r="D14" i="11"/>
  <c r="E14" i="11"/>
  <c r="D52" i="11"/>
  <c r="D57" i="11" s="1"/>
  <c r="H29" i="11"/>
  <c r="H14" i="11"/>
  <c r="G14" i="11"/>
  <c r="F14" i="11"/>
  <c r="D29" i="11"/>
  <c r="D30" i="11" s="1"/>
  <c r="E47" i="11" s="1"/>
  <c r="E29" i="11"/>
  <c r="E30" i="11" s="1"/>
  <c r="F29" i="11"/>
  <c r="F30" i="11" s="1"/>
  <c r="G29" i="11"/>
  <c r="G30" i="11" s="1"/>
  <c r="G46" i="6"/>
  <c r="F35" i="6"/>
  <c r="F36" i="6"/>
  <c r="H41" i="6"/>
  <c r="B47" i="6"/>
  <c r="B45" i="6"/>
  <c r="B63" i="6"/>
  <c r="B22" i="6"/>
  <c r="I26" i="6"/>
  <c r="B33" i="6"/>
  <c r="B11" i="6"/>
  <c r="J32" i="6" s="1"/>
  <c r="H35" i="6" s="1"/>
  <c r="F4" i="7"/>
  <c r="F5" i="7"/>
  <c r="F6" i="7"/>
  <c r="F7" i="7"/>
  <c r="F8" i="7"/>
  <c r="F9" i="7"/>
  <c r="F10" i="7"/>
  <c r="F18" i="7" s="1"/>
  <c r="I26" i="7"/>
  <c r="B32" i="7"/>
  <c r="B33" i="7" s="1"/>
  <c r="C32" i="7"/>
  <c r="C33" i="7" s="1"/>
  <c r="D32" i="7"/>
  <c r="E32" i="7"/>
  <c r="F32" i="7"/>
  <c r="D33" i="7"/>
  <c r="E33" i="7"/>
  <c r="F33" i="7"/>
  <c r="B35" i="7"/>
  <c r="C35" i="7"/>
  <c r="D35" i="7"/>
  <c r="E35" i="7"/>
  <c r="F35" i="7"/>
  <c r="B5" i="6"/>
  <c r="J17" i="6" s="1"/>
  <c r="B10" i="6"/>
  <c r="H17" i="6"/>
  <c r="C22" i="6"/>
  <c r="D22" i="6"/>
  <c r="E22" i="6"/>
  <c r="F22" i="6"/>
  <c r="C33" i="6"/>
  <c r="D33" i="6"/>
  <c r="E33" i="6"/>
  <c r="F33" i="6"/>
  <c r="J57" i="6"/>
  <c r="D57" i="6" s="1"/>
  <c r="D58" i="6" s="1"/>
  <c r="D59" i="6" s="1"/>
  <c r="D15" i="11" l="1"/>
  <c r="D16" i="11" s="1"/>
  <c r="F36" i="11"/>
  <c r="G52" i="11"/>
  <c r="G47" i="11"/>
  <c r="F31" i="11"/>
  <c r="I29" i="11"/>
  <c r="H30" i="11"/>
  <c r="H47" i="11"/>
  <c r="G36" i="11"/>
  <c r="H52" i="11"/>
  <c r="G31" i="11"/>
  <c r="F47" i="11"/>
  <c r="E31" i="11"/>
  <c r="E36" i="11"/>
  <c r="F52" i="11"/>
  <c r="E52" i="11"/>
  <c r="E57" i="11" s="1"/>
  <c r="D31" i="11"/>
  <c r="D36" i="11"/>
  <c r="F34" i="6"/>
  <c r="E34" i="6"/>
  <c r="B34" i="6"/>
  <c r="C34" i="6"/>
  <c r="D34" i="6"/>
  <c r="B62" i="6"/>
  <c r="B57" i="6"/>
  <c r="B58" i="6" s="1"/>
  <c r="B59" i="6" s="1"/>
  <c r="B36" i="6"/>
  <c r="C46" i="6" s="1"/>
  <c r="B46" i="6"/>
  <c r="F48" i="7"/>
  <c r="C57" i="6"/>
  <c r="C58" i="6" s="1"/>
  <c r="C59" i="6" s="1"/>
  <c r="C18" i="7"/>
  <c r="C48" i="7" s="1"/>
  <c r="B18" i="7"/>
  <c r="E18" i="7"/>
  <c r="C28" i="7"/>
  <c r="C41" i="7" s="1"/>
  <c r="D18" i="7"/>
  <c r="F28" i="7"/>
  <c r="F41" i="7" s="1"/>
  <c r="E57" i="6"/>
  <c r="E58" i="6" s="1"/>
  <c r="E59" i="6" s="1"/>
  <c r="F57" i="6"/>
  <c r="F58" i="6" s="1"/>
  <c r="F59" i="6" s="1"/>
  <c r="H57" i="11" l="1"/>
  <c r="G57" i="11"/>
  <c r="I30" i="11"/>
  <c r="I47" i="11"/>
  <c r="H36" i="11"/>
  <c r="I52" i="11"/>
  <c r="H31" i="11"/>
  <c r="F57" i="11"/>
  <c r="C36" i="6"/>
  <c r="D46" i="6" s="1"/>
  <c r="D36" i="6"/>
  <c r="E46" i="6" s="1"/>
  <c r="E36" i="6"/>
  <c r="E28" i="7"/>
  <c r="E41" i="7" s="1"/>
  <c r="E48" i="7"/>
  <c r="B48" i="7"/>
  <c r="B17" i="7"/>
  <c r="D48" i="7"/>
  <c r="D28" i="7"/>
  <c r="D41" i="7" s="1"/>
  <c r="B28" i="7"/>
  <c r="B41" i="7" s="1"/>
  <c r="J52" i="11" l="1"/>
  <c r="D53" i="11" s="1"/>
  <c r="D54" i="11"/>
  <c r="I57" i="11"/>
  <c r="J47" i="11"/>
  <c r="J57" i="11" s="1"/>
  <c r="D59" i="11" s="1"/>
  <c r="I31" i="11"/>
  <c r="D32" i="11" s="1"/>
  <c r="I36" i="11"/>
  <c r="D37" i="11" s="1"/>
  <c r="F46" i="6"/>
  <c r="B64" i="6"/>
  <c r="C17" i="7"/>
  <c r="B19" i="7"/>
  <c r="B46" i="7" s="1"/>
  <c r="B49" i="7" s="1"/>
  <c r="B27" i="7"/>
  <c r="B29" i="7" s="1"/>
  <c r="B39" i="7" s="1"/>
  <c r="B42" i="7" s="1"/>
  <c r="D58" i="11" l="1"/>
  <c r="D48" i="11"/>
  <c r="D62" i="11" s="1"/>
  <c r="E39" i="11"/>
  <c r="D49" i="11"/>
  <c r="C63" i="6"/>
  <c r="D63" i="6" s="1"/>
  <c r="E63" i="6" s="1"/>
  <c r="B51" i="6"/>
  <c r="D17" i="7"/>
  <c r="C19" i="7"/>
  <c r="C46" i="7" s="1"/>
  <c r="C49" i="7" s="1"/>
  <c r="C50" i="7" s="1"/>
  <c r="C27" i="7"/>
  <c r="C29" i="7" s="1"/>
  <c r="C39" i="7" s="1"/>
  <c r="C42" i="7" s="1"/>
  <c r="C43" i="7" s="1"/>
  <c r="B43" i="7"/>
  <c r="B50" i="7"/>
  <c r="E17" i="7" l="1"/>
  <c r="D19" i="7"/>
  <c r="D46" i="7" s="1"/>
  <c r="D49" i="7" s="1"/>
  <c r="D27" i="7"/>
  <c r="D29" i="7" s="1"/>
  <c r="D39" i="7" s="1"/>
  <c r="D42" i="7" s="1"/>
  <c r="D50" i="7" l="1"/>
  <c r="D43" i="7"/>
  <c r="F17" i="7"/>
  <c r="E19" i="7"/>
  <c r="E46" i="7" s="1"/>
  <c r="E49" i="7" s="1"/>
  <c r="E50" i="7" s="1"/>
  <c r="E27" i="7"/>
  <c r="E29" i="7" s="1"/>
  <c r="E39" i="7" s="1"/>
  <c r="E42" i="7" s="1"/>
  <c r="E43" i="7" s="1"/>
  <c r="F19" i="7" l="1"/>
  <c r="F27" i="7"/>
  <c r="F29" i="7" s="1"/>
  <c r="F39" i="7" l="1"/>
  <c r="F40" i="7"/>
  <c r="F47" i="7"/>
  <c r="F46" i="7"/>
  <c r="B17" i="6" l="1"/>
  <c r="F49" i="7"/>
  <c r="F50" i="7" s="1"/>
  <c r="F42" i="7"/>
  <c r="B19" i="6" l="1"/>
  <c r="B23" i="6" s="1"/>
  <c r="B18" i="6"/>
  <c r="B25" i="6" s="1"/>
  <c r="C17" i="6"/>
  <c r="B26" i="6"/>
  <c r="B63" i="7"/>
  <c r="C63" i="7" s="1"/>
  <c r="F43" i="7"/>
  <c r="B58" i="7"/>
  <c r="C58" i="7" s="1"/>
  <c r="C19" i="6" l="1"/>
  <c r="C23" i="6" s="1"/>
  <c r="C18" i="6"/>
  <c r="C25" i="6" s="1"/>
  <c r="D17" i="6"/>
  <c r="C45" i="6"/>
  <c r="B42" i="6"/>
  <c r="C47" i="6" s="1"/>
  <c r="D19" i="6" l="1"/>
  <c r="D23" i="6" s="1"/>
  <c r="D18" i="6"/>
  <c r="D25" i="6" s="1"/>
  <c r="C26" i="6"/>
  <c r="E17" i="6"/>
  <c r="E19" i="6" l="1"/>
  <c r="E23" i="6" s="1"/>
  <c r="E18" i="6"/>
  <c r="E25" i="6" s="1"/>
  <c r="C42" i="6"/>
  <c r="D47" i="6" s="1"/>
  <c r="D45" i="6"/>
  <c r="D26" i="6"/>
  <c r="E26" i="6" l="1"/>
  <c r="E45" i="6"/>
  <c r="D42" i="6"/>
  <c r="E47" i="6" s="1"/>
  <c r="E42" i="6"/>
  <c r="F47" i="6" s="1"/>
  <c r="F45" i="6"/>
  <c r="F17" i="6" l="1"/>
  <c r="F19" i="6" l="1"/>
  <c r="F18" i="6"/>
  <c r="F25" i="6" s="1"/>
  <c r="F24" i="6"/>
  <c r="F23" i="6"/>
  <c r="F26" i="6" l="1"/>
  <c r="C62" i="6" l="1"/>
  <c r="D62" i="6" s="1"/>
  <c r="E62" i="6" s="1"/>
  <c r="G45" i="6"/>
  <c r="B50" i="6" s="1"/>
  <c r="F42" i="6"/>
  <c r="G47" i="6" l="1"/>
  <c r="B52" i="6" s="1"/>
  <c r="A87" i="6" s="1"/>
  <c r="C64" i="6"/>
  <c r="D64" i="6" s="1"/>
  <c r="E64" i="6" s="1"/>
  <c r="A73" i="6" s="1"/>
</calcChain>
</file>

<file path=xl/sharedStrings.xml><?xml version="1.0" encoding="utf-8"?>
<sst xmlns="http://schemas.openxmlformats.org/spreadsheetml/2006/main" count="179" uniqueCount="131">
  <si>
    <t>Tax Rate</t>
  </si>
  <si>
    <t>FCF</t>
  </si>
  <si>
    <t>IRR</t>
  </si>
  <si>
    <t>PV</t>
  </si>
  <si>
    <t>DR</t>
  </si>
  <si>
    <t>Debt</t>
  </si>
  <si>
    <t>Interest</t>
  </si>
  <si>
    <t>NPV</t>
  </si>
  <si>
    <t>Year</t>
  </si>
  <si>
    <t>Q1</t>
  </si>
  <si>
    <t>beta</t>
  </si>
  <si>
    <t>default rate</t>
  </si>
  <si>
    <t>Survival rate</t>
  </si>
  <si>
    <t>2.6 NPV and Equity IRR change for alternate assumptions of the asset beta and the probability of default</t>
  </si>
  <si>
    <t>Equity</t>
  </si>
  <si>
    <t>Citi debt</t>
  </si>
  <si>
    <t>Total assets</t>
  </si>
  <si>
    <t>Actual NPV in Billion</t>
  </si>
  <si>
    <t>NPV per $100</t>
  </si>
  <si>
    <t>PV  per $100</t>
  </si>
  <si>
    <t>Acquisition price per $100</t>
  </si>
  <si>
    <t>reciprocal of DF</t>
  </si>
  <si>
    <t>Discount factor</t>
  </si>
  <si>
    <t>Asset discounted rate</t>
  </si>
  <si>
    <t>risk premium</t>
  </si>
  <si>
    <t>market risk premium</t>
  </si>
  <si>
    <t>2.5  NPV</t>
  </si>
  <si>
    <t>Equity expected CF</t>
  </si>
  <si>
    <t>LIBOR Forward</t>
  </si>
  <si>
    <t>Equity acquisition price</t>
  </si>
  <si>
    <t>2.4  Report the loan portfolio's IRR</t>
  </si>
  <si>
    <t>scheduled CF</t>
  </si>
  <si>
    <t>scheduled interest payments</t>
  </si>
  <si>
    <t>interest rate</t>
  </si>
  <si>
    <t>interest spread</t>
  </si>
  <si>
    <t>Face Value</t>
  </si>
  <si>
    <t>2.3  Per $100 face value, report the schedule of cash flows owed to Citi for their debt financing of the acquisition</t>
  </si>
  <si>
    <t xml:space="preserve">Average recovery </t>
  </si>
  <si>
    <t>Unsecured Notes</t>
  </si>
  <si>
    <t>Loans</t>
  </si>
  <si>
    <t>Recovery rate</t>
  </si>
  <si>
    <t>Ratio</t>
  </si>
  <si>
    <t>survival rate</t>
  </si>
  <si>
    <t>cumulative default rate</t>
  </si>
  <si>
    <t>Acqusition price</t>
  </si>
  <si>
    <t>2.2  Per $100 face value, report the schedule of expected cash flows from the loan portfolio</t>
  </si>
  <si>
    <t>Equity portion (B&amp;T)</t>
  </si>
  <si>
    <t>Debt funding(B)</t>
  </si>
  <si>
    <t>Equity funding(B)</t>
  </si>
  <si>
    <t>acquisition per $100 face value</t>
  </si>
  <si>
    <t>Transaction value(B)</t>
  </si>
  <si>
    <t>Total face value(B)</t>
  </si>
  <si>
    <t>total porfolio</t>
  </si>
  <si>
    <t xml:space="preserve"> NPV in billion</t>
  </si>
  <si>
    <t>b) using unsecured notes default rate and unsecured notes recovery for total portfolio</t>
  </si>
  <si>
    <t>a) using weighted default rate but unsecured notes recovery for total portfolio</t>
  </si>
  <si>
    <t>3.3 Re-calculate the NPV of the total portfolio assets using the revised expected cash flows calculated above.</t>
  </si>
  <si>
    <t>Expected CF in billion</t>
  </si>
  <si>
    <t>Expected CF per 100$</t>
  </si>
  <si>
    <t>Default recovery CF per $100</t>
  </si>
  <si>
    <t>expected principal per $100</t>
  </si>
  <si>
    <t>scheduled interest per $100</t>
  </si>
  <si>
    <t>Weighted default rates for the portfolio</t>
  </si>
  <si>
    <t>Default rates for Loans</t>
  </si>
  <si>
    <t>Default rates for unsecures notes</t>
  </si>
  <si>
    <t>3.2 Re-calculate the expected cash flows generated by the portfolio assets, using CDS-implied default probabilities and the recovery rate for the Senior Unsecured Notes</t>
  </si>
  <si>
    <t xml:space="preserve">Total | Weighted Avg </t>
  </si>
  <si>
    <t xml:space="preserve">Harrah's Sr. Notes </t>
  </si>
  <si>
    <t xml:space="preserve">Flextronics (unsecured) </t>
  </si>
  <si>
    <t>First Data - Senior Sub Notes</t>
  </si>
  <si>
    <t xml:space="preserve">First Data - Senior PIK Notes </t>
  </si>
  <si>
    <t xml:space="preserve">First Data - Senior Notes </t>
  </si>
  <si>
    <t xml:space="preserve">Alltel - Senior Notes </t>
  </si>
  <si>
    <t>Recovery rates</t>
  </si>
  <si>
    <t>probability of default</t>
  </si>
  <si>
    <t>CDS (March 2008)</t>
  </si>
  <si>
    <t xml:space="preserve">LIBOR Spread </t>
  </si>
  <si>
    <t xml:space="preserve">Portfolio Weight </t>
  </si>
  <si>
    <t xml:space="preserve">Face Value </t>
  </si>
  <si>
    <t>3.1 Report the CDS-implied (risk-neutral) probability of default for each unsecured debt, as well as the weighted-average.</t>
  </si>
  <si>
    <t>Debt portion (Citi)</t>
  </si>
  <si>
    <t>expected interest payments</t>
  </si>
  <si>
    <t>Total expected CF</t>
  </si>
  <si>
    <t>scheduled principal</t>
  </si>
  <si>
    <t>credit spread</t>
  </si>
  <si>
    <t>2.1  Per $100 face value, report the acquisition price and portion of acquisition price funded by Blackstone &amp; TPG, and Citi</t>
  </si>
  <si>
    <t>expected recovery payments</t>
  </si>
  <si>
    <t>expected principal repayment</t>
  </si>
  <si>
    <t>Citi portion</t>
  </si>
  <si>
    <t>Purchase Price</t>
  </si>
  <si>
    <t>Interest spread</t>
  </si>
  <si>
    <t>Total Asset CFs</t>
  </si>
  <si>
    <t>Debt (Citi) CFs</t>
  </si>
  <si>
    <t>Equity (BS&amp;TPG) CFs</t>
  </si>
  <si>
    <t>Acquisition Price</t>
  </si>
  <si>
    <t>Reciprocal of DF</t>
  </si>
  <si>
    <t>Choose:</t>
  </si>
  <si>
    <t>DR:</t>
  </si>
  <si>
    <t>NPV (in billions)</t>
  </si>
  <si>
    <t>g</t>
  </si>
  <si>
    <t>Rm</t>
  </si>
  <si>
    <t>Rf</t>
  </si>
  <si>
    <t>Beta_A</t>
  </si>
  <si>
    <t>DFCF</t>
  </si>
  <si>
    <t>Warrants Value</t>
  </si>
  <si>
    <t>Financing Value</t>
  </si>
  <si>
    <t>Net</t>
  </si>
  <si>
    <t>Implied Purchase Price</t>
  </si>
  <si>
    <t>Target We</t>
  </si>
  <si>
    <t>Target Wd</t>
  </si>
  <si>
    <t>Interest Rate (B)</t>
  </si>
  <si>
    <t>DCF</t>
  </si>
  <si>
    <t>Alternate DCF</t>
  </si>
  <si>
    <t>CF_A</t>
  </si>
  <si>
    <t>CF_D</t>
  </si>
  <si>
    <t>CF_E</t>
  </si>
  <si>
    <t>Tampa Tribune Value</t>
  </si>
  <si>
    <t>Simple Average of A.H. Belo and Gannett Asset Betas</t>
  </si>
  <si>
    <t>1. Calculate the APV valuation of the newspapers. Given we already have the LOOP valuation, this simply requires valuing the interest-tax-shields.</t>
  </si>
  <si>
    <t>(a) How much does the APV valuation differ if we discount the tax shields using the debt discount rate versus the asset discount rate?</t>
  </si>
  <si>
    <t>Difference between methods</t>
  </si>
  <si>
    <t>2. Suppose that</t>
  </si>
  <si>
    <t>• at the end of the forecast horizon, Berkshire sells the newspapers for a price equal to the (previously) estimated Terminal Value, at which point they repay the face value of the debt.</t>
  </si>
  <si>
    <t>• all FCF beyond those needed to pay interest on the debt are distributed as dividends to equity holders.</t>
  </si>
  <si>
    <t>a) What is the total (asset) IRR of the deal? And the NPV?</t>
  </si>
  <si>
    <t>(b) What is the IRR to debt-holders? And the NPV to debt-holders?</t>
  </si>
  <si>
    <t>(c) What is the IRR to equity-holders (i.e. Berkshire)? And the NPV-to-equity?</t>
  </si>
  <si>
    <t>Debt discount rate</t>
  </si>
  <si>
    <t>Implied Equity discount rate (GoalSeek)</t>
  </si>
  <si>
    <t>&lt;-- Set to 2</t>
  </si>
  <si>
    <t>Assuming Constant Default Rate for simplicity (Choose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</si>
</sst>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164" formatCode="0.0%"/>
    <numFmt numFmtId="170" formatCode="&quot;$&quot;#,##0.00"/>
    <numFmt numFmtId="182" formatCode="0.000%"/>
    <numFmt numFmtId="187" formatCode="0.000000000000000%"/>
  </numFmts>
  <fonts count="10"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8"/>
      <color theme="1"/>
      <name val="Times New Roman"/>
      <family val="2"/>
    </font>
    <font>
      <sz val="12"/>
      <color theme="1"/>
      <name val="Georgia"/>
      <family val="1"/>
    </font>
    <font>
      <sz val="14"/>
      <color theme="1"/>
      <name val="Calibri"/>
      <family val="2"/>
      <scheme val="minor"/>
    </font>
    <font>
      <b/>
      <sz val="14"/>
      <name val="Calibri"/>
      <family val="2"/>
      <scheme val="minor"/>
    </font>
    <font>
      <sz val="14"/>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s>
  <borders count="7">
    <border>
      <left/>
      <right/>
      <top/>
      <bottom/>
      <diagonal/>
    </border>
    <border>
      <left/>
      <right/>
      <top/>
      <bottom style="thin">
        <color auto="1"/>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4" fontId="2" fillId="0" borderId="0" applyFont="0" applyFill="0" applyBorder="0" applyAlignment="0" applyProtection="0"/>
    <xf numFmtId="9" fontId="2" fillId="0" borderId="0" applyFont="0" applyFill="0" applyBorder="0" applyAlignment="0" applyProtection="0"/>
    <xf numFmtId="0" fontId="4" fillId="0" borderId="0"/>
    <xf numFmtId="0" fontId="1" fillId="0" borderId="0"/>
  </cellStyleXfs>
  <cellXfs count="96">
    <xf numFmtId="0" fontId="0" fillId="0" borderId="0" xfId="0"/>
    <xf numFmtId="2" fontId="0" fillId="0" borderId="0" xfId="0" applyNumberFormat="1"/>
    <xf numFmtId="0" fontId="3" fillId="0" borderId="0" xfId="0" applyFont="1"/>
    <xf numFmtId="164" fontId="0" fillId="0" borderId="0" xfId="2" applyNumberFormat="1" applyFont="1"/>
    <xf numFmtId="0" fontId="5" fillId="0" borderId="0" xfId="4" applyFont="1"/>
    <xf numFmtId="0" fontId="6" fillId="0" borderId="0" xfId="4" applyFont="1"/>
    <xf numFmtId="9" fontId="6" fillId="0" borderId="0" xfId="4" applyNumberFormat="1" applyFont="1"/>
    <xf numFmtId="8" fontId="6" fillId="0" borderId="0" xfId="4" applyNumberFormat="1" applyFont="1"/>
    <xf numFmtId="2" fontId="6" fillId="0" borderId="0" xfId="4" applyNumberFormat="1" applyFont="1"/>
    <xf numFmtId="0" fontId="6" fillId="0" borderId="0" xfId="4" applyFont="1" applyAlignment="1">
      <alignment horizontal="right"/>
    </xf>
    <xf numFmtId="9" fontId="6" fillId="0" borderId="0" xfId="4" applyNumberFormat="1" applyFont="1" applyAlignment="1">
      <alignment horizontal="right"/>
    </xf>
    <xf numFmtId="0" fontId="6" fillId="2" borderId="2" xfId="4" applyFont="1" applyFill="1" applyBorder="1" applyAlignment="1">
      <alignment horizontal="right"/>
    </xf>
    <xf numFmtId="0" fontId="6" fillId="2" borderId="0" xfId="4" applyFont="1" applyFill="1" applyAlignment="1">
      <alignment horizontal="right"/>
    </xf>
    <xf numFmtId="0" fontId="6" fillId="2" borderId="3" xfId="4" applyFont="1" applyFill="1" applyBorder="1" applyAlignment="1">
      <alignment horizontal="right"/>
    </xf>
    <xf numFmtId="0" fontId="6" fillId="2" borderId="2" xfId="4" applyFont="1" applyFill="1" applyBorder="1"/>
    <xf numFmtId="0" fontId="6" fillId="2" borderId="0" xfId="4" applyFont="1" applyFill="1"/>
    <xf numFmtId="0" fontId="6" fillId="2" borderId="3" xfId="4" applyFont="1" applyFill="1" applyBorder="1"/>
    <xf numFmtId="40" fontId="6" fillId="2" borderId="2" xfId="4" applyNumberFormat="1" applyFont="1" applyFill="1" applyBorder="1"/>
    <xf numFmtId="170" fontId="6" fillId="0" borderId="2" xfId="4" applyNumberFormat="1" applyFont="1" applyBorder="1"/>
    <xf numFmtId="0" fontId="6" fillId="0" borderId="2" xfId="4" applyFont="1" applyBorder="1"/>
    <xf numFmtId="40" fontId="6" fillId="2" borderId="0" xfId="4" applyNumberFormat="1" applyFont="1" applyFill="1"/>
    <xf numFmtId="170" fontId="6" fillId="0" borderId="0" xfId="4" applyNumberFormat="1" applyFont="1"/>
    <xf numFmtId="0" fontId="6" fillId="0" borderId="3" xfId="4" applyFont="1" applyBorder="1"/>
    <xf numFmtId="0" fontId="6" fillId="0" borderId="3" xfId="4" applyFont="1" applyBorder="1" applyAlignment="1">
      <alignment horizontal="right"/>
    </xf>
    <xf numFmtId="10" fontId="6" fillId="0" borderId="1" xfId="4" applyNumberFormat="1" applyFont="1" applyBorder="1" applyAlignment="1">
      <alignment horizontal="center"/>
    </xf>
    <xf numFmtId="9" fontId="6" fillId="0" borderId="1" xfId="4" applyNumberFormat="1" applyFont="1" applyBorder="1" applyAlignment="1">
      <alignment horizontal="center"/>
    </xf>
    <xf numFmtId="2" fontId="6" fillId="0" borderId="1" xfId="4" applyNumberFormat="1" applyFont="1" applyBorder="1" applyAlignment="1">
      <alignment horizontal="center"/>
    </xf>
    <xf numFmtId="10" fontId="6" fillId="0" borderId="0" xfId="4" applyNumberFormat="1" applyFont="1"/>
    <xf numFmtId="10" fontId="6" fillId="2" borderId="2" xfId="4" applyNumberFormat="1" applyFont="1" applyFill="1" applyBorder="1"/>
    <xf numFmtId="10" fontId="6" fillId="2" borderId="0" xfId="4" applyNumberFormat="1" applyFont="1" applyFill="1"/>
    <xf numFmtId="170" fontId="6" fillId="2" borderId="2" xfId="4" applyNumberFormat="1" applyFont="1" applyFill="1" applyBorder="1"/>
    <xf numFmtId="170" fontId="6" fillId="0" borderId="1" xfId="4" applyNumberFormat="1" applyFont="1" applyBorder="1" applyAlignment="1">
      <alignment horizontal="center" vertical="center"/>
    </xf>
    <xf numFmtId="0" fontId="6" fillId="0" borderId="4" xfId="4" applyFont="1" applyBorder="1" applyAlignment="1">
      <alignment horizontal="center" vertical="center"/>
    </xf>
    <xf numFmtId="0" fontId="6" fillId="0" borderId="0" xfId="4" applyFont="1" applyAlignment="1">
      <alignment horizontal="center" vertical="center"/>
    </xf>
    <xf numFmtId="170" fontId="6" fillId="2" borderId="0" xfId="4" applyNumberFormat="1" applyFont="1" applyFill="1"/>
    <xf numFmtId="170" fontId="6" fillId="2" borderId="4" xfId="4" applyNumberFormat="1" applyFont="1" applyFill="1" applyBorder="1"/>
    <xf numFmtId="0" fontId="6" fillId="2" borderId="4" xfId="4" applyFont="1" applyFill="1" applyBorder="1" applyAlignment="1">
      <alignment horizontal="right"/>
    </xf>
    <xf numFmtId="10" fontId="6" fillId="0" borderId="1" xfId="4" applyNumberFormat="1" applyFont="1" applyBorder="1" applyAlignment="1">
      <alignment horizontal="center" vertical="center"/>
    </xf>
    <xf numFmtId="0" fontId="6" fillId="0" borderId="2" xfId="4" applyFont="1" applyBorder="1" applyAlignment="1">
      <alignment horizontal="center" vertical="center"/>
    </xf>
    <xf numFmtId="9" fontId="6" fillId="0" borderId="2" xfId="4" applyNumberFormat="1" applyFont="1" applyBorder="1" applyAlignment="1">
      <alignment horizontal="center" vertical="center"/>
    </xf>
    <xf numFmtId="0" fontId="6" fillId="0" borderId="5" xfId="4" applyFont="1" applyBorder="1" applyAlignment="1">
      <alignment horizontal="center" vertical="center"/>
    </xf>
    <xf numFmtId="170" fontId="6" fillId="2" borderId="5" xfId="4" applyNumberFormat="1" applyFont="1" applyFill="1" applyBorder="1"/>
    <xf numFmtId="0" fontId="6" fillId="2" borderId="5" xfId="4" applyFont="1" applyFill="1" applyBorder="1" applyAlignment="1">
      <alignment horizontal="right"/>
    </xf>
    <xf numFmtId="10" fontId="6" fillId="0" borderId="0" xfId="4" applyNumberFormat="1" applyFont="1" applyAlignment="1">
      <alignment horizontal="center" vertical="center"/>
    </xf>
    <xf numFmtId="9" fontId="6" fillId="0" borderId="0" xfId="4" applyNumberFormat="1" applyFont="1" applyAlignment="1">
      <alignment horizontal="center" vertical="center"/>
    </xf>
    <xf numFmtId="0" fontId="6" fillId="0" borderId="3" xfId="4" applyFont="1" applyBorder="1" applyAlignment="1">
      <alignment horizontal="center" vertical="center"/>
    </xf>
    <xf numFmtId="10" fontId="6" fillId="0" borderId="1" xfId="4" applyNumberFormat="1" applyFont="1" applyBorder="1"/>
    <xf numFmtId="0" fontId="6" fillId="0" borderId="1" xfId="4" applyFont="1" applyBorder="1" applyAlignment="1">
      <alignment horizontal="right"/>
    </xf>
    <xf numFmtId="170" fontId="6" fillId="0" borderId="2" xfId="4" applyNumberFormat="1" applyFont="1" applyBorder="1" applyAlignment="1">
      <alignment horizontal="center" vertical="center"/>
    </xf>
    <xf numFmtId="10" fontId="6" fillId="0" borderId="2" xfId="4" applyNumberFormat="1" applyFont="1" applyBorder="1" applyAlignment="1">
      <alignment horizontal="center" vertical="center"/>
    </xf>
    <xf numFmtId="10" fontId="6" fillId="0" borderId="4" xfId="4" applyNumberFormat="1" applyFont="1" applyBorder="1"/>
    <xf numFmtId="0" fontId="6" fillId="0" borderId="4" xfId="4" applyFont="1" applyBorder="1" applyAlignment="1">
      <alignment horizontal="right"/>
    </xf>
    <xf numFmtId="2" fontId="6" fillId="2" borderId="0" xfId="4" applyNumberFormat="1" applyFont="1" applyFill="1"/>
    <xf numFmtId="2" fontId="6" fillId="2" borderId="2" xfId="4" applyNumberFormat="1" applyFont="1" applyFill="1" applyBorder="1" applyAlignment="1">
      <alignment horizontal="right"/>
    </xf>
    <xf numFmtId="170" fontId="6" fillId="2" borderId="2" xfId="4" applyNumberFormat="1" applyFont="1" applyFill="1" applyBorder="1" applyAlignment="1">
      <alignment horizontal="right"/>
    </xf>
    <xf numFmtId="0" fontId="6" fillId="2" borderId="4" xfId="4" applyFont="1" applyFill="1" applyBorder="1"/>
    <xf numFmtId="4" fontId="6" fillId="2" borderId="2" xfId="4" applyNumberFormat="1" applyFont="1" applyFill="1" applyBorder="1"/>
    <xf numFmtId="170" fontId="6" fillId="0" borderId="4" xfId="4" applyNumberFormat="1" applyFont="1" applyBorder="1"/>
    <xf numFmtId="0" fontId="6" fillId="0" borderId="4" xfId="4" applyFont="1" applyBorder="1"/>
    <xf numFmtId="10" fontId="6" fillId="0" borderId="2" xfId="4" applyNumberFormat="1" applyFont="1" applyBorder="1"/>
    <xf numFmtId="0" fontId="6" fillId="0" borderId="1" xfId="4" applyFont="1" applyBorder="1" applyAlignment="1">
      <alignment horizontal="left"/>
    </xf>
    <xf numFmtId="0" fontId="6" fillId="0" borderId="0" xfId="4" applyFont="1" applyAlignment="1">
      <alignment horizontal="left"/>
    </xf>
    <xf numFmtId="10" fontId="7" fillId="2" borderId="6" xfId="4" applyNumberFormat="1" applyFont="1" applyFill="1" applyBorder="1"/>
    <xf numFmtId="4" fontId="6" fillId="0" borderId="2" xfId="4" applyNumberFormat="1" applyFont="1" applyBorder="1"/>
    <xf numFmtId="10" fontId="8" fillId="2" borderId="0" xfId="4" applyNumberFormat="1" applyFont="1" applyFill="1"/>
    <xf numFmtId="0" fontId="8" fillId="2" borderId="3" xfId="4" applyFont="1" applyFill="1" applyBorder="1"/>
    <xf numFmtId="0" fontId="6" fillId="0" borderId="0" xfId="4" applyFont="1" applyAlignment="1">
      <alignment wrapText="1"/>
    </xf>
    <xf numFmtId="10" fontId="0" fillId="0" borderId="0" xfId="0" applyNumberFormat="1"/>
    <xf numFmtId="0" fontId="6" fillId="3" borderId="0" xfId="4" applyFont="1" applyFill="1" applyAlignment="1">
      <alignment horizontal="left" wrapText="1"/>
    </xf>
    <xf numFmtId="0" fontId="6" fillId="0" borderId="0" xfId="4" applyFont="1" applyAlignment="1">
      <alignment horizontal="center"/>
    </xf>
    <xf numFmtId="0" fontId="6" fillId="0" borderId="0" xfId="4" applyFont="1" applyAlignment="1">
      <alignment horizontal="left"/>
    </xf>
    <xf numFmtId="0" fontId="6" fillId="0" borderId="3" xfId="4" applyFont="1" applyBorder="1" applyAlignment="1">
      <alignment horizontal="center"/>
    </xf>
    <xf numFmtId="0" fontId="6" fillId="4" borderId="0" xfId="4" applyFont="1" applyFill="1" applyAlignment="1">
      <alignment horizontal="center"/>
    </xf>
    <xf numFmtId="0" fontId="6" fillId="4" borderId="0" xfId="4" applyFont="1" applyFill="1" applyAlignment="1">
      <alignment horizontal="left"/>
    </xf>
    <xf numFmtId="0" fontId="6" fillId="4" borderId="0" xfId="4" applyFont="1" applyFill="1" applyAlignment="1">
      <alignment horizontal="left" wrapText="1"/>
    </xf>
    <xf numFmtId="0" fontId="6" fillId="0" borderId="2" xfId="4" applyFont="1" applyBorder="1" applyAlignment="1">
      <alignment horizontal="right"/>
    </xf>
    <xf numFmtId="0" fontId="6" fillId="0" borderId="3" xfId="4" applyFont="1" applyBorder="1" applyAlignment="1">
      <alignment horizontal="center" vertical="center" wrapText="1"/>
    </xf>
    <xf numFmtId="0" fontId="6" fillId="2" borderId="3" xfId="4" applyFont="1" applyFill="1" applyBorder="1" applyAlignment="1">
      <alignment horizontal="center" vertical="center" wrapText="1"/>
    </xf>
    <xf numFmtId="0" fontId="6" fillId="0" borderId="0" xfId="4" applyFont="1" applyAlignment="1">
      <alignment horizontal="center" vertical="center" wrapText="1"/>
    </xf>
    <xf numFmtId="164" fontId="6" fillId="0" borderId="0" xfId="2" applyNumberFormat="1" applyFont="1"/>
    <xf numFmtId="0" fontId="6" fillId="0" borderId="4" xfId="4" applyFont="1" applyBorder="1" applyAlignment="1">
      <alignment horizontal="left"/>
    </xf>
    <xf numFmtId="44" fontId="6" fillId="0" borderId="0" xfId="1" applyFont="1"/>
    <xf numFmtId="0" fontId="9" fillId="0" borderId="0" xfId="4" applyFont="1" applyAlignment="1">
      <alignment horizontal="center" vertical="center"/>
    </xf>
    <xf numFmtId="2" fontId="6" fillId="0" borderId="0" xfId="2" applyNumberFormat="1" applyFont="1" applyAlignment="1">
      <alignment horizontal="center" vertical="center"/>
    </xf>
    <xf numFmtId="2" fontId="6" fillId="0" borderId="0" xfId="4" applyNumberFormat="1" applyFont="1" applyAlignment="1">
      <alignment horizontal="center" vertical="center"/>
    </xf>
    <xf numFmtId="164" fontId="9" fillId="0" borderId="0" xfId="2" applyNumberFormat="1" applyFont="1"/>
    <xf numFmtId="164" fontId="6" fillId="0" borderId="0" xfId="2" applyNumberFormat="1" applyFont="1" applyAlignment="1">
      <alignment horizontal="center" vertical="center"/>
    </xf>
    <xf numFmtId="2" fontId="9" fillId="0" borderId="0" xfId="2" applyNumberFormat="1" applyFont="1" applyFill="1" applyAlignment="1">
      <alignment horizontal="center" vertical="center"/>
    </xf>
    <xf numFmtId="170" fontId="0" fillId="0" borderId="0" xfId="0" applyNumberFormat="1"/>
    <xf numFmtId="170" fontId="0" fillId="5" borderId="0" xfId="0" applyNumberFormat="1" applyFill="1"/>
    <xf numFmtId="8" fontId="0" fillId="5" borderId="0" xfId="0" applyNumberFormat="1" applyFill="1"/>
    <xf numFmtId="164" fontId="0" fillId="5" borderId="0" xfId="0" applyNumberFormat="1" applyFill="1"/>
    <xf numFmtId="8" fontId="0" fillId="0" borderId="0" xfId="0" applyNumberFormat="1"/>
    <xf numFmtId="182" fontId="0" fillId="0" borderId="0" xfId="0" applyNumberFormat="1"/>
    <xf numFmtId="187" fontId="0" fillId="0" borderId="0" xfId="0" applyNumberFormat="1"/>
    <xf numFmtId="9" fontId="6" fillId="5" borderId="0" xfId="4" applyNumberFormat="1" applyFont="1" applyFill="1" applyAlignment="1">
      <alignment horizontal="right"/>
    </xf>
  </cellXfs>
  <cellStyles count="5">
    <cellStyle name="Currency" xfId="1" builtinId="4"/>
    <cellStyle name="Normal" xfId="0" builtinId="0"/>
    <cellStyle name="Normal 2" xfId="3" xr:uid="{B4DB2928-A81E-504E-BD7C-292313E66101}"/>
    <cellStyle name="Normal 3" xfId="4" xr:uid="{3144EE64-E679-5D41-BD89-400A6B8128AC}"/>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25400</xdr:colOff>
      <xdr:row>1</xdr:row>
      <xdr:rowOff>101600</xdr:rowOff>
    </xdr:from>
    <xdr:to>
      <xdr:col>13</xdr:col>
      <xdr:colOff>12700</xdr:colOff>
      <xdr:row>36</xdr:row>
      <xdr:rowOff>101600</xdr:rowOff>
    </xdr:to>
    <xdr:sp macro="" textlink="">
      <xdr:nvSpPr>
        <xdr:cNvPr id="2" name="TextBox 1">
          <a:extLst>
            <a:ext uri="{FF2B5EF4-FFF2-40B4-BE49-F238E27FC236}">
              <a16:creationId xmlns:a16="http://schemas.microsoft.com/office/drawing/2014/main" id="{CBD00B40-6C35-8D4F-9314-EE209B51299B}"/>
            </a:ext>
          </a:extLst>
        </xdr:cNvPr>
        <xdr:cNvSpPr txBox="1"/>
      </xdr:nvSpPr>
      <xdr:spPr>
        <a:xfrm>
          <a:off x="25400" y="304800"/>
          <a:ext cx="10718800" cy="711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en-US" sz="1200" b="1">
              <a:solidFill>
                <a:schemeClr val="dk1"/>
              </a:solidFill>
              <a:effectLst/>
              <a:latin typeface="Times New Roman" panose="02020603050405020304" pitchFamily="18" charset="0"/>
              <a:ea typeface="+mn-ea"/>
              <a:cs typeface="Times New Roman" panose="02020603050405020304" pitchFamily="18" charset="0"/>
            </a:rPr>
            <a:t>1. What makes Citigroup a motivated seller, even knowing the market conditions will not lead to a premium price. </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ct val="150000"/>
            </a:lnSpc>
          </a:pPr>
          <a:r>
            <a:rPr lang="en-US" sz="1200">
              <a:solidFill>
                <a:schemeClr val="dk1"/>
              </a:solidFill>
              <a:effectLst/>
              <a:latin typeface="Times New Roman" panose="02020603050405020304" pitchFamily="18" charset="0"/>
              <a:ea typeface="+mn-ea"/>
              <a:cs typeface="Times New Roman" panose="02020603050405020304" pitchFamily="18" charset="0"/>
            </a:rPr>
            <a:t>A: Citigroup was motivated mostly by its rising leverage loan portfolio, as the leverage loans were costly from a regulatory capital perspective and it had to recognize $1.5 billion losses on leverage loan portfolio under accounting requirements. Despite of selling the loans below their fundamental value, reducing the leverage loan portfolio would ease Citigroup’s capital requirement, and would restrain the increasing volatility in the leveraged loan pricing, hence limit the addition of further volatility into Citigroup’s earing and its stock price. </a:t>
          </a:r>
        </a:p>
        <a:p>
          <a:pPr>
            <a:lnSpc>
              <a:spcPct val="150000"/>
            </a:lnSpc>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ct val="150000"/>
            </a:lnSpc>
          </a:pPr>
          <a:r>
            <a:rPr lang="en-US" sz="1200" b="1">
              <a:solidFill>
                <a:schemeClr val="dk1"/>
              </a:solidFill>
              <a:effectLst/>
              <a:latin typeface="Times New Roman" panose="02020603050405020304" pitchFamily="18" charset="0"/>
              <a:ea typeface="+mn-ea"/>
              <a:cs typeface="Times New Roman" panose="02020603050405020304" pitchFamily="18" charset="0"/>
            </a:rPr>
            <a:t>2. What makes Blackstone a strategic buyer for these assets? (Consider the underlying firms and asymmetric information.) </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ct val="150000"/>
            </a:lnSpc>
          </a:pPr>
          <a:r>
            <a:rPr lang="en-US" sz="1200">
              <a:solidFill>
                <a:schemeClr val="dk1"/>
              </a:solidFill>
              <a:effectLst/>
              <a:latin typeface="Times New Roman" panose="02020603050405020304" pitchFamily="18" charset="0"/>
              <a:ea typeface="+mn-ea"/>
              <a:cs typeface="Times New Roman" panose="02020603050405020304" pitchFamily="18" charset="0"/>
            </a:rPr>
            <a:t>Regarding the underlying firms, most of the portfolio was comprised of debt used to fund deals reviewed by Blackstone and/or led by TPG, which means that they would have more information about the underlying firms such as their risk exposures. Moreover, Blackstone had carefully selected the portfolio so that the expected default rates would be smaller than those for average “B”-rated securities. The purchase price was almost a fair price and the financing from Citigroup was generous for an overall non-recourse debt financing for 75% of the purchase price and a recycling provision.</a:t>
          </a:r>
        </a:p>
        <a:p>
          <a:pPr>
            <a:lnSpc>
              <a:spcPct val="150000"/>
            </a:lnSpc>
          </a:pPr>
          <a:r>
            <a:rPr lang="en-US" sz="1200" b="1">
              <a:solidFill>
                <a:schemeClr val="dk1"/>
              </a:solidFill>
              <a:effectLst/>
              <a:latin typeface="Times New Roman" panose="02020603050405020304" pitchFamily="18" charset="0"/>
              <a:ea typeface="+mn-ea"/>
              <a:cs typeface="Times New Roman" panose="02020603050405020304" pitchFamily="18" charset="0"/>
            </a:rPr>
            <a:t>3. Why does Blackstone believe the loan portfolio has value</a:t>
          </a: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ct val="150000"/>
            </a:lnSpc>
          </a:pPr>
          <a:r>
            <a:rPr lang="en-US" sz="1200">
              <a:solidFill>
                <a:schemeClr val="dk1"/>
              </a:solidFill>
              <a:effectLst/>
              <a:latin typeface="Times New Roman" panose="02020603050405020304" pitchFamily="18" charset="0"/>
              <a:ea typeface="+mn-ea"/>
              <a:cs typeface="Times New Roman" panose="02020603050405020304" pitchFamily="18" charset="0"/>
            </a:rPr>
            <a:t>The subprime mortgage crisis had led to a re-pricing of a wide range of debt instruments, which came from underestimated risk recognition, and was driven by investors’ excessive risk aversion and retrenchment from risky assets, fire sales, and general lack of liquidity in financial markets. This appeared to create an opportunity to generate superior risk-adjusted returns by investing in a large portfolio of credits priced below their fundamental value. And from Blackstone’s perspective, the loan portfolio was substantially undervalued that it selected the portfolio so that the expected default rates would be smaller than those for average “B”-rated securities, and CDS implied a substantially higher default probability. </a:t>
          </a:r>
        </a:p>
        <a:p>
          <a:pPr>
            <a:lnSpc>
              <a:spcPct val="150000"/>
            </a:lnSpc>
          </a:pPr>
          <a:r>
            <a:rPr lang="en-US" sz="1200" b="1">
              <a:solidFill>
                <a:schemeClr val="dk1"/>
              </a:solidFill>
              <a:effectLst/>
              <a:latin typeface="Times New Roman" panose="02020603050405020304" pitchFamily="18" charset="0"/>
              <a:ea typeface="+mn-ea"/>
              <a:cs typeface="Times New Roman" panose="02020603050405020304" pitchFamily="18" charset="0"/>
            </a:rPr>
            <a:t>4.Is Citi’s financing Blackstone’s acquisition of the loan portfolio rather than simply retaining the loan portfolio actually reducing risk to the underlying assets? (For now, just consider the risk exposure to the underlying assets; ignore the bank-specific and strategic considerations.) </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ct val="150000"/>
            </a:lnSpc>
          </a:pPr>
          <a:r>
            <a:rPr lang="en-US" sz="1200">
              <a:solidFill>
                <a:schemeClr val="dk1"/>
              </a:solidFill>
              <a:effectLst/>
              <a:latin typeface="Times New Roman" panose="02020603050405020304" pitchFamily="18" charset="0"/>
              <a:ea typeface="+mn-ea"/>
              <a:cs typeface="Times New Roman" panose="02020603050405020304" pitchFamily="18" charset="0"/>
            </a:rPr>
            <a:t>Yes. Citi’s financing reduced risks to the underlying assets. The financing had a tenor that matched the average maturity of the loans in the portfolio with the interest payment not due until after the coupon interest was received from the instruments in the portfolio. Moreover, the financing included a “recycling provision,” which gave Blackstone the ability to use the same financing terms for reinvestment in any assets as long as the total credit did not exceed $3.81 billion. This means that Blackstone could, at any point, further diversify its portfolio by selling some of their positions and reinvesting the proceeds in other loans. </a:t>
          </a:r>
        </a:p>
        <a:p>
          <a:pPr>
            <a:lnSpc>
              <a:spcPct val="150000"/>
            </a:lnSpc>
          </a:pPr>
          <a:r>
            <a:rPr lang="en-US" sz="1200" b="1">
              <a:solidFill>
                <a:schemeClr val="dk1"/>
              </a:solidFill>
              <a:effectLst/>
              <a:latin typeface="Times New Roman" panose="02020603050405020304" pitchFamily="18" charset="0"/>
              <a:ea typeface="+mn-ea"/>
              <a:cs typeface="Times New Roman" panose="02020603050405020304" pitchFamily="18" charset="0"/>
            </a:rPr>
            <a:t>5. Aside from managing the asset risk, what are the strategic reasons Citi is willing to provide debt financing to Blackstone’s acquisition of the same loan portfolio Citi is selling? </a:t>
          </a:r>
          <a:endParaRPr lang="en-US" sz="1200">
            <a:solidFill>
              <a:schemeClr val="dk1"/>
            </a:solidFill>
            <a:effectLst/>
            <a:latin typeface="Times New Roman" panose="02020603050405020304" pitchFamily="18" charset="0"/>
            <a:ea typeface="+mn-ea"/>
            <a:cs typeface="Times New Roman" panose="02020603050405020304" pitchFamily="18" charset="0"/>
          </a:endParaRPr>
        </a:p>
        <a:p>
          <a:pPr>
            <a:lnSpc>
              <a:spcPct val="150000"/>
            </a:lnSpc>
          </a:pPr>
          <a:r>
            <a:rPr lang="en-US" sz="1200">
              <a:solidFill>
                <a:schemeClr val="dk1"/>
              </a:solidFill>
              <a:effectLst/>
              <a:latin typeface="Times New Roman" panose="02020603050405020304" pitchFamily="18" charset="0"/>
              <a:ea typeface="+mn-ea"/>
              <a:cs typeface="Times New Roman" panose="02020603050405020304" pitchFamily="18" charset="0"/>
            </a:rPr>
            <a:t>They gained equity value and the financing can compensate some losses of selling the loans, and Citigroup was protected in this transaction that the debt was secured by the loan pool, being marked to market and, in the event the value of the loan pool fell below a certain threshold, Citigroup had the right to request additional collateral. </a:t>
          </a:r>
        </a:p>
        <a:p>
          <a:pPr>
            <a:lnSpc>
              <a:spcPct val="150000"/>
            </a:lnSpc>
          </a:pPr>
          <a:r>
            <a:rPr lang="en-US" sz="1200">
              <a:solidFill>
                <a:schemeClr val="dk1"/>
              </a:solidFill>
              <a:effectLst/>
              <a:latin typeface="Times New Roman" panose="02020603050405020304" pitchFamily="18" charset="0"/>
              <a:ea typeface="+mn-ea"/>
              <a:cs typeface="Times New Roman" panose="02020603050405020304" pitchFamily="18" charset="0"/>
            </a:rPr>
            <a:t> </a:t>
          </a:r>
        </a:p>
        <a:p>
          <a:pPr>
            <a:lnSpc>
              <a:spcPct val="150000"/>
            </a:lnSpc>
          </a:pP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B4167-E379-3947-986E-0EC01B96B33A}">
  <dimension ref="A1"/>
  <sheetViews>
    <sheetView tabSelected="1" workbookViewId="0"/>
  </sheetViews>
  <sheetFormatPr baseColWidth="10" defaultRowHeight="16" x14ac:dyDescent="0.2"/>
  <cols>
    <col min="1" max="16384" width="10.83203125" style="4"/>
  </cols>
  <sheetData>
    <row r="1" spans="1:1" x14ac:dyDescent="0.2">
      <c r="A1" s="4" t="s">
        <v>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03263-6F70-0648-9A50-30C882D5E71B}">
  <dimension ref="A1:BW129"/>
  <sheetViews>
    <sheetView zoomScale="75" zoomScaleNormal="125" workbookViewId="0">
      <selection sqref="A1:J1"/>
    </sheetView>
  </sheetViews>
  <sheetFormatPr baseColWidth="10" defaultRowHeight="19" x14ac:dyDescent="0.25"/>
  <cols>
    <col min="1" max="1" width="33.6640625" style="5" bestFit="1" customWidth="1"/>
    <col min="2" max="2" width="18.1640625" style="5" customWidth="1"/>
    <col min="3" max="7" width="16.33203125" style="5" bestFit="1" customWidth="1"/>
    <col min="8" max="8" width="20.1640625" style="5" customWidth="1"/>
    <col min="9" max="9" width="16.33203125" style="5" customWidth="1"/>
    <col min="10" max="10" width="18.1640625" style="5" bestFit="1" customWidth="1"/>
    <col min="11" max="11" width="8.33203125" style="5" bestFit="1" customWidth="1"/>
    <col min="12" max="13" width="12.1640625" style="5" bestFit="1" customWidth="1"/>
    <col min="14" max="14" width="10.83203125" style="5" bestFit="1" customWidth="1"/>
    <col min="15" max="15" width="13" style="5" bestFit="1" customWidth="1"/>
    <col min="16" max="20" width="7.5" style="5" bestFit="1" customWidth="1"/>
    <col min="21" max="21" width="10.83203125" style="5"/>
    <col min="22" max="22" width="5.6640625" style="5" bestFit="1" customWidth="1"/>
    <col min="23" max="31" width="16.33203125" style="5" bestFit="1" customWidth="1"/>
    <col min="32" max="32" width="9.1640625" style="5" bestFit="1" customWidth="1"/>
    <col min="33" max="33" width="6" style="5" bestFit="1" customWidth="1"/>
    <col min="34" max="34" width="13.33203125" style="5" bestFit="1" customWidth="1"/>
    <col min="35" max="39" width="6" style="5" bestFit="1" customWidth="1"/>
    <col min="40" max="40" width="6.1640625" style="5" bestFit="1" customWidth="1"/>
    <col min="41" max="46" width="7.5" style="5" bestFit="1" customWidth="1"/>
    <col min="47" max="47" width="13.6640625" style="5" bestFit="1" customWidth="1"/>
    <col min="48" max="16384" width="10.83203125" style="5"/>
  </cols>
  <sheetData>
    <row r="1" spans="1:10" x14ac:dyDescent="0.25">
      <c r="A1" s="68" t="s">
        <v>85</v>
      </c>
      <c r="B1" s="68"/>
      <c r="C1" s="68"/>
      <c r="D1" s="68"/>
      <c r="E1" s="68"/>
      <c r="F1" s="68"/>
      <c r="G1" s="68"/>
      <c r="H1" s="68"/>
      <c r="I1" s="68"/>
      <c r="J1" s="68"/>
    </row>
    <row r="2" spans="1:10" ht="16" customHeight="1" x14ac:dyDescent="0.25"/>
    <row r="3" spans="1:10" x14ac:dyDescent="0.25">
      <c r="A3" s="5" t="s">
        <v>51</v>
      </c>
      <c r="B3" s="8">
        <v>6.11</v>
      </c>
    </row>
    <row r="4" spans="1:10" x14ac:dyDescent="0.25">
      <c r="A4" s="5" t="s">
        <v>50</v>
      </c>
      <c r="B4" s="8">
        <v>5.07</v>
      </c>
    </row>
    <row r="5" spans="1:10" x14ac:dyDescent="0.25">
      <c r="A5" s="15" t="s">
        <v>49</v>
      </c>
      <c r="B5" s="52">
        <f xml:space="preserve"> 100*B4/B3</f>
        <v>82.978723404255319</v>
      </c>
    </row>
    <row r="6" spans="1:10" x14ac:dyDescent="0.25">
      <c r="B6" s="8"/>
    </row>
    <row r="7" spans="1:10" x14ac:dyDescent="0.25">
      <c r="A7" s="5" t="s">
        <v>48</v>
      </c>
      <c r="B7" s="8">
        <v>1.26</v>
      </c>
    </row>
    <row r="8" spans="1:10" x14ac:dyDescent="0.25">
      <c r="A8" s="5" t="s">
        <v>47</v>
      </c>
      <c r="B8" s="8">
        <v>3.81</v>
      </c>
    </row>
    <row r="10" spans="1:10" ht="16" customHeight="1" x14ac:dyDescent="0.25">
      <c r="A10" s="15" t="s">
        <v>46</v>
      </c>
      <c r="B10" s="29">
        <f>B7/B4</f>
        <v>0.24852071005917159</v>
      </c>
    </row>
    <row r="11" spans="1:10" x14ac:dyDescent="0.25">
      <c r="A11" s="15" t="s">
        <v>80</v>
      </c>
      <c r="B11" s="29">
        <f>B8/B4</f>
        <v>0.75147928994082835</v>
      </c>
    </row>
    <row r="14" spans="1:10" x14ac:dyDescent="0.25">
      <c r="A14" s="68" t="s">
        <v>45</v>
      </c>
      <c r="B14" s="68"/>
      <c r="C14" s="68"/>
      <c r="D14" s="68"/>
      <c r="E14" s="68"/>
      <c r="F14" s="68"/>
      <c r="G14" s="68"/>
      <c r="H14" s="68"/>
      <c r="I14" s="68"/>
      <c r="J14" s="68"/>
    </row>
    <row r="16" spans="1:10" x14ac:dyDescent="0.25">
      <c r="A16" s="23" t="s">
        <v>8</v>
      </c>
      <c r="B16" s="22">
        <v>1</v>
      </c>
      <c r="C16" s="22">
        <v>2</v>
      </c>
      <c r="D16" s="22">
        <v>3</v>
      </c>
      <c r="E16" s="22">
        <v>4</v>
      </c>
      <c r="F16" s="22">
        <v>5</v>
      </c>
      <c r="H16" s="32" t="s">
        <v>35</v>
      </c>
      <c r="I16" s="32" t="s">
        <v>90</v>
      </c>
      <c r="J16" s="32" t="s">
        <v>44</v>
      </c>
    </row>
    <row r="17" spans="1:12" ht="20" thickBot="1" x14ac:dyDescent="0.3">
      <c r="A17" s="51" t="s">
        <v>43</v>
      </c>
      <c r="B17" s="50">
        <f>CHOOSE($B$70,0.0591,B18)</f>
        <v>5.91E-2</v>
      </c>
      <c r="C17" s="50">
        <f>CHOOSE($B$70,0.136,C18+B17)</f>
        <v>0.13600000000000001</v>
      </c>
      <c r="D17" s="50">
        <f>CHOOSE($B$70,0.2055,D18+C17)</f>
        <v>0.20549999999999999</v>
      </c>
      <c r="E17" s="50">
        <f>CHOOSE($B$70,0.2623,E18+D17)</f>
        <v>0.26229999999999998</v>
      </c>
      <c r="F17" s="50">
        <f>CHOOSE($B$70,0.3048,F18+E17)</f>
        <v>0.30480000000000002</v>
      </c>
      <c r="H17" s="48">
        <f>100</f>
        <v>100</v>
      </c>
      <c r="I17" s="49">
        <v>3.09E-2</v>
      </c>
      <c r="J17" s="48">
        <f>$B$5</f>
        <v>82.978723404255319</v>
      </c>
    </row>
    <row r="18" spans="1:12" x14ac:dyDescent="0.25">
      <c r="A18" s="9" t="s">
        <v>11</v>
      </c>
      <c r="B18" s="27">
        <f>CHOOSE($B$70,B17,$A$70)</f>
        <v>5.91E-2</v>
      </c>
      <c r="C18" s="27">
        <f>CHOOSE($B$70,C17-B17,$A$70)</f>
        <v>7.690000000000001E-2</v>
      </c>
      <c r="D18" s="27">
        <f>CHOOSE($B$70,D17-C17,$A$70)</f>
        <v>6.9499999999999978E-2</v>
      </c>
      <c r="E18" s="27">
        <f>CHOOSE($B$70,E17-D17,$A$70)</f>
        <v>5.6799999999999989E-2</v>
      </c>
      <c r="F18" s="27">
        <f>CHOOSE($B$70,F17-E17,$A$70)</f>
        <v>4.2500000000000038E-2</v>
      </c>
      <c r="H18" s="33"/>
      <c r="I18" s="33"/>
      <c r="J18" s="33"/>
      <c r="L18" s="21"/>
    </row>
    <row r="19" spans="1:12" x14ac:dyDescent="0.25">
      <c r="A19" s="47" t="s">
        <v>42</v>
      </c>
      <c r="B19" s="46">
        <f>1-B17</f>
        <v>0.94089999999999996</v>
      </c>
      <c r="C19" s="46">
        <f>1-C17</f>
        <v>0.86399999999999999</v>
      </c>
      <c r="D19" s="46">
        <f>1-D17</f>
        <v>0.79449999999999998</v>
      </c>
      <c r="E19" s="46">
        <f>1-E17</f>
        <v>0.73770000000000002</v>
      </c>
      <c r="F19" s="46">
        <f>1-F17</f>
        <v>0.69520000000000004</v>
      </c>
      <c r="H19" s="33"/>
      <c r="I19" s="33"/>
      <c r="J19" s="33"/>
    </row>
    <row r="20" spans="1:12" x14ac:dyDescent="0.25">
      <c r="A20" s="9" t="s">
        <v>28</v>
      </c>
      <c r="B20" s="27">
        <v>3.8699999999999998E-2</v>
      </c>
      <c r="C20" s="27">
        <v>4.6100000000000002E-2</v>
      </c>
      <c r="D20" s="27">
        <v>4.87E-2</v>
      </c>
      <c r="E20" s="27">
        <v>4.99E-2</v>
      </c>
      <c r="F20" s="27">
        <v>5.1299999999999998E-2</v>
      </c>
      <c r="H20" s="33"/>
      <c r="I20" s="33"/>
      <c r="J20" s="33"/>
    </row>
    <row r="21" spans="1:12" x14ac:dyDescent="0.25">
      <c r="A21" s="9" t="s">
        <v>84</v>
      </c>
      <c r="B21" s="27">
        <v>3.09E-2</v>
      </c>
      <c r="C21" s="27">
        <v>3.09E-2</v>
      </c>
      <c r="D21" s="27">
        <v>3.09E-2</v>
      </c>
      <c r="E21" s="27">
        <v>3.09E-2</v>
      </c>
      <c r="F21" s="27">
        <v>3.09E-2</v>
      </c>
      <c r="H21" s="33"/>
      <c r="I21" s="33"/>
      <c r="J21" s="33"/>
    </row>
    <row r="22" spans="1:12" x14ac:dyDescent="0.25">
      <c r="A22" s="9" t="s">
        <v>33</v>
      </c>
      <c r="B22" s="27">
        <f>B20+$I$17</f>
        <v>6.9599999999999995E-2</v>
      </c>
      <c r="C22" s="27">
        <f>C20+$I$17</f>
        <v>7.6999999999999999E-2</v>
      </c>
      <c r="D22" s="27">
        <f>D20+$I$17</f>
        <v>7.9600000000000004E-2</v>
      </c>
      <c r="E22" s="27">
        <f>E20+$I$17</f>
        <v>8.0799999999999997E-2</v>
      </c>
      <c r="F22" s="27">
        <f>F20+$I$17</f>
        <v>8.2199999999999995E-2</v>
      </c>
      <c r="H22" s="45"/>
      <c r="I22" s="45" t="s">
        <v>41</v>
      </c>
      <c r="J22" s="45" t="s">
        <v>40</v>
      </c>
    </row>
    <row r="23" spans="1:12" x14ac:dyDescent="0.25">
      <c r="A23" s="36" t="s">
        <v>81</v>
      </c>
      <c r="B23" s="35">
        <f>$H$17*B22*B19</f>
        <v>6.5486639999999987</v>
      </c>
      <c r="C23" s="35">
        <f>$H$17*C22*C19</f>
        <v>6.6528</v>
      </c>
      <c r="D23" s="35">
        <f>$H$17*D22*D19</f>
        <v>6.3242200000000004</v>
      </c>
      <c r="E23" s="35">
        <f>$H$17*E22*E19</f>
        <v>5.9606159999999999</v>
      </c>
      <c r="F23" s="35">
        <f>$H$17*F22*F19</f>
        <v>5.7145439999999992</v>
      </c>
      <c r="H23" s="33" t="s">
        <v>39</v>
      </c>
      <c r="I23" s="44">
        <v>0.75</v>
      </c>
      <c r="J23" s="43">
        <v>0.77500000000000002</v>
      </c>
    </row>
    <row r="24" spans="1:12" x14ac:dyDescent="0.25">
      <c r="A24" s="12" t="s">
        <v>87</v>
      </c>
      <c r="B24" s="34"/>
      <c r="C24" s="34"/>
      <c r="D24" s="34"/>
      <c r="E24" s="34"/>
      <c r="F24" s="34">
        <f>$H$17*F19</f>
        <v>69.52000000000001</v>
      </c>
      <c r="H24" s="33" t="s">
        <v>38</v>
      </c>
      <c r="I24" s="44">
        <v>0.25</v>
      </c>
      <c r="J24" s="43">
        <v>0.44900000000000001</v>
      </c>
    </row>
    <row r="25" spans="1:12" ht="20" thickBot="1" x14ac:dyDescent="0.3">
      <c r="A25" s="42" t="s">
        <v>86</v>
      </c>
      <c r="B25" s="41">
        <f>$H$17*B18*$I$26</f>
        <v>4.0985849999999999</v>
      </c>
      <c r="C25" s="41">
        <f>$H$17*C18*$I$26</f>
        <v>5.3330150000000005</v>
      </c>
      <c r="D25" s="41">
        <f>$H$17*D18*$I$26</f>
        <v>4.819824999999998</v>
      </c>
      <c r="E25" s="41">
        <f>$H$17*E18*$I$26</f>
        <v>3.9390799999999992</v>
      </c>
      <c r="F25" s="41">
        <f>$H$17*F18*$I$26</f>
        <v>2.9473750000000023</v>
      </c>
      <c r="H25" s="40"/>
      <c r="I25" s="40"/>
      <c r="J25" s="40"/>
    </row>
    <row r="26" spans="1:12" ht="21" thickTop="1" thickBot="1" x14ac:dyDescent="0.3">
      <c r="A26" s="11" t="s">
        <v>82</v>
      </c>
      <c r="B26" s="30">
        <f>SUM(B23:B25)</f>
        <v>10.647248999999999</v>
      </c>
      <c r="C26" s="30">
        <f>SUM(C23:C25)</f>
        <v>11.985815000000001</v>
      </c>
      <c r="D26" s="30">
        <f>SUM(D23:D25)</f>
        <v>11.144044999999998</v>
      </c>
      <c r="E26" s="30">
        <f>SUM(E23:E25)</f>
        <v>9.8996959999999987</v>
      </c>
      <c r="F26" s="30">
        <f>SUM(F23:F25)</f>
        <v>78.181919000000022</v>
      </c>
      <c r="H26" s="38" t="s">
        <v>37</v>
      </c>
      <c r="I26" s="39">
        <f>SUMPRODUCT(I23:I24,J23:J24)</f>
        <v>0.69350000000000001</v>
      </c>
      <c r="J26" s="38"/>
    </row>
    <row r="29" spans="1:12" x14ac:dyDescent="0.25">
      <c r="A29" s="68" t="s">
        <v>36</v>
      </c>
      <c r="B29" s="68"/>
      <c r="C29" s="68"/>
      <c r="D29" s="68"/>
      <c r="E29" s="68"/>
      <c r="F29" s="68"/>
      <c r="G29" s="68"/>
      <c r="H29" s="68"/>
      <c r="I29" s="68"/>
      <c r="J29" s="68"/>
    </row>
    <row r="31" spans="1:12" x14ac:dyDescent="0.25">
      <c r="A31" s="23" t="s">
        <v>8</v>
      </c>
      <c r="B31" s="22">
        <v>1</v>
      </c>
      <c r="C31" s="22">
        <v>2</v>
      </c>
      <c r="D31" s="22">
        <v>3</v>
      </c>
      <c r="E31" s="22">
        <v>4</v>
      </c>
      <c r="F31" s="22">
        <v>5</v>
      </c>
      <c r="H31" s="32" t="s">
        <v>35</v>
      </c>
      <c r="I31" s="32" t="s">
        <v>90</v>
      </c>
      <c r="J31" s="32" t="s">
        <v>88</v>
      </c>
    </row>
    <row r="32" spans="1:12" x14ac:dyDescent="0.25">
      <c r="A32" s="9" t="s">
        <v>28</v>
      </c>
      <c r="B32" s="27">
        <v>3.8699999999999998E-2</v>
      </c>
      <c r="C32" s="27">
        <v>4.6100000000000002E-2</v>
      </c>
      <c r="D32" s="27">
        <v>4.87E-2</v>
      </c>
      <c r="E32" s="27">
        <v>4.99E-2</v>
      </c>
      <c r="F32" s="27">
        <v>5.1299999999999998E-2</v>
      </c>
      <c r="H32" s="31">
        <v>100</v>
      </c>
      <c r="I32" s="37">
        <v>0.01</v>
      </c>
      <c r="J32" s="37">
        <f>$B$11</f>
        <v>0.75147928994082835</v>
      </c>
    </row>
    <row r="33" spans="1:10" x14ac:dyDescent="0.25">
      <c r="A33" s="9" t="s">
        <v>33</v>
      </c>
      <c r="B33" s="27">
        <f>B32+$I$32</f>
        <v>4.87E-2</v>
      </c>
      <c r="C33" s="27">
        <f>C32+$I$32</f>
        <v>5.6100000000000004E-2</v>
      </c>
      <c r="D33" s="27">
        <f>D32+$I$32</f>
        <v>5.8700000000000002E-2</v>
      </c>
      <c r="E33" s="27">
        <f>E32+$I$32</f>
        <v>5.9900000000000002E-2</v>
      </c>
      <c r="F33" s="27">
        <f>F32+$I$32</f>
        <v>6.13E-2</v>
      </c>
      <c r="H33" s="33"/>
      <c r="I33" s="33"/>
      <c r="J33" s="33"/>
    </row>
    <row r="34" spans="1:10" x14ac:dyDescent="0.25">
      <c r="A34" s="36" t="s">
        <v>32</v>
      </c>
      <c r="B34" s="35">
        <f>$B$33*$H35</f>
        <v>3.0367757774140749</v>
      </c>
      <c r="C34" s="35">
        <f t="shared" ref="C34:F34" si="0">$B$33*$H35</f>
        <v>3.0367757774140749</v>
      </c>
      <c r="D34" s="35">
        <f t="shared" si="0"/>
        <v>3.0367757774140749</v>
      </c>
      <c r="E34" s="35">
        <f t="shared" si="0"/>
        <v>3.0367757774140749</v>
      </c>
      <c r="F34" s="35">
        <f t="shared" si="0"/>
        <v>3.0367757774140749</v>
      </c>
      <c r="H34" s="32" t="s">
        <v>94</v>
      </c>
      <c r="I34"/>
      <c r="J34" s="33"/>
    </row>
    <row r="35" spans="1:10" x14ac:dyDescent="0.25">
      <c r="A35" s="12" t="s">
        <v>83</v>
      </c>
      <c r="B35" s="34"/>
      <c r="C35" s="34"/>
      <c r="D35" s="34"/>
      <c r="E35" s="34"/>
      <c r="F35" s="34">
        <f>$H35</f>
        <v>62.35679214402618</v>
      </c>
      <c r="H35" s="31">
        <f>J32*B5</f>
        <v>62.35679214402618</v>
      </c>
      <c r="I35"/>
      <c r="J35" s="33"/>
    </row>
    <row r="36" spans="1:10" ht="20" thickBot="1" x14ac:dyDescent="0.3">
      <c r="A36" s="11" t="s">
        <v>31</v>
      </c>
      <c r="B36" s="30">
        <f>SUM(B34:B35)</f>
        <v>3.0367757774140749</v>
      </c>
      <c r="C36" s="30">
        <f>SUM(C34:C35)</f>
        <v>3.0367757774140749</v>
      </c>
      <c r="D36" s="30">
        <f>SUM(D34:D35)</f>
        <v>3.0367757774140749</v>
      </c>
      <c r="E36" s="30">
        <f>SUM(E34:E35)</f>
        <v>3.0367757774140749</v>
      </c>
      <c r="F36" s="30">
        <f>SUM(F34:F35)</f>
        <v>65.393567921440251</v>
      </c>
      <c r="I36" s="6"/>
      <c r="J36" s="27"/>
    </row>
    <row r="37" spans="1:10" x14ac:dyDescent="0.25">
      <c r="I37" s="6"/>
      <c r="J37" s="27"/>
    </row>
    <row r="38" spans="1:10" x14ac:dyDescent="0.25">
      <c r="A38" s="68" t="s">
        <v>30</v>
      </c>
      <c r="B38" s="68"/>
      <c r="C38" s="68"/>
      <c r="D38" s="68"/>
      <c r="E38" s="68"/>
      <c r="F38" s="68"/>
      <c r="G38" s="68"/>
      <c r="H38" s="68"/>
      <c r="I38" s="68"/>
      <c r="J38" s="68"/>
    </row>
    <row r="40" spans="1:10" x14ac:dyDescent="0.25">
      <c r="A40" s="22" t="s">
        <v>8</v>
      </c>
      <c r="B40" s="22">
        <v>1</v>
      </c>
      <c r="C40" s="22">
        <v>2</v>
      </c>
      <c r="D40" s="22">
        <v>3</v>
      </c>
      <c r="E40" s="22">
        <v>4</v>
      </c>
      <c r="F40" s="22">
        <v>5</v>
      </c>
      <c r="H40" s="32" t="s">
        <v>29</v>
      </c>
    </row>
    <row r="41" spans="1:10" x14ac:dyDescent="0.25">
      <c r="A41" s="9" t="s">
        <v>28</v>
      </c>
      <c r="B41" s="27">
        <v>3.8699999999999998E-2</v>
      </c>
      <c r="C41" s="27">
        <v>4.6100000000000002E-2</v>
      </c>
      <c r="D41" s="27">
        <v>4.87E-2</v>
      </c>
      <c r="E41" s="27">
        <v>4.99E-2</v>
      </c>
      <c r="F41" s="27">
        <v>5.1299999999999998E-2</v>
      </c>
      <c r="H41" s="31">
        <f>$J$17-$H$35</f>
        <v>20.62193126022914</v>
      </c>
    </row>
    <row r="42" spans="1:10" ht="20" thickBot="1" x14ac:dyDescent="0.3">
      <c r="A42" s="75" t="s">
        <v>27</v>
      </c>
      <c r="B42" s="18">
        <f>B26-B36</f>
        <v>7.6104732225859237</v>
      </c>
      <c r="C42" s="18">
        <f>C26-C36</f>
        <v>8.9490392225859257</v>
      </c>
      <c r="D42" s="18">
        <f>D26-D36</f>
        <v>8.1072692225859235</v>
      </c>
      <c r="E42" s="18">
        <f>E26-E36</f>
        <v>6.8629202225859238</v>
      </c>
      <c r="F42" s="18">
        <f>F26-F36</f>
        <v>12.788351078559771</v>
      </c>
    </row>
    <row r="43" spans="1:10" x14ac:dyDescent="0.25">
      <c r="A43" s="9"/>
      <c r="B43" s="27"/>
      <c r="C43" s="27"/>
      <c r="D43" s="27"/>
      <c r="E43" s="27"/>
      <c r="F43" s="27"/>
    </row>
    <row r="44" spans="1:10" x14ac:dyDescent="0.25">
      <c r="A44" s="22" t="s">
        <v>8</v>
      </c>
      <c r="B44" s="22">
        <v>0</v>
      </c>
      <c r="C44" s="22">
        <v>1</v>
      </c>
      <c r="D44" s="22">
        <v>2</v>
      </c>
      <c r="E44" s="22">
        <v>3</v>
      </c>
      <c r="F44" s="22">
        <v>4</v>
      </c>
      <c r="G44" s="22">
        <v>5</v>
      </c>
    </row>
    <row r="45" spans="1:10" x14ac:dyDescent="0.25">
      <c r="A45" s="5" t="s">
        <v>91</v>
      </c>
      <c r="B45" s="21">
        <f>-J17</f>
        <v>-82.978723404255319</v>
      </c>
      <c r="C45" s="21">
        <f>B26</f>
        <v>10.647248999999999</v>
      </c>
      <c r="D45" s="21">
        <f>C26</f>
        <v>11.985815000000001</v>
      </c>
      <c r="E45" s="21">
        <f>D26</f>
        <v>11.144044999999998</v>
      </c>
      <c r="F45" s="21">
        <f>E26</f>
        <v>9.8996959999999987</v>
      </c>
      <c r="G45" s="21">
        <f>F26</f>
        <v>78.181919000000022</v>
      </c>
    </row>
    <row r="46" spans="1:10" x14ac:dyDescent="0.25">
      <c r="A46" s="5" t="s">
        <v>92</v>
      </c>
      <c r="B46" s="21">
        <f>-H35</f>
        <v>-62.35679214402618</v>
      </c>
      <c r="C46" s="21">
        <f>B36</f>
        <v>3.0367757774140749</v>
      </c>
      <c r="D46" s="21">
        <f>C36</f>
        <v>3.0367757774140749</v>
      </c>
      <c r="E46" s="21">
        <f>D36</f>
        <v>3.0367757774140749</v>
      </c>
      <c r="F46" s="21">
        <f>E36</f>
        <v>3.0367757774140749</v>
      </c>
      <c r="G46" s="21">
        <f>F36</f>
        <v>65.393567921440251</v>
      </c>
    </row>
    <row r="47" spans="1:10" x14ac:dyDescent="0.25">
      <c r="A47" s="5" t="s">
        <v>93</v>
      </c>
      <c r="B47" s="21">
        <f>-H41</f>
        <v>-20.62193126022914</v>
      </c>
      <c r="C47" s="21">
        <f>B42</f>
        <v>7.6104732225859237</v>
      </c>
      <c r="D47" s="21">
        <f>C42</f>
        <v>8.9490392225859257</v>
      </c>
      <c r="E47" s="21">
        <f>D42</f>
        <v>8.1072692225859235</v>
      </c>
      <c r="F47" s="21">
        <f>E42</f>
        <v>6.8629202225859238</v>
      </c>
      <c r="G47" s="21">
        <f>F42</f>
        <v>12.788351078559771</v>
      </c>
    </row>
    <row r="48" spans="1:10" x14ac:dyDescent="0.25">
      <c r="A48" s="9"/>
      <c r="B48" s="21"/>
      <c r="C48" s="27"/>
      <c r="D48" s="27"/>
      <c r="E48" s="27"/>
      <c r="F48" s="27"/>
    </row>
    <row r="49" spans="1:51" x14ac:dyDescent="0.25">
      <c r="A49" s="13"/>
      <c r="B49" s="16" t="s">
        <v>2</v>
      </c>
    </row>
    <row r="50" spans="1:51" ht="16" customHeight="1" x14ac:dyDescent="0.25">
      <c r="A50" s="12" t="s">
        <v>16</v>
      </c>
      <c r="B50" s="29">
        <f>IRR(B45:G45)</f>
        <v>0.10097000630624908</v>
      </c>
    </row>
    <row r="51" spans="1:51" x14ac:dyDescent="0.25">
      <c r="A51" s="12" t="s">
        <v>15</v>
      </c>
      <c r="B51" s="29">
        <f>IRR(B46:G46)</f>
        <v>4.8700000000024835E-2</v>
      </c>
    </row>
    <row r="52" spans="1:51" ht="20" thickBot="1" x14ac:dyDescent="0.3">
      <c r="A52" s="11" t="s">
        <v>14</v>
      </c>
      <c r="B52" s="28">
        <f>IRR(B47:G47)</f>
        <v>0.3015564076749413</v>
      </c>
    </row>
    <row r="54" spans="1:51" x14ac:dyDescent="0.25">
      <c r="A54" s="68" t="s">
        <v>26</v>
      </c>
      <c r="B54" s="68"/>
      <c r="C54" s="68"/>
      <c r="D54" s="68"/>
      <c r="E54" s="68"/>
      <c r="F54" s="68"/>
      <c r="G54" s="68"/>
      <c r="H54" s="68"/>
      <c r="I54" s="68"/>
      <c r="J54" s="68"/>
    </row>
    <row r="56" spans="1:51" x14ac:dyDescent="0.25">
      <c r="A56" s="22" t="s">
        <v>8</v>
      </c>
      <c r="B56" s="22">
        <v>1</v>
      </c>
      <c r="C56" s="22">
        <v>2</v>
      </c>
      <c r="D56" s="22">
        <v>3</v>
      </c>
      <c r="E56" s="22">
        <v>4</v>
      </c>
      <c r="F56" s="22">
        <v>5</v>
      </c>
      <c r="H56" s="80" t="s">
        <v>10</v>
      </c>
      <c r="I56" s="80" t="s">
        <v>25</v>
      </c>
      <c r="J56" s="80" t="s">
        <v>24</v>
      </c>
    </row>
    <row r="57" spans="1:51" x14ac:dyDescent="0.25">
      <c r="A57" s="5" t="s">
        <v>23</v>
      </c>
      <c r="B57" s="27">
        <f>B32+$J$57</f>
        <v>5.0699999999999995E-2</v>
      </c>
      <c r="C57" s="27">
        <f>C32+$J$57</f>
        <v>5.8099999999999999E-2</v>
      </c>
      <c r="D57" s="27">
        <f>D32+$J$57</f>
        <v>6.0700000000000004E-2</v>
      </c>
      <c r="E57" s="27">
        <f>E32+$J$57</f>
        <v>6.1899999999999997E-2</v>
      </c>
      <c r="F57" s="27">
        <f>F32+$J$57</f>
        <v>6.3299999999999995E-2</v>
      </c>
      <c r="H57" s="26">
        <v>0.2</v>
      </c>
      <c r="I57" s="25">
        <v>0.06</v>
      </c>
      <c r="J57" s="24">
        <f>PRODUCT(H57:I57)</f>
        <v>1.2E-2</v>
      </c>
    </row>
    <row r="58" spans="1:51" x14ac:dyDescent="0.25">
      <c r="A58" s="5" t="s">
        <v>22</v>
      </c>
      <c r="B58" s="5">
        <f xml:space="preserve"> (1+B57)^B56</f>
        <v>1.0507</v>
      </c>
      <c r="C58" s="5">
        <f>(1+C57)^C56</f>
        <v>1.1195756100000001</v>
      </c>
      <c r="D58" s="5">
        <f>(1+D57)^D56</f>
        <v>1.1933771185429998</v>
      </c>
      <c r="E58" s="5">
        <f>(1+E57)^E56</f>
        <v>1.2715530478711923</v>
      </c>
      <c r="F58" s="5">
        <f>(1+F57)^F56</f>
        <v>1.3591865534994612</v>
      </c>
    </row>
    <row r="59" spans="1:51" ht="21" customHeight="1" thickBot="1" x14ac:dyDescent="0.3">
      <c r="A59" s="19" t="s">
        <v>95</v>
      </c>
      <c r="B59" s="19">
        <f>1/B58</f>
        <v>0.95174645474445607</v>
      </c>
      <c r="C59" s="19">
        <f>1/C58</f>
        <v>0.89319559221194533</v>
      </c>
      <c r="D59" s="19">
        <f>1/D58</f>
        <v>0.83795808086290868</v>
      </c>
      <c r="E59" s="19">
        <f>1/E58</f>
        <v>0.78643985925257243</v>
      </c>
      <c r="F59" s="19">
        <f>1/F58</f>
        <v>0.73573417675839037</v>
      </c>
    </row>
    <row r="61" spans="1:51" s="78" customFormat="1" ht="40" x14ac:dyDescent="0.2">
      <c r="A61" s="76"/>
      <c r="B61" s="76" t="s">
        <v>20</v>
      </c>
      <c r="C61" s="76" t="s">
        <v>19</v>
      </c>
      <c r="D61" s="76" t="s">
        <v>18</v>
      </c>
      <c r="E61" s="77" t="s">
        <v>17</v>
      </c>
    </row>
    <row r="62" spans="1:51" x14ac:dyDescent="0.25">
      <c r="A62" s="5" t="s">
        <v>16</v>
      </c>
      <c r="B62" s="21">
        <f>B5</f>
        <v>82.978723404255319</v>
      </c>
      <c r="C62" s="21">
        <f>SUMPRODUCT(B59:F59,B26:F26)</f>
        <v>95.484026518588593</v>
      </c>
      <c r="D62" s="21">
        <f>C62-B62</f>
        <v>12.505303114333273</v>
      </c>
      <c r="E62" s="20">
        <f>D62*$B$3/100</f>
        <v>0.76407402028576299</v>
      </c>
      <c r="AI62"/>
      <c r="AJ62"/>
      <c r="AK62"/>
      <c r="AL62"/>
      <c r="AM62"/>
      <c r="AN62"/>
      <c r="AO62"/>
      <c r="AP62"/>
      <c r="AQ62"/>
      <c r="AR62"/>
      <c r="AS62"/>
      <c r="AT62"/>
      <c r="AU62"/>
      <c r="AV62"/>
      <c r="AW62"/>
      <c r="AX62"/>
      <c r="AY62"/>
    </row>
    <row r="63" spans="1:51" x14ac:dyDescent="0.25">
      <c r="A63" s="5" t="s">
        <v>15</v>
      </c>
      <c r="B63" s="21">
        <f>H35</f>
        <v>62.35679214402618</v>
      </c>
      <c r="C63" s="21">
        <f>SUMPRODUCT($B$59:$F$59,B36:F36)</f>
        <v>58.647890496328678</v>
      </c>
      <c r="D63" s="21">
        <f>C63-B63</f>
        <v>-3.7089016476975019</v>
      </c>
      <c r="E63" s="20">
        <f>D63*$B$3/100</f>
        <v>-0.22661389067431739</v>
      </c>
      <c r="AI63"/>
      <c r="AJ63"/>
      <c r="AK63"/>
      <c r="AL63"/>
      <c r="AM63"/>
      <c r="AN63"/>
      <c r="AO63"/>
      <c r="AP63"/>
      <c r="AQ63"/>
      <c r="AR63"/>
      <c r="AS63"/>
      <c r="AT63"/>
      <c r="AU63"/>
      <c r="AV63"/>
      <c r="AW63"/>
      <c r="AX63"/>
      <c r="AY63"/>
    </row>
    <row r="64" spans="1:51" ht="20" thickBot="1" x14ac:dyDescent="0.3">
      <c r="A64" s="19" t="s">
        <v>14</v>
      </c>
      <c r="B64" s="18">
        <f>H41</f>
        <v>20.62193126022914</v>
      </c>
      <c r="C64" s="18">
        <f>SUMPRODUCT($B$59:$F$59,B42:F42)</f>
        <v>36.836136022259907</v>
      </c>
      <c r="D64" s="18">
        <f>C64-B64</f>
        <v>16.214204762030768</v>
      </c>
      <c r="E64" s="17">
        <f>D64*$B$3/100</f>
        <v>0.99068791096008002</v>
      </c>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row>
    <row r="65" spans="1:75" x14ac:dyDescent="0.25">
      <c r="C65" s="7"/>
      <c r="D65" s="7"/>
      <c r="E65" s="7"/>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row>
    <row r="66" spans="1:75" ht="16" customHeight="1" x14ac:dyDescent="0.25">
      <c r="A66" s="68" t="s">
        <v>13</v>
      </c>
      <c r="B66" s="68"/>
      <c r="C66" s="68"/>
      <c r="D66" s="68"/>
      <c r="E66" s="68"/>
      <c r="F66" s="68"/>
      <c r="G66" s="68"/>
      <c r="H66" s="68"/>
      <c r="I66" s="68"/>
      <c r="J66" s="68"/>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row>
    <row r="67" spans="1:75" x14ac:dyDescent="0.25">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row>
    <row r="68" spans="1:75" x14ac:dyDescent="0.25">
      <c r="A68" s="5" t="s">
        <v>130</v>
      </c>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row>
    <row r="69" spans="1:75" x14ac:dyDescent="0.25">
      <c r="A69" s="5" t="s">
        <v>97</v>
      </c>
      <c r="B69" s="5" t="s">
        <v>96</v>
      </c>
      <c r="C69" s="10"/>
      <c r="F69" s="9"/>
      <c r="G69" s="9"/>
      <c r="H69" s="9"/>
      <c r="I69" s="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row>
    <row r="70" spans="1:75" ht="16" customHeight="1" x14ac:dyDescent="0.25">
      <c r="A70" s="79">
        <v>6.0999999999999999E-2</v>
      </c>
      <c r="B70" s="5">
        <v>1</v>
      </c>
      <c r="C70" s="95" t="s">
        <v>129</v>
      </c>
      <c r="F70" s="9"/>
      <c r="G70" s="9"/>
      <c r="H70" s="9"/>
      <c r="I70" s="9"/>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row>
    <row r="71" spans="1:75" x14ac:dyDescent="0.25">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row>
    <row r="72" spans="1:75" x14ac:dyDescent="0.25">
      <c r="A72" s="5" t="s">
        <v>98</v>
      </c>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row>
    <row r="73" spans="1:75" x14ac:dyDescent="0.25">
      <c r="A73" s="81">
        <f>E64</f>
        <v>0.99068791096008002</v>
      </c>
      <c r="B73" s="82">
        <v>0</v>
      </c>
      <c r="C73" s="82">
        <v>0.1</v>
      </c>
      <c r="D73" s="82">
        <v>0.2</v>
      </c>
      <c r="E73" s="82">
        <v>0.3</v>
      </c>
      <c r="F73" s="82">
        <v>0.4</v>
      </c>
      <c r="G73" s="82">
        <v>0.5</v>
      </c>
      <c r="H73" s="82">
        <v>1</v>
      </c>
      <c r="I73" s="82">
        <v>2</v>
      </c>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row>
    <row r="74" spans="1:75" x14ac:dyDescent="0.25">
      <c r="A74" s="85">
        <v>0</v>
      </c>
      <c r="B74" s="83">
        <f t="dataTable" ref="B74:I82" dt2D="1" dtr="1" r1="H57" r2="A70" ca="1"/>
        <v>1.0703871214956515</v>
      </c>
      <c r="C74" s="83">
        <v>1.0299979996835427</v>
      </c>
      <c r="D74" s="83">
        <v>0.99068791096008002</v>
      </c>
      <c r="E74" s="83">
        <v>0.95242012504294205</v>
      </c>
      <c r="F74" s="83">
        <v>0.91515939869918983</v>
      </c>
      <c r="G74" s="83">
        <v>0.87887190664897108</v>
      </c>
      <c r="H74" s="84">
        <v>0.71094035907539777</v>
      </c>
      <c r="I74" s="84">
        <v>0.43200702907874922</v>
      </c>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row>
    <row r="75" spans="1:75" x14ac:dyDescent="0.25">
      <c r="A75" s="85">
        <v>2.5000000000000001E-2</v>
      </c>
      <c r="B75" s="83">
        <v>1.0703871214956515</v>
      </c>
      <c r="C75" s="83">
        <v>1.0299979996835427</v>
      </c>
      <c r="D75" s="83">
        <v>0.99068791096008002</v>
      </c>
      <c r="E75" s="83">
        <v>0.95242012504294205</v>
      </c>
      <c r="F75" s="83">
        <v>0.91515939869918983</v>
      </c>
      <c r="G75" s="83">
        <v>0.87887190664897108</v>
      </c>
      <c r="H75" s="84">
        <v>0.71094035907539777</v>
      </c>
      <c r="I75" s="84">
        <v>0.43200702907874922</v>
      </c>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row>
    <row r="76" spans="1:75" x14ac:dyDescent="0.25">
      <c r="A76" s="85">
        <v>0.05</v>
      </c>
      <c r="B76" s="83">
        <v>1.0703871214956515</v>
      </c>
      <c r="C76" s="83">
        <v>1.0299979996835427</v>
      </c>
      <c r="D76" s="83">
        <v>0.99068791096008002</v>
      </c>
      <c r="E76" s="83">
        <v>0.95242012504294205</v>
      </c>
      <c r="F76" s="83">
        <v>0.91515939869918983</v>
      </c>
      <c r="G76" s="83">
        <v>0.87887190664897108</v>
      </c>
      <c r="H76" s="84">
        <v>0.71094035907539777</v>
      </c>
      <c r="I76" s="84">
        <v>0.43200702907874922</v>
      </c>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row>
    <row r="77" spans="1:75" x14ac:dyDescent="0.25">
      <c r="A77" s="85">
        <v>7.4999999999999997E-2</v>
      </c>
      <c r="B77" s="83">
        <v>1.0703871214956515</v>
      </c>
      <c r="C77" s="83">
        <v>1.0299979996835427</v>
      </c>
      <c r="D77" s="83">
        <v>0.99068791096008002</v>
      </c>
      <c r="E77" s="83">
        <v>0.95242012504294205</v>
      </c>
      <c r="F77" s="83">
        <v>0.91515939869918983</v>
      </c>
      <c r="G77" s="83">
        <v>0.87887190664897108</v>
      </c>
      <c r="H77" s="84">
        <v>0.71094035907539777</v>
      </c>
      <c r="I77" s="84">
        <v>0.43200702907874922</v>
      </c>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row>
    <row r="78" spans="1:75" x14ac:dyDescent="0.25">
      <c r="A78" s="85">
        <v>0.1</v>
      </c>
      <c r="B78" s="83">
        <v>1.0703871214956515</v>
      </c>
      <c r="C78" s="83">
        <v>1.0299979996835427</v>
      </c>
      <c r="D78" s="83">
        <v>0.99068791096008002</v>
      </c>
      <c r="E78" s="83">
        <v>0.95242012504294205</v>
      </c>
      <c r="F78" s="83">
        <v>0.91515939869918983</v>
      </c>
      <c r="G78" s="83">
        <v>0.87887190664897108</v>
      </c>
      <c r="H78" s="84">
        <v>0.71094035907539777</v>
      </c>
      <c r="I78" s="84">
        <v>0.43200702907874922</v>
      </c>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row>
    <row r="79" spans="1:75" x14ac:dyDescent="0.25">
      <c r="A79" s="85">
        <v>0.125</v>
      </c>
      <c r="B79" s="83">
        <v>1.0703871214956515</v>
      </c>
      <c r="C79" s="83">
        <v>1.0299979996835427</v>
      </c>
      <c r="D79" s="83">
        <v>0.99068791096008002</v>
      </c>
      <c r="E79" s="83">
        <v>0.95242012504294205</v>
      </c>
      <c r="F79" s="83">
        <v>0.91515939869918983</v>
      </c>
      <c r="G79" s="83">
        <v>0.87887190664897108</v>
      </c>
      <c r="H79" s="84">
        <v>0.71094035907539777</v>
      </c>
      <c r="I79" s="84">
        <v>0.43200702907874922</v>
      </c>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row>
    <row r="80" spans="1:75" x14ac:dyDescent="0.25">
      <c r="A80" s="85">
        <v>0.15</v>
      </c>
      <c r="B80" s="83">
        <v>1.0703871214956515</v>
      </c>
      <c r="C80" s="83">
        <v>1.0299979996835427</v>
      </c>
      <c r="D80" s="83">
        <v>0.99068791096008002</v>
      </c>
      <c r="E80" s="83">
        <v>0.95242012504294205</v>
      </c>
      <c r="F80" s="83">
        <v>0.91515939869918983</v>
      </c>
      <c r="G80" s="83">
        <v>0.87887190664897108</v>
      </c>
      <c r="H80" s="84">
        <v>0.71094035907539777</v>
      </c>
      <c r="I80" s="84">
        <v>0.43200702907874922</v>
      </c>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row>
    <row r="81" spans="1:75" x14ac:dyDescent="0.25">
      <c r="A81" s="85">
        <v>0.17499999999999999</v>
      </c>
      <c r="B81" s="83">
        <v>1.0703871214956515</v>
      </c>
      <c r="C81" s="83">
        <v>1.0299979996835427</v>
      </c>
      <c r="D81" s="83">
        <v>0.99068791096008002</v>
      </c>
      <c r="E81" s="83">
        <v>0.95242012504294205</v>
      </c>
      <c r="F81" s="83">
        <v>0.91515939869918983</v>
      </c>
      <c r="G81" s="83">
        <v>0.87887190664897108</v>
      </c>
      <c r="H81" s="84">
        <v>0.71094035907539777</v>
      </c>
      <c r="I81" s="84">
        <v>0.43200702907874922</v>
      </c>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row>
    <row r="82" spans="1:75" x14ac:dyDescent="0.25">
      <c r="A82" s="85">
        <v>0.2</v>
      </c>
      <c r="B82" s="83">
        <v>1.0703871214956515</v>
      </c>
      <c r="C82" s="83">
        <v>1.0299979996835427</v>
      </c>
      <c r="D82" s="83">
        <v>0.99068791096008002</v>
      </c>
      <c r="E82" s="83">
        <v>0.95242012504294205</v>
      </c>
      <c r="F82" s="83">
        <v>0.91515939869918983</v>
      </c>
      <c r="G82" s="83">
        <v>0.87887190664897108</v>
      </c>
      <c r="H82" s="84">
        <v>0.71094035907539777</v>
      </c>
      <c r="I82" s="84">
        <v>0.43200702907874922</v>
      </c>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row>
    <row r="83" spans="1:75" x14ac:dyDescent="0.25">
      <c r="A83" s="85"/>
      <c r="B83" s="83"/>
      <c r="C83" s="83"/>
      <c r="D83" s="83"/>
      <c r="E83" s="83"/>
      <c r="F83" s="83"/>
      <c r="G83" s="83"/>
      <c r="H83" s="84"/>
      <c r="I83" s="84"/>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row>
    <row r="84" spans="1:75" x14ac:dyDescent="0.25">
      <c r="A84" s="85"/>
      <c r="B84" s="83"/>
      <c r="C84" s="83"/>
      <c r="D84" s="83"/>
      <c r="E84" s="83"/>
      <c r="F84" s="83"/>
      <c r="G84" s="83"/>
      <c r="H84" s="84"/>
      <c r="I84" s="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row>
    <row r="85" spans="1:75" x14ac:dyDescent="0.2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row>
    <row r="86" spans="1:75" x14ac:dyDescent="0.25">
      <c r="A86" s="5" t="s">
        <v>2</v>
      </c>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row>
    <row r="87" spans="1:75" x14ac:dyDescent="0.25">
      <c r="A87" s="27">
        <f>B52</f>
        <v>0.3015564076749413</v>
      </c>
      <c r="B87" s="87">
        <v>0.2</v>
      </c>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row>
    <row r="88" spans="1:75" x14ac:dyDescent="0.25">
      <c r="A88" s="85">
        <v>0</v>
      </c>
      <c r="B88" s="86">
        <f t="dataTable" ref="B88:B96" dt2D="1" dtr="1" r1="H57" r2="A70"/>
        <v>0.3015564076749413</v>
      </c>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row>
    <row r="89" spans="1:75" x14ac:dyDescent="0.25">
      <c r="A89" s="85">
        <v>2.5000000000000001E-2</v>
      </c>
      <c r="B89" s="86">
        <v>0.3015564076749413</v>
      </c>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row>
    <row r="90" spans="1:75" x14ac:dyDescent="0.25">
      <c r="A90" s="85">
        <v>0.05</v>
      </c>
      <c r="B90" s="86">
        <v>0.3015564076749413</v>
      </c>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row>
    <row r="91" spans="1:75" x14ac:dyDescent="0.25">
      <c r="A91" s="85">
        <v>7.4999999999999997E-2</v>
      </c>
      <c r="B91" s="86">
        <v>0.3015564076749413</v>
      </c>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row>
    <row r="92" spans="1:75" x14ac:dyDescent="0.25">
      <c r="A92" s="85">
        <v>0.1</v>
      </c>
      <c r="B92" s="86">
        <v>0.3015564076749413</v>
      </c>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row>
    <row r="93" spans="1:75" x14ac:dyDescent="0.25">
      <c r="A93" s="85">
        <v>0.125</v>
      </c>
      <c r="B93" s="86">
        <v>0.3015564076749413</v>
      </c>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row>
    <row r="94" spans="1:75" x14ac:dyDescent="0.25">
      <c r="A94" s="85">
        <v>0.15</v>
      </c>
      <c r="B94" s="86">
        <v>0.3015564076749413</v>
      </c>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row>
    <row r="95" spans="1:75" x14ac:dyDescent="0.25">
      <c r="A95" s="85">
        <v>0.17499999999999999</v>
      </c>
      <c r="B95" s="86">
        <v>0.3015564076749413</v>
      </c>
      <c r="J95" s="9"/>
      <c r="P95" s="8"/>
      <c r="Q95" s="8"/>
      <c r="R95" s="8"/>
      <c r="S95" s="8"/>
      <c r="T95" s="8"/>
    </row>
    <row r="96" spans="1:75" x14ac:dyDescent="0.25">
      <c r="A96" s="85">
        <v>0.2</v>
      </c>
      <c r="B96" s="86">
        <v>0.3015564076749413</v>
      </c>
      <c r="J96" s="9"/>
      <c r="P96" s="8"/>
      <c r="Q96" s="8"/>
      <c r="R96" s="8"/>
      <c r="S96" s="8"/>
      <c r="T96" s="8"/>
    </row>
    <row r="97" spans="1:2" x14ac:dyDescent="0.25">
      <c r="A97" s="85"/>
      <c r="B97" s="86"/>
    </row>
    <row r="98" spans="1:2" x14ac:dyDescent="0.25">
      <c r="A98" s="85"/>
      <c r="B98" s="86"/>
    </row>
    <row r="113" ht="16" customHeight="1" x14ac:dyDescent="0.25"/>
    <row r="114" ht="16" customHeight="1" x14ac:dyDescent="0.25"/>
    <row r="126" ht="16" customHeight="1" x14ac:dyDescent="0.25"/>
    <row r="129" spans="18:19" x14ac:dyDescent="0.25">
      <c r="R129" s="7"/>
      <c r="S129" s="6"/>
    </row>
  </sheetData>
  <mergeCells count="6">
    <mergeCell ref="A1:J1"/>
    <mergeCell ref="A14:J14"/>
    <mergeCell ref="A29:J29"/>
    <mergeCell ref="A38:J38"/>
    <mergeCell ref="A54:J54"/>
    <mergeCell ref="A66:J66"/>
  </mergeCells>
  <conditionalFormatting sqref="B74:I84">
    <cfRule type="colorScale" priority="2">
      <colorScale>
        <cfvo type="min"/>
        <cfvo type="num" val="0"/>
        <cfvo type="max"/>
        <color theme="5"/>
        <color theme="0"/>
        <color rgb="FF00B050"/>
      </colorScale>
    </cfRule>
  </conditionalFormatting>
  <conditionalFormatting sqref="B88:B98">
    <cfRule type="colorScale" priority="1">
      <colorScale>
        <cfvo type="min"/>
        <cfvo type="num" val="0"/>
        <cfvo type="max"/>
        <color theme="5"/>
        <color theme="0"/>
        <color rgb="FF00B050"/>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C385A-5935-F546-86DA-45083534CF16}">
  <dimension ref="A1:J64"/>
  <sheetViews>
    <sheetView zoomScale="92" zoomScaleNormal="150" workbookViewId="0">
      <selection sqref="A1:J1"/>
    </sheetView>
  </sheetViews>
  <sheetFormatPr baseColWidth="10" defaultRowHeight="19" x14ac:dyDescent="0.25"/>
  <cols>
    <col min="1" max="1" width="29" style="5" bestFit="1" customWidth="1"/>
    <col min="2" max="2" width="14.33203125" style="5" bestFit="1" customWidth="1"/>
    <col min="3" max="3" width="17.33203125" style="5" bestFit="1" customWidth="1"/>
    <col min="4" max="4" width="14.5" style="5" bestFit="1" customWidth="1"/>
    <col min="5" max="5" width="18.33203125" style="5" bestFit="1" customWidth="1"/>
    <col min="6" max="6" width="21.33203125" style="5" bestFit="1" customWidth="1"/>
    <col min="7" max="7" width="10.83203125" style="5"/>
    <col min="8" max="8" width="17.33203125" style="5" bestFit="1" customWidth="1"/>
    <col min="9" max="9" width="8.1640625" style="5" bestFit="1" customWidth="1"/>
    <col min="10" max="10" width="14.33203125" style="5" bestFit="1" customWidth="1"/>
    <col min="11" max="16384" width="10.83203125" style="5"/>
  </cols>
  <sheetData>
    <row r="1" spans="1:10" ht="16" customHeight="1" x14ac:dyDescent="0.25">
      <c r="A1" s="73" t="s">
        <v>79</v>
      </c>
      <c r="B1" s="73"/>
      <c r="C1" s="73"/>
      <c r="D1" s="73"/>
      <c r="E1" s="73"/>
      <c r="F1" s="73"/>
      <c r="G1" s="73"/>
      <c r="H1" s="73"/>
      <c r="I1" s="73"/>
      <c r="J1" s="73"/>
    </row>
    <row r="2" spans="1:10" x14ac:dyDescent="0.25">
      <c r="A2" s="66"/>
      <c r="B2" s="66"/>
      <c r="C2" s="66"/>
      <c r="D2" s="66"/>
      <c r="E2" s="66"/>
      <c r="F2" s="66"/>
      <c r="G2" s="66"/>
      <c r="H2" s="66"/>
      <c r="I2" s="66"/>
      <c r="J2" s="66"/>
    </row>
    <row r="3" spans="1:10" x14ac:dyDescent="0.25">
      <c r="A3" s="22"/>
      <c r="B3" s="22" t="s">
        <v>78</v>
      </c>
      <c r="C3" s="22" t="s">
        <v>77</v>
      </c>
      <c r="D3" s="22" t="s">
        <v>76</v>
      </c>
      <c r="E3" s="22" t="s">
        <v>75</v>
      </c>
      <c r="F3" s="65" t="s">
        <v>74</v>
      </c>
      <c r="H3" s="32" t="s">
        <v>73</v>
      </c>
    </row>
    <row r="4" spans="1:10" x14ac:dyDescent="0.25">
      <c r="A4" s="5" t="s">
        <v>72</v>
      </c>
      <c r="B4" s="5">
        <v>350</v>
      </c>
      <c r="C4" s="27">
        <v>5.7299999999999997E-2</v>
      </c>
      <c r="D4" s="27">
        <v>3.5000000000000003E-2</v>
      </c>
      <c r="E4" s="27">
        <v>9.8500000000000004E-2</v>
      </c>
      <c r="F4" s="64">
        <f t="shared" ref="F4:F9" si="0">E4/(1-$H$4)</f>
        <v>0.17876588021778586</v>
      </c>
      <c r="H4" s="37">
        <v>0.44900000000000001</v>
      </c>
    </row>
    <row r="5" spans="1:10" x14ac:dyDescent="0.25">
      <c r="A5" s="5" t="s">
        <v>71</v>
      </c>
      <c r="B5" s="5">
        <v>148</v>
      </c>
      <c r="C5" s="27">
        <v>2.4199999999999999E-2</v>
      </c>
      <c r="D5" s="27">
        <v>3.5000000000000003E-2</v>
      </c>
      <c r="E5" s="27">
        <v>8.9399999999999993E-2</v>
      </c>
      <c r="F5" s="64">
        <f t="shared" si="0"/>
        <v>0.16225045372050817</v>
      </c>
    </row>
    <row r="6" spans="1:10" x14ac:dyDescent="0.25">
      <c r="A6" s="5" t="s">
        <v>70</v>
      </c>
      <c r="B6" s="5">
        <v>261</v>
      </c>
      <c r="C6" s="27">
        <v>4.2700000000000002E-2</v>
      </c>
      <c r="D6" s="27">
        <v>4.4999999999999998E-2</v>
      </c>
      <c r="E6" s="27">
        <v>8.9399999999999993E-2</v>
      </c>
      <c r="F6" s="64">
        <f t="shared" si="0"/>
        <v>0.16225045372050817</v>
      </c>
    </row>
    <row r="7" spans="1:10" x14ac:dyDescent="0.25">
      <c r="A7" s="5" t="s">
        <v>69</v>
      </c>
      <c r="B7" s="5">
        <v>238</v>
      </c>
      <c r="C7" s="27">
        <v>3.9E-2</v>
      </c>
      <c r="D7" s="27">
        <v>4.7500000000000001E-2</v>
      </c>
      <c r="E7" s="27">
        <v>8.9399999999999993E-2</v>
      </c>
      <c r="F7" s="64">
        <f t="shared" si="0"/>
        <v>0.16225045372050817</v>
      </c>
    </row>
    <row r="8" spans="1:10" x14ac:dyDescent="0.25">
      <c r="A8" s="5" t="s">
        <v>68</v>
      </c>
      <c r="B8" s="5">
        <v>366</v>
      </c>
      <c r="C8" s="27">
        <v>5.9900000000000002E-2</v>
      </c>
      <c r="D8" s="27">
        <v>2.2499999999999999E-2</v>
      </c>
      <c r="E8" s="27">
        <v>2.7300000000000001E-2</v>
      </c>
      <c r="F8" s="64">
        <f t="shared" si="0"/>
        <v>4.9546279491833038E-2</v>
      </c>
    </row>
    <row r="9" spans="1:10" ht="20" thickBot="1" x14ac:dyDescent="0.3">
      <c r="A9" s="5" t="s">
        <v>67</v>
      </c>
      <c r="B9" s="5">
        <v>160</v>
      </c>
      <c r="C9" s="27">
        <v>2.6200000000000001E-2</v>
      </c>
      <c r="D9" s="27">
        <v>8.1900000000000001E-2</v>
      </c>
      <c r="E9" s="27">
        <v>0.1147</v>
      </c>
      <c r="F9" s="64">
        <f t="shared" si="0"/>
        <v>0.20816696914700547</v>
      </c>
    </row>
    <row r="10" spans="1:10" ht="20" thickBot="1" x14ac:dyDescent="0.3">
      <c r="A10" s="19" t="s">
        <v>66</v>
      </c>
      <c r="B10" s="63">
        <v>1523</v>
      </c>
      <c r="C10" s="59">
        <v>0.24929999999999999</v>
      </c>
      <c r="D10" s="59">
        <v>4.0599999999999997E-2</v>
      </c>
      <c r="E10" s="59">
        <v>7.9200000000000007E-2</v>
      </c>
      <c r="F10" s="62">
        <f>SUMPRODUCT(B4:B9,F4:F9)/B10</f>
        <v>0.14378513131380538</v>
      </c>
    </row>
    <row r="13" spans="1:10" ht="16" customHeight="1" x14ac:dyDescent="0.25">
      <c r="A13" s="72" t="s">
        <v>65</v>
      </c>
      <c r="B13" s="72"/>
      <c r="C13" s="72"/>
      <c r="D13" s="72"/>
      <c r="E13" s="72"/>
      <c r="F13" s="72"/>
      <c r="G13" s="72"/>
      <c r="H13" s="72"/>
      <c r="I13" s="72"/>
      <c r="J13" s="72"/>
    </row>
    <row r="15" spans="1:10" x14ac:dyDescent="0.25">
      <c r="A15" s="71" t="s">
        <v>64</v>
      </c>
      <c r="B15" s="71"/>
      <c r="C15" s="71"/>
      <c r="D15" s="71"/>
      <c r="E15" s="71"/>
      <c r="F15" s="71"/>
    </row>
    <row r="16" spans="1:10" x14ac:dyDescent="0.25">
      <c r="A16" s="22" t="s">
        <v>8</v>
      </c>
      <c r="B16" s="22">
        <v>1</v>
      </c>
      <c r="C16" s="22">
        <v>2</v>
      </c>
      <c r="D16" s="22">
        <v>3</v>
      </c>
      <c r="E16" s="22">
        <v>4</v>
      </c>
      <c r="F16" s="22">
        <v>5</v>
      </c>
      <c r="H16" s="33"/>
      <c r="I16" s="33"/>
    </row>
    <row r="17" spans="1:10" x14ac:dyDescent="0.25">
      <c r="A17" s="5" t="s">
        <v>43</v>
      </c>
      <c r="B17" s="27">
        <f>$B$18</f>
        <v>0.14378513131380538</v>
      </c>
      <c r="C17" s="27">
        <f>SUM(B17,C18)</f>
        <v>0.28757026262761076</v>
      </c>
      <c r="D17" s="27">
        <f>SUM(C17,D18)</f>
        <v>0.43135539394141614</v>
      </c>
      <c r="E17" s="27">
        <f>SUM(D17,E18)</f>
        <v>0.57514052525522152</v>
      </c>
      <c r="F17" s="27">
        <f>SUM(E17,F18)</f>
        <v>0.71892565656902696</v>
      </c>
      <c r="H17" s="43"/>
      <c r="I17" s="43"/>
    </row>
    <row r="18" spans="1:10" x14ac:dyDescent="0.25">
      <c r="A18" s="5" t="s">
        <v>11</v>
      </c>
      <c r="B18" s="27">
        <f>$F$10</f>
        <v>0.14378513131380538</v>
      </c>
      <c r="C18" s="27">
        <f>$F$10</f>
        <v>0.14378513131380538</v>
      </c>
      <c r="D18" s="27">
        <f>$F$10</f>
        <v>0.14378513131380538</v>
      </c>
      <c r="E18" s="27">
        <f>$F$10</f>
        <v>0.14378513131380538</v>
      </c>
      <c r="F18" s="27">
        <f>$F$10</f>
        <v>0.14378513131380538</v>
      </c>
    </row>
    <row r="19" spans="1:10" ht="20" thickBot="1" x14ac:dyDescent="0.3">
      <c r="A19" s="19" t="s">
        <v>12</v>
      </c>
      <c r="B19" s="59">
        <f>1-B17</f>
        <v>0.85621486868619456</v>
      </c>
      <c r="C19" s="59">
        <f>1-C17</f>
        <v>0.71242973737238924</v>
      </c>
      <c r="D19" s="59">
        <f>1-D17</f>
        <v>0.56864460605858391</v>
      </c>
      <c r="E19" s="59">
        <f>1-E17</f>
        <v>0.42485947474477848</v>
      </c>
      <c r="F19" s="59">
        <f>1-F17</f>
        <v>0.28107434343097304</v>
      </c>
    </row>
    <row r="20" spans="1:10" x14ac:dyDescent="0.25">
      <c r="B20" s="27"/>
      <c r="C20" s="27"/>
      <c r="D20" s="27"/>
      <c r="E20" s="27"/>
      <c r="F20" s="27"/>
    </row>
    <row r="21" spans="1:10" x14ac:dyDescent="0.25">
      <c r="A21" s="71" t="s">
        <v>63</v>
      </c>
      <c r="B21" s="71"/>
      <c r="C21" s="71"/>
      <c r="D21" s="71"/>
      <c r="E21" s="71"/>
      <c r="F21" s="71"/>
    </row>
    <row r="22" spans="1:10" x14ac:dyDescent="0.25">
      <c r="A22" s="5" t="s">
        <v>43</v>
      </c>
      <c r="B22" s="27">
        <v>5.91E-2</v>
      </c>
      <c r="C22" s="27">
        <v>0.13600000000000001</v>
      </c>
      <c r="D22" s="27">
        <v>0.20549999999999999</v>
      </c>
      <c r="E22" s="27">
        <v>0.26229999999999998</v>
      </c>
      <c r="F22" s="27">
        <v>0.30480000000000002</v>
      </c>
    </row>
    <row r="23" spans="1:10" x14ac:dyDescent="0.25">
      <c r="A23" s="5" t="s">
        <v>11</v>
      </c>
      <c r="B23" s="27">
        <v>5.91E-2</v>
      </c>
      <c r="C23" s="27">
        <v>7.690000000000001E-2</v>
      </c>
      <c r="D23" s="27">
        <v>6.9499999999999978E-2</v>
      </c>
      <c r="E23" s="27">
        <v>5.6799999999999989E-2</v>
      </c>
      <c r="F23" s="27">
        <v>4.2500000000000038E-2</v>
      </c>
    </row>
    <row r="24" spans="1:10" ht="20" thickBot="1" x14ac:dyDescent="0.3">
      <c r="A24" s="19" t="s">
        <v>12</v>
      </c>
      <c r="B24" s="59">
        <v>0.94089999999999996</v>
      </c>
      <c r="C24" s="59">
        <v>0.86399999999999999</v>
      </c>
      <c r="D24" s="59">
        <v>0.79449999999999998</v>
      </c>
      <c r="E24" s="59">
        <v>0.73770000000000002</v>
      </c>
      <c r="F24" s="59">
        <v>0.69520000000000004</v>
      </c>
    </row>
    <row r="25" spans="1:10" x14ac:dyDescent="0.25">
      <c r="B25" s="27"/>
      <c r="C25" s="27"/>
      <c r="D25" s="27"/>
      <c r="E25" s="27"/>
      <c r="F25" s="27"/>
      <c r="H25" s="45"/>
      <c r="I25" s="45" t="s">
        <v>41</v>
      </c>
      <c r="J25" s="45" t="s">
        <v>40</v>
      </c>
    </row>
    <row r="26" spans="1:10" x14ac:dyDescent="0.25">
      <c r="A26" s="71" t="s">
        <v>62</v>
      </c>
      <c r="B26" s="71"/>
      <c r="C26" s="71"/>
      <c r="D26" s="71"/>
      <c r="E26" s="71"/>
      <c r="F26" s="71"/>
      <c r="H26" s="61" t="s">
        <v>39</v>
      </c>
      <c r="I26" s="43">
        <f>1-I27</f>
        <v>0.75070000000000003</v>
      </c>
      <c r="J26" s="43">
        <v>0.77500000000000002</v>
      </c>
    </row>
    <row r="27" spans="1:10" x14ac:dyDescent="0.25">
      <c r="A27" s="5" t="s">
        <v>43</v>
      </c>
      <c r="B27" s="27">
        <f t="shared" ref="B27:F28" si="1" xml:space="preserve">  $I$26*B22+$I$27*B17</f>
        <v>8.0212003236531687E-2</v>
      </c>
      <c r="C27" s="27">
        <f t="shared" si="1"/>
        <v>0.17378646647306337</v>
      </c>
      <c r="D27" s="27">
        <f t="shared" si="1"/>
        <v>0.26180574970959503</v>
      </c>
      <c r="E27" s="27">
        <f t="shared" si="1"/>
        <v>0.34029114294612672</v>
      </c>
      <c r="F27" s="27">
        <f t="shared" si="1"/>
        <v>0.40804152618265843</v>
      </c>
      <c r="H27" s="60" t="s">
        <v>38</v>
      </c>
      <c r="I27" s="37">
        <v>0.24929999999999999</v>
      </c>
      <c r="J27" s="37">
        <v>0.44900000000000001</v>
      </c>
    </row>
    <row r="28" spans="1:10" x14ac:dyDescent="0.25">
      <c r="A28" s="5" t="s">
        <v>11</v>
      </c>
      <c r="B28" s="27">
        <f t="shared" si="1"/>
        <v>8.0212003236531687E-2</v>
      </c>
      <c r="C28" s="27">
        <f t="shared" si="1"/>
        <v>9.357446323653168E-2</v>
      </c>
      <c r="D28" s="27">
        <f t="shared" si="1"/>
        <v>8.8019283236531659E-2</v>
      </c>
      <c r="E28" s="27">
        <f t="shared" si="1"/>
        <v>7.848539323653167E-2</v>
      </c>
      <c r="F28" s="27">
        <f t="shared" si="1"/>
        <v>6.7750383236531708E-2</v>
      </c>
    </row>
    <row r="29" spans="1:10" ht="20" thickBot="1" x14ac:dyDescent="0.3">
      <c r="A29" s="19" t="s">
        <v>12</v>
      </c>
      <c r="B29" s="59">
        <f>1-B27</f>
        <v>0.91978799676346834</v>
      </c>
      <c r="C29" s="59">
        <f>1-C27</f>
        <v>0.82621353352693661</v>
      </c>
      <c r="D29" s="59">
        <f>1-D27</f>
        <v>0.73819425029040497</v>
      </c>
      <c r="E29" s="59">
        <f>1-E27</f>
        <v>0.65970885705387328</v>
      </c>
      <c r="F29" s="59">
        <f>1-F27</f>
        <v>0.59195847381734157</v>
      </c>
    </row>
    <row r="30" spans="1:10" x14ac:dyDescent="0.25">
      <c r="B30" s="27"/>
      <c r="C30" s="27"/>
      <c r="D30" s="27"/>
      <c r="E30" s="27"/>
      <c r="F30" s="27"/>
    </row>
    <row r="31" spans="1:10" x14ac:dyDescent="0.25">
      <c r="A31" s="58" t="s">
        <v>28</v>
      </c>
      <c r="B31" s="50">
        <v>3.8699999999999998E-2</v>
      </c>
      <c r="C31" s="50">
        <v>4.6100000000000002E-2</v>
      </c>
      <c r="D31" s="50">
        <v>4.87E-2</v>
      </c>
      <c r="E31" s="50">
        <v>4.99E-2</v>
      </c>
      <c r="F31" s="50">
        <v>5.1299999999999998E-2</v>
      </c>
      <c r="H31" s="33"/>
      <c r="I31" s="33"/>
      <c r="J31" s="33"/>
    </row>
    <row r="32" spans="1:10" x14ac:dyDescent="0.25">
      <c r="A32" s="5" t="s">
        <v>22</v>
      </c>
      <c r="B32" s="8">
        <f xml:space="preserve"> (1+B31)^B16</f>
        <v>1.0387</v>
      </c>
      <c r="C32" s="8">
        <f xml:space="preserve"> (1+C31)^C16</f>
        <v>1.09432521</v>
      </c>
      <c r="D32" s="8">
        <f xml:space="preserve"> (1+D31)^D16</f>
        <v>1.1533305713029998</v>
      </c>
      <c r="E32" s="8">
        <f xml:space="preserve"> (1+E31)^E16</f>
        <v>1.2150432661458004</v>
      </c>
      <c r="F32" s="8">
        <f xml:space="preserve"> (1+F31)^F16</f>
        <v>1.284201941224423</v>
      </c>
      <c r="H32" s="33"/>
      <c r="I32" s="43"/>
      <c r="J32" s="43"/>
    </row>
    <row r="33" spans="1:10" x14ac:dyDescent="0.25">
      <c r="A33" s="5" t="s">
        <v>21</v>
      </c>
      <c r="B33" s="8">
        <f>1/B32</f>
        <v>0.96274188889958601</v>
      </c>
      <c r="C33" s="8">
        <f>1/C32</f>
        <v>0.91380513841950139</v>
      </c>
      <c r="D33" s="8">
        <f>1/D32</f>
        <v>0.86705409956334434</v>
      </c>
      <c r="E33" s="8">
        <f>1/E32</f>
        <v>0.82301595989422482</v>
      </c>
      <c r="F33" s="8">
        <f>1/F32</f>
        <v>0.77869373024506527</v>
      </c>
      <c r="H33" s="33"/>
      <c r="I33" s="43"/>
      <c r="J33" s="43"/>
    </row>
    <row r="34" spans="1:10" x14ac:dyDescent="0.25">
      <c r="A34" s="5" t="s">
        <v>34</v>
      </c>
      <c r="B34" s="27">
        <v>3.09E-2</v>
      </c>
      <c r="C34" s="27">
        <v>3.09E-2</v>
      </c>
      <c r="D34" s="27">
        <v>3.09E-2</v>
      </c>
      <c r="E34" s="27">
        <v>3.09E-2</v>
      </c>
      <c r="F34" s="27">
        <v>3.09E-2</v>
      </c>
    </row>
    <row r="35" spans="1:10" ht="20" thickBot="1" x14ac:dyDescent="0.3">
      <c r="A35" s="19" t="s">
        <v>33</v>
      </c>
      <c r="B35" s="59">
        <f>B31+B34</f>
        <v>6.9599999999999995E-2</v>
      </c>
      <c r="C35" s="59">
        <f>C31+C34</f>
        <v>7.6999999999999999E-2</v>
      </c>
      <c r="D35" s="59">
        <f>D31+D34</f>
        <v>7.9600000000000004E-2</v>
      </c>
      <c r="E35" s="59">
        <f>E31+E34</f>
        <v>8.0799999999999997E-2</v>
      </c>
      <c r="F35" s="59">
        <f>F31+F34</f>
        <v>8.2199999999999995E-2</v>
      </c>
    </row>
    <row r="38" spans="1:10" x14ac:dyDescent="0.25">
      <c r="A38" s="71" t="s">
        <v>55</v>
      </c>
      <c r="B38" s="71"/>
      <c r="C38" s="71"/>
      <c r="D38" s="71"/>
      <c r="E38" s="71"/>
      <c r="F38" s="71"/>
    </row>
    <row r="39" spans="1:10" x14ac:dyDescent="0.25">
      <c r="A39" s="58" t="s">
        <v>61</v>
      </c>
      <c r="B39" s="57">
        <f>'Basic Valuation'!$H$17*B35*B29</f>
        <v>6.4017244574737386</v>
      </c>
      <c r="C39" s="57">
        <f>'Basic Valuation'!$H$17*C35*C29</f>
        <v>6.3618442081574118</v>
      </c>
      <c r="D39" s="57">
        <f>'Basic Valuation'!$H$17*D35*D29</f>
        <v>5.8760262323116246</v>
      </c>
      <c r="E39" s="57">
        <f>'Basic Valuation'!$H$17*E35*E29</f>
        <v>5.3304475649952963</v>
      </c>
      <c r="F39" s="57">
        <f>'Basic Valuation'!$H$17*F35*F29</f>
        <v>4.8658986547785474</v>
      </c>
    </row>
    <row r="40" spans="1:10" x14ac:dyDescent="0.25">
      <c r="A40" s="5" t="s">
        <v>60</v>
      </c>
      <c r="B40" s="21"/>
      <c r="C40" s="21"/>
      <c r="D40" s="21"/>
      <c r="E40" s="21"/>
      <c r="F40" s="21">
        <f>'Basic Valuation'!$H$17*F29</f>
        <v>59.195847381734154</v>
      </c>
    </row>
    <row r="41" spans="1:10" x14ac:dyDescent="0.25">
      <c r="A41" s="5" t="s">
        <v>59</v>
      </c>
      <c r="B41" s="21">
        <f>'Basic Valuation'!$H$17*B28*$J$27</f>
        <v>3.6015189453202727</v>
      </c>
      <c r="C41" s="21">
        <f>'Basic Valuation'!$H$17*C28*$J$27</f>
        <v>4.2014933993202721</v>
      </c>
      <c r="D41" s="21">
        <f>'Basic Valuation'!$H$17*D28*$J$27</f>
        <v>3.9520658173202721</v>
      </c>
      <c r="E41" s="21">
        <f>'Basic Valuation'!$H$17*E28*$J$27</f>
        <v>3.5239941563202719</v>
      </c>
      <c r="F41" s="21">
        <f>'Basic Valuation'!$H$17*F28*$J$27</f>
        <v>3.0419922073202734</v>
      </c>
    </row>
    <row r="42" spans="1:10" x14ac:dyDescent="0.25">
      <c r="A42" s="15" t="s">
        <v>58</v>
      </c>
      <c r="B42" s="34">
        <f>SUM(B39:B41)</f>
        <v>10.003243402794011</v>
      </c>
      <c r="C42" s="34">
        <f>SUM(C39:C41)</f>
        <v>10.563337607477685</v>
      </c>
      <c r="D42" s="34">
        <f>SUM(D39:D41)</f>
        <v>9.8280920496318966</v>
      </c>
      <c r="E42" s="34">
        <f>SUM(E39:E41)</f>
        <v>8.8544417213155686</v>
      </c>
      <c r="F42" s="34">
        <f>SUM(F39:F41)</f>
        <v>67.103738243832979</v>
      </c>
    </row>
    <row r="43" spans="1:10" ht="20" thickBot="1" x14ac:dyDescent="0.3">
      <c r="A43" s="14" t="s">
        <v>57</v>
      </c>
      <c r="B43" s="56">
        <f xml:space="preserve"> B42/100*6.11</f>
        <v>0.61119817191071413</v>
      </c>
      <c r="C43" s="56">
        <f xml:space="preserve"> C42/100*6.11</f>
        <v>0.64541992781688662</v>
      </c>
      <c r="D43" s="56">
        <f xml:space="preserve"> D42/100*6.11</f>
        <v>0.60049642423250893</v>
      </c>
      <c r="E43" s="56">
        <f xml:space="preserve"> E42/100*6.11</f>
        <v>0.54100638917238131</v>
      </c>
      <c r="F43" s="56">
        <f xml:space="preserve"> F42/100*6.11</f>
        <v>4.1000384066981947</v>
      </c>
    </row>
    <row r="44" spans="1:10" x14ac:dyDescent="0.25">
      <c r="B44" s="27"/>
      <c r="C44" s="27"/>
      <c r="D44" s="27"/>
      <c r="E44" s="27"/>
      <c r="F44" s="27"/>
    </row>
    <row r="45" spans="1:10" x14ac:dyDescent="0.25">
      <c r="A45" s="71" t="s">
        <v>54</v>
      </c>
      <c r="B45" s="71"/>
      <c r="C45" s="71"/>
      <c r="D45" s="71"/>
      <c r="E45" s="71"/>
      <c r="F45" s="71"/>
    </row>
    <row r="46" spans="1:10" x14ac:dyDescent="0.25">
      <c r="A46" s="58" t="s">
        <v>61</v>
      </c>
      <c r="B46" s="57">
        <f>'Basic Valuation'!$H$17*B35*B19</f>
        <v>5.9592554860559135</v>
      </c>
      <c r="C46" s="57">
        <f>'Basic Valuation'!$H$17*C35*C19</f>
        <v>5.4857089777673975</v>
      </c>
      <c r="D46" s="57">
        <f>'Basic Valuation'!$H$17*D35*D19</f>
        <v>4.5264110642263287</v>
      </c>
      <c r="E46" s="57">
        <f>'Basic Valuation'!$H$17*E35*E19</f>
        <v>3.4328645559378099</v>
      </c>
      <c r="F46" s="57">
        <f>'Basic Valuation'!$H$17*F35*F19</f>
        <v>2.3104311030025979</v>
      </c>
    </row>
    <row r="47" spans="1:10" x14ac:dyDescent="0.25">
      <c r="A47" s="5" t="s">
        <v>60</v>
      </c>
      <c r="B47" s="21"/>
      <c r="C47" s="21"/>
      <c r="D47" s="21"/>
      <c r="E47" s="21"/>
      <c r="F47" s="21">
        <f>'Basic Valuation'!$H$17*F19</f>
        <v>28.107434343097303</v>
      </c>
    </row>
    <row r="48" spans="1:10" x14ac:dyDescent="0.25">
      <c r="A48" s="5" t="s">
        <v>59</v>
      </c>
      <c r="B48" s="21">
        <f>'Basic Valuation'!$H$17*B18*$J$27</f>
        <v>6.4559523959898621</v>
      </c>
      <c r="C48" s="21">
        <f>'Basic Valuation'!$H$17*C18*$J$27</f>
        <v>6.4559523959898621</v>
      </c>
      <c r="D48" s="21">
        <f>'Basic Valuation'!$H$17*D18*$J$27</f>
        <v>6.4559523959898621</v>
      </c>
      <c r="E48" s="21">
        <f>'Basic Valuation'!$H$17*E18*$J$27</f>
        <v>6.4559523959898621</v>
      </c>
      <c r="F48" s="21">
        <f>'Basic Valuation'!$H$17*F18*$J$27</f>
        <v>6.4559523959898621</v>
      </c>
    </row>
    <row r="49" spans="1:10" x14ac:dyDescent="0.25">
      <c r="A49" s="15" t="s">
        <v>58</v>
      </c>
      <c r="B49" s="34">
        <f>SUM(B46:B48)</f>
        <v>12.415207882045776</v>
      </c>
      <c r="C49" s="34">
        <f>SUM(C46:C48)</f>
        <v>11.94166137375726</v>
      </c>
      <c r="D49" s="34">
        <f>SUM(D46:D48)</f>
        <v>10.982363460216192</v>
      </c>
      <c r="E49" s="34">
        <f>SUM(E46:E48)</f>
        <v>9.888816951927673</v>
      </c>
      <c r="F49" s="34">
        <f>SUM(F46:F48)</f>
        <v>36.873817842089764</v>
      </c>
    </row>
    <row r="50" spans="1:10" ht="20" thickBot="1" x14ac:dyDescent="0.3">
      <c r="A50" s="14" t="s">
        <v>57</v>
      </c>
      <c r="B50" s="56">
        <f xml:space="preserve"> B49/100*6.11</f>
        <v>0.7585692015929969</v>
      </c>
      <c r="C50" s="56">
        <f xml:space="preserve"> C49/100*6.11</f>
        <v>0.72963550993656856</v>
      </c>
      <c r="D50" s="56">
        <f xml:space="preserve"> D49/100*6.11</f>
        <v>0.67102240741920938</v>
      </c>
      <c r="E50" s="56">
        <f xml:space="preserve"> E49/100*6.11</f>
        <v>0.60420671576278084</v>
      </c>
      <c r="F50" s="56">
        <f xml:space="preserve"> F49/100*6.11</f>
        <v>2.2529902701516846</v>
      </c>
    </row>
    <row r="54" spans="1:10" x14ac:dyDescent="0.25">
      <c r="A54" s="74" t="s">
        <v>56</v>
      </c>
      <c r="B54" s="73"/>
      <c r="C54" s="73"/>
      <c r="D54" s="73"/>
      <c r="E54" s="73"/>
      <c r="F54" s="73"/>
      <c r="G54" s="73"/>
      <c r="H54" s="73"/>
      <c r="I54" s="73"/>
      <c r="J54" s="73"/>
    </row>
    <row r="55" spans="1:10" x14ac:dyDescent="0.25">
      <c r="E55" s="27"/>
      <c r="F55" s="27"/>
    </row>
    <row r="56" spans="1:10" x14ac:dyDescent="0.25">
      <c r="A56" s="69" t="s">
        <v>55</v>
      </c>
      <c r="B56" s="69"/>
      <c r="C56" s="69"/>
      <c r="D56" s="69"/>
      <c r="E56" s="8"/>
      <c r="F56" s="8"/>
    </row>
    <row r="57" spans="1:10" x14ac:dyDescent="0.25">
      <c r="A57" s="55"/>
      <c r="B57" s="36" t="s">
        <v>18</v>
      </c>
      <c r="C57" s="36" t="s">
        <v>53</v>
      </c>
    </row>
    <row r="58" spans="1:10" ht="20" thickBot="1" x14ac:dyDescent="0.3">
      <c r="A58" s="14" t="s">
        <v>52</v>
      </c>
      <c r="B58" s="54">
        <f>SUMPRODUCT(B42:F42,B33:F33)-'Basic Valuation'!$J$17</f>
        <v>4.3667448306399734</v>
      </c>
      <c r="C58" s="53">
        <f>B58*6.11/100</f>
        <v>0.2668081091521024</v>
      </c>
    </row>
    <row r="61" spans="1:10" x14ac:dyDescent="0.25">
      <c r="A61" s="70" t="s">
        <v>54</v>
      </c>
      <c r="B61" s="70"/>
      <c r="C61" s="70"/>
      <c r="D61" s="70"/>
      <c r="E61" s="70"/>
      <c r="F61" s="8"/>
    </row>
    <row r="62" spans="1:10" x14ac:dyDescent="0.25">
      <c r="A62" s="55"/>
      <c r="B62" s="36" t="s">
        <v>18</v>
      </c>
      <c r="C62" s="36" t="s">
        <v>53</v>
      </c>
      <c r="D62" s="8"/>
      <c r="E62" s="8"/>
      <c r="F62" s="8"/>
    </row>
    <row r="63" spans="1:10" ht="20" thickBot="1" x14ac:dyDescent="0.3">
      <c r="A63" s="14" t="s">
        <v>52</v>
      </c>
      <c r="B63" s="54">
        <f>SUMPRODUCT(B49:F49,B33:F33)-'Basic Valuation'!$J$17</f>
        <v>-13.739362991390394</v>
      </c>
      <c r="C63" s="53">
        <f>B63*6.11/100</f>
        <v>-0.83947507877395311</v>
      </c>
      <c r="D63" s="8"/>
      <c r="E63" s="8"/>
      <c r="F63" s="8"/>
    </row>
    <row r="64" spans="1:10" x14ac:dyDescent="0.25">
      <c r="B64" s="8"/>
      <c r="C64" s="8"/>
      <c r="D64" s="8"/>
      <c r="E64" s="8"/>
      <c r="F64" s="8"/>
    </row>
  </sheetData>
  <mergeCells count="10">
    <mergeCell ref="A1:J1"/>
    <mergeCell ref="A15:F15"/>
    <mergeCell ref="A21:F21"/>
    <mergeCell ref="A26:F26"/>
    <mergeCell ref="A54:J54"/>
    <mergeCell ref="A56:D56"/>
    <mergeCell ref="A61:E61"/>
    <mergeCell ref="A38:F38"/>
    <mergeCell ref="A45:F45"/>
    <mergeCell ref="A13:J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CA40B-1B13-A241-80E2-9825F58EC0EB}">
  <dimension ref="B2:J67"/>
  <sheetViews>
    <sheetView zoomScale="132" workbookViewId="0"/>
  </sheetViews>
  <sheetFormatPr baseColWidth="10" defaultRowHeight="15" x14ac:dyDescent="0.2"/>
  <cols>
    <col min="1" max="1" width="2.5" customWidth="1"/>
    <col min="3" max="3" width="17.5" customWidth="1"/>
    <col min="5" max="5" width="10.1640625" customWidth="1"/>
  </cols>
  <sheetData>
    <row r="2" spans="3:9" x14ac:dyDescent="0.2">
      <c r="C2" t="s">
        <v>0</v>
      </c>
      <c r="D2">
        <v>0.35</v>
      </c>
    </row>
    <row r="3" spans="3:9" x14ac:dyDescent="0.2">
      <c r="C3" t="s">
        <v>99</v>
      </c>
      <c r="D3" s="3">
        <v>-0.06</v>
      </c>
    </row>
    <row r="4" spans="3:9" x14ac:dyDescent="0.2">
      <c r="C4" t="s">
        <v>116</v>
      </c>
      <c r="D4">
        <v>30</v>
      </c>
    </row>
    <row r="5" spans="3:9" x14ac:dyDescent="0.2">
      <c r="C5" t="s">
        <v>100</v>
      </c>
      <c r="D5" s="3">
        <v>0.06</v>
      </c>
    </row>
    <row r="6" spans="3:9" x14ac:dyDescent="0.2">
      <c r="C6" t="s">
        <v>101</v>
      </c>
      <c r="D6" s="67">
        <v>2.9000000000000001E-2</v>
      </c>
    </row>
    <row r="7" spans="3:9" x14ac:dyDescent="0.2">
      <c r="C7" t="s">
        <v>102</v>
      </c>
      <c r="D7" s="1">
        <v>1.4084500000000002</v>
      </c>
      <c r="E7" t="s">
        <v>117</v>
      </c>
    </row>
    <row r="8" spans="3:9" x14ac:dyDescent="0.2">
      <c r="C8" t="s">
        <v>4</v>
      </c>
      <c r="D8" s="67">
        <f>D7*D5+D6</f>
        <v>0.11350700000000001</v>
      </c>
    </row>
    <row r="9" spans="3:9" x14ac:dyDescent="0.2">
      <c r="C9" t="s">
        <v>89</v>
      </c>
      <c r="D9">
        <v>142</v>
      </c>
    </row>
    <row r="12" spans="3:9" x14ac:dyDescent="0.2">
      <c r="D12">
        <v>1</v>
      </c>
      <c r="E12">
        <v>2</v>
      </c>
      <c r="F12">
        <v>3</v>
      </c>
      <c r="G12">
        <v>4</v>
      </c>
      <c r="H12">
        <v>5</v>
      </c>
      <c r="I12">
        <v>5</v>
      </c>
    </row>
    <row r="13" spans="3:9" x14ac:dyDescent="0.2">
      <c r="C13" t="s">
        <v>1</v>
      </c>
      <c r="D13" s="88">
        <v>24.85000000000003</v>
      </c>
      <c r="E13" s="88">
        <v>19.635000000000005</v>
      </c>
      <c r="F13" s="88">
        <v>19.664999999999999</v>
      </c>
      <c r="G13" s="88">
        <v>20.975000000000001</v>
      </c>
      <c r="H13" s="88">
        <v>19.192251475182228</v>
      </c>
      <c r="I13" s="88">
        <f>(H13*(1+D$3))/(D$8-D$3)</f>
        <v>103.97687924217057</v>
      </c>
    </row>
    <row r="14" spans="3:9" x14ac:dyDescent="0.2">
      <c r="C14" t="s">
        <v>103</v>
      </c>
      <c r="D14" s="88">
        <f>D13/(1+$D8)^D12</f>
        <v>22.316878115719103</v>
      </c>
      <c r="E14" s="88">
        <f>E13/(1+$D8)^E12</f>
        <v>15.835982112090802</v>
      </c>
      <c r="F14" s="88">
        <f>F13/(1+$D8)^F12</f>
        <v>14.243446744292488</v>
      </c>
      <c r="G14" s="88">
        <f>G13/(1+$D8)^G12</f>
        <v>13.643637225578399</v>
      </c>
      <c r="H14" s="88">
        <f>H13/(1+$D8)^H12</f>
        <v>11.211434081591525</v>
      </c>
      <c r="I14" s="88">
        <f>I13/(1+$D$8)^I$12</f>
        <v>60.739613022506475</v>
      </c>
    </row>
    <row r="15" spans="3:9" x14ac:dyDescent="0.2">
      <c r="C15" t="s">
        <v>3</v>
      </c>
      <c r="D15" s="88">
        <f>SUM(D14:I14)</f>
        <v>137.99099130177879</v>
      </c>
    </row>
    <row r="16" spans="3:9" x14ac:dyDescent="0.2">
      <c r="C16" t="s">
        <v>7</v>
      </c>
      <c r="D16" s="88">
        <f>D15-D4-D9</f>
        <v>-34.009008698221209</v>
      </c>
    </row>
    <row r="18" spans="2:9" x14ac:dyDescent="0.2">
      <c r="C18" t="s">
        <v>104</v>
      </c>
      <c r="D18" s="88">
        <v>19.39</v>
      </c>
    </row>
    <row r="19" spans="2:9" x14ac:dyDescent="0.2">
      <c r="C19" t="s">
        <v>105</v>
      </c>
      <c r="D19" s="88">
        <v>51.15</v>
      </c>
    </row>
    <row r="20" spans="2:9" x14ac:dyDescent="0.2">
      <c r="C20" t="s">
        <v>106</v>
      </c>
      <c r="D20" s="88">
        <f>SUM(D18:D19)</f>
        <v>70.539999999999992</v>
      </c>
    </row>
    <row r="21" spans="2:9" x14ac:dyDescent="0.2">
      <c r="C21" t="s">
        <v>107</v>
      </c>
      <c r="D21" s="88">
        <f>D9-D20</f>
        <v>71.460000000000008</v>
      </c>
    </row>
    <row r="23" spans="2:9" x14ac:dyDescent="0.2">
      <c r="C23" t="s">
        <v>108</v>
      </c>
      <c r="D23">
        <v>0.8</v>
      </c>
    </row>
    <row r="24" spans="2:9" x14ac:dyDescent="0.2">
      <c r="C24" t="s">
        <v>109</v>
      </c>
      <c r="D24">
        <f>1-D23</f>
        <v>0.19999999999999996</v>
      </c>
    </row>
    <row r="25" spans="2:9" x14ac:dyDescent="0.2">
      <c r="C25" t="s">
        <v>110</v>
      </c>
      <c r="D25" s="67">
        <v>7.0099999999999996E-2</v>
      </c>
    </row>
    <row r="26" spans="2:9" x14ac:dyDescent="0.2">
      <c r="D26" s="67"/>
    </row>
    <row r="27" spans="2:9" x14ac:dyDescent="0.2">
      <c r="B27" s="2" t="s">
        <v>118</v>
      </c>
      <c r="D27" s="67"/>
    </row>
    <row r="29" spans="2:9" x14ac:dyDescent="0.2">
      <c r="C29" t="s">
        <v>5</v>
      </c>
      <c r="D29" s="88">
        <f>$D24*$D21</f>
        <v>14.291999999999998</v>
      </c>
      <c r="E29" s="88">
        <f>$D24*$D21</f>
        <v>14.291999999999998</v>
      </c>
      <c r="F29" s="88">
        <f>$D24*$D21</f>
        <v>14.291999999999998</v>
      </c>
      <c r="G29" s="88">
        <f>$D24*$D21</f>
        <v>14.291999999999998</v>
      </c>
      <c r="H29" s="88">
        <f>$D24*$D21</f>
        <v>14.291999999999998</v>
      </c>
      <c r="I29" s="88">
        <f>(H29*(1+D$3))/(D$8-D$3)</f>
        <v>77.429037445175098</v>
      </c>
    </row>
    <row r="30" spans="2:9" x14ac:dyDescent="0.2">
      <c r="C30" t="s">
        <v>6</v>
      </c>
      <c r="D30" s="88">
        <f>D29*$D25</f>
        <v>1.0018691999999998</v>
      </c>
      <c r="E30" s="88">
        <f>E29*$D25</f>
        <v>1.0018691999999998</v>
      </c>
      <c r="F30" s="88">
        <f>F29*$D25</f>
        <v>1.0018691999999998</v>
      </c>
      <c r="G30" s="88">
        <f>G29*$D25</f>
        <v>1.0018691999999998</v>
      </c>
      <c r="H30" s="88">
        <f>H29*$D25</f>
        <v>1.0018691999999998</v>
      </c>
      <c r="I30" s="88">
        <f>(H30*(1+D$3))/(D$8-D$3)</f>
        <v>5.4277755249067736</v>
      </c>
    </row>
    <row r="31" spans="2:9" x14ac:dyDescent="0.2">
      <c r="C31" t="s">
        <v>111</v>
      </c>
      <c r="D31" s="88">
        <f>D30/(1+$D$8)^D$12</f>
        <v>0.89974216596752399</v>
      </c>
      <c r="E31" s="88">
        <f>E30/(1+$D$8)^E$12</f>
        <v>0.80802560376138088</v>
      </c>
      <c r="F31" s="88">
        <f>F30/(1+$D$8)^F$12</f>
        <v>0.72565830637919737</v>
      </c>
      <c r="G31" s="88">
        <f>G30/(1+$D$8)^G$12</f>
        <v>0.65168724254018817</v>
      </c>
      <c r="H31" s="88">
        <f>H30/(1+$D$8)^H$12</f>
        <v>0.58525652963132535</v>
      </c>
      <c r="I31" s="88">
        <f>I30/(1+$D$8)^I$12</f>
        <v>3.1707143680280661</v>
      </c>
    </row>
    <row r="32" spans="2:9" x14ac:dyDescent="0.2">
      <c r="C32" t="s">
        <v>3</v>
      </c>
      <c r="D32" s="88">
        <f>SUM(D31:I31)</f>
        <v>6.8410842163076815</v>
      </c>
    </row>
    <row r="34" spans="2:10" x14ac:dyDescent="0.2">
      <c r="B34" s="2" t="s">
        <v>119</v>
      </c>
    </row>
    <row r="36" spans="2:10" x14ac:dyDescent="0.2">
      <c r="C36" t="s">
        <v>112</v>
      </c>
      <c r="D36" s="88">
        <f>D30/(1+$D$25)^D$12</f>
        <v>0.93623885618166502</v>
      </c>
      <c r="E36" s="88">
        <f>E30/(1+$D$25)^E$12</f>
        <v>0.87490781813070273</v>
      </c>
      <c r="F36" s="88">
        <f>F30/(1+$D$25)^F$12</f>
        <v>0.81759444737006137</v>
      </c>
      <c r="G36" s="88">
        <f>G30/(1+$D$25)^G$12</f>
        <v>0.7640355549668828</v>
      </c>
      <c r="H36" s="88">
        <f>H30/(1+$D$25)^H$12</f>
        <v>0.71398519294167162</v>
      </c>
      <c r="I36" s="88">
        <f>I30/(1+$D$25)^I$12</f>
        <v>3.8681210635027474</v>
      </c>
    </row>
    <row r="37" spans="2:10" x14ac:dyDescent="0.2">
      <c r="C37" t="s">
        <v>3</v>
      </c>
      <c r="D37" s="88">
        <f>SUM(D36:I36)</f>
        <v>7.9748829330937312</v>
      </c>
    </row>
    <row r="38" spans="2:10" x14ac:dyDescent="0.2">
      <c r="D38" s="88"/>
    </row>
    <row r="39" spans="2:10" x14ac:dyDescent="0.2">
      <c r="C39" s="2" t="s">
        <v>120</v>
      </c>
      <c r="E39" s="89">
        <f>D37-D32</f>
        <v>1.1337987167860497</v>
      </c>
    </row>
    <row r="41" spans="2:10" x14ac:dyDescent="0.2">
      <c r="B41" s="2" t="s">
        <v>121</v>
      </c>
    </row>
    <row r="42" spans="2:10" x14ac:dyDescent="0.2">
      <c r="B42" s="2" t="s">
        <v>122</v>
      </c>
    </row>
    <row r="43" spans="2:10" x14ac:dyDescent="0.2">
      <c r="B43" s="2" t="s">
        <v>123</v>
      </c>
    </row>
    <row r="44" spans="2:10" x14ac:dyDescent="0.2">
      <c r="B44" s="2"/>
    </row>
    <row r="45" spans="2:10" x14ac:dyDescent="0.2">
      <c r="B45" s="2" t="s">
        <v>124</v>
      </c>
    </row>
    <row r="46" spans="2:10" x14ac:dyDescent="0.2">
      <c r="D46">
        <v>0</v>
      </c>
      <c r="E46">
        <v>1</v>
      </c>
      <c r="F46">
        <v>2</v>
      </c>
      <c r="G46">
        <v>3</v>
      </c>
      <c r="H46">
        <v>4</v>
      </c>
      <c r="I46">
        <v>5</v>
      </c>
      <c r="J46">
        <v>5</v>
      </c>
    </row>
    <row r="47" spans="2:10" x14ac:dyDescent="0.2">
      <c r="C47" s="2" t="s">
        <v>113</v>
      </c>
      <c r="D47" s="88">
        <f>-D21</f>
        <v>-71.460000000000008</v>
      </c>
      <c r="E47" s="88">
        <f>D30+D13</f>
        <v>25.851869200000031</v>
      </c>
      <c r="F47" s="88">
        <f>E30+E13</f>
        <v>20.636869200000007</v>
      </c>
      <c r="G47" s="88">
        <f>F30+F13</f>
        <v>20.666869200000001</v>
      </c>
      <c r="H47" s="88">
        <f>G30+G13</f>
        <v>21.976869200000003</v>
      </c>
      <c r="I47" s="88">
        <f>H30+H13</f>
        <v>20.194120675182226</v>
      </c>
      <c r="J47" s="88">
        <f>I30+I13</f>
        <v>109.40465476707735</v>
      </c>
    </row>
    <row r="48" spans="2:10" x14ac:dyDescent="0.2">
      <c r="C48" t="s">
        <v>7</v>
      </c>
      <c r="D48" s="90">
        <f>NPV($D$8,E47:H47,I47+J47)+D47</f>
        <v>73.37207551808649</v>
      </c>
      <c r="E48" s="88"/>
      <c r="F48" s="88"/>
      <c r="G48" s="88"/>
      <c r="H48" s="88"/>
      <c r="I48" s="88"/>
      <c r="J48" s="88"/>
    </row>
    <row r="49" spans="2:10" x14ac:dyDescent="0.2">
      <c r="C49" t="s">
        <v>2</v>
      </c>
      <c r="D49" s="91">
        <f>IRR(D47:J47)</f>
        <v>0.33039354224195328</v>
      </c>
    </row>
    <row r="51" spans="2:10" x14ac:dyDescent="0.2">
      <c r="B51" s="2" t="s">
        <v>125</v>
      </c>
    </row>
    <row r="52" spans="2:10" x14ac:dyDescent="0.2">
      <c r="C52" s="2" t="s">
        <v>114</v>
      </c>
      <c r="D52" s="88">
        <f>D21*-D24</f>
        <v>-14.291999999999998</v>
      </c>
      <c r="E52" s="88">
        <f>D30</f>
        <v>1.0018691999999998</v>
      </c>
      <c r="F52" s="88">
        <f>E30</f>
        <v>1.0018691999999998</v>
      </c>
      <c r="G52" s="88">
        <f>F30</f>
        <v>1.0018691999999998</v>
      </c>
      <c r="H52" s="88">
        <f>G30</f>
        <v>1.0018691999999998</v>
      </c>
      <c r="I52" s="88">
        <f>H30</f>
        <v>1.0018691999999998</v>
      </c>
      <c r="J52" s="88">
        <f>-D52+I52</f>
        <v>15.293869199999998</v>
      </c>
    </row>
    <row r="53" spans="2:10" x14ac:dyDescent="0.2">
      <c r="C53" t="s">
        <v>7</v>
      </c>
      <c r="D53" s="90">
        <f>NPV($D$25,E52:H52,I52+J52)+D52</f>
        <v>0.71398519294166718</v>
      </c>
      <c r="E53" s="1" t="s">
        <v>127</v>
      </c>
      <c r="F53" s="1"/>
      <c r="G53" s="1"/>
      <c r="H53" s="1"/>
      <c r="I53" s="1"/>
      <c r="J53" s="1"/>
    </row>
    <row r="54" spans="2:10" x14ac:dyDescent="0.2">
      <c r="C54" t="s">
        <v>2</v>
      </c>
      <c r="D54" s="91">
        <f>IRR(D52:J52)</f>
        <v>7.0100000000000051E-2</v>
      </c>
    </row>
    <row r="56" spans="2:10" x14ac:dyDescent="0.2">
      <c r="B56" s="2" t="s">
        <v>126</v>
      </c>
    </row>
    <row r="57" spans="2:10" x14ac:dyDescent="0.2">
      <c r="C57" s="2" t="s">
        <v>115</v>
      </c>
      <c r="D57" s="88">
        <f>D47-D52</f>
        <v>-57.168000000000006</v>
      </c>
      <c r="E57" s="88">
        <f>E47-E52</f>
        <v>24.85000000000003</v>
      </c>
      <c r="F57" s="88">
        <f>F47-F52</f>
        <v>19.635000000000005</v>
      </c>
      <c r="G57" s="88">
        <f>G47-G52</f>
        <v>19.664999999999999</v>
      </c>
      <c r="H57" s="88">
        <f>H47-H52</f>
        <v>20.975000000000001</v>
      </c>
      <c r="I57" s="88">
        <f>I47-I52</f>
        <v>19.192251475182225</v>
      </c>
      <c r="J57" s="88">
        <f>J47-J52</f>
        <v>94.110785567077343</v>
      </c>
    </row>
    <row r="58" spans="2:10" x14ac:dyDescent="0.2">
      <c r="C58" t="s">
        <v>7</v>
      </c>
      <c r="D58" s="90">
        <f>NPV($D$63,E57:H57,I57+J57)+D57</f>
        <v>72.658084928965138</v>
      </c>
      <c r="E58" s="92"/>
    </row>
    <row r="59" spans="2:10" x14ac:dyDescent="0.2">
      <c r="C59" t="s">
        <v>2</v>
      </c>
      <c r="D59" s="91">
        <f>IRR(D57:J57)</f>
        <v>0.39437672026058501</v>
      </c>
    </row>
    <row r="62" spans="2:10" x14ac:dyDescent="0.2">
      <c r="D62" s="92">
        <f>(D48-D53)-D58</f>
        <v>5.3961796879775648E-6</v>
      </c>
    </row>
    <row r="63" spans="2:10" x14ac:dyDescent="0.2">
      <c r="D63" s="3">
        <v>0.11912691892987717</v>
      </c>
      <c r="E63" t="s">
        <v>128</v>
      </c>
    </row>
    <row r="64" spans="2:10" x14ac:dyDescent="0.2">
      <c r="E64" s="94"/>
    </row>
    <row r="65" spans="4:4" x14ac:dyDescent="0.2">
      <c r="D65" s="93"/>
    </row>
    <row r="67" spans="4:4" x14ac:dyDescent="0.2">
      <c r="D67"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The Deal</vt:lpstr>
      <vt:lpstr>Basic Valuation</vt:lpstr>
      <vt:lpstr>CDS</vt:lpstr>
      <vt:lpstr>Media 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Spencer Stires</cp:lastModifiedBy>
  <dcterms:created xsi:type="dcterms:W3CDTF">2022-05-09T16:23:50Z</dcterms:created>
  <dcterms:modified xsi:type="dcterms:W3CDTF">2022-05-23T01:22:49Z</dcterms:modified>
</cp:coreProperties>
</file>