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elliotsykora/Documents/UChicagoTA/Week5_Snap/2022 homework/"/>
    </mc:Choice>
  </mc:AlternateContent>
  <xr:revisionPtr revIDLastSave="0" documentId="13_ncr:1_{D10B0E00-FF0A-2D49-950A-CC1D354C171F}" xr6:coauthVersionLast="47" xr6:coauthVersionMax="47" xr10:uidLastSave="{00000000-0000-0000-0000-000000000000}"/>
  <bookViews>
    <workbookView xWindow="2980" yWindow="2780" windowWidth="30200" windowHeight="17300" xr2:uid="{00000000-000D-0000-FFFF-FFFF00000000}"/>
  </bookViews>
  <sheets>
    <sheet name="Solution" sheetId="18" r:id="rId1"/>
    <sheet name="Financial Statement" sheetId="19" r:id="rId2"/>
    <sheet name="Ex #2 Rev Model" sheetId="11" r:id="rId3"/>
    <sheet name="Ex #3 Rev vs Comps" sheetId="10" r:id="rId4"/>
    <sheet name="Ex #4 Inc-Statement" sheetId="1" r:id="rId5"/>
    <sheet name="Ex #5 Quarterly Fin" sheetId="3" r:id="rId6"/>
    <sheet name="Ex #6 Balance Sheet" sheetId="2" r:id="rId7"/>
    <sheet name="Ex #7 Snap Ratings Over Time" sheetId="8" r:id="rId8"/>
    <sheet name="Ex #8 Analyst Recs Rev" sheetId="17" r:id="rId9"/>
    <sheet name="Ex #9 Analyst Forecasts" sheetId="14" r:id="rId10"/>
    <sheet name="Ex #10 FCF &amp; Assumptions" sheetId="4" r:id="rId11"/>
    <sheet name="Ex #11 MS WACCs" sheetId="9" r:id="rId12"/>
    <sheet name="Ex #12 MS Ratings Universe" sheetId="7" r:id="rId13"/>
    <sheet name="Copyright" sheetId="16"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95" i="18" l="1"/>
  <c r="E195" i="18"/>
  <c r="F195" i="18"/>
  <c r="G195" i="18"/>
  <c r="H195" i="18"/>
  <c r="C195" i="18"/>
  <c r="D194" i="18"/>
  <c r="E194" i="18"/>
  <c r="F194" i="18"/>
  <c r="G194" i="18"/>
  <c r="H194" i="18"/>
  <c r="C194" i="18"/>
  <c r="C193" i="18"/>
  <c r="D193" i="18"/>
  <c r="E193" i="18"/>
  <c r="F193" i="18"/>
  <c r="G193" i="18"/>
  <c r="H193" i="18"/>
  <c r="C192" i="18"/>
  <c r="D192" i="18"/>
  <c r="E192" i="18"/>
  <c r="F192" i="18"/>
  <c r="G192" i="18"/>
  <c r="H192" i="18"/>
  <c r="B192" i="18"/>
  <c r="C191" i="18"/>
  <c r="D191" i="18"/>
  <c r="E191" i="18"/>
  <c r="F191" i="18"/>
  <c r="G191" i="18"/>
  <c r="H191" i="18"/>
  <c r="B191" i="18"/>
  <c r="D190" i="18"/>
  <c r="E190" i="18"/>
  <c r="F190" i="18"/>
  <c r="G190" i="18"/>
  <c r="H190" i="18"/>
  <c r="C190" i="18"/>
  <c r="C189" i="18"/>
  <c r="D189" i="18"/>
  <c r="E189" i="18"/>
  <c r="F189" i="18"/>
  <c r="G189" i="18"/>
  <c r="H189" i="18"/>
  <c r="B189" i="18"/>
  <c r="C188" i="18"/>
  <c r="D188" i="18"/>
  <c r="E188" i="18"/>
  <c r="F188" i="18"/>
  <c r="G188" i="18"/>
  <c r="H188" i="18"/>
  <c r="B188" i="18"/>
  <c r="C187" i="18"/>
  <c r="D187" i="18"/>
  <c r="E187" i="18"/>
  <c r="F187" i="18"/>
  <c r="G187" i="18"/>
  <c r="H187" i="18"/>
  <c r="B187" i="18"/>
  <c r="C186" i="18"/>
  <c r="D186" i="18"/>
  <c r="E186" i="18"/>
  <c r="F186" i="18"/>
  <c r="G186" i="18"/>
  <c r="H186" i="18"/>
  <c r="B186" i="18"/>
  <c r="G185" i="18"/>
  <c r="B185" i="18"/>
  <c r="C184" i="18"/>
  <c r="C185" i="18" s="1"/>
  <c r="D184" i="18"/>
  <c r="D185" i="18" s="1"/>
  <c r="E184" i="18"/>
  <c r="E185" i="18" s="1"/>
  <c r="F184" i="18"/>
  <c r="F185" i="18" s="1"/>
  <c r="G184" i="18"/>
  <c r="H184" i="18"/>
  <c r="H185" i="18" s="1"/>
  <c r="B184" i="18"/>
  <c r="C183" i="18"/>
  <c r="D183" i="18"/>
  <c r="E183" i="18"/>
  <c r="F183" i="18"/>
  <c r="G183" i="18"/>
  <c r="H183" i="18"/>
  <c r="B183" i="18"/>
  <c r="B161" i="18" l="1"/>
  <c r="B162" i="18"/>
  <c r="B163" i="18"/>
  <c r="B160" i="18"/>
  <c r="E168" i="18"/>
  <c r="B166" i="18"/>
  <c r="B165" i="18"/>
  <c r="F160" i="18"/>
  <c r="B140" i="18"/>
  <c r="P138" i="18"/>
  <c r="Q138" i="18"/>
  <c r="P139" i="18"/>
  <c r="Q139" i="18"/>
  <c r="R139" i="18"/>
  <c r="P140" i="18"/>
  <c r="Q140" i="18"/>
  <c r="R140" i="18"/>
  <c r="S140" i="18"/>
  <c r="P141" i="18"/>
  <c r="Q141" i="18"/>
  <c r="R141" i="18"/>
  <c r="S141" i="18"/>
  <c r="T141" i="18"/>
  <c r="P142" i="18"/>
  <c r="Q142" i="18"/>
  <c r="R142" i="18"/>
  <c r="S142" i="18"/>
  <c r="T142" i="18"/>
  <c r="U142" i="18"/>
  <c r="P143" i="18"/>
  <c r="Q143" i="18"/>
  <c r="R143" i="18"/>
  <c r="S143" i="18"/>
  <c r="T143" i="18"/>
  <c r="U143" i="18"/>
  <c r="V143" i="18"/>
  <c r="P144" i="18"/>
  <c r="Q144" i="18"/>
  <c r="R144" i="18"/>
  <c r="S144" i="18"/>
  <c r="T144" i="18"/>
  <c r="U144" i="18"/>
  <c r="V144" i="18"/>
  <c r="W144" i="18"/>
  <c r="O139" i="18"/>
  <c r="O140" i="18"/>
  <c r="O141" i="18"/>
  <c r="O142" i="18"/>
  <c r="O143" i="18"/>
  <c r="O144" i="18"/>
  <c r="O138" i="18"/>
  <c r="N139" i="18"/>
  <c r="N140" i="18"/>
  <c r="N141" i="18"/>
  <c r="N142" i="18"/>
  <c r="N143" i="18"/>
  <c r="N144" i="18"/>
  <c r="N138" i="18"/>
  <c r="P137" i="18"/>
  <c r="Q137" i="18"/>
  <c r="R137" i="18"/>
  <c r="S137" i="18"/>
  <c r="T137" i="18"/>
  <c r="U137" i="18"/>
  <c r="V137" i="18"/>
  <c r="W137" i="18"/>
  <c r="O137" i="18"/>
  <c r="E136" i="18"/>
  <c r="B134" i="18"/>
  <c r="B133" i="18"/>
  <c r="F128" i="18"/>
  <c r="G128" i="18" s="1"/>
  <c r="E121" i="18"/>
  <c r="B119" i="18"/>
  <c r="B118" i="18"/>
  <c r="F113" i="18"/>
  <c r="G113" i="18" s="1"/>
  <c r="E107" i="18"/>
  <c r="B105" i="18"/>
  <c r="B104" i="18"/>
  <c r="F99" i="18"/>
  <c r="G99" i="18" s="1"/>
  <c r="B91" i="18"/>
  <c r="B92" i="18" s="1"/>
  <c r="B93" i="18" s="1"/>
  <c r="E91" i="18" s="1"/>
  <c r="B90" i="18"/>
  <c r="F85" i="18"/>
  <c r="E93" i="18"/>
  <c r="G85" i="18"/>
  <c r="H85" i="18" s="1"/>
  <c r="I85" i="18" s="1"/>
  <c r="J85" i="18" s="1"/>
  <c r="K85" i="18" s="1"/>
  <c r="G160" i="18" l="1"/>
  <c r="G161" i="18" s="1"/>
  <c r="B167" i="18"/>
  <c r="B168" i="18" s="1"/>
  <c r="E166" i="18" s="1"/>
  <c r="G129" i="18"/>
  <c r="H128" i="18"/>
  <c r="B135" i="18"/>
  <c r="B136" i="18" s="1"/>
  <c r="E134" i="18" s="1"/>
  <c r="H113" i="18"/>
  <c r="G114" i="18"/>
  <c r="B120" i="18"/>
  <c r="B121" i="18" s="1"/>
  <c r="E119" i="18" s="1"/>
  <c r="H99" i="18"/>
  <c r="G100" i="18"/>
  <c r="B106" i="18"/>
  <c r="B107" i="18" s="1"/>
  <c r="E105" i="18" s="1"/>
  <c r="G86" i="18"/>
  <c r="G87" i="18" s="1"/>
  <c r="H160" i="18" l="1"/>
  <c r="I160" i="18" s="1"/>
  <c r="G162" i="18"/>
  <c r="G163" i="18" s="1"/>
  <c r="G164" i="18" s="1"/>
  <c r="H129" i="18"/>
  <c r="I128" i="18"/>
  <c r="G130" i="18"/>
  <c r="G131" i="18" s="1"/>
  <c r="G132" i="18" s="1"/>
  <c r="I113" i="18"/>
  <c r="H114" i="18"/>
  <c r="G115" i="18"/>
  <c r="G116" i="18" s="1"/>
  <c r="G117" i="18" s="1"/>
  <c r="G101" i="18"/>
  <c r="G102" i="18" s="1"/>
  <c r="G103" i="18" s="1"/>
  <c r="I99" i="18"/>
  <c r="H100" i="18"/>
  <c r="H161" i="18" l="1"/>
  <c r="H162" i="18" s="1"/>
  <c r="H163" i="18" s="1"/>
  <c r="H164" i="18" s="1"/>
  <c r="J160" i="18"/>
  <c r="I161" i="18"/>
  <c r="J128" i="18"/>
  <c r="I129" i="18"/>
  <c r="H130" i="18"/>
  <c r="H131" i="18"/>
  <c r="H132" i="18" s="1"/>
  <c r="J113" i="18"/>
  <c r="I114" i="18"/>
  <c r="H115" i="18"/>
  <c r="H116" i="18" s="1"/>
  <c r="H117" i="18" s="1"/>
  <c r="J99" i="18"/>
  <c r="I100" i="18"/>
  <c r="H101" i="18"/>
  <c r="H102" i="18" s="1"/>
  <c r="H103" i="18" s="1"/>
  <c r="I162" i="18" l="1"/>
  <c r="I163" i="18" s="1"/>
  <c r="I164" i="18" s="1"/>
  <c r="J161" i="18"/>
  <c r="K160" i="18"/>
  <c r="K161" i="18" s="1"/>
  <c r="I130" i="18"/>
  <c r="I131" i="18" s="1"/>
  <c r="I132" i="18" s="1"/>
  <c r="J129" i="18"/>
  <c r="K128" i="18"/>
  <c r="K129" i="18" s="1"/>
  <c r="I115" i="18"/>
  <c r="I116" i="18" s="1"/>
  <c r="I117" i="18" s="1"/>
  <c r="J114" i="18"/>
  <c r="K113" i="18"/>
  <c r="K114" i="18" s="1"/>
  <c r="I101" i="18"/>
  <c r="I102" i="18" s="1"/>
  <c r="I103" i="18" s="1"/>
  <c r="K99" i="18"/>
  <c r="K100" i="18" s="1"/>
  <c r="J100" i="18"/>
  <c r="K162" i="18" l="1"/>
  <c r="K163" i="18" s="1"/>
  <c r="J162" i="18"/>
  <c r="J163" i="18" s="1"/>
  <c r="J164" i="18" s="1"/>
  <c r="J130" i="18"/>
  <c r="J131" i="18" s="1"/>
  <c r="J132" i="18" s="1"/>
  <c r="K130" i="18"/>
  <c r="K131" i="18" s="1"/>
  <c r="K115" i="18"/>
  <c r="K116" i="18" s="1"/>
  <c r="J115" i="18"/>
  <c r="J116" i="18" s="1"/>
  <c r="J117" i="18" s="1"/>
  <c r="K101" i="18"/>
  <c r="K102" i="18" s="1"/>
  <c r="J101" i="18"/>
  <c r="J102" i="18" s="1"/>
  <c r="J103" i="18" s="1"/>
  <c r="L163" i="18" l="1"/>
  <c r="L164" i="18" s="1"/>
  <c r="K164" i="18"/>
  <c r="L131" i="18"/>
  <c r="L132" i="18" s="1"/>
  <c r="K132" i="18"/>
  <c r="K117" i="18"/>
  <c r="L116" i="18"/>
  <c r="L117" i="18" s="1"/>
  <c r="E118" i="18" s="1"/>
  <c r="E120" i="18" s="1"/>
  <c r="E122" i="18" s="1"/>
  <c r="K103" i="18"/>
  <c r="L102" i="18"/>
  <c r="L103" i="18" s="1"/>
  <c r="E104" i="18" s="1"/>
  <c r="E106" i="18" s="1"/>
  <c r="E108" i="18" s="1"/>
  <c r="E165" i="18" l="1"/>
  <c r="E167" i="18" s="1"/>
  <c r="E169" i="18" s="1"/>
  <c r="E133" i="18"/>
  <c r="E135" i="18" s="1"/>
  <c r="E137" i="18" s="1"/>
  <c r="N127" i="18" s="1"/>
  <c r="G88" i="18" l="1"/>
  <c r="G89" i="18" s="1"/>
  <c r="F72" i="18"/>
  <c r="F70" i="18"/>
  <c r="H64" i="18"/>
  <c r="I64" i="18"/>
  <c r="J64" i="18"/>
  <c r="K64" i="18"/>
  <c r="L64" i="18"/>
  <c r="M64" i="18"/>
  <c r="N64" i="18"/>
  <c r="O64" i="18"/>
  <c r="P64" i="18" s="1"/>
  <c r="G64" i="18"/>
  <c r="F59" i="18"/>
  <c r="F57" i="18"/>
  <c r="H53" i="18"/>
  <c r="I53" i="18"/>
  <c r="J53" i="18"/>
  <c r="K53" i="18"/>
  <c r="L53" i="18"/>
  <c r="M53" i="18"/>
  <c r="N53" i="18"/>
  <c r="O53" i="18"/>
  <c r="N52" i="18"/>
  <c r="O52" i="18"/>
  <c r="F48" i="18"/>
  <c r="F46" i="18"/>
  <c r="H43" i="18"/>
  <c r="I43" i="18"/>
  <c r="J43" i="18"/>
  <c r="K43" i="18"/>
  <c r="L43" i="18"/>
  <c r="M43" i="18"/>
  <c r="N43" i="18"/>
  <c r="O43" i="18"/>
  <c r="P43" i="18" s="1"/>
  <c r="G43" i="18"/>
  <c r="H42" i="18"/>
  <c r="H52" i="18" s="1"/>
  <c r="I42" i="18"/>
  <c r="I52" i="18" s="1"/>
  <c r="J42" i="18"/>
  <c r="J52" i="18" s="1"/>
  <c r="K42" i="18"/>
  <c r="K52" i="18" s="1"/>
  <c r="L42" i="18"/>
  <c r="L52" i="18" s="1"/>
  <c r="M42" i="18"/>
  <c r="M63" i="18" s="1"/>
  <c r="N42" i="18"/>
  <c r="N63" i="18" s="1"/>
  <c r="N68" i="18" s="1"/>
  <c r="O42" i="18"/>
  <c r="O63" i="18" s="1"/>
  <c r="P42" i="18"/>
  <c r="P52" i="18" s="1"/>
  <c r="G42" i="18"/>
  <c r="G63" i="18" s="1"/>
  <c r="F35" i="18"/>
  <c r="F34" i="18"/>
  <c r="G31" i="18"/>
  <c r="G32" i="18" s="1"/>
  <c r="H31" i="18"/>
  <c r="H32" i="18" s="1"/>
  <c r="I31" i="18"/>
  <c r="I32" i="18" s="1"/>
  <c r="J31" i="18"/>
  <c r="J32" i="18" s="1"/>
  <c r="K31" i="18"/>
  <c r="K32" i="18" s="1"/>
  <c r="L31" i="18"/>
  <c r="L32" i="18" s="1"/>
  <c r="M31" i="18"/>
  <c r="M32" i="18" s="1"/>
  <c r="N31" i="18"/>
  <c r="N32" i="18" s="1"/>
  <c r="O31" i="18"/>
  <c r="O32" i="18" s="1"/>
  <c r="N34" i="17"/>
  <c r="N14" i="17"/>
  <c r="D45" i="17"/>
  <c r="D44" i="17"/>
  <c r="D43" i="17"/>
  <c r="D42" i="17"/>
  <c r="D41" i="17"/>
  <c r="D40" i="17"/>
  <c r="D39" i="17"/>
  <c r="D38" i="17"/>
  <c r="D37" i="17"/>
  <c r="D35" i="17"/>
  <c r="D32" i="17"/>
  <c r="D31" i="17"/>
  <c r="D29" i="17"/>
  <c r="D28" i="17"/>
  <c r="G44" i="18" l="1"/>
  <c r="H55" i="18"/>
  <c r="K44" i="18"/>
  <c r="O68" i="18"/>
  <c r="H44" i="18"/>
  <c r="O55" i="18"/>
  <c r="G68" i="18"/>
  <c r="H63" i="18"/>
  <c r="H68" i="18" s="1"/>
  <c r="P44" i="18"/>
  <c r="N55" i="18"/>
  <c r="J44" i="18"/>
  <c r="I63" i="18"/>
  <c r="I68" i="18" s="1"/>
  <c r="I44" i="18"/>
  <c r="N44" i="18"/>
  <c r="M44" i="18"/>
  <c r="L63" i="18"/>
  <c r="L68" i="18" s="1"/>
  <c r="J63" i="18"/>
  <c r="J68" i="18" s="1"/>
  <c r="O44" i="18"/>
  <c r="F36" i="18"/>
  <c r="L44" i="18"/>
  <c r="K63" i="18"/>
  <c r="K68" i="18" s="1"/>
  <c r="J55" i="18"/>
  <c r="I55" i="18"/>
  <c r="P68" i="18"/>
  <c r="L55" i="18"/>
  <c r="M68" i="18"/>
  <c r="K55" i="18"/>
  <c r="P53" i="18"/>
  <c r="P55" i="18" s="1"/>
  <c r="M52" i="18"/>
  <c r="M55" i="18" s="1"/>
  <c r="P63" i="18"/>
  <c r="H86" i="18"/>
  <c r="P31" i="18"/>
  <c r="P32" i="18" s="1"/>
  <c r="F33" i="18" s="1"/>
  <c r="F37" i="18" s="1"/>
  <c r="F34" i="14"/>
  <c r="E34" i="14"/>
  <c r="H34" i="14"/>
  <c r="J34" i="14"/>
  <c r="I34" i="14"/>
  <c r="G34" i="14"/>
  <c r="D34" i="14"/>
  <c r="D33" i="14"/>
  <c r="D32" i="14"/>
  <c r="D31" i="14"/>
  <c r="D30" i="14"/>
  <c r="F45" i="18" l="1"/>
  <c r="F47" i="18" s="1"/>
  <c r="F49" i="18" s="1"/>
  <c r="F56" i="18"/>
  <c r="F58" i="18" s="1"/>
  <c r="F60" i="18" s="1"/>
  <c r="F69" i="18"/>
  <c r="F71" i="18" s="1"/>
  <c r="F73" i="18" s="1"/>
  <c r="I86" i="18"/>
  <c r="H87" i="18"/>
  <c r="H88" i="18" s="1"/>
  <c r="H89" i="18" s="1"/>
  <c r="D35" i="14"/>
  <c r="I87" i="18" l="1"/>
  <c r="I88" i="18" s="1"/>
  <c r="I89" i="18" s="1"/>
  <c r="K86" i="18"/>
  <c r="K87" i="18" s="1"/>
  <c r="K88" i="18" s="1"/>
  <c r="J86" i="18"/>
  <c r="J87" i="18" s="1"/>
  <c r="J88" i="18" s="1"/>
  <c r="J89" i="18" s="1"/>
  <c r="H33" i="14"/>
  <c r="H32" i="14"/>
  <c r="H31" i="14"/>
  <c r="H30" i="14"/>
  <c r="H35" i="14" s="1"/>
  <c r="J33" i="14"/>
  <c r="I33" i="14"/>
  <c r="J32" i="14"/>
  <c r="I32" i="14"/>
  <c r="J31" i="14"/>
  <c r="I31" i="14"/>
  <c r="J30" i="14"/>
  <c r="J35" i="14" s="1"/>
  <c r="I30" i="14"/>
  <c r="I35" i="14" s="1"/>
  <c r="G33" i="14"/>
  <c r="G32" i="14"/>
  <c r="G31" i="14"/>
  <c r="G30" i="14"/>
  <c r="G35" i="14" s="1"/>
  <c r="E33" i="14"/>
  <c r="E32" i="14"/>
  <c r="E31" i="14"/>
  <c r="E30" i="14"/>
  <c r="E35" i="14" s="1"/>
  <c r="F33" i="14"/>
  <c r="F32" i="14"/>
  <c r="F31" i="14"/>
  <c r="F30" i="14"/>
  <c r="F35" i="14" s="1"/>
  <c r="K89" i="18" l="1"/>
  <c r="L88" i="18"/>
  <c r="L89" i="18" s="1"/>
  <c r="F12" i="10"/>
  <c r="E12" i="10"/>
  <c r="D12" i="10"/>
  <c r="C12" i="10"/>
  <c r="E13" i="11"/>
  <c r="C13" i="11"/>
  <c r="E90" i="18" l="1"/>
  <c r="E92" i="18" s="1"/>
  <c r="E94" i="18" s="1"/>
  <c r="B150" i="18" s="1"/>
  <c r="D13" i="10"/>
  <c r="E13" i="10"/>
  <c r="F13" i="10"/>
  <c r="C13" i="10"/>
  <c r="G152" i="18" l="1"/>
  <c r="G172" i="18"/>
  <c r="C25" i="9"/>
  <c r="C24" i="9"/>
  <c r="F25" i="9"/>
  <c r="E25" i="9"/>
  <c r="O11" i="4" l="1"/>
  <c r="O9" i="4"/>
  <c r="C20" i="3" l="1"/>
  <c r="C19" i="3"/>
  <c r="C18" i="3"/>
  <c r="C17" i="3"/>
  <c r="E16" i="3"/>
  <c r="C16" i="3"/>
  <c r="E15" i="3"/>
  <c r="C15" i="3"/>
  <c r="E14" i="3"/>
  <c r="C14" i="3"/>
  <c r="E13" i="3"/>
  <c r="C13" i="3"/>
  <c r="E12" i="3"/>
  <c r="C12" i="3"/>
  <c r="E11" i="3"/>
  <c r="C11" i="3"/>
  <c r="E10" i="3"/>
  <c r="C10" i="3"/>
  <c r="F24" i="9" l="1"/>
  <c r="E24" i="9"/>
  <c r="G12" i="7" l="1"/>
  <c r="G11" i="7"/>
  <c r="G10" i="7"/>
  <c r="G9" i="7"/>
  <c r="E13" i="7"/>
  <c r="F11" i="7" s="1"/>
  <c r="B13" i="7"/>
  <c r="C12" i="7" s="1"/>
  <c r="C9" i="7" l="1"/>
  <c r="C10" i="7"/>
  <c r="C13" i="7" s="1"/>
  <c r="C11" i="7"/>
  <c r="F12" i="7"/>
  <c r="F9" i="7"/>
  <c r="F10" i="7"/>
  <c r="F13" i="7" l="1"/>
  <c r="K18" i="4"/>
  <c r="J18" i="4"/>
  <c r="N11" i="4"/>
  <c r="M11" i="4"/>
  <c r="L11" i="4"/>
  <c r="K11" i="4"/>
  <c r="J11" i="4"/>
  <c r="I11" i="4"/>
  <c r="H11" i="4"/>
  <c r="G11" i="4"/>
  <c r="F11" i="4"/>
  <c r="E11" i="4"/>
  <c r="L14" i="3"/>
  <c r="L13" i="3"/>
  <c r="L12" i="3"/>
  <c r="L11" i="3"/>
  <c r="L10" i="3"/>
</calcChain>
</file>

<file path=xl/sharedStrings.xml><?xml version="1.0" encoding="utf-8"?>
<sst xmlns="http://schemas.openxmlformats.org/spreadsheetml/2006/main" count="1348" uniqueCount="629">
  <si>
    <t>Revenue</t>
  </si>
  <si>
    <t>Costs and Expenses</t>
  </si>
  <si>
    <t>Cost of Revenue</t>
  </si>
  <si>
    <t>Assets</t>
  </si>
  <si>
    <t>Current Assets</t>
  </si>
  <si>
    <t>Accounts Rec.</t>
  </si>
  <si>
    <t>Prepaid Expenses</t>
  </si>
  <si>
    <t>2Q</t>
  </si>
  <si>
    <t>3Q</t>
  </si>
  <si>
    <t>1Q</t>
  </si>
  <si>
    <t>Daily</t>
  </si>
  <si>
    <t>Active</t>
  </si>
  <si>
    <t>(ARPU)</t>
  </si>
  <si>
    <t xml:space="preserve">Users </t>
  </si>
  <si>
    <t>(DAU)</t>
  </si>
  <si>
    <t>Cost of</t>
  </si>
  <si>
    <t>Operating</t>
  </si>
  <si>
    <t>Loss</t>
  </si>
  <si>
    <t>Per User</t>
  </si>
  <si>
    <t>Global</t>
  </si>
  <si>
    <t>N. America</t>
  </si>
  <si>
    <t>Avg. Rev.</t>
  </si>
  <si>
    <t>Gross</t>
  </si>
  <si>
    <t>Margin</t>
  </si>
  <si>
    <t>Growth</t>
  </si>
  <si>
    <t>in DAU</t>
  </si>
  <si>
    <t>Item</t>
  </si>
  <si>
    <t xml:space="preserve">Net Revenue </t>
  </si>
  <si>
    <t>Cash Flow Items</t>
  </si>
  <si>
    <t>Income Statement</t>
  </si>
  <si>
    <t>Date</t>
  </si>
  <si>
    <t>Cantor</t>
  </si>
  <si>
    <t>JP Morgan</t>
  </si>
  <si>
    <t>UBS</t>
  </si>
  <si>
    <t>Pivotal</t>
  </si>
  <si>
    <t>Report</t>
  </si>
  <si>
    <t>From</t>
  </si>
  <si>
    <t>Analyst(s)</t>
  </si>
  <si>
    <t>Writer</t>
  </si>
  <si>
    <t>Price</t>
  </si>
  <si>
    <t>Recom-</t>
  </si>
  <si>
    <t>Share</t>
  </si>
  <si>
    <t>Target</t>
  </si>
  <si>
    <t>mendation</t>
  </si>
  <si>
    <t>Rate</t>
  </si>
  <si>
    <t>WACC</t>
  </si>
  <si>
    <t>Morgan Stanley</t>
  </si>
  <si>
    <t>Buy</t>
  </si>
  <si>
    <t>Aegis Capital</t>
  </si>
  <si>
    <t>n/a</t>
  </si>
  <si>
    <t>Cantor Fitzgerald</t>
  </si>
  <si>
    <t>Underweight</t>
  </si>
  <si>
    <t>Cowen &amp; Co.</t>
  </si>
  <si>
    <t>Outperform</t>
  </si>
  <si>
    <t>Credit Suisse</t>
  </si>
  <si>
    <t>Deutsche Bank</t>
  </si>
  <si>
    <t>FBN Securities</t>
  </si>
  <si>
    <t>Perform</t>
  </si>
  <si>
    <t>Jefferies</t>
  </si>
  <si>
    <t>Neutral</t>
  </si>
  <si>
    <t>RBC Capital</t>
  </si>
  <si>
    <t>William Blair</t>
  </si>
  <si>
    <t>$25-$28</t>
  </si>
  <si>
    <t>Barclays</t>
  </si>
  <si>
    <t>JMP Securities</t>
  </si>
  <si>
    <t>Oppenheimber</t>
  </si>
  <si>
    <t>$21-$26</t>
  </si>
  <si>
    <t>Piper Jaffray</t>
  </si>
  <si>
    <t>Pivotal Research</t>
  </si>
  <si>
    <t>Sell</t>
  </si>
  <si>
    <t>Susquehanna</t>
  </si>
  <si>
    <t>Allen &amp; Co.</t>
  </si>
  <si>
    <t>Hold</t>
  </si>
  <si>
    <t>Citibank</t>
  </si>
  <si>
    <t>Total</t>
  </si>
  <si>
    <t>B of A/Merrill</t>
  </si>
  <si>
    <t>BMO Capital</t>
  </si>
  <si>
    <t>Lead Underwriters</t>
  </si>
  <si>
    <t>Other Underwriters (Co-Managers)</t>
  </si>
  <si>
    <t>Stifel, Nicolaus</t>
  </si>
  <si>
    <t>Analyst Firm &amp; Role</t>
  </si>
  <si>
    <t>Goldman Sachs</t>
  </si>
  <si>
    <t>Morningstar Equity</t>
  </si>
  <si>
    <t>Summit Redstone</t>
  </si>
  <si>
    <t>Overweight/Buy</t>
  </si>
  <si>
    <t>Equal-weight/Hold</t>
  </si>
  <si>
    <t>Underweight/Sell</t>
  </si>
  <si>
    <t>Rating Category</t>
  </si>
  <si>
    <t>Count</t>
  </si>
  <si>
    <t>Percent</t>
  </si>
  <si>
    <t>(All Ratings)</t>
  </si>
  <si>
    <t>Coverage Universe</t>
  </si>
  <si>
    <t>Rating</t>
  </si>
  <si>
    <t>Average</t>
  </si>
  <si>
    <t>March 2</t>
  </si>
  <si>
    <t>March 16</t>
  </si>
  <si>
    <t>March 26</t>
  </si>
  <si>
    <t>March 27</t>
  </si>
  <si>
    <t>Facebook</t>
  </si>
  <si>
    <t>Twitter</t>
  </si>
  <si>
    <t>Groupon</t>
  </si>
  <si>
    <t>Yelp</t>
  </si>
  <si>
    <t>Zynga</t>
  </si>
  <si>
    <t>Etsy</t>
  </si>
  <si>
    <t>Amazon</t>
  </si>
  <si>
    <t>GrubHub</t>
  </si>
  <si>
    <t>Alphabet</t>
  </si>
  <si>
    <t>Company</t>
  </si>
  <si>
    <t>Weekly</t>
  </si>
  <si>
    <t>1 Year</t>
  </si>
  <si>
    <t>2 Years</t>
  </si>
  <si>
    <t>Median</t>
  </si>
  <si>
    <t>Morgan Stanley Reports</t>
  </si>
  <si>
    <t>LinkedIn (a)</t>
  </si>
  <si>
    <t>Cost of Debt</t>
  </si>
  <si>
    <t>Cost of Equity</t>
  </si>
  <si>
    <t>Tax Rate</t>
  </si>
  <si>
    <t>Perpetual Growth Rate</t>
  </si>
  <si>
    <t>10-Year</t>
  </si>
  <si>
    <t>30-Year</t>
  </si>
  <si>
    <t>Stated WACC</t>
  </si>
  <si>
    <t>Needham &amp; Co.</t>
  </si>
  <si>
    <t>Underperform</t>
  </si>
  <si>
    <t>Nomura Instinet</t>
  </si>
  <si>
    <t>Reduce</t>
  </si>
  <si>
    <t>4Q16</t>
  </si>
  <si>
    <t>4Q15</t>
  </si>
  <si>
    <t>4Q14</t>
  </si>
  <si>
    <t>(Note a)</t>
  </si>
  <si>
    <t>Net loss</t>
  </si>
  <si>
    <t>Liabilities and Stockholders' Equity</t>
  </si>
  <si>
    <t>Current liabilities</t>
  </si>
  <si>
    <t>Accounts payable</t>
  </si>
  <si>
    <t>Other liabilities</t>
  </si>
  <si>
    <t>Stockholders' Equity</t>
  </si>
  <si>
    <t>Cash &amp; Securities</t>
  </si>
  <si>
    <t>Accrued exp. and other CL</t>
  </si>
  <si>
    <t>Property and Equipment, net</t>
  </si>
  <si>
    <t>Other Assets</t>
  </si>
  <si>
    <t>Goodwill and Intangibles</t>
  </si>
  <si>
    <t>Loss From Operations</t>
  </si>
  <si>
    <t>Total Costs and Expenses</t>
  </si>
  <si>
    <t>Other Income (Expense), net</t>
  </si>
  <si>
    <t>Loss Before Income Taxes</t>
  </si>
  <si>
    <t>Income Tax Benefit (Expense)</t>
  </si>
  <si>
    <t>Research and Development</t>
  </si>
  <si>
    <t>Sales and Marketing</t>
  </si>
  <si>
    <t>General and Administrative</t>
  </si>
  <si>
    <t>Net Interest Income</t>
  </si>
  <si>
    <t>in ARPU</t>
  </si>
  <si>
    <t>Quarterly Average (millions and dollars)</t>
  </si>
  <si>
    <t>Snap Inc.</t>
  </si>
  <si>
    <t>Financial Data ($ millions)</t>
  </si>
  <si>
    <t>Equity Betas to 3/1/17</t>
  </si>
  <si>
    <t>as % of</t>
  </si>
  <si>
    <t>All Ratings</t>
  </si>
  <si>
    <t>IB Clients</t>
  </si>
  <si>
    <t>Investment Banking (IB)</t>
  </si>
  <si>
    <t>Clients</t>
  </si>
  <si>
    <t>Equity Risk Premium</t>
  </si>
  <si>
    <t>Cash</t>
  </si>
  <si>
    <t>Debt at</t>
  </si>
  <si>
    <t>Value</t>
  </si>
  <si>
    <t>Equity at</t>
  </si>
  <si>
    <t>Market</t>
  </si>
  <si>
    <t>Book</t>
  </si>
  <si>
    <t>eBay</t>
  </si>
  <si>
    <t>Monness Crespi</t>
  </si>
  <si>
    <t>Snap Advertising Revenue Model</t>
  </si>
  <si>
    <t>2020E</t>
  </si>
  <si>
    <t>Notes</t>
  </si>
  <si>
    <t>Daily Average Users (DAU, in millions)</t>
  </si>
  <si>
    <t>User Base grows at 11% CAGR</t>
  </si>
  <si>
    <t>X  Hours per DAU per Day</t>
  </si>
  <si>
    <t>X  Ads per DAU per Hour</t>
  </si>
  <si>
    <t>Snap continues to grow ad load</t>
  </si>
  <si>
    <t>X  Average Pricing ($ per 1K impressions)</t>
  </si>
  <si>
    <t>Inventory scales and pricing falls</t>
  </si>
  <si>
    <t>X  365 Days per Year</t>
  </si>
  <si>
    <t>Advertising Revenue ($ mil)</t>
  </si>
  <si>
    <t>Avg. Revenue per DAU (ARPU)</t>
  </si>
  <si>
    <t>2016 Advertising Revenue Drivers</t>
  </si>
  <si>
    <t>Snap</t>
  </si>
  <si>
    <t>Instagram</t>
  </si>
  <si>
    <t>Financial Forecast ($ millions)</t>
  </si>
  <si>
    <t>Priceline Group</t>
  </si>
  <si>
    <t>Under-</t>
  </si>
  <si>
    <t>Analyst</t>
  </si>
  <si>
    <t>Analyst Ratings in Existence on Each Date</t>
  </si>
  <si>
    <t>Cowen &amp; Co</t>
  </si>
  <si>
    <t>Oppenheimer</t>
  </si>
  <si>
    <t>FBN</t>
  </si>
  <si>
    <t>Report Date</t>
  </si>
  <si>
    <t>DAU</t>
  </si>
  <si>
    <t>Maximum</t>
  </si>
  <si>
    <t>Minimum</t>
  </si>
  <si>
    <t>ARPU</t>
  </si>
  <si>
    <t>Free Cash</t>
  </si>
  <si>
    <t>Flow (FCF)</t>
  </si>
  <si>
    <t>Analyst Forecast for 2020</t>
  </si>
  <si>
    <t>Lead Managers</t>
  </si>
  <si>
    <t>Lead Managers (Book Runners)</t>
  </si>
  <si>
    <t>Other Underwriters</t>
  </si>
  <si>
    <t>Independent Firms</t>
  </si>
  <si>
    <t>Lead Underwriter</t>
  </si>
  <si>
    <t>none</t>
  </si>
  <si>
    <t>Financial Data on 12/31/16 ($mil)</t>
  </si>
  <si>
    <t>No research</t>
  </si>
  <si>
    <t>No report</t>
  </si>
  <si>
    <t>Future Leverage (D/V)</t>
  </si>
  <si>
    <t>Harvard Business School Case 218-095</t>
  </si>
  <si>
    <t>Discount</t>
  </si>
  <si>
    <t xml:space="preserve">TV </t>
  </si>
  <si>
    <t>Standard Deviation</t>
  </si>
  <si>
    <t>range</t>
  </si>
  <si>
    <t>Ad revenue grows at a 87% CAGR</t>
  </si>
  <si>
    <t>Total Liab. &amp; Shareholders' Equity</t>
  </si>
  <si>
    <t>Total Current Assets</t>
  </si>
  <si>
    <t>Total Assets</t>
  </si>
  <si>
    <t>Total Current Liabilities</t>
  </si>
  <si>
    <t>Total Liabilities</t>
  </si>
  <si>
    <t>Not-Rated</t>
  </si>
  <si>
    <t>Coverage of</t>
  </si>
  <si>
    <t>Free Cash Flow</t>
  </si>
  <si>
    <t>Adj. EBITDA Margin</t>
  </si>
  <si>
    <t>Adj. EBITDA (Note 1)</t>
  </si>
  <si>
    <t>TV Year (2026)</t>
  </si>
  <si>
    <t>Excess Cash ($ mil)</t>
  </si>
  <si>
    <t>Market Data (March 27, 2017)</t>
  </si>
  <si>
    <t>US Treasury Yields</t>
  </si>
  <si>
    <t>Morgan Stanley Valuation Assumptions</t>
  </si>
  <si>
    <t>Valuing Snap After the IPO Quiet Period (A)</t>
  </si>
  <si>
    <r>
      <rPr>
        <b/>
        <sz val="12"/>
        <color theme="1"/>
        <rFont val="Calibri"/>
        <family val="2"/>
        <scheme val="minor"/>
      </rPr>
      <t>Exhibit 2</t>
    </r>
    <r>
      <rPr>
        <sz val="12"/>
        <color theme="1"/>
        <rFont val="Calibri"/>
        <family val="2"/>
        <scheme val="minor"/>
      </rPr>
      <t>:  Snap Advertising Revenue Model, 2016 Actual vs. 2020 Expected</t>
    </r>
  </si>
  <si>
    <r>
      <rPr>
        <b/>
        <sz val="9"/>
        <color theme="1"/>
        <rFont val="Calibri"/>
        <family val="2"/>
        <scheme val="minor"/>
      </rPr>
      <t>Source:</t>
    </r>
    <r>
      <rPr>
        <sz val="9"/>
        <color theme="1"/>
        <rFont val="Calibri"/>
        <family val="2"/>
        <scheme val="minor"/>
      </rPr>
      <t xml:space="preserve">  Nowak, B., et al., “Crackle or Pop? Initiate OW, $28 PT,” Snap Inc. analyst report Exhibit 6 (p. 7), Morgan Stanley Research, 3/27/18.</t>
    </r>
  </si>
  <si>
    <r>
      <rPr>
        <b/>
        <sz val="12"/>
        <color theme="1"/>
        <rFont val="Calibri"/>
        <family val="2"/>
        <scheme val="minor"/>
      </rPr>
      <t>Exhibit 3</t>
    </r>
    <r>
      <rPr>
        <sz val="12"/>
        <color theme="1"/>
        <rFont val="Calibri"/>
        <family val="2"/>
        <scheme val="minor"/>
      </rPr>
      <t>:  Snap Advertising Revenue Model vs. Comparable Internet Firms in 2016</t>
    </r>
  </si>
  <si>
    <r>
      <rPr>
        <b/>
        <sz val="9"/>
        <color rgb="FF000000"/>
        <rFont val="Calibri"/>
        <family val="2"/>
        <scheme val="minor"/>
      </rPr>
      <t>Source:</t>
    </r>
    <r>
      <rPr>
        <sz val="9"/>
        <color rgb="FF000000"/>
        <rFont val="Calibri"/>
        <family val="2"/>
        <scheme val="minor"/>
      </rPr>
      <t xml:space="preserve">  Casewriter estimates using Exhibit 5 (p. 7) in B. Nowak et al., “Crackle or Pop? Initiate OW, $28 PT,” </t>
    </r>
  </si>
  <si>
    <t>Snap Inc. analyst report Exhibit 5 (p. 7), Morgan Stanley Research, 3/27/18.</t>
  </si>
  <si>
    <r>
      <rPr>
        <b/>
        <sz val="12"/>
        <color theme="1"/>
        <rFont val="Calibri"/>
        <family val="2"/>
        <scheme val="minor"/>
      </rPr>
      <t>Exhibit 4</t>
    </r>
    <r>
      <rPr>
        <sz val="12"/>
        <color theme="1"/>
        <rFont val="Calibri"/>
        <family val="2"/>
        <scheme val="minor"/>
      </rPr>
      <t>:  Snap Inc. Income Statement ($ millions)</t>
    </r>
  </si>
  <si>
    <r>
      <rPr>
        <b/>
        <sz val="9"/>
        <color theme="1"/>
        <rFont val="Calibri"/>
        <family val="2"/>
        <scheme val="minor"/>
      </rPr>
      <t>Source:</t>
    </r>
    <r>
      <rPr>
        <sz val="9"/>
        <color theme="1"/>
        <rFont val="Calibri"/>
        <family val="2"/>
        <scheme val="minor"/>
      </rPr>
      <t xml:space="preserve"> Snap Inc. SEC Registration Statement, Form S-1, 2/2/17, p. 57.</t>
    </r>
  </si>
  <si>
    <r>
      <rPr>
        <b/>
        <sz val="12"/>
        <color theme="1"/>
        <rFont val="Calibri"/>
        <family val="2"/>
        <scheme val="minor"/>
      </rPr>
      <t>Exhibit 5</t>
    </r>
    <r>
      <rPr>
        <sz val="12"/>
        <color theme="1"/>
        <rFont val="Calibri"/>
        <family val="2"/>
        <scheme val="minor"/>
      </rPr>
      <t>:  Snap Inc. Quarterly Financial and Operating Statistics</t>
    </r>
  </si>
  <si>
    <r>
      <rPr>
        <b/>
        <sz val="9"/>
        <color theme="1"/>
        <rFont val="Calibri"/>
        <family val="2"/>
        <scheme val="minor"/>
      </rPr>
      <t>Source:</t>
    </r>
    <r>
      <rPr>
        <sz val="9"/>
        <color theme="1"/>
        <rFont val="Calibri"/>
        <family val="2"/>
        <scheme val="minor"/>
      </rPr>
      <t xml:space="preserve">  Snap Inc. SEC Registration Statement, Form S-1, 2/2/17, pp. 62, 64, and 76.</t>
    </r>
  </si>
  <si>
    <r>
      <rPr>
        <b/>
        <sz val="9"/>
        <color theme="1"/>
        <rFont val="Calibri"/>
        <family val="2"/>
        <scheme val="minor"/>
      </rPr>
      <t>Source:</t>
    </r>
    <r>
      <rPr>
        <sz val="9"/>
        <color theme="1"/>
        <rFont val="Calibri"/>
        <family val="2"/>
        <scheme val="minor"/>
      </rPr>
      <t xml:space="preserve"> Snap Inc. SEC Registration Statement, Form S-1, 2/2/17, p. F-3.</t>
    </r>
  </si>
  <si>
    <r>
      <rPr>
        <b/>
        <sz val="12"/>
        <color theme="1"/>
        <rFont val="Calibri"/>
        <family val="2"/>
        <scheme val="minor"/>
      </rPr>
      <t>Exhibit 6</t>
    </r>
    <r>
      <rPr>
        <sz val="12"/>
        <color theme="1"/>
        <rFont val="Calibri"/>
        <family val="2"/>
        <scheme val="minor"/>
      </rPr>
      <t>:  Snap Inc. Balance Sheet ($ millions)</t>
    </r>
  </si>
  <si>
    <r>
      <rPr>
        <b/>
        <sz val="12"/>
        <color theme="1"/>
        <rFont val="Calibri"/>
        <family val="2"/>
        <scheme val="minor"/>
      </rPr>
      <t>Exhibit 7</t>
    </r>
    <r>
      <rPr>
        <sz val="12"/>
        <color theme="1"/>
        <rFont val="Calibri"/>
        <family val="2"/>
        <scheme val="minor"/>
      </rPr>
      <t>:  Summary of Sell-Side Equity Analyst Ratings for Snap Inc. in March 2017</t>
    </r>
  </si>
  <si>
    <r>
      <rPr>
        <b/>
        <sz val="9"/>
        <color theme="1"/>
        <rFont val="Calibri"/>
        <family val="2"/>
        <scheme val="minor"/>
      </rPr>
      <t>Source:</t>
    </r>
    <r>
      <rPr>
        <sz val="9"/>
        <color theme="1"/>
        <rFont val="Calibri"/>
        <family val="2"/>
        <scheme val="minor"/>
      </rPr>
      <t xml:space="preserve">  Bloomberg, accessed 3/19/18.</t>
    </r>
  </si>
  <si>
    <r>
      <rPr>
        <b/>
        <sz val="12"/>
        <color theme="1"/>
        <rFont val="Calibri"/>
        <family val="2"/>
        <scheme val="minor"/>
      </rPr>
      <t>Exhibit 8</t>
    </r>
    <r>
      <rPr>
        <sz val="12"/>
        <color theme="1"/>
        <rFont val="Calibri"/>
        <family val="2"/>
        <scheme val="minor"/>
      </rPr>
      <t>:  Summary of Sell-Side Equity Analyst Ratings for Snap Inc. in March 2017</t>
    </r>
  </si>
  <si>
    <r>
      <rPr>
        <b/>
        <sz val="9"/>
        <color theme="1"/>
        <rFont val="Calibri"/>
        <family val="2"/>
        <scheme val="minor"/>
      </rPr>
      <t>Source</t>
    </r>
    <r>
      <rPr>
        <sz val="9"/>
        <color theme="1"/>
        <rFont val="Calibri"/>
        <family val="2"/>
        <scheme val="minor"/>
      </rPr>
      <t>:  Casewriter analysis of individual equity research reports on Snap Inc. from each firm, available on ThompsonOne, accessed 3/18/18. Certain data comes from public news articles about the IPO.  Underwriter status was from:  Balakrishnan, A., “Here’s What Snap’s Wall Street Underwriters Made Off the IPO,” CNBC, 3/3/17, available at: https://www.cnbc.com/2017/03/03/snap-ipo-what-wall-street-banks-made.html, accessed 3/18/18</t>
    </r>
  </si>
  <si>
    <r>
      <rPr>
        <b/>
        <sz val="12"/>
        <color theme="1"/>
        <rFont val="Calibri"/>
        <family val="2"/>
        <scheme val="minor"/>
      </rPr>
      <t>Exhibit 9</t>
    </r>
    <r>
      <rPr>
        <sz val="12"/>
        <color theme="1"/>
        <rFont val="Calibri"/>
        <family val="2"/>
        <scheme val="minor"/>
      </rPr>
      <t>:  Summary of Analyst Assumptions and Forecasts for Snap in 2020 (see Note 1 below)</t>
    </r>
  </si>
  <si>
    <t>Coeff. of Variation (Note 2)</t>
  </si>
  <si>
    <r>
      <rPr>
        <b/>
        <sz val="9"/>
        <color theme="1"/>
        <rFont val="Calibri"/>
        <family val="2"/>
        <scheme val="minor"/>
      </rPr>
      <t>Source</t>
    </r>
    <r>
      <rPr>
        <sz val="9"/>
        <color theme="1"/>
        <rFont val="Calibri"/>
        <family val="2"/>
        <scheme val="minor"/>
      </rPr>
      <t>:  Individual equity research reports on Snap Inc. from each firm, available on ThompsonOne, accessed 3/18/18.</t>
    </r>
  </si>
  <si>
    <r>
      <t xml:space="preserve">Note 1:  </t>
    </r>
    <r>
      <rPr>
        <sz val="9"/>
        <color theme="1"/>
        <rFont val="Calibri"/>
        <family val="2"/>
        <scheme val="minor"/>
      </rPr>
      <t>Includes only firms that described using discounted cash flow (DCF) analysis to value Snap. Not all firms revealed all of the information needed to conduct DCF analysis.</t>
    </r>
  </si>
  <si>
    <r>
      <t xml:space="preserve">Note 2:  </t>
    </r>
    <r>
      <rPr>
        <sz val="9"/>
        <color theme="1"/>
        <rFont val="Calibri"/>
        <family val="2"/>
        <scheme val="minor"/>
      </rPr>
      <t>The coefficient of variation is a unitless measure of dispersion.  It is calculated by dividing the standard deviation of the sample by the mean.</t>
    </r>
  </si>
  <si>
    <r>
      <rPr>
        <b/>
        <sz val="12"/>
        <color theme="1"/>
        <rFont val="Calibri"/>
        <family val="2"/>
        <scheme val="minor"/>
      </rPr>
      <t>Exhibit 10</t>
    </r>
    <r>
      <rPr>
        <sz val="12"/>
        <color theme="1"/>
        <rFont val="Calibri"/>
        <family val="2"/>
        <scheme val="minor"/>
      </rPr>
      <t>:  Morgan Stanley’s Cash Flow Forecasts and Valuation Assumptions for Snap Inc. ($ millions)</t>
    </r>
  </si>
  <si>
    <r>
      <rPr>
        <b/>
        <sz val="9"/>
        <color theme="1"/>
        <rFont val="Calibri"/>
        <family val="2"/>
        <scheme val="minor"/>
      </rPr>
      <t>Source</t>
    </r>
    <r>
      <rPr>
        <sz val="9"/>
        <color theme="1"/>
        <rFont val="Calibri"/>
        <family val="2"/>
        <scheme val="minor"/>
      </rPr>
      <t>:  Nowak, B., et al., “Crackle or Pop? Initiate OW, $28 PT,” Snap Inc. analyst report Exhibit 5 (p. 7), Morgan Stanley Research, 3/27/17.</t>
    </r>
  </si>
  <si>
    <r>
      <t xml:space="preserve">Note 1:  </t>
    </r>
    <r>
      <rPr>
        <sz val="9"/>
        <color theme="1"/>
        <rFont val="Calibri"/>
        <family val="2"/>
        <scheme val="minor"/>
      </rPr>
      <t>Adjusted EBITDA is a non-GAAP item. It excludes stock-based compensation expense (a cash expense), but includes depreciation and amortization.</t>
    </r>
  </si>
  <si>
    <r>
      <t>Note 2:  Morgan Stanley Equity Research Disclosure</t>
    </r>
    <r>
      <rPr>
        <sz val="9"/>
        <color theme="1"/>
        <rFont val="Calibri"/>
        <family val="2"/>
        <scheme val="minor"/>
      </rPr>
      <t>:  Morgan Stanley does and seeks to do business with companies covered in Morgan Stanley Research. As a result, investors should be aware that the firm may have a conflict of interest that could affect the objectivity of Morgan Stanley Research. (p. 1 of the Snap Inc. analyst report, 3/27/17).</t>
    </r>
  </si>
  <si>
    <r>
      <t xml:space="preserve">Note 3:  Morgan Stanley Code of Conduct:  </t>
    </r>
    <r>
      <rPr>
        <sz val="9"/>
        <color theme="1"/>
        <rFont val="Calibri"/>
        <family val="2"/>
        <scheme val="minor"/>
      </rPr>
      <t>Our values inform everything we do: Putting Clients First, Leading with Exceptional Ideas, Doing the Right Thing and Giving Back.  Our Code of Conduct reflects our continued commitment to performing all our business activities in accordance with these core values and in full alignment with the letter and spritit of applicable laws, regulations and our policies…. Putting Clients First requires us to place our clients’ interests first and avoid conflicts between their interests and ours.  Available at:  https://www.morganstanley.com/about-us-governance/code-of-conduct, accessed 3/18/18.</t>
    </r>
  </si>
  <si>
    <r>
      <rPr>
        <b/>
        <sz val="12"/>
        <color theme="1"/>
        <rFont val="Calibri"/>
        <family val="2"/>
        <scheme val="minor"/>
      </rPr>
      <t>Exhibit 11</t>
    </r>
    <r>
      <rPr>
        <sz val="12"/>
        <color theme="1"/>
        <rFont val="Calibri"/>
        <family val="2"/>
        <scheme val="minor"/>
      </rPr>
      <t>:  Assumptions Used by Morgan Stanley for Internet Stocks and Other Market Data</t>
    </r>
  </si>
  <si>
    <r>
      <rPr>
        <b/>
        <sz val="9"/>
        <color theme="1"/>
        <rFont val="Calibri"/>
        <family val="2"/>
        <scheme val="minor"/>
      </rPr>
      <t>Source</t>
    </r>
    <r>
      <rPr>
        <sz val="9"/>
        <color theme="1"/>
        <rFont val="Calibri"/>
        <family val="2"/>
        <scheme val="minor"/>
      </rPr>
      <t>:  Individual equity research reports for each firm by Morgan Stanley, available on ThompsonOne, accessed 3/30/18.  The betas and financial data are from Standard &amp; Poor’s Capital IQ database, accessed 4/6/18.</t>
    </r>
  </si>
  <si>
    <r>
      <t xml:space="preserve">Note (a):  </t>
    </r>
    <r>
      <rPr>
        <sz val="9"/>
        <color theme="1"/>
        <rFont val="Calibri"/>
        <family val="2"/>
        <scheme val="minor"/>
      </rPr>
      <t>Because Microsoft acquired LinkedIn in late 2016, financial and trading data was not available.</t>
    </r>
  </si>
  <si>
    <r>
      <rPr>
        <b/>
        <sz val="12"/>
        <color theme="1"/>
        <rFont val="Calibri"/>
        <family val="2"/>
        <scheme val="minor"/>
      </rPr>
      <t>Exhibit 12</t>
    </r>
    <r>
      <rPr>
        <sz val="12"/>
        <color theme="1"/>
        <rFont val="Calibri"/>
        <family val="2"/>
        <scheme val="minor"/>
      </rPr>
      <t>:  Summary of Morgan Stanley Investment Ratings, March 2017</t>
    </r>
  </si>
  <si>
    <r>
      <rPr>
        <b/>
        <sz val="9"/>
        <color theme="1"/>
        <rFont val="Calibri"/>
        <family val="2"/>
        <scheme val="minor"/>
      </rPr>
      <t>Source</t>
    </r>
    <r>
      <rPr>
        <sz val="9"/>
        <color theme="1"/>
        <rFont val="Calibri"/>
        <family val="2"/>
        <scheme val="minor"/>
      </rPr>
      <t>:  Nowak, B., et al., “Crackle or Pop? Initiate OW, $28 PT,” Snap Inc. analyst report p. 38, Morgan Stanley Research, 3/27/17.</t>
    </r>
  </si>
  <si>
    <t>Courseware #9-218-726</t>
  </si>
  <si>
    <t>Atlantic Equities</t>
  </si>
  <si>
    <t>Mizuho Securities</t>
  </si>
  <si>
    <t>Drexel Hamilton</t>
  </si>
  <si>
    <t>Moffett Nathanson</t>
  </si>
  <si>
    <t>N/A</t>
  </si>
  <si>
    <t>Original Date:  June 5, 2018</t>
  </si>
  <si>
    <t>Distribution During Quiet Period</t>
  </si>
  <si>
    <t>Distribution After Quiet Period</t>
  </si>
  <si>
    <t>s</t>
  </si>
  <si>
    <r>
      <rPr>
        <b/>
        <sz val="9"/>
        <color theme="1"/>
        <rFont val="Calibri"/>
        <family val="2"/>
        <scheme val="minor"/>
      </rPr>
      <t>Note (a)</t>
    </r>
    <r>
      <rPr>
        <sz val="9"/>
        <color theme="1"/>
        <rFont val="Calibri"/>
        <family val="2"/>
        <scheme val="minor"/>
      </rPr>
      <t>:  Numerical ratings: 1 = sell, 2 = underweight, 3 = neutral, 4 = overweight, and 5 = buy.</t>
    </r>
  </si>
  <si>
    <t># Fully Diluted Shares (millions)</t>
  </si>
  <si>
    <t>- Cash Taxes</t>
  </si>
  <si>
    <t>- Incr. (Decr.) in Net WC</t>
  </si>
  <si>
    <t>- Capital Expenditures</t>
  </si>
  <si>
    <t>- Stock-based Comp.</t>
  </si>
  <si>
    <t>Actual</t>
  </si>
  <si>
    <t>Rev: 4/19/21</t>
  </si>
  <si>
    <t>This courseware  was prepared solely as the basis for class discussion. Cases are not intended to serve as endorsements, sources of primary data, or illustrations of effective or ineffective management. Copyright © 2021 President and Fellows of Harvard College. No part of this product may be reproduced, stored in a retrieval system, used in a spreadsheet or transmitted in any form or by any means—electronic, mechanical, photocopying, recording or otherwise—without the permission of Harvard Business School.</t>
  </si>
  <si>
    <t>Research and Development Expense</t>
  </si>
  <si>
    <t>Rental Expense</t>
  </si>
  <si>
    <t>.</t>
  </si>
  <si>
    <t>Receivables - Estimated Doubtful</t>
  </si>
  <si>
    <t>Price - Fiscal Year Close</t>
  </si>
  <si>
    <t>Price - Calendar Year Close</t>
  </si>
  <si>
    <t>Preferred Stock - Redemption Value</t>
  </si>
  <si>
    <t>Preferred Stock - Liquidation Value</t>
  </si>
  <si>
    <t>Dividends (Cash) - Preferred</t>
  </si>
  <si>
    <t>Dividends (Cash) - Common</t>
  </si>
  <si>
    <t>Dividends (Cash)per Share Ex-Date</t>
  </si>
  <si>
    <t>Advertising Expense</t>
  </si>
  <si>
    <t>Adjustmnet Factor-Cum, Ex-Date</t>
  </si>
  <si>
    <t>Working Capital Changes - Other - Inc(Dec)</t>
  </si>
  <si>
    <t>Current Debt - Changes</t>
  </si>
  <si>
    <t>Funds From Operations - Total</t>
  </si>
  <si>
    <t>Income Taxes Paid</t>
  </si>
  <si>
    <t>Interest Paid - Net</t>
  </si>
  <si>
    <t>CASH STATEMENT - SOURCE &amp; USE</t>
  </si>
  <si>
    <t>Cash Dividends</t>
  </si>
  <si>
    <t>Investing Activites - Net Cash Flow</t>
  </si>
  <si>
    <t>Acquisitions</t>
  </si>
  <si>
    <t>Sale of Property Plant and Equipment</t>
  </si>
  <si>
    <t>Capital Expenditures</t>
  </si>
  <si>
    <t>Operating Activities - Net Cash Flow</t>
  </si>
  <si>
    <t>SHARES - Outstanding at Fiscal Year End</t>
  </si>
  <si>
    <t>SHARES - for Fully Diluted EPS Calculation</t>
  </si>
  <si>
    <t>STATEMENT OF CASH FLOWS</t>
  </si>
  <si>
    <t>SHARES - for Primary EPS Calculation</t>
  </si>
  <si>
    <t>EPS - Fully Diluted - Including EI&amp;DO</t>
  </si>
  <si>
    <t>EPS - Fully Diluted - Excluding EI&amp;DO</t>
  </si>
  <si>
    <t>EPS - Primary - Including EI&amp;DO</t>
  </si>
  <si>
    <t>EPS - Primary - Excluding EI&amp;DO</t>
  </si>
  <si>
    <t>Preferred Dividends</t>
  </si>
  <si>
    <t>Net Income (Loss)</t>
  </si>
  <si>
    <t>Discontinued Operations</t>
  </si>
  <si>
    <t>Extraordinary Items</t>
  </si>
  <si>
    <t>INCOME BEFORE EI&amp;DO</t>
  </si>
  <si>
    <t>Minority Interest</t>
  </si>
  <si>
    <t>Income Taxes - Total</t>
  </si>
  <si>
    <t>Pretax Income</t>
  </si>
  <si>
    <t>Special Items</t>
  </si>
  <si>
    <t>Non-Operating Income/Expense</t>
  </si>
  <si>
    <t>Interest Expense</t>
  </si>
  <si>
    <t>Operating Income After Depreciation</t>
  </si>
  <si>
    <t>Depreciation, Depletion, &amp; Amortization</t>
  </si>
  <si>
    <t>Operating Income Before Depreciation</t>
  </si>
  <si>
    <t>Selling, General, &amp; Admin Expenses</t>
  </si>
  <si>
    <t>Gross Profit</t>
  </si>
  <si>
    <t>Cost of Goods Sold</t>
  </si>
  <si>
    <t>Sales (Net)</t>
  </si>
  <si>
    <t>TOTAL SHAREHOLDERS EQUITY</t>
  </si>
  <si>
    <t>Noncontrolling Interest - Nonredeemable</t>
  </si>
  <si>
    <t>Shareholders Equity - Parent</t>
  </si>
  <si>
    <t>Less: Treasury Stock</t>
  </si>
  <si>
    <t>Retained Earnings (Net Other)</t>
  </si>
  <si>
    <t>Capital Surplus</t>
  </si>
  <si>
    <t>Common Stock</t>
  </si>
  <si>
    <t>Preferred Stock</t>
  </si>
  <si>
    <t>Noncontrolling Interest - Redeemable</t>
  </si>
  <si>
    <t>TOTAL LIABILITIES</t>
  </si>
  <si>
    <t>Liabilities - Other</t>
  </si>
  <si>
    <t>Investment Tax Credit</t>
  </si>
  <si>
    <t>Deferred Taxes (Balance Sheet)</t>
  </si>
  <si>
    <t>Long Term Debt</t>
  </si>
  <si>
    <t>Other Current Liabilities</t>
  </si>
  <si>
    <t>Debt (Long-Term) Due In One Year</t>
  </si>
  <si>
    <t>Taxes Payable</t>
  </si>
  <si>
    <t>Accrued Expenses</t>
  </si>
  <si>
    <t>Notes Payable</t>
  </si>
  <si>
    <t>Accounts Payable</t>
  </si>
  <si>
    <t>TOTAL ASSETS</t>
  </si>
  <si>
    <t>Assets - Other</t>
  </si>
  <si>
    <t>Deferred Charges</t>
  </si>
  <si>
    <t>Intangibles</t>
  </si>
  <si>
    <t>Investments and Advances - Other</t>
  </si>
  <si>
    <t>Investments at Equity</t>
  </si>
  <si>
    <t>Plant, Property &amp; Equip (Net)</t>
  </si>
  <si>
    <t>Accumulated Depreciation</t>
  </si>
  <si>
    <t>Plant, Property &amp; Equip (Gross)</t>
  </si>
  <si>
    <t>Current Assets - Total</t>
  </si>
  <si>
    <t>Current Assets - Other</t>
  </si>
  <si>
    <t>Inventories - Total</t>
  </si>
  <si>
    <t>Receivables - Total (Net)</t>
  </si>
  <si>
    <t>Cash &amp; Equivalents</t>
  </si>
  <si>
    <t>INPUTS INTO FINANCIAL STATEMENT</t>
  </si>
  <si>
    <t>Warrants and Other</t>
  </si>
  <si>
    <t>Stock Options</t>
  </si>
  <si>
    <t>Convertible Debt</t>
  </si>
  <si>
    <t>COMMON SHARES RESERVED FOR CONVERSION</t>
  </si>
  <si>
    <t>Income Taxes - Other</t>
  </si>
  <si>
    <t>Income Taxes - State</t>
  </si>
  <si>
    <t>Income Taxes - Foreign</t>
  </si>
  <si>
    <t>Income Taxes - Federal</t>
  </si>
  <si>
    <t>Deferred Taxes - State</t>
  </si>
  <si>
    <t>Deferred Taxes - Foreign</t>
  </si>
  <si>
    <t>Deferred Taxes - Federal</t>
  </si>
  <si>
    <t>Ending Balance</t>
  </si>
  <si>
    <t>Other Changes</t>
  </si>
  <si>
    <t>Retirements</t>
  </si>
  <si>
    <t>Depletion Expense</t>
  </si>
  <si>
    <t>Depreciation Expense</t>
  </si>
  <si>
    <t>Beginning Balance</t>
  </si>
  <si>
    <t>ACCUMULATED DEPRECIATION ON PPE</t>
  </si>
  <si>
    <t>PROPERTY, PLANT AND EQUIPMENT (COST)</t>
  </si>
  <si>
    <t>Long Term Debt Total</t>
  </si>
  <si>
    <t>Debt - Capitalized Lease Obligations</t>
  </si>
  <si>
    <t>Debt - Long Term - Other</t>
  </si>
  <si>
    <t>Debt - Debentures</t>
  </si>
  <si>
    <t>Debt - Notes</t>
  </si>
  <si>
    <t>Debt - Subordinated</t>
  </si>
  <si>
    <t>Debt - Senior Convertible</t>
  </si>
  <si>
    <t>Debt - Convertible Subordinated</t>
  </si>
  <si>
    <t>LESS: Debt (Long Term) Due In One Year</t>
  </si>
  <si>
    <t>Inventories - Other</t>
  </si>
  <si>
    <t>Inventories - Finished Goods</t>
  </si>
  <si>
    <t>Inventories - Work In Process</t>
  </si>
  <si>
    <t>Inventories - Raw Materials</t>
  </si>
  <si>
    <t>Receivables - Other - Current</t>
  </si>
  <si>
    <t>Income Tax Refund</t>
  </si>
  <si>
    <t>Receivables - Trade</t>
  </si>
  <si>
    <t>ADDITIONAL DATA</t>
  </si>
  <si>
    <t>Treasury Stock - # Shares</t>
  </si>
  <si>
    <t>Treasury Stock ($) - Preferred</t>
  </si>
  <si>
    <t>Treasury Stock ($) - Common</t>
  </si>
  <si>
    <t>Tax Loss Carry Forward</t>
  </si>
  <si>
    <t>Rental Income</t>
  </si>
  <si>
    <t>Rental Commitments - Minimum Year+5</t>
  </si>
  <si>
    <t>Rental Commitments - Minimum Year+4</t>
  </si>
  <si>
    <t>Rental Commitments - Minimum Year+3</t>
  </si>
  <si>
    <t>Rental Commitments - Minimum Year+2</t>
  </si>
  <si>
    <t>Rental Commitments - Minimum Year+1</t>
  </si>
  <si>
    <t>Price - Calendar Year Low</t>
  </si>
  <si>
    <t>Price - Calendar Year High</t>
  </si>
  <si>
    <t>Present Value - Noncapitalized Leases</t>
  </si>
  <si>
    <t>Preferred Stock - Dividends In Arrears</t>
  </si>
  <si>
    <t>Order Backlog</t>
  </si>
  <si>
    <t>LIFO Reserve</t>
  </si>
  <si>
    <t>Labor Related Expenses</t>
  </si>
  <si>
    <t>Interest Expense on Long Term Debt</t>
  </si>
  <si>
    <t>Interest Capitalized - Net Income Effect</t>
  </si>
  <si>
    <t>Interest Capitalized (in fiscal yr)</t>
  </si>
  <si>
    <t>Foreign Currency Translation Adj - Inc. Stmnt.</t>
  </si>
  <si>
    <t>Foreign Currency Translation Adj - Bal. Sheet</t>
  </si>
  <si>
    <t>Equity in Earnings - Unconsolidated Subs</t>
  </si>
  <si>
    <t>Employees (# of)</t>
  </si>
  <si>
    <t>Debt - Unamortized Debt Discount and Other</t>
  </si>
  <si>
    <t>Debt - Mortgages and Other Securities</t>
  </si>
  <si>
    <t>Debt - Long-Term Debt - Tied to Prime</t>
  </si>
  <si>
    <t>Debt (Long Term) Maturing Due in 5 Years</t>
  </si>
  <si>
    <t>Debt (Long Term) Maturing Due in 4 Years Years</t>
  </si>
  <si>
    <t>Debt (Long Term) Maturing Due in 3 Years</t>
  </si>
  <si>
    <t>Debt (Long Term) Maturing Due in 2 Years</t>
  </si>
  <si>
    <t>Convertible Debt and Preferred Stock</t>
  </si>
  <si>
    <t>Compensating Balance</t>
  </si>
  <si>
    <t>Common Shares Traded (Calendar Yr)</t>
  </si>
  <si>
    <t>Common Shareholders (# of)</t>
  </si>
  <si>
    <t>Average Short term Borrowing</t>
  </si>
  <si>
    <t>Average Short Term Borrowing Rate</t>
  </si>
  <si>
    <t>Acquisitions - Sales Contribution</t>
  </si>
  <si>
    <t>Acquisitions - Income Contribution</t>
  </si>
  <si>
    <t>ADDITIONAL SCHEDULES</t>
  </si>
  <si>
    <t>Interest Paid Net</t>
  </si>
  <si>
    <t>DIRECT OPERATING ACTIVITIES</t>
  </si>
  <si>
    <t>Cash and Cash Equivalents - Increase (Decrease)</t>
  </si>
  <si>
    <t>Exchange Rate Effect</t>
  </si>
  <si>
    <t>Financing Activities - Net Cash Flow</t>
  </si>
  <si>
    <t>Financing Activities - Other</t>
  </si>
  <si>
    <t>Changes in Current Debt</t>
  </si>
  <si>
    <t>Long Term Debt - Reduction</t>
  </si>
  <si>
    <t>Long Term Debt - Issuance</t>
  </si>
  <si>
    <t>Purchase of Common and Preferred Stock</t>
  </si>
  <si>
    <t>Sale of Common and Preferred Stock</t>
  </si>
  <si>
    <t>FINANCING ACTIVITIES</t>
  </si>
  <si>
    <t>Investing Activities - Net Cash Flow</t>
  </si>
  <si>
    <t>Investing Activities - Other</t>
  </si>
  <si>
    <t>Sale of Property, Plant, and Equipment</t>
  </si>
  <si>
    <t>Short-Term Investments - Change</t>
  </si>
  <si>
    <t>Sale of Investments</t>
  </si>
  <si>
    <t>Increase in Investments</t>
  </si>
  <si>
    <t>INVESTING ACTIVITIES</t>
  </si>
  <si>
    <t>Assets and Liablities - Other (Net Change)</t>
  </si>
  <si>
    <t>Income Taxes - Accrued - Increase (Decrease)</t>
  </si>
  <si>
    <t>Accounts Payable and Accrued Liabilities - Increase (Decrease)</t>
  </si>
  <si>
    <t>Inventory - Decrease (Increase)</t>
  </si>
  <si>
    <t>Accounts Receivable - Decrease (Increase)</t>
  </si>
  <si>
    <t>Funds from Operations - Other</t>
  </si>
  <si>
    <t>Sale of Property, Plant, and Equipment and Sale of Investments - Loss (Gain)</t>
  </si>
  <si>
    <t>Equity in Net Loss (Earnings)</t>
  </si>
  <si>
    <t>Deferred Taxes</t>
  </si>
  <si>
    <t>Extraordinary Items and Discontinued Operations</t>
  </si>
  <si>
    <t>Depreciation and Amortization</t>
  </si>
  <si>
    <t>Income Before Extraordinary Items</t>
  </si>
  <si>
    <t>INDIRECT OPERATING ACTIVITIES</t>
  </si>
  <si>
    <t>Net Income Adjusted for Common Stock Equivalents</t>
  </si>
  <si>
    <t xml:space="preserve">            Discounted Operations</t>
  </si>
  <si>
    <t xml:space="preserve">            Extraordinary Items</t>
  </si>
  <si>
    <t>Income Before Extraordinary Items - Adjusted for Common Stock Equivalents</t>
  </si>
  <si>
    <t>Common Stock Equivalents - Dollar Savings</t>
  </si>
  <si>
    <t>Income Before Extraordinary Items - Available for Common</t>
  </si>
  <si>
    <t>Dividends - Preferred</t>
  </si>
  <si>
    <t xml:space="preserve">            Income Taxes - Other</t>
  </si>
  <si>
    <t xml:space="preserve">            Income Taxes - State</t>
  </si>
  <si>
    <t xml:space="preserve">            Income Taxes - Foreign</t>
  </si>
  <si>
    <t xml:space="preserve">            Income Taxes - Federal</t>
  </si>
  <si>
    <t xml:space="preserve">                        Deferred Taxes - State</t>
  </si>
  <si>
    <t xml:space="preserve">                        Deferred Taxes - Foreign</t>
  </si>
  <si>
    <t xml:space="preserve">                        Deferred Taxes - Federal</t>
  </si>
  <si>
    <t xml:space="preserve">            Deferred Taxes (Income Account)</t>
  </si>
  <si>
    <t xml:space="preserve">            Pretax Income - Foreign</t>
  </si>
  <si>
    <t xml:space="preserve">            Pretax Income - Domestic</t>
  </si>
  <si>
    <t xml:space="preserve">            Interest Income</t>
  </si>
  <si>
    <t xml:space="preserve">            Nonoperating Income (Expense) - Excluding Interest Income</t>
  </si>
  <si>
    <t>Nonoperating Income (Expense)</t>
  </si>
  <si>
    <t xml:space="preserve">            Depletion Expense (Schedule VI)</t>
  </si>
  <si>
    <t xml:space="preserve">            Depreciation Expense (Schedule VI)</t>
  </si>
  <si>
    <t xml:space="preserve">            Amortization of Intangibles</t>
  </si>
  <si>
    <t>Selling, General, and Administrative Expense</t>
  </si>
  <si>
    <t>INCOME STATEMENT</t>
  </si>
  <si>
    <t>Total Liabilities and Shareholders Equity</t>
  </si>
  <si>
    <t>Shareholders Equity - Total</t>
  </si>
  <si>
    <t xml:space="preserve">            Less: Treas.Stock - Total $ Amt.</t>
  </si>
  <si>
    <t xml:space="preserve">            Retained Earnings</t>
  </si>
  <si>
    <t xml:space="preserve">            Capital Surplus</t>
  </si>
  <si>
    <t xml:space="preserve">            Common Stock</t>
  </si>
  <si>
    <t>Common Equity - Total</t>
  </si>
  <si>
    <t xml:space="preserve">            Pref. Stock - Nonredeemable</t>
  </si>
  <si>
    <t xml:space="preserve">            Pref. Stock - Redeemable</t>
  </si>
  <si>
    <t>Preferred Stock - Carrying Value</t>
  </si>
  <si>
    <t>SHAREHOLDERS' EQUITY</t>
  </si>
  <si>
    <t>Liabilities - Total</t>
  </si>
  <si>
    <t xml:space="preserve">            Investment Tax Credit</t>
  </si>
  <si>
    <t xml:space="preserve">            Deferred Taxes</t>
  </si>
  <si>
    <t>Def. Taxes and Invest.Tax Cred.</t>
  </si>
  <si>
    <t xml:space="preserve">            Debt - Cap. Lease Oblig.</t>
  </si>
  <si>
    <t xml:space="preserve">            Long-Term Debt - Other</t>
  </si>
  <si>
    <t xml:space="preserve">            Debt - Debentures</t>
  </si>
  <si>
    <t xml:space="preserve">            Debt - Notes</t>
  </si>
  <si>
    <t xml:space="preserve">            Debt - Subordinated</t>
  </si>
  <si>
    <t xml:space="preserve">            Debt - Senior Convertible</t>
  </si>
  <si>
    <t xml:space="preserve">            Debt - Subordinated Convertible</t>
  </si>
  <si>
    <t xml:space="preserve">            Debt - Convertible (Total)</t>
  </si>
  <si>
    <t>Long-Term Debt - Total</t>
  </si>
  <si>
    <t>Current Liabilities - Total</t>
  </si>
  <si>
    <t xml:space="preserve">            Other Curr.Liab., Excl.Accr.Exp.</t>
  </si>
  <si>
    <t xml:space="preserve">            Accrued Expense</t>
  </si>
  <si>
    <t>Current Liabilities - Other</t>
  </si>
  <si>
    <t>Income Taxes Payable</t>
  </si>
  <si>
    <t xml:space="preserve">            Debt - Due in One Year</t>
  </si>
  <si>
    <t xml:space="preserve">            Notes Payable</t>
  </si>
  <si>
    <t>Debt in Current Liabilities</t>
  </si>
  <si>
    <t>LIABILITIES</t>
  </si>
  <si>
    <t>Assets - Total</t>
  </si>
  <si>
    <t xml:space="preserve">            Other Asst., Excl.Def.Chg.</t>
  </si>
  <si>
    <t xml:space="preserve">            Deferred Charges</t>
  </si>
  <si>
    <t>Invest. &amp; Advances - Other</t>
  </si>
  <si>
    <t>Invest. &amp; Advances - Eq.Meth.</t>
  </si>
  <si>
    <t xml:space="preserve">            Deprec.Depl.&amp; Amort.</t>
  </si>
  <si>
    <t xml:space="preserve">            P.P.&amp; E.- Total (Gross)</t>
  </si>
  <si>
    <t>Prop.Plant &amp; Equip.- Total (Net)</t>
  </si>
  <si>
    <t xml:space="preserve">            Other Curr.Asst, Excl.Ppd.Exp.</t>
  </si>
  <si>
    <t xml:space="preserve">            Prepaid Expense</t>
  </si>
  <si>
    <t xml:space="preserve">            Inventories - Other</t>
  </si>
  <si>
    <t xml:space="preserve">            Inventories - Finished Goods</t>
  </si>
  <si>
    <t xml:space="preserve">            Inventories - Work in Process</t>
  </si>
  <si>
    <t xml:space="preserve">            Inventories - Raw Materials</t>
  </si>
  <si>
    <t xml:space="preserve">            Current Receivables - Other</t>
  </si>
  <si>
    <t xml:space="preserve">            Income Tax Refund</t>
  </si>
  <si>
    <t xml:space="preserve">            Receivables - Trade</t>
  </si>
  <si>
    <t>Receivables</t>
  </si>
  <si>
    <t xml:space="preserve">            Short-Term Investments</t>
  </si>
  <si>
    <t xml:space="preserve">            Cash</t>
  </si>
  <si>
    <t>Cash and Short-Term Investments</t>
  </si>
  <si>
    <t>ASSETS</t>
  </si>
  <si>
    <t>BALANCE SHEET</t>
  </si>
  <si>
    <t>Fiscal Years: 2015 to 2021</t>
  </si>
  <si>
    <t>Financial Statement for: SNAP INC</t>
  </si>
  <si>
    <t>Section 3: Case Valuation</t>
  </si>
  <si>
    <t>Q 3.1</t>
  </si>
  <si>
    <t>FCF</t>
  </si>
  <si>
    <t>TV</t>
  </si>
  <si>
    <t>PV FCF</t>
  </si>
  <si>
    <t>Total PV</t>
  </si>
  <si>
    <t>Equity</t>
  </si>
  <si>
    <t>Asset Value</t>
  </si>
  <si>
    <t>IRR</t>
  </si>
  <si>
    <t>Morgan Stanley Price Target</t>
  </si>
  <si>
    <t>Net Debt</t>
  </si>
  <si>
    <t>NPV</t>
  </si>
  <si>
    <t>Q 3.2</t>
  </si>
  <si>
    <t>Shares Outstanding</t>
  </si>
  <si>
    <t>Implied Share Price</t>
  </si>
  <si>
    <t>Q 3.3</t>
  </si>
  <si>
    <t>No this does not match the price target of $28</t>
  </si>
  <si>
    <t>Q 3.4</t>
  </si>
  <si>
    <t>growth from 2025 to 2026</t>
  </si>
  <si>
    <t>This does match the price target of $28</t>
  </si>
  <si>
    <t>Q 3.5</t>
  </si>
  <si>
    <t xml:space="preserve">No, his valuation is not credible. The original FCF analysis discounted to the end of 2017 instead of the end of 2016. This will  overstate value because this near term cash flow is negative. When he made signnificant downward adjustments to the cash flows, he also made an adjustment to the WACC to cancel out the effect. This is not credible. The WACC should not be related to the cash flow estimates changing. If he believed the WACC was closer to 8%, you can see from Q3.4 that it would make the valuation significantly higher with the original forecast. </t>
  </si>
  <si>
    <t>Q 4.1</t>
  </si>
  <si>
    <t>current</t>
  </si>
  <si>
    <t>forecasted</t>
  </si>
  <si>
    <t>Sales Growth</t>
  </si>
  <si>
    <t>Operating Profit Margin</t>
  </si>
  <si>
    <t>Net Investment Rate</t>
  </si>
  <si>
    <t>Terminal Growth Rate</t>
  </si>
  <si>
    <t>Industry Leader Scenario</t>
  </si>
  <si>
    <t>Sales</t>
  </si>
  <si>
    <t>NOPAT</t>
  </si>
  <si>
    <t>Net Investment</t>
  </si>
  <si>
    <t>Number of Shares Outstanding</t>
  </si>
  <si>
    <t>Excess Cash</t>
  </si>
  <si>
    <t>required cash = 2*SG&amp;A</t>
  </si>
  <si>
    <t>Cash on hand</t>
  </si>
  <si>
    <t>required cash on hand</t>
  </si>
  <si>
    <t>For 2021:</t>
  </si>
  <si>
    <t>Per Share Value</t>
  </si>
  <si>
    <t>Competitive Scenario</t>
  </si>
  <si>
    <t>Diminishes  Scenario</t>
  </si>
  <si>
    <t>Growth Rates</t>
  </si>
  <si>
    <t xml:space="preserve">Combinations of Growth Rate &amp; WACC to justify price </t>
  </si>
  <si>
    <t>Present Market Value (end of 2021)</t>
  </si>
  <si>
    <t>SNAP is nearly priced to be in the industry leader scenario which seems unrealistic with intense competition from Instagram and TikTok</t>
  </si>
  <si>
    <t>Q 4.2</t>
  </si>
  <si>
    <t xml:space="preserve">To justify the current price, the WACC must be much lower or the growth rate must be much higher.  The growth rate needs to be nearly within 1% of the discount rate, which is unlikely to materialize in perpetuity. </t>
  </si>
  <si>
    <t>Q 4.2.a</t>
  </si>
  <si>
    <t>The average of these scenarios is significantly lower than the market value (about half the value)</t>
  </si>
  <si>
    <t>Q 4.2.b</t>
  </si>
  <si>
    <t>Average Scenario</t>
  </si>
  <si>
    <t>Average of 3 scenarios share price</t>
  </si>
  <si>
    <t>The average senario has a much lower value than the average of the 3 scenarios (42% of the value)</t>
  </si>
  <si>
    <t>Q 4.2.c</t>
  </si>
  <si>
    <t>If SNAPS true value is $47, we can infer that our assumptions are too conservative. We must be underestimating some of our assumptions (sales growth, perpetual growth, operating profit margin) or overestimating some assumptions (net investment rate, WACC).</t>
  </si>
  <si>
    <t>Q 4.2.d</t>
  </si>
  <si>
    <t>current assets + non current cash - excess cash</t>
  </si>
  <si>
    <t>current liabilities - short term debt</t>
  </si>
  <si>
    <t>Required Cash (2*SG&amp;A)</t>
  </si>
  <si>
    <t>NWC</t>
  </si>
  <si>
    <t>Change in NWC</t>
  </si>
  <si>
    <t>Capex</t>
  </si>
  <si>
    <t>Depreciation</t>
  </si>
  <si>
    <t>Ignoring the ITS is causing some slight undervaluation. The Net Investment values seem reasonable because they are projected to be a little smaller than their current levels, but the terminal value of net investment may be a little high, affective our TV FCF. I doubt they will need to sustain near this level of investment in perpetuity. The terminal growth rate could be quite conservative leading to undervaluation. It is easier for a software company to maintain growth without massive investments as their user base grows.</t>
  </si>
  <si>
    <t>Q 4.3</t>
  </si>
  <si>
    <t>Section 4: Present Day Valuation</t>
  </si>
  <si>
    <t>Overall: This suggests low leverage is optimal for SNAP.</t>
  </si>
  <si>
    <t xml:space="preserve">Financial Distress: This is very important for SNAP. Historically it is common for them to have negative EBIT. It would not be possible to service debt with multiple years of negative EBIT. They also need to have excess cash on hand to adapt to the fast paced tech industry. Also as a software company, they  have very little physical capital to use as collateral in times of distress. They could lose out on many positive NPV projects if they were in distress servicing debt. </t>
  </si>
  <si>
    <t xml:space="preserve">Incentives: This is moderately important for SNAP. They have a low amount of debt, so there is not much pressure for management to meet cash flow targets. The original management is still in place and they have already completed an IPO and cashed out a significant portion of their stake. They may not have a proper amount of incentive to increase shareholder value. </t>
  </si>
  <si>
    <t>Interest Tax Shield: SNAPs debt load is quite small ($2.6B in debt vs $76B market cap at end of 2021) so the ITS is of low importance to the valuation. They likely want low debt to avoid distress and have excess cash on hand to pursue new projects quickly (like Apple).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</si>
</sst>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164" formatCode="&quot;$&quot;#,##0.0_);[Red]\(&quot;$&quot;#,##0.0\)"/>
    <numFmt numFmtId="165" formatCode="&quot;$&quot;#,##0.00"/>
    <numFmt numFmtId="166" formatCode="0.0%;[Red]\(0.0%\)"/>
    <numFmt numFmtId="167" formatCode="0.0%"/>
    <numFmt numFmtId="168" formatCode="[$-409]d\-mmm\-yy;@"/>
    <numFmt numFmtId="169" formatCode="0.0"/>
    <numFmt numFmtId="170" formatCode="&quot;$&quot;#,##0"/>
    <numFmt numFmtId="171" formatCode="&quot;$&quot;#,##0.0"/>
    <numFmt numFmtId="172" formatCode="#,##0.0_);[Red]\(#,##0.0\)"/>
    <numFmt numFmtId="173" formatCode="###,###,##0.000"/>
  </numFmts>
  <fonts count="26"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1"/>
      <color rgb="FFFF0000"/>
      <name val="Calibri"/>
      <family val="2"/>
      <scheme val="minor"/>
    </font>
    <font>
      <b/>
      <i/>
      <sz val="11"/>
      <color rgb="FFFF0000"/>
      <name val="Calibri"/>
      <family val="2"/>
      <scheme val="minor"/>
    </font>
    <font>
      <b/>
      <sz val="11"/>
      <color rgb="FF0000FF"/>
      <name val="Calibri"/>
      <family val="2"/>
      <scheme val="minor"/>
    </font>
    <font>
      <sz val="10"/>
      <color theme="1"/>
      <name val="Calibri"/>
      <family val="2"/>
      <scheme val="minor"/>
    </font>
    <font>
      <sz val="12"/>
      <color theme="1"/>
      <name val="Calibri"/>
      <family val="2"/>
      <scheme val="minor"/>
    </font>
    <font>
      <b/>
      <sz val="10"/>
      <name val="Helvetica"/>
      <family val="2"/>
    </font>
    <font>
      <b/>
      <sz val="10"/>
      <color rgb="FF0000FF"/>
      <name val="Helvetica"/>
    </font>
    <font>
      <sz val="9"/>
      <color theme="1"/>
      <name val="Calibri"/>
      <family val="2"/>
      <scheme val="minor"/>
    </font>
    <font>
      <b/>
      <sz val="9"/>
      <color theme="1"/>
      <name val="Calibri"/>
      <family val="2"/>
      <scheme val="minor"/>
    </font>
    <font>
      <b/>
      <sz val="12"/>
      <color theme="1"/>
      <name val="Calibri"/>
      <family val="2"/>
      <scheme val="minor"/>
    </font>
    <font>
      <sz val="9"/>
      <color rgb="FF000000"/>
      <name val="Calibri"/>
      <family val="2"/>
      <scheme val="minor"/>
    </font>
    <font>
      <b/>
      <sz val="9"/>
      <color rgb="FF000000"/>
      <name val="Calibri"/>
      <family val="2"/>
      <scheme val="minor"/>
    </font>
    <font>
      <b/>
      <sz val="10"/>
      <color rgb="FFFF0000"/>
      <name val="Helvetica"/>
    </font>
    <font>
      <sz val="10"/>
      <color rgb="FFFF0000"/>
      <name val="Helvetica"/>
    </font>
    <font>
      <sz val="10"/>
      <name val="Arial"/>
      <charset val="1"/>
    </font>
    <font>
      <b/>
      <sz val="10"/>
      <name val="Arial"/>
      <charset val="1"/>
    </font>
    <font>
      <sz val="14"/>
      <color theme="1"/>
      <name val="Calibri"/>
      <family val="2"/>
      <scheme val="minor"/>
    </font>
    <font>
      <sz val="11"/>
      <color theme="2" tint="-0.249977111117893"/>
      <name val="Calibri"/>
      <family val="2"/>
      <scheme val="minor"/>
    </font>
    <font>
      <sz val="10"/>
      <color theme="1"/>
      <name val="Arial"/>
      <family val="2"/>
    </font>
    <font>
      <sz val="10"/>
      <name val="Arial"/>
      <family val="2"/>
    </font>
    <font>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indexed="22"/>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7">
    <border>
      <left/>
      <right/>
      <top/>
      <bottom/>
      <diagonal/>
    </border>
    <border>
      <left/>
      <right/>
      <top/>
      <bottom style="thin">
        <color indexed="64"/>
      </bottom>
      <diagonal/>
    </border>
    <border>
      <left/>
      <right/>
      <top/>
      <bottom style="medium">
        <color indexed="64"/>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top style="medium">
        <color indexed="64"/>
      </top>
      <bottom/>
      <diagonal/>
    </border>
  </borders>
  <cellStyleXfs count="3">
    <xf numFmtId="0" fontId="0" fillId="0" borderId="0"/>
    <xf numFmtId="9" fontId="2" fillId="0" borderId="0" applyFont="0" applyFill="0" applyBorder="0" applyAlignment="0" applyProtection="0"/>
    <xf numFmtId="0" fontId="19" fillId="0" borderId="0" applyNumberFormat="0" applyFill="0" applyBorder="0" applyAlignment="0" applyProtection="0"/>
  </cellStyleXfs>
  <cellXfs count="156">
    <xf numFmtId="0" fontId="0" fillId="0" borderId="0" xfId="0"/>
    <xf numFmtId="0" fontId="3" fillId="0" borderId="0" xfId="0" applyFont="1"/>
    <xf numFmtId="0" fontId="4" fillId="0" borderId="0" xfId="0" applyFont="1"/>
    <xf numFmtId="0" fontId="0" fillId="0" borderId="1" xfId="0" applyBorder="1"/>
    <xf numFmtId="0" fontId="3" fillId="0" borderId="1" xfId="0" applyFont="1" applyBorder="1"/>
    <xf numFmtId="164" fontId="0" fillId="0" borderId="0" xfId="0" applyNumberFormat="1"/>
    <xf numFmtId="0" fontId="0" fillId="0" borderId="0" xfId="0" applyAlignment="1">
      <alignment horizontal="right"/>
    </xf>
    <xf numFmtId="0" fontId="3" fillId="0" borderId="0" xfId="0" applyFont="1" applyAlignment="1">
      <alignment horizontal="right"/>
    </xf>
    <xf numFmtId="0" fontId="3" fillId="0" borderId="1" xfId="0" applyFont="1" applyBorder="1" applyAlignment="1">
      <alignment horizontal="right"/>
    </xf>
    <xf numFmtId="165" fontId="0" fillId="0" borderId="0" xfId="0" applyNumberFormat="1"/>
    <xf numFmtId="0" fontId="3" fillId="0" borderId="0" xfId="0" applyFont="1" applyBorder="1" applyAlignment="1">
      <alignment horizontal="center"/>
    </xf>
    <xf numFmtId="0" fontId="3" fillId="0" borderId="1" xfId="0" applyFont="1" applyFill="1" applyBorder="1" applyAlignment="1">
      <alignment horizontal="right"/>
    </xf>
    <xf numFmtId="166" fontId="0" fillId="0" borderId="0" xfId="1" applyNumberFormat="1" applyFont="1"/>
    <xf numFmtId="167" fontId="0" fillId="0" borderId="0" xfId="1" applyNumberFormat="1" applyFont="1"/>
    <xf numFmtId="0" fontId="0" fillId="0" borderId="2" xfId="0" applyBorder="1"/>
    <xf numFmtId="168" fontId="0" fillId="0" borderId="0" xfId="0" applyNumberFormat="1"/>
    <xf numFmtId="6" fontId="0" fillId="0" borderId="0" xfId="0" applyNumberFormat="1"/>
    <xf numFmtId="0" fontId="0" fillId="0" borderId="0" xfId="0" applyBorder="1"/>
    <xf numFmtId="3" fontId="0" fillId="0" borderId="0" xfId="0" applyNumberFormat="1"/>
    <xf numFmtId="167" fontId="0" fillId="0" borderId="0" xfId="0" applyNumberFormat="1" applyFill="1"/>
    <xf numFmtId="168" fontId="0" fillId="0" borderId="0" xfId="0" applyNumberFormat="1" applyFill="1"/>
    <xf numFmtId="165" fontId="0" fillId="0" borderId="0" xfId="0" applyNumberFormat="1" applyFill="1"/>
    <xf numFmtId="0" fontId="0" fillId="0" borderId="0" xfId="0" applyFill="1"/>
    <xf numFmtId="167" fontId="0" fillId="0" borderId="0" xfId="0" applyNumberFormat="1"/>
    <xf numFmtId="169" fontId="0" fillId="0" borderId="0" xfId="0" applyNumberFormat="1"/>
    <xf numFmtId="14" fontId="0" fillId="0" borderId="0" xfId="0" applyNumberFormat="1"/>
    <xf numFmtId="166" fontId="0" fillId="0" borderId="0" xfId="0" applyNumberFormat="1" applyFill="1"/>
    <xf numFmtId="165" fontId="0" fillId="0" borderId="0" xfId="0" quotePrefix="1" applyNumberFormat="1" applyAlignment="1">
      <alignment horizontal="right"/>
    </xf>
    <xf numFmtId="165" fontId="0" fillId="0" borderId="0" xfId="0" applyNumberFormat="1" applyAlignment="1">
      <alignment horizontal="right"/>
    </xf>
    <xf numFmtId="0" fontId="0" fillId="0" borderId="0" xfId="0" quotePrefix="1"/>
    <xf numFmtId="0" fontId="0" fillId="0" borderId="0" xfId="0" applyFont="1"/>
    <xf numFmtId="9" fontId="0" fillId="0" borderId="0" xfId="0" applyNumberFormat="1" applyFont="1"/>
    <xf numFmtId="3" fontId="0" fillId="0" borderId="0" xfId="0" applyNumberFormat="1" applyFont="1"/>
    <xf numFmtId="9" fontId="0" fillId="0" borderId="1" xfId="0" applyNumberFormat="1" applyFont="1" applyBorder="1"/>
    <xf numFmtId="3" fontId="0" fillId="0" borderId="1" xfId="0" applyNumberFormat="1" applyFont="1" applyBorder="1"/>
    <xf numFmtId="0" fontId="0" fillId="0" borderId="2" xfId="0" applyFont="1" applyBorder="1"/>
    <xf numFmtId="14" fontId="0" fillId="0" borderId="0" xfId="0" quotePrefix="1" applyNumberFormat="1"/>
    <xf numFmtId="16" fontId="0" fillId="0" borderId="0" xfId="0" quotePrefix="1" applyNumberFormat="1"/>
    <xf numFmtId="0" fontId="3" fillId="0" borderId="0" xfId="0" applyFont="1" applyBorder="1" applyAlignment="1">
      <alignment horizontal="right"/>
    </xf>
    <xf numFmtId="14" fontId="0" fillId="0" borderId="2" xfId="0" applyNumberFormat="1" applyBorder="1"/>
    <xf numFmtId="2" fontId="0" fillId="0" borderId="0" xfId="0" applyNumberFormat="1"/>
    <xf numFmtId="10" fontId="3" fillId="0" borderId="0" xfId="0" applyNumberFormat="1" applyFont="1" applyAlignment="1">
      <alignment horizontal="right"/>
    </xf>
    <xf numFmtId="14" fontId="3" fillId="0" borderId="0" xfId="0" applyNumberFormat="1" applyFont="1"/>
    <xf numFmtId="2" fontId="3" fillId="0" borderId="0" xfId="0" applyNumberFormat="1" applyFont="1" applyAlignment="1">
      <alignment horizontal="right"/>
    </xf>
    <xf numFmtId="2" fontId="0" fillId="0" borderId="0" xfId="0" applyNumberFormat="1" applyFill="1"/>
    <xf numFmtId="9" fontId="0" fillId="0" borderId="0" xfId="1" applyFont="1"/>
    <xf numFmtId="10" fontId="0" fillId="0" borderId="0" xfId="1" applyNumberFormat="1" applyFont="1"/>
    <xf numFmtId="3" fontId="0" fillId="0" borderId="0" xfId="1" applyNumberFormat="1" applyFont="1"/>
    <xf numFmtId="0" fontId="7" fillId="0" borderId="1" xfId="0" applyFont="1" applyBorder="1"/>
    <xf numFmtId="16" fontId="3" fillId="0" borderId="1" xfId="0" applyNumberFormat="1" applyFont="1" applyBorder="1"/>
    <xf numFmtId="164" fontId="0" fillId="0" borderId="2" xfId="0" applyNumberFormat="1" applyBorder="1"/>
    <xf numFmtId="164" fontId="0" fillId="0" borderId="1" xfId="0" applyNumberFormat="1" applyBorder="1"/>
    <xf numFmtId="164" fontId="3" fillId="0" borderId="0" xfId="0" applyNumberFormat="1" applyFont="1"/>
    <xf numFmtId="164" fontId="0" fillId="0" borderId="3" xfId="0" applyNumberFormat="1" applyBorder="1"/>
    <xf numFmtId="164" fontId="3" fillId="0" borderId="3" xfId="0" applyNumberFormat="1" applyFont="1" applyBorder="1"/>
    <xf numFmtId="164" fontId="0" fillId="0" borderId="0" xfId="0" applyNumberFormat="1" applyFill="1"/>
    <xf numFmtId="9" fontId="0" fillId="0" borderId="0" xfId="1" applyNumberFormat="1" applyFont="1"/>
    <xf numFmtId="0" fontId="6" fillId="0" borderId="0" xfId="0" applyFont="1"/>
    <xf numFmtId="10" fontId="0" fillId="0" borderId="2" xfId="1" applyNumberFormat="1" applyFont="1" applyBorder="1"/>
    <xf numFmtId="0" fontId="3" fillId="0" borderId="0" xfId="0" applyFont="1" applyBorder="1"/>
    <xf numFmtId="10" fontId="0" fillId="0" borderId="0" xfId="1" applyNumberFormat="1" applyFont="1" applyFill="1"/>
    <xf numFmtId="0" fontId="8" fillId="0" borderId="2" xfId="0" applyFont="1" applyBorder="1"/>
    <xf numFmtId="0" fontId="0" fillId="0" borderId="1" xfId="0" applyFont="1" applyBorder="1"/>
    <xf numFmtId="8" fontId="0" fillId="0" borderId="0" xfId="0" applyNumberFormat="1"/>
    <xf numFmtId="8" fontId="0" fillId="0" borderId="0" xfId="0" applyNumberFormat="1" applyAlignment="1">
      <alignment horizontal="right"/>
    </xf>
    <xf numFmtId="170" fontId="3" fillId="0" borderId="0" xfId="0" applyNumberFormat="1" applyFont="1"/>
    <xf numFmtId="165" fontId="3" fillId="0" borderId="0" xfId="0" applyNumberFormat="1" applyFont="1"/>
    <xf numFmtId="3" fontId="0" fillId="2" borderId="0" xfId="0" applyNumberFormat="1" applyFill="1"/>
    <xf numFmtId="0" fontId="0" fillId="2" borderId="0" xfId="0" applyFill="1"/>
    <xf numFmtId="170" fontId="0" fillId="0" borderId="0" xfId="0" applyNumberFormat="1"/>
    <xf numFmtId="3" fontId="0" fillId="0" borderId="1" xfId="0" applyNumberFormat="1" applyBorder="1"/>
    <xf numFmtId="6" fontId="3" fillId="0" borderId="0" xfId="0" applyNumberFormat="1" applyFont="1"/>
    <xf numFmtId="6" fontId="0" fillId="0" borderId="0" xfId="0" applyNumberFormat="1" applyFill="1"/>
    <xf numFmtId="0" fontId="0" fillId="0" borderId="0" xfId="0" applyFill="1" applyAlignment="1">
      <alignment horizontal="right"/>
    </xf>
    <xf numFmtId="6" fontId="0" fillId="0" borderId="0" xfId="0" applyNumberFormat="1" applyFill="1" applyAlignment="1">
      <alignment horizontal="right"/>
    </xf>
    <xf numFmtId="2" fontId="0" fillId="0" borderId="0" xfId="0" applyNumberFormat="1" applyFill="1" applyAlignment="1">
      <alignment horizontal="right"/>
    </xf>
    <xf numFmtId="167" fontId="3" fillId="0" borderId="0" xfId="1" applyNumberFormat="1" applyFont="1" applyAlignment="1">
      <alignment horizontal="right"/>
    </xf>
    <xf numFmtId="167" fontId="0" fillId="2" borderId="4" xfId="0" applyNumberFormat="1" applyFill="1" applyBorder="1"/>
    <xf numFmtId="0" fontId="5" fillId="0" borderId="0" xfId="0" applyFont="1" applyAlignment="1">
      <alignment horizontal="right"/>
    </xf>
    <xf numFmtId="167" fontId="0" fillId="0" borderId="0" xfId="0" applyNumberFormat="1" applyFill="1" applyAlignment="1">
      <alignment horizontal="right"/>
    </xf>
    <xf numFmtId="167" fontId="0" fillId="0" borderId="0" xfId="1" applyNumberFormat="1" applyFont="1" applyFill="1"/>
    <xf numFmtId="168" fontId="0" fillId="0" borderId="0" xfId="0" applyNumberFormat="1" applyAlignment="1">
      <alignment horizontal="right"/>
    </xf>
    <xf numFmtId="3" fontId="0" fillId="0" borderId="0" xfId="0" applyNumberFormat="1" applyFill="1"/>
    <xf numFmtId="1" fontId="0" fillId="0" borderId="0" xfId="0" applyNumberFormat="1" applyFill="1"/>
    <xf numFmtId="0" fontId="0" fillId="0" borderId="0" xfId="0" applyNumberFormat="1" applyFill="1"/>
    <xf numFmtId="6" fontId="0" fillId="0" borderId="0" xfId="0" applyNumberFormat="1" applyFont="1" applyFill="1"/>
    <xf numFmtId="168" fontId="5" fillId="0" borderId="0" xfId="0" applyNumberFormat="1" applyFont="1" applyAlignment="1">
      <alignment horizontal="right"/>
    </xf>
    <xf numFmtId="0" fontId="3" fillId="2" borderId="0" xfId="0" applyFont="1" applyFill="1"/>
    <xf numFmtId="168" fontId="3" fillId="2" borderId="0" xfId="0" applyNumberFormat="1" applyFont="1" applyFill="1"/>
    <xf numFmtId="167" fontId="3" fillId="2" borderId="0" xfId="0" applyNumberFormat="1" applyFont="1" applyFill="1"/>
    <xf numFmtId="6" fontId="3" fillId="2" borderId="0" xfId="0" applyNumberFormat="1" applyFont="1" applyFill="1"/>
    <xf numFmtId="3" fontId="3" fillId="2" borderId="0" xfId="0" applyNumberFormat="1" applyFont="1" applyFill="1"/>
    <xf numFmtId="165" fontId="3" fillId="2" borderId="0" xfId="0" applyNumberFormat="1" applyFont="1" applyFill="1"/>
    <xf numFmtId="166" fontId="0" fillId="0" borderId="0" xfId="0" applyNumberFormat="1"/>
    <xf numFmtId="166" fontId="3" fillId="2" borderId="0" xfId="0" applyNumberFormat="1" applyFont="1" applyFill="1"/>
    <xf numFmtId="0" fontId="10" fillId="0" borderId="0" xfId="0" applyFont="1"/>
    <xf numFmtId="0" fontId="11" fillId="0" borderId="0" xfId="0" applyFont="1"/>
    <xf numFmtId="0" fontId="3" fillId="0" borderId="0" xfId="0" applyFont="1" applyAlignment="1">
      <alignment horizontal="left"/>
    </xf>
    <xf numFmtId="170" fontId="3" fillId="2" borderId="0" xfId="0" applyNumberFormat="1" applyFont="1" applyFill="1"/>
    <xf numFmtId="171" fontId="0" fillId="0" borderId="0" xfId="0" applyNumberFormat="1"/>
    <xf numFmtId="171" fontId="0" fillId="0" borderId="0" xfId="0" applyNumberFormat="1" applyFill="1"/>
    <xf numFmtId="170" fontId="0" fillId="0" borderId="0" xfId="0" applyNumberFormat="1" applyFill="1"/>
    <xf numFmtId="172" fontId="0" fillId="0" borderId="0" xfId="0" applyNumberFormat="1" applyFill="1"/>
    <xf numFmtId="172" fontId="0" fillId="0" borderId="0" xfId="0" applyNumberFormat="1"/>
    <xf numFmtId="0" fontId="0" fillId="0" borderId="1" xfId="0" applyFill="1" applyBorder="1"/>
    <xf numFmtId="168" fontId="0" fillId="0" borderId="1" xfId="0" applyNumberFormat="1" applyBorder="1"/>
    <xf numFmtId="170" fontId="0" fillId="0" borderId="1" xfId="0" applyNumberFormat="1" applyBorder="1" applyAlignment="1">
      <alignment horizontal="right"/>
    </xf>
    <xf numFmtId="167" fontId="0" fillId="0" borderId="1" xfId="0" applyNumberFormat="1" applyBorder="1"/>
    <xf numFmtId="6" fontId="0" fillId="0" borderId="1" xfId="0" applyNumberFormat="1" applyFill="1" applyBorder="1" applyAlignment="1">
      <alignment horizontal="right"/>
    </xf>
    <xf numFmtId="6" fontId="0" fillId="0" borderId="1" xfId="0" applyNumberFormat="1" applyFill="1" applyBorder="1"/>
    <xf numFmtId="165" fontId="0" fillId="0" borderId="0" xfId="0" applyNumberFormat="1" applyBorder="1" applyAlignment="1">
      <alignment horizontal="right"/>
    </xf>
    <xf numFmtId="6" fontId="0" fillId="0" borderId="1" xfId="0" applyNumberFormat="1" applyBorder="1"/>
    <xf numFmtId="10" fontId="0" fillId="0" borderId="0" xfId="1" applyNumberFormat="1" applyFont="1" applyAlignment="1">
      <alignment horizontal="right"/>
    </xf>
    <xf numFmtId="167" fontId="0" fillId="2" borderId="4" xfId="1" applyNumberFormat="1" applyFont="1" applyFill="1" applyBorder="1" applyAlignment="1">
      <alignment horizontal="right" indent="1"/>
    </xf>
    <xf numFmtId="166" fontId="0" fillId="0" borderId="0" xfId="1" applyNumberFormat="1" applyFont="1" applyFill="1"/>
    <xf numFmtId="0" fontId="9" fillId="0" borderId="0" xfId="0" applyFont="1"/>
    <xf numFmtId="0" fontId="12" fillId="0" borderId="0" xfId="0" applyFont="1"/>
    <xf numFmtId="0" fontId="15" fillId="0" borderId="0" xfId="0" applyFont="1"/>
    <xf numFmtId="0" fontId="13" fillId="0" borderId="0" xfId="0" applyFont="1"/>
    <xf numFmtId="0" fontId="13" fillId="0" borderId="0" xfId="0" applyFont="1" applyAlignment="1">
      <alignment horizontal="left" vertical="top" wrapText="1"/>
    </xf>
    <xf numFmtId="0" fontId="0" fillId="0" borderId="0" xfId="0" applyFill="1" applyAlignment="1">
      <alignment horizontal="left"/>
    </xf>
    <xf numFmtId="168" fontId="0" fillId="0" borderId="0" xfId="0" applyNumberFormat="1" applyAlignment="1">
      <alignment horizontal="center"/>
    </xf>
    <xf numFmtId="0" fontId="0" fillId="0" borderId="0" xfId="0" applyFill="1" applyAlignment="1">
      <alignment horizontal="center"/>
    </xf>
    <xf numFmtId="0" fontId="17" fillId="0" borderId="0" xfId="0" applyFont="1"/>
    <xf numFmtId="0" fontId="18" fillId="0" borderId="0" xfId="0" applyFont="1"/>
    <xf numFmtId="0" fontId="0" fillId="0" borderId="0" xfId="0" applyAlignment="1">
      <alignment horizontal="justify" vertical="top" wrapText="1"/>
    </xf>
    <xf numFmtId="0" fontId="3" fillId="0" borderId="1" xfId="0" applyFont="1" applyBorder="1" applyAlignment="1">
      <alignment horizontal="center"/>
    </xf>
    <xf numFmtId="0" fontId="3" fillId="2" borderId="1" xfId="0" applyFont="1" applyFill="1" applyBorder="1" applyAlignment="1">
      <alignment horizontal="center"/>
    </xf>
    <xf numFmtId="0" fontId="12" fillId="0" borderId="0" xfId="0" applyFont="1" applyAlignment="1">
      <alignment horizontal="left" vertical="top" wrapText="1"/>
    </xf>
    <xf numFmtId="0" fontId="3" fillId="0" borderId="5" xfId="0" applyFont="1" applyBorder="1" applyAlignment="1">
      <alignment horizontal="center"/>
    </xf>
    <xf numFmtId="0" fontId="13" fillId="0" borderId="0" xfId="0" applyFont="1" applyAlignment="1">
      <alignment horizontal="left" vertical="top" wrapText="1"/>
    </xf>
    <xf numFmtId="0" fontId="3" fillId="2" borderId="5" xfId="0" applyFont="1" applyFill="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19" fillId="0" borderId="0" xfId="2"/>
    <xf numFmtId="173" fontId="19" fillId="0" borderId="0" xfId="2" applyNumberFormat="1" applyFill="1" applyBorder="1" applyAlignment="1" applyProtection="1"/>
    <xf numFmtId="0" fontId="19" fillId="0" borderId="0" xfId="2" applyFill="1" applyBorder="1" applyAlignment="1" applyProtection="1"/>
    <xf numFmtId="0" fontId="20" fillId="0" borderId="0" xfId="2" applyFont="1" applyFill="1" applyBorder="1" applyAlignment="1" applyProtection="1"/>
    <xf numFmtId="0" fontId="20" fillId="3" borderId="0" xfId="2" applyFont="1" applyFill="1" applyBorder="1" applyAlignment="1" applyProtection="1"/>
    <xf numFmtId="0" fontId="21" fillId="0" borderId="0" xfId="0" applyFont="1"/>
    <xf numFmtId="10" fontId="0" fillId="0" borderId="0" xfId="0" applyNumberFormat="1"/>
    <xf numFmtId="16" fontId="0" fillId="0" borderId="0" xfId="0" applyNumberFormat="1"/>
    <xf numFmtId="9" fontId="0" fillId="0" borderId="0" xfId="0" applyNumberFormat="1"/>
    <xf numFmtId="10" fontId="3" fillId="0" borderId="0" xfId="0" applyNumberFormat="1" applyFont="1"/>
    <xf numFmtId="8" fontId="3" fillId="0" borderId="0" xfId="0" applyNumberFormat="1" applyFont="1"/>
    <xf numFmtId="0" fontId="0" fillId="0" borderId="0" xfId="0" applyAlignment="1">
      <alignment horizontal="left" vertical="top" wrapText="1"/>
    </xf>
    <xf numFmtId="0" fontId="3" fillId="4" borderId="0" xfId="0" applyFont="1" applyFill="1"/>
    <xf numFmtId="0" fontId="3" fillId="5" borderId="0" xfId="0" applyFont="1" applyFill="1"/>
    <xf numFmtId="0" fontId="3" fillId="6" borderId="0" xfId="0" applyFont="1" applyFill="1"/>
    <xf numFmtId="0" fontId="3" fillId="0" borderId="0" xfId="0" applyFont="1" applyAlignment="1">
      <alignment horizontal="center" vertical="center"/>
    </xf>
    <xf numFmtId="165" fontId="22" fillId="0" borderId="0" xfId="0" applyNumberFormat="1" applyFont="1"/>
    <xf numFmtId="9" fontId="22" fillId="0" borderId="0" xfId="0" applyNumberFormat="1" applyFont="1"/>
    <xf numFmtId="0" fontId="22" fillId="0" borderId="0" xfId="0" applyFont="1"/>
    <xf numFmtId="0" fontId="23" fillId="0" borderId="0" xfId="0" applyFont="1" applyAlignment="1">
      <alignment wrapText="1"/>
    </xf>
    <xf numFmtId="0" fontId="24" fillId="0" borderId="0" xfId="0" applyFont="1"/>
    <xf numFmtId="0" fontId="25" fillId="0" borderId="0" xfId="0" applyFont="1"/>
  </cellXfs>
  <cellStyles count="3">
    <cellStyle name="Normal" xfId="0" builtinId="0"/>
    <cellStyle name="Normal 2" xfId="2" xr:uid="{4CD1AA81-A7FE-374F-8325-A230EF508F63}"/>
    <cellStyle name="Percent" xfId="1" builtinId="5"/>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00FF"/>
      <color rgb="FF008000"/>
      <color rgb="FFCCFFFF"/>
      <color rgb="FF66FFFF"/>
      <color rgb="FFFFCCFF"/>
      <color rgb="FF0000FF"/>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975A2-F4FD-A24D-A94A-564FCC47C878}">
  <dimension ref="A1:W203"/>
  <sheetViews>
    <sheetView tabSelected="1" workbookViewId="0">
      <selection activeCell="L201" sqref="L201"/>
    </sheetView>
  </sheetViews>
  <sheetFormatPr baseColWidth="10" defaultRowHeight="15" x14ac:dyDescent="0.2"/>
  <cols>
    <col min="1" max="1" width="27" customWidth="1"/>
    <col min="6" max="11" width="11" bestFit="1" customWidth="1"/>
    <col min="12" max="12" width="11.1640625" bestFit="1" customWidth="1"/>
  </cols>
  <sheetData>
    <row r="1" spans="1:16" ht="24" customHeight="1" x14ac:dyDescent="0.25">
      <c r="A1" s="139" t="s">
        <v>558</v>
      </c>
    </row>
    <row r="2" spans="1:16" x14ac:dyDescent="0.2">
      <c r="F2" s="1" t="s">
        <v>278</v>
      </c>
      <c r="G2" s="1" t="s">
        <v>184</v>
      </c>
      <c r="H2" s="1"/>
      <c r="I2" s="1"/>
      <c r="J2" s="1"/>
      <c r="K2" s="1"/>
      <c r="L2" s="1"/>
      <c r="M2" s="1"/>
      <c r="N2" s="1"/>
      <c r="O2" s="1"/>
      <c r="P2" s="1"/>
    </row>
    <row r="3" spans="1:16" x14ac:dyDescent="0.2">
      <c r="B3" t="s">
        <v>26</v>
      </c>
      <c r="F3" s="1">
        <v>2016</v>
      </c>
      <c r="G3" s="1">
        <v>2017</v>
      </c>
      <c r="H3" s="1">
        <v>2018</v>
      </c>
      <c r="I3" s="1">
        <v>2019</v>
      </c>
      <c r="J3" s="1">
        <v>2020</v>
      </c>
      <c r="K3" s="1">
        <v>2021</v>
      </c>
      <c r="L3" s="1">
        <v>2022</v>
      </c>
      <c r="M3" s="1">
        <v>2023</v>
      </c>
      <c r="N3" s="1">
        <v>2024</v>
      </c>
      <c r="O3" s="1">
        <v>2025</v>
      </c>
      <c r="P3" s="1" t="s">
        <v>226</v>
      </c>
    </row>
    <row r="5" spans="1:16" x14ac:dyDescent="0.2">
      <c r="B5" t="s">
        <v>29</v>
      </c>
    </row>
    <row r="6" spans="1:16" x14ac:dyDescent="0.2">
      <c r="C6" t="s">
        <v>27</v>
      </c>
      <c r="F6" s="16">
        <v>404.5</v>
      </c>
      <c r="G6" s="16">
        <v>943.7</v>
      </c>
      <c r="H6" s="16">
        <v>1934.7</v>
      </c>
      <c r="I6" s="16">
        <v>3254</v>
      </c>
      <c r="J6" s="16">
        <v>4901.7</v>
      </c>
      <c r="K6" s="16">
        <v>6907.3</v>
      </c>
      <c r="L6" s="16">
        <v>9188.5</v>
      </c>
      <c r="M6" s="16">
        <v>11635.3</v>
      </c>
      <c r="N6" s="16">
        <v>14130.6</v>
      </c>
      <c r="O6" s="16">
        <v>16568.900000000001</v>
      </c>
      <c r="P6" s="16">
        <v>17148.8</v>
      </c>
    </row>
    <row r="7" spans="1:16" x14ac:dyDescent="0.2">
      <c r="D7" t="s">
        <v>24</v>
      </c>
      <c r="F7" s="93">
        <v>5.8949999999999996</v>
      </c>
      <c r="G7" s="93">
        <v>1.333</v>
      </c>
      <c r="H7" s="93">
        <v>1.05</v>
      </c>
      <c r="I7" s="93">
        <v>0.68200000000000005</v>
      </c>
      <c r="J7" s="93">
        <v>0.50600000000000001</v>
      </c>
      <c r="K7" s="93">
        <v>0.40899999999999997</v>
      </c>
      <c r="L7" s="93">
        <v>0.33</v>
      </c>
      <c r="M7" s="93">
        <v>0.26600000000000001</v>
      </c>
      <c r="N7" s="93">
        <v>0.214</v>
      </c>
      <c r="O7" s="93">
        <v>0.17299999999999999</v>
      </c>
      <c r="P7" s="93">
        <v>3.4999305928576897E-2</v>
      </c>
    </row>
    <row r="8" spans="1:16" x14ac:dyDescent="0.2">
      <c r="C8" t="s">
        <v>225</v>
      </c>
      <c r="F8" s="16">
        <v>-459.4</v>
      </c>
      <c r="G8" s="16">
        <v>-771.9</v>
      </c>
      <c r="H8" s="16">
        <v>-609.5</v>
      </c>
      <c r="I8" s="16">
        <v>-194.6</v>
      </c>
      <c r="J8" s="16">
        <v>362.6</v>
      </c>
      <c r="K8" s="16">
        <v>1474</v>
      </c>
      <c r="L8" s="16">
        <v>2616.1</v>
      </c>
      <c r="M8" s="16">
        <v>3887.8</v>
      </c>
      <c r="N8" s="16">
        <v>5222.5</v>
      </c>
      <c r="O8" s="16">
        <v>6573.6</v>
      </c>
      <c r="P8" s="16">
        <v>6803.7</v>
      </c>
    </row>
    <row r="9" spans="1:16" x14ac:dyDescent="0.2">
      <c r="D9" t="s">
        <v>224</v>
      </c>
      <c r="F9" s="93">
        <v>-1.1357231149567366</v>
      </c>
      <c r="G9" s="93">
        <v>-0.81795061990039197</v>
      </c>
      <c r="H9" s="93">
        <v>-0.31503592288210058</v>
      </c>
      <c r="I9" s="93">
        <v>-5.980331899200983E-2</v>
      </c>
      <c r="J9" s="93">
        <v>7.3974335434645128E-2</v>
      </c>
      <c r="K9" s="93">
        <v>0.21339742012074181</v>
      </c>
      <c r="L9" s="93">
        <v>0.28471458888828427</v>
      </c>
      <c r="M9" s="93">
        <v>0.33413835483399656</v>
      </c>
      <c r="N9" s="93">
        <v>0.36958798635585183</v>
      </c>
      <c r="O9" s="93">
        <v>0.39674329617536469</v>
      </c>
      <c r="P9" s="93">
        <v>0.39674496174659452</v>
      </c>
    </row>
    <row r="10" spans="1:16" x14ac:dyDescent="0.2">
      <c r="F10" s="93"/>
      <c r="G10" s="93"/>
      <c r="H10" s="93"/>
      <c r="I10" s="93"/>
      <c r="J10" s="93"/>
      <c r="K10" s="93"/>
      <c r="L10" s="93"/>
      <c r="M10" s="93"/>
      <c r="N10" s="93"/>
      <c r="O10" s="93"/>
      <c r="P10" s="93"/>
    </row>
    <row r="11" spans="1:16" x14ac:dyDescent="0.2">
      <c r="B11" t="s">
        <v>28</v>
      </c>
    </row>
    <row r="12" spans="1:16" x14ac:dyDescent="0.2">
      <c r="C12" t="s">
        <v>274</v>
      </c>
      <c r="F12" s="16">
        <v>0</v>
      </c>
      <c r="G12" s="16">
        <v>0</v>
      </c>
      <c r="H12" s="16">
        <v>0</v>
      </c>
      <c r="I12" s="16">
        <v>0</v>
      </c>
      <c r="J12" s="16">
        <v>0</v>
      </c>
      <c r="K12" s="16">
        <v>0</v>
      </c>
      <c r="L12" s="16">
        <v>0</v>
      </c>
      <c r="M12" s="16">
        <v>0</v>
      </c>
      <c r="N12" s="16">
        <v>823.3</v>
      </c>
      <c r="O12" s="16">
        <v>1448.4</v>
      </c>
      <c r="P12" s="16"/>
    </row>
    <row r="13" spans="1:16" x14ac:dyDescent="0.2">
      <c r="C13" t="s">
        <v>275</v>
      </c>
      <c r="F13" s="16">
        <v>150.5</v>
      </c>
      <c r="G13" s="16">
        <v>256.60000000000002</v>
      </c>
      <c r="H13" s="16">
        <v>227.5</v>
      </c>
      <c r="I13" s="16">
        <v>230.5</v>
      </c>
      <c r="J13" s="16">
        <v>228.4</v>
      </c>
      <c r="K13" s="16">
        <v>208.9</v>
      </c>
      <c r="L13" s="16">
        <v>223.8</v>
      </c>
      <c r="M13" s="16">
        <v>248.1</v>
      </c>
      <c r="N13" s="16">
        <v>206.9</v>
      </c>
      <c r="O13" s="16">
        <v>150.6</v>
      </c>
      <c r="P13" s="16"/>
    </row>
    <row r="14" spans="1:16" x14ac:dyDescent="0.2">
      <c r="C14" t="s">
        <v>276</v>
      </c>
      <c r="F14" s="16">
        <v>67</v>
      </c>
      <c r="G14" s="16">
        <v>82.6</v>
      </c>
      <c r="H14" s="16">
        <v>96.6</v>
      </c>
      <c r="I14" s="16">
        <v>109.1</v>
      </c>
      <c r="J14" s="16">
        <v>120.1</v>
      </c>
      <c r="K14" s="16">
        <v>130.1</v>
      </c>
      <c r="L14" s="16">
        <v>140.1</v>
      </c>
      <c r="M14" s="16">
        <v>148.1</v>
      </c>
      <c r="N14" s="16">
        <v>155.1</v>
      </c>
      <c r="O14" s="16">
        <v>161.1</v>
      </c>
      <c r="P14" s="16"/>
    </row>
    <row r="15" spans="1:16" x14ac:dyDescent="0.2">
      <c r="C15" t="s">
        <v>277</v>
      </c>
      <c r="F15" s="16">
        <v>31.8</v>
      </c>
      <c r="G15" s="16">
        <v>75</v>
      </c>
      <c r="H15" s="16">
        <v>159.30000000000001</v>
      </c>
      <c r="I15" s="16">
        <v>202.8</v>
      </c>
      <c r="J15" s="16">
        <v>256.5</v>
      </c>
      <c r="K15" s="16">
        <v>316.60000000000002</v>
      </c>
      <c r="L15" s="16">
        <v>421.1</v>
      </c>
      <c r="M15" s="16">
        <v>533.29999999999995</v>
      </c>
      <c r="N15" s="16">
        <v>647.70000000000005</v>
      </c>
      <c r="O15" s="16">
        <v>759.4</v>
      </c>
      <c r="P15" s="16"/>
    </row>
    <row r="16" spans="1:16" x14ac:dyDescent="0.2">
      <c r="D16" t="s">
        <v>223</v>
      </c>
      <c r="F16" s="16">
        <v>-708.8</v>
      </c>
      <c r="G16" s="16">
        <v>-1186.2</v>
      </c>
      <c r="H16" s="16">
        <v>-1093</v>
      </c>
      <c r="I16" s="16">
        <v>-737.1</v>
      </c>
      <c r="J16" s="16">
        <v>-242.5</v>
      </c>
      <c r="K16" s="16">
        <v>818.4</v>
      </c>
      <c r="L16" s="16">
        <v>1831.1</v>
      </c>
      <c r="M16" s="16">
        <v>2958.2</v>
      </c>
      <c r="N16" s="16">
        <v>3389.6</v>
      </c>
      <c r="O16" s="16">
        <v>4054.2</v>
      </c>
      <c r="P16" s="16">
        <v>4196.1000000000004</v>
      </c>
    </row>
    <row r="20" spans="1:16" x14ac:dyDescent="0.2">
      <c r="B20" t="s">
        <v>230</v>
      </c>
      <c r="M20" t="s">
        <v>228</v>
      </c>
    </row>
    <row r="21" spans="1:16" x14ac:dyDescent="0.2">
      <c r="H21" t="s">
        <v>567</v>
      </c>
      <c r="K21" s="69">
        <v>28</v>
      </c>
    </row>
    <row r="22" spans="1:16" x14ac:dyDescent="0.2">
      <c r="C22" t="s">
        <v>114</v>
      </c>
      <c r="F22" s="140">
        <v>0.03</v>
      </c>
      <c r="H22" t="s">
        <v>273</v>
      </c>
      <c r="K22" s="18">
        <v>1404</v>
      </c>
      <c r="M22" t="s">
        <v>229</v>
      </c>
      <c r="O22" s="141">
        <v>43186</v>
      </c>
    </row>
    <row r="23" spans="1:16" x14ac:dyDescent="0.2">
      <c r="C23" t="s">
        <v>209</v>
      </c>
      <c r="F23" s="142">
        <v>0.02</v>
      </c>
      <c r="H23" t="s">
        <v>227</v>
      </c>
      <c r="K23" s="16">
        <v>2081</v>
      </c>
      <c r="N23" t="s">
        <v>119</v>
      </c>
      <c r="O23" s="140">
        <v>3.0599999999999999E-2</v>
      </c>
    </row>
    <row r="24" spans="1:16" x14ac:dyDescent="0.2">
      <c r="C24" t="s">
        <v>116</v>
      </c>
      <c r="F24" s="142">
        <v>0.35</v>
      </c>
      <c r="N24" t="s">
        <v>118</v>
      </c>
      <c r="O24" s="140">
        <v>2.3800000000000002E-2</v>
      </c>
    </row>
    <row r="25" spans="1:16" x14ac:dyDescent="0.2">
      <c r="C25" t="s">
        <v>115</v>
      </c>
      <c r="F25" s="140">
        <v>9.9000000000000005E-2</v>
      </c>
      <c r="H25" t="s">
        <v>117</v>
      </c>
      <c r="K25" s="23">
        <v>3.5000000000000003E-2</v>
      </c>
    </row>
    <row r="26" spans="1:16" x14ac:dyDescent="0.2">
      <c r="C26" t="s">
        <v>159</v>
      </c>
      <c r="F26" s="140">
        <v>5.5899999999999998E-2</v>
      </c>
    </row>
    <row r="27" spans="1:16" x14ac:dyDescent="0.2">
      <c r="C27" t="s">
        <v>120</v>
      </c>
      <c r="F27" s="23">
        <v>9.7000000000000003E-2</v>
      </c>
    </row>
    <row r="30" spans="1:16" x14ac:dyDescent="0.2">
      <c r="F30" s="1"/>
      <c r="G30" s="1">
        <v>2017</v>
      </c>
      <c r="H30" s="1">
        <v>2018</v>
      </c>
      <c r="I30" s="1">
        <v>2019</v>
      </c>
      <c r="J30" s="1">
        <v>2020</v>
      </c>
      <c r="K30" s="1">
        <v>2021</v>
      </c>
      <c r="L30" s="1">
        <v>2022</v>
      </c>
      <c r="M30" s="1">
        <v>2023</v>
      </c>
      <c r="N30" s="1">
        <v>2024</v>
      </c>
      <c r="O30" s="1">
        <v>2025</v>
      </c>
      <c r="P30" s="1" t="s">
        <v>561</v>
      </c>
    </row>
    <row r="31" spans="1:16" x14ac:dyDescent="0.2">
      <c r="A31" s="1" t="s">
        <v>559</v>
      </c>
      <c r="D31" t="s">
        <v>560</v>
      </c>
      <c r="F31" s="16"/>
      <c r="G31" s="16">
        <f t="shared" ref="G31:O31" si="0">G16</f>
        <v>-1186.2</v>
      </c>
      <c r="H31" s="16">
        <f t="shared" si="0"/>
        <v>-1093</v>
      </c>
      <c r="I31" s="16">
        <f t="shared" si="0"/>
        <v>-737.1</v>
      </c>
      <c r="J31" s="16">
        <f t="shared" si="0"/>
        <v>-242.5</v>
      </c>
      <c r="K31" s="16">
        <f t="shared" si="0"/>
        <v>818.4</v>
      </c>
      <c r="L31" s="16">
        <f t="shared" si="0"/>
        <v>1831.1</v>
      </c>
      <c r="M31" s="16">
        <f t="shared" si="0"/>
        <v>2958.2</v>
      </c>
      <c r="N31" s="16">
        <f t="shared" si="0"/>
        <v>3389.6</v>
      </c>
      <c r="O31" s="16">
        <f t="shared" si="0"/>
        <v>4054.2</v>
      </c>
      <c r="P31" s="63">
        <f>O31*(1+K25)/(F27-K25)</f>
        <v>67678.983870967742</v>
      </c>
    </row>
    <row r="32" spans="1:16" x14ac:dyDescent="0.2">
      <c r="D32" t="s">
        <v>562</v>
      </c>
      <c r="G32" s="63">
        <f>G31/(1+$F$38)^(G30-2016)</f>
        <v>-1094.8044083109592</v>
      </c>
      <c r="H32" s="63">
        <f>H31/(1+$F$38)^(H30-2016)</f>
        <v>-931.05941793192721</v>
      </c>
      <c r="I32" s="63">
        <f>I31/(1+$F$38)^(I30-2016)</f>
        <v>-579.51177465990827</v>
      </c>
      <c r="J32" s="63">
        <f>J31/(1+$F$38)^(J30-2016)</f>
        <v>-175.96496764492059</v>
      </c>
      <c r="K32" s="63">
        <f>K31/(1+$F$38)^(K30-2016)</f>
        <v>548.09862114949078</v>
      </c>
      <c r="L32" s="63">
        <f>L31/(1+$F$38)^(L30-2016)</f>
        <v>1131.8366929885442</v>
      </c>
      <c r="M32" s="63">
        <f>M31/(1+$F$38)^(M30-2016)</f>
        <v>1687.6324096483338</v>
      </c>
      <c r="N32" s="63">
        <f>N31/(1+$F$38)^(N30-2016)</f>
        <v>1784.7500101405369</v>
      </c>
      <c r="O32" s="63">
        <f>O31/(1+$F$38)^(O30-2016)</f>
        <v>1970.2109532797074</v>
      </c>
      <c r="P32" s="63">
        <f>P31/(1+$F$38)^(O30-2016)</f>
        <v>32889.811881362861</v>
      </c>
    </row>
    <row r="33" spans="1:16" x14ac:dyDescent="0.2">
      <c r="D33" t="s">
        <v>563</v>
      </c>
      <c r="F33" s="16">
        <f>SUM(G32:P32)</f>
        <v>37231.000000021755</v>
      </c>
    </row>
    <row r="34" spans="1:16" x14ac:dyDescent="0.2">
      <c r="D34" t="s">
        <v>564</v>
      </c>
      <c r="F34" s="69">
        <f>K22*K21</f>
        <v>39312</v>
      </c>
    </row>
    <row r="35" spans="1:16" x14ac:dyDescent="0.2">
      <c r="D35" t="s">
        <v>568</v>
      </c>
      <c r="F35" s="16">
        <f>-K23</f>
        <v>-2081</v>
      </c>
    </row>
    <row r="36" spans="1:16" x14ac:dyDescent="0.2">
      <c r="D36" t="s">
        <v>565</v>
      </c>
      <c r="F36" s="16">
        <f>F34+F35</f>
        <v>37231</v>
      </c>
    </row>
    <row r="37" spans="1:16" x14ac:dyDescent="0.2">
      <c r="D37" t="s">
        <v>569</v>
      </c>
      <c r="F37" s="63">
        <f>F33-F36</f>
        <v>2.1755113266408443E-8</v>
      </c>
    </row>
    <row r="38" spans="1:16" x14ac:dyDescent="0.2">
      <c r="D38" s="1" t="s">
        <v>566</v>
      </c>
      <c r="E38" s="1"/>
      <c r="F38" s="143">
        <v>8.3481205405487882E-2</v>
      </c>
    </row>
    <row r="41" spans="1:16" x14ac:dyDescent="0.2">
      <c r="A41" s="1" t="s">
        <v>570</v>
      </c>
    </row>
    <row r="42" spans="1:16" x14ac:dyDescent="0.2">
      <c r="G42" s="1">
        <f>G30</f>
        <v>2017</v>
      </c>
      <c r="H42" s="1">
        <f t="shared" ref="H42:P42" si="1">H30</f>
        <v>2018</v>
      </c>
      <c r="I42" s="1">
        <f t="shared" si="1"/>
        <v>2019</v>
      </c>
      <c r="J42" s="1">
        <f t="shared" si="1"/>
        <v>2020</v>
      </c>
      <c r="K42" s="1">
        <f t="shared" si="1"/>
        <v>2021</v>
      </c>
      <c r="L42" s="1">
        <f t="shared" si="1"/>
        <v>2022</v>
      </c>
      <c r="M42" s="1">
        <f t="shared" si="1"/>
        <v>2023</v>
      </c>
      <c r="N42" s="1">
        <f t="shared" si="1"/>
        <v>2024</v>
      </c>
      <c r="O42" s="1">
        <f t="shared" si="1"/>
        <v>2025</v>
      </c>
      <c r="P42" s="1" t="str">
        <f t="shared" si="1"/>
        <v>TV</v>
      </c>
    </row>
    <row r="43" spans="1:16" x14ac:dyDescent="0.2">
      <c r="D43" t="s">
        <v>560</v>
      </c>
      <c r="G43" s="16">
        <f>G16</f>
        <v>-1186.2</v>
      </c>
      <c r="H43" s="16">
        <f t="shared" ref="H43:O43" si="2">H16</f>
        <v>-1093</v>
      </c>
      <c r="I43" s="16">
        <f t="shared" si="2"/>
        <v>-737.1</v>
      </c>
      <c r="J43" s="16">
        <f t="shared" si="2"/>
        <v>-242.5</v>
      </c>
      <c r="K43" s="16">
        <f t="shared" si="2"/>
        <v>818.4</v>
      </c>
      <c r="L43" s="16">
        <f t="shared" si="2"/>
        <v>1831.1</v>
      </c>
      <c r="M43" s="16">
        <f t="shared" si="2"/>
        <v>2958.2</v>
      </c>
      <c r="N43" s="16">
        <f t="shared" si="2"/>
        <v>3389.6</v>
      </c>
      <c r="O43" s="16">
        <f t="shared" si="2"/>
        <v>4054.2</v>
      </c>
      <c r="P43" s="63">
        <f>O43*(1+K25)/(F27-K25)</f>
        <v>67678.983870967742</v>
      </c>
    </row>
    <row r="44" spans="1:16" x14ac:dyDescent="0.2">
      <c r="D44" t="s">
        <v>562</v>
      </c>
      <c r="G44" s="63">
        <f>G43/(1+$F$27)^(G42-2016)</f>
        <v>-1081.3126709206929</v>
      </c>
      <c r="H44" s="63">
        <f t="shared" ref="H44:P44" si="3">H43/(1+$F$27)^(H42-2016)</f>
        <v>-908.25313754509068</v>
      </c>
      <c r="I44" s="63">
        <f t="shared" si="3"/>
        <v>-558.35001028713123</v>
      </c>
      <c r="J44" s="63">
        <f t="shared" si="3"/>
        <v>-167.45003113983404</v>
      </c>
      <c r="K44" s="63">
        <f t="shared" si="3"/>
        <v>515.14855128735417</v>
      </c>
      <c r="L44" s="63">
        <f t="shared" si="3"/>
        <v>1050.684431572326</v>
      </c>
      <c r="M44" s="63">
        <f t="shared" si="3"/>
        <v>1547.3235650787663</v>
      </c>
      <c r="N44" s="63">
        <f t="shared" si="3"/>
        <v>1616.2012205033977</v>
      </c>
      <c r="O44" s="63">
        <f t="shared" si="3"/>
        <v>1762.1607398825802</v>
      </c>
      <c r="P44" s="63">
        <f>P43/(1+$F$27)^(O42-2016)</f>
        <v>29416.715577072107</v>
      </c>
    </row>
    <row r="45" spans="1:16" x14ac:dyDescent="0.2">
      <c r="D45" t="s">
        <v>563</v>
      </c>
      <c r="F45" s="63">
        <f>SUM(G44:P44)</f>
        <v>33192.868235503782</v>
      </c>
    </row>
    <row r="46" spans="1:16" x14ac:dyDescent="0.2">
      <c r="D46" t="s">
        <v>568</v>
      </c>
      <c r="F46" s="16">
        <f>-K23</f>
        <v>-2081</v>
      </c>
    </row>
    <row r="47" spans="1:16" x14ac:dyDescent="0.2">
      <c r="D47" t="s">
        <v>564</v>
      </c>
      <c r="F47" s="63">
        <f>F45-F46</f>
        <v>35273.868235503782</v>
      </c>
    </row>
    <row r="48" spans="1:16" x14ac:dyDescent="0.2">
      <c r="D48" t="s">
        <v>571</v>
      </c>
      <c r="F48" s="18">
        <f>K22</f>
        <v>1404</v>
      </c>
    </row>
    <row r="49" spans="1:16" x14ac:dyDescent="0.2">
      <c r="D49" s="1" t="s">
        <v>572</v>
      </c>
      <c r="E49" s="1"/>
      <c r="F49" s="144">
        <f>F47/F48</f>
        <v>25.123837774575343</v>
      </c>
      <c r="H49" s="1" t="s">
        <v>574</v>
      </c>
    </row>
    <row r="51" spans="1:16" x14ac:dyDescent="0.2">
      <c r="A51" s="1" t="s">
        <v>573</v>
      </c>
    </row>
    <row r="52" spans="1:16" x14ac:dyDescent="0.2">
      <c r="G52" s="1"/>
      <c r="H52" s="1">
        <f t="shared" ref="H52:P52" si="4">H42</f>
        <v>2018</v>
      </c>
      <c r="I52" s="1">
        <f t="shared" si="4"/>
        <v>2019</v>
      </c>
      <c r="J52" s="1">
        <f t="shared" si="4"/>
        <v>2020</v>
      </c>
      <c r="K52" s="1">
        <f t="shared" si="4"/>
        <v>2021</v>
      </c>
      <c r="L52" s="1">
        <f t="shared" si="4"/>
        <v>2022</v>
      </c>
      <c r="M52" s="1">
        <f t="shared" si="4"/>
        <v>2023</v>
      </c>
      <c r="N52" s="1">
        <f t="shared" si="4"/>
        <v>2024</v>
      </c>
      <c r="O52" s="1">
        <f t="shared" si="4"/>
        <v>2025</v>
      </c>
      <c r="P52" s="1" t="str">
        <f t="shared" si="4"/>
        <v>TV</v>
      </c>
    </row>
    <row r="53" spans="1:16" x14ac:dyDescent="0.2">
      <c r="D53" t="s">
        <v>560</v>
      </c>
      <c r="G53" s="16"/>
      <c r="H53" s="16">
        <f t="shared" ref="H53:O53" si="5">H16</f>
        <v>-1093</v>
      </c>
      <c r="I53" s="16">
        <f t="shared" si="5"/>
        <v>-737.1</v>
      </c>
      <c r="J53" s="16">
        <f t="shared" si="5"/>
        <v>-242.5</v>
      </c>
      <c r="K53" s="16">
        <f t="shared" si="5"/>
        <v>818.4</v>
      </c>
      <c r="L53" s="16">
        <f t="shared" si="5"/>
        <v>1831.1</v>
      </c>
      <c r="M53" s="16">
        <f t="shared" si="5"/>
        <v>2958.2</v>
      </c>
      <c r="N53" s="16">
        <f t="shared" si="5"/>
        <v>3389.6</v>
      </c>
      <c r="O53" s="16">
        <f t="shared" si="5"/>
        <v>4054.2</v>
      </c>
      <c r="P53" s="63">
        <f>O53*(1+K25)/(E54-K25)</f>
        <v>67245.144230769234</v>
      </c>
    </row>
    <row r="54" spans="1:16" x14ac:dyDescent="0.2">
      <c r="D54" t="s">
        <v>45</v>
      </c>
      <c r="E54" s="140">
        <v>9.74E-2</v>
      </c>
    </row>
    <row r="55" spans="1:16" x14ac:dyDescent="0.2">
      <c r="D55" t="s">
        <v>562</v>
      </c>
      <c r="H55" s="63">
        <f>H53/(1+$E$54)^(H52-2017)</f>
        <v>-995.99052305449254</v>
      </c>
      <c r="I55" s="63">
        <f t="shared" ref="I55:P55" si="6">I53/(1+$E$54)^(I52-2017)</f>
        <v>-612.06352546797086</v>
      </c>
      <c r="J55" s="63">
        <f t="shared" si="6"/>
        <v>-183.49189057188286</v>
      </c>
      <c r="K55" s="63">
        <f t="shared" si="6"/>
        <v>564.29447388871904</v>
      </c>
      <c r="L55" s="63">
        <f t="shared" si="6"/>
        <v>1150.501749288901</v>
      </c>
      <c r="M55" s="63">
        <f t="shared" si="6"/>
        <v>1693.7051090262617</v>
      </c>
      <c r="N55" s="63">
        <f t="shared" si="6"/>
        <v>1768.4539686090618</v>
      </c>
      <c r="O55" s="63">
        <f t="shared" si="6"/>
        <v>1927.4606585975964</v>
      </c>
      <c r="P55" s="63">
        <f>P53/(1+$E$54)^(O52-2017)</f>
        <v>31969.900346931288</v>
      </c>
    </row>
    <row r="56" spans="1:16" x14ac:dyDescent="0.2">
      <c r="D56" t="s">
        <v>563</v>
      </c>
      <c r="F56" s="63">
        <f>SUM(H55:P55)</f>
        <v>37282.770367247482</v>
      </c>
    </row>
    <row r="57" spans="1:16" x14ac:dyDescent="0.2">
      <c r="D57" t="s">
        <v>568</v>
      </c>
      <c r="F57" s="16">
        <f>-K23</f>
        <v>-2081</v>
      </c>
    </row>
    <row r="58" spans="1:16" x14ac:dyDescent="0.2">
      <c r="D58" t="s">
        <v>564</v>
      </c>
      <c r="F58" s="63">
        <f>F56-F57</f>
        <v>39363.770367247482</v>
      </c>
    </row>
    <row r="59" spans="1:16" x14ac:dyDescent="0.2">
      <c r="D59" t="s">
        <v>571</v>
      </c>
      <c r="F59" s="18">
        <f>K22</f>
        <v>1404</v>
      </c>
    </row>
    <row r="60" spans="1:16" x14ac:dyDescent="0.2">
      <c r="D60" s="1" t="s">
        <v>572</v>
      </c>
      <c r="F60" s="144">
        <f>F58/F59</f>
        <v>28.036873480945498</v>
      </c>
      <c r="H60" s="1" t="s">
        <v>577</v>
      </c>
    </row>
    <row r="62" spans="1:16" x14ac:dyDescent="0.2">
      <c r="A62" s="1" t="s">
        <v>575</v>
      </c>
    </row>
    <row r="63" spans="1:16" x14ac:dyDescent="0.2">
      <c r="G63" s="1">
        <f>G42</f>
        <v>2017</v>
      </c>
      <c r="H63" s="1">
        <f t="shared" ref="H63:P63" si="7">H42</f>
        <v>2018</v>
      </c>
      <c r="I63" s="1">
        <f t="shared" si="7"/>
        <v>2019</v>
      </c>
      <c r="J63" s="1">
        <f t="shared" si="7"/>
        <v>2020</v>
      </c>
      <c r="K63" s="1">
        <f t="shared" si="7"/>
        <v>2021</v>
      </c>
      <c r="L63" s="1">
        <f t="shared" si="7"/>
        <v>2022</v>
      </c>
      <c r="M63" s="1">
        <f t="shared" si="7"/>
        <v>2023</v>
      </c>
      <c r="N63" s="1">
        <f t="shared" si="7"/>
        <v>2024</v>
      </c>
      <c r="O63" s="1">
        <f t="shared" si="7"/>
        <v>2025</v>
      </c>
      <c r="P63" s="1" t="str">
        <f t="shared" si="7"/>
        <v>TV</v>
      </c>
    </row>
    <row r="64" spans="1:16" x14ac:dyDescent="0.2">
      <c r="D64" t="s">
        <v>560</v>
      </c>
      <c r="G64" s="16">
        <f>G16</f>
        <v>-1186.2</v>
      </c>
      <c r="H64" s="16">
        <f t="shared" ref="H64:P64" si="8">H16</f>
        <v>-1093</v>
      </c>
      <c r="I64" s="16">
        <f t="shared" si="8"/>
        <v>-737.1</v>
      </c>
      <c r="J64" s="16">
        <f t="shared" si="8"/>
        <v>-242.5</v>
      </c>
      <c r="K64" s="16">
        <f t="shared" si="8"/>
        <v>818.4</v>
      </c>
      <c r="L64" s="16">
        <f t="shared" si="8"/>
        <v>1831.1</v>
      </c>
      <c r="M64" s="16">
        <f t="shared" si="8"/>
        <v>2958.2</v>
      </c>
      <c r="N64" s="16">
        <f t="shared" si="8"/>
        <v>3389.6</v>
      </c>
      <c r="O64" s="16">
        <f t="shared" si="8"/>
        <v>4054.2</v>
      </c>
      <c r="P64" s="16">
        <f>O64*(1+P65)/(F66-F67)</f>
        <v>105769.57333333333</v>
      </c>
    </row>
    <row r="65" spans="1:16" x14ac:dyDescent="0.2">
      <c r="D65" t="s">
        <v>576</v>
      </c>
      <c r="P65" s="140">
        <v>0.17399999999999999</v>
      </c>
    </row>
    <row r="66" spans="1:16" x14ac:dyDescent="0.2">
      <c r="D66" t="s">
        <v>45</v>
      </c>
      <c r="F66" s="140">
        <v>0.08</v>
      </c>
    </row>
    <row r="67" spans="1:16" x14ac:dyDescent="0.2">
      <c r="D67" t="s">
        <v>117</v>
      </c>
      <c r="F67" s="140">
        <v>3.5000000000000003E-2</v>
      </c>
    </row>
    <row r="68" spans="1:16" x14ac:dyDescent="0.2">
      <c r="D68" t="s">
        <v>562</v>
      </c>
      <c r="G68" s="63">
        <f>G64/(1+$F$66)^(G63-2016)</f>
        <v>-1098.3333333333333</v>
      </c>
      <c r="H68" s="63">
        <f t="shared" ref="H68:P68" si="9">H64/(1+$F$66)^(H63-2016)</f>
        <v>-937.07133058984903</v>
      </c>
      <c r="I68" s="63">
        <f t="shared" si="9"/>
        <v>-585.13374485596705</v>
      </c>
      <c r="J68" s="63">
        <f t="shared" si="9"/>
        <v>-178.24473930313991</v>
      </c>
      <c r="K68" s="63">
        <f t="shared" si="9"/>
        <v>556.98928845242347</v>
      </c>
      <c r="L68" s="63">
        <f t="shared" si="9"/>
        <v>1153.9036037856526</v>
      </c>
      <c r="M68" s="63">
        <f t="shared" si="9"/>
        <v>1726.0812872644442</v>
      </c>
      <c r="N68" s="63">
        <f t="shared" si="9"/>
        <v>1831.2954109078971</v>
      </c>
      <c r="O68" s="63">
        <f t="shared" si="9"/>
        <v>2028.1093625443609</v>
      </c>
      <c r="P68" s="63">
        <f>P64/(1+$F$66)^(O63-2016)</f>
        <v>52911.119813935111</v>
      </c>
    </row>
    <row r="69" spans="1:16" x14ac:dyDescent="0.2">
      <c r="D69" t="s">
        <v>563</v>
      </c>
      <c r="F69" s="63">
        <f>SUM(G68:P68)</f>
        <v>57408.715618807597</v>
      </c>
    </row>
    <row r="70" spans="1:16" x14ac:dyDescent="0.2">
      <c r="D70" t="s">
        <v>568</v>
      </c>
      <c r="F70" s="16">
        <f>-K23</f>
        <v>-2081</v>
      </c>
    </row>
    <row r="71" spans="1:16" x14ac:dyDescent="0.2">
      <c r="D71" t="s">
        <v>564</v>
      </c>
      <c r="F71" s="63">
        <f>F69-F70</f>
        <v>59489.715618807597</v>
      </c>
    </row>
    <row r="72" spans="1:16" x14ac:dyDescent="0.2">
      <c r="D72" t="s">
        <v>571</v>
      </c>
      <c r="F72" s="18">
        <f>K22</f>
        <v>1404</v>
      </c>
    </row>
    <row r="73" spans="1:16" x14ac:dyDescent="0.2">
      <c r="D73" s="1" t="s">
        <v>572</v>
      </c>
      <c r="F73" s="144">
        <f>F71/F72</f>
        <v>42.371592321088031</v>
      </c>
    </row>
    <row r="75" spans="1:16" x14ac:dyDescent="0.2">
      <c r="A75" s="1" t="s">
        <v>578</v>
      </c>
    </row>
    <row r="76" spans="1:16" ht="85" customHeight="1" x14ac:dyDescent="0.2">
      <c r="D76" s="145" t="s">
        <v>579</v>
      </c>
      <c r="E76" s="145"/>
      <c r="F76" s="145"/>
      <c r="G76" s="145"/>
      <c r="H76" s="145"/>
      <c r="I76" s="145"/>
      <c r="J76" s="145"/>
      <c r="K76" s="145"/>
      <c r="L76" s="145"/>
    </row>
    <row r="78" spans="1:16" ht="19" x14ac:dyDescent="0.25">
      <c r="A78" s="139" t="s">
        <v>624</v>
      </c>
    </row>
    <row r="80" spans="1:16" x14ac:dyDescent="0.2">
      <c r="A80" s="1" t="s">
        <v>580</v>
      </c>
    </row>
    <row r="83" spans="1:12" x14ac:dyDescent="0.2">
      <c r="A83" t="s">
        <v>45</v>
      </c>
      <c r="B83" s="142">
        <v>0.1</v>
      </c>
      <c r="F83" t="s">
        <v>581</v>
      </c>
      <c r="G83" t="s">
        <v>582</v>
      </c>
    </row>
    <row r="84" spans="1:12" x14ac:dyDescent="0.2">
      <c r="A84" s="146" t="s">
        <v>587</v>
      </c>
      <c r="F84" s="1">
        <v>2021</v>
      </c>
      <c r="G84" s="1">
        <v>2022</v>
      </c>
      <c r="H84" s="1">
        <v>2023</v>
      </c>
      <c r="I84" s="1">
        <v>2024</v>
      </c>
      <c r="J84" s="1">
        <v>2025</v>
      </c>
      <c r="K84" s="1">
        <v>2026</v>
      </c>
      <c r="L84" s="1" t="s">
        <v>561</v>
      </c>
    </row>
    <row r="85" spans="1:12" x14ac:dyDescent="0.2">
      <c r="A85" t="s">
        <v>583</v>
      </c>
      <c r="B85">
        <v>0.6</v>
      </c>
      <c r="D85" t="s">
        <v>588</v>
      </c>
      <c r="F85" s="9">
        <f>'Financial Statement'!$H$73</f>
        <v>4117.0479999999998</v>
      </c>
      <c r="G85" s="9">
        <f>F85*(1+$B85)</f>
        <v>6587.2767999999996</v>
      </c>
      <c r="H85" s="9">
        <f t="shared" ref="H85:K85" si="10">G85*(1+$B85)</f>
        <v>10539.642879999999</v>
      </c>
      <c r="I85" s="9">
        <f t="shared" si="10"/>
        <v>16863.428607999998</v>
      </c>
      <c r="J85" s="9">
        <f t="shared" si="10"/>
        <v>26981.485772799999</v>
      </c>
      <c r="K85" s="9">
        <f t="shared" si="10"/>
        <v>43170.377236480002</v>
      </c>
      <c r="L85" s="9"/>
    </row>
    <row r="86" spans="1:12" x14ac:dyDescent="0.2">
      <c r="A86" t="s">
        <v>584</v>
      </c>
      <c r="B86">
        <v>0.25</v>
      </c>
      <c r="D86" t="s">
        <v>589</v>
      </c>
      <c r="F86" s="9"/>
      <c r="G86" s="9">
        <f t="shared" ref="G86:J86" si="11">G85*$B86</f>
        <v>1646.8191999999999</v>
      </c>
      <c r="H86" s="9">
        <f t="shared" si="11"/>
        <v>2634.9107199999999</v>
      </c>
      <c r="I86" s="9">
        <f t="shared" si="11"/>
        <v>4215.8571519999996</v>
      </c>
      <c r="J86" s="9">
        <f t="shared" si="11"/>
        <v>6745.3714431999997</v>
      </c>
      <c r="K86" s="9">
        <f>K85*$B86</f>
        <v>10792.594309120001</v>
      </c>
      <c r="L86" s="9"/>
    </row>
    <row r="87" spans="1:12" x14ac:dyDescent="0.2">
      <c r="A87" t="s">
        <v>585</v>
      </c>
      <c r="B87">
        <v>0.2</v>
      </c>
      <c r="D87" t="s">
        <v>590</v>
      </c>
      <c r="F87" s="9"/>
      <c r="G87" s="9">
        <f t="shared" ref="G87:J87" si="12">G86*$B87</f>
        <v>329.36383999999998</v>
      </c>
      <c r="H87" s="9">
        <f t="shared" si="12"/>
        <v>526.98214399999995</v>
      </c>
      <c r="I87" s="9">
        <f t="shared" si="12"/>
        <v>843.17143039999996</v>
      </c>
      <c r="J87" s="9">
        <f t="shared" si="12"/>
        <v>1349.0742886400001</v>
      </c>
      <c r="K87" s="9">
        <f>K86*$B87</f>
        <v>2158.5188618240004</v>
      </c>
      <c r="L87" s="9"/>
    </row>
    <row r="88" spans="1:12" x14ac:dyDescent="0.2">
      <c r="A88" t="s">
        <v>586</v>
      </c>
      <c r="B88">
        <v>3.5000000000000003E-2</v>
      </c>
      <c r="D88" t="s">
        <v>560</v>
      </c>
      <c r="F88" s="9"/>
      <c r="G88" s="9">
        <f>G86-G87</f>
        <v>1317.4553599999999</v>
      </c>
      <c r="H88" s="9">
        <f t="shared" ref="H88:K88" si="13">H86-H87</f>
        <v>2107.9285759999998</v>
      </c>
      <c r="I88" s="9">
        <f t="shared" si="13"/>
        <v>3372.6857215999999</v>
      </c>
      <c r="J88" s="9">
        <f t="shared" si="13"/>
        <v>5396.2971545599994</v>
      </c>
      <c r="K88" s="9">
        <f t="shared" si="13"/>
        <v>8634.0754472959998</v>
      </c>
      <c r="L88" s="9">
        <f>K88*(1+B88)/(B83-B88)</f>
        <v>137481.04750694399</v>
      </c>
    </row>
    <row r="89" spans="1:12" x14ac:dyDescent="0.2">
      <c r="A89" s="1" t="s">
        <v>596</v>
      </c>
      <c r="D89" t="s">
        <v>562</v>
      </c>
      <c r="G89" s="9">
        <f>G88/(1+$B83)^(G84-2021)</f>
        <v>1197.6866909090907</v>
      </c>
      <c r="H89" s="9">
        <f t="shared" ref="H89:L89" si="14">H88/(1+$B83)^(H84-2021)</f>
        <v>1742.0897322314045</v>
      </c>
      <c r="I89" s="9">
        <f t="shared" si="14"/>
        <v>2533.9487014274973</v>
      </c>
      <c r="J89" s="9">
        <f t="shared" si="14"/>
        <v>3685.743565712723</v>
      </c>
      <c r="K89" s="9">
        <f t="shared" si="14"/>
        <v>5361.0815501275974</v>
      </c>
      <c r="L89" s="9">
        <f>L88/(1+$B83)^(K84-2021)</f>
        <v>85364.913913570199</v>
      </c>
    </row>
    <row r="90" spans="1:12" x14ac:dyDescent="0.2">
      <c r="A90" t="s">
        <v>593</v>
      </c>
      <c r="B90" s="9">
        <f>2*'Financial Statement'!$H$75</f>
        <v>5938.8819999999996</v>
      </c>
      <c r="D90" t="s">
        <v>563</v>
      </c>
      <c r="E90" s="9">
        <f>SUM(G89:L89)</f>
        <v>99885.464153978508</v>
      </c>
    </row>
    <row r="91" spans="1:12" x14ac:dyDescent="0.2">
      <c r="A91" t="s">
        <v>594</v>
      </c>
      <c r="B91" s="9">
        <f>'Financial Statement'!$H$7</f>
        <v>3692.8850000000002</v>
      </c>
      <c r="D91" t="s">
        <v>568</v>
      </c>
      <c r="E91" s="9">
        <f>'Financial Statement'!$H$43-B93</f>
        <v>2578.596</v>
      </c>
    </row>
    <row r="92" spans="1:12" x14ac:dyDescent="0.2">
      <c r="A92" t="s">
        <v>595</v>
      </c>
      <c r="B92" s="9">
        <f>IF(B91&gt;B90,B90,B91)</f>
        <v>3692.8850000000002</v>
      </c>
      <c r="D92" t="s">
        <v>564</v>
      </c>
      <c r="E92" s="9">
        <f>E90-E91</f>
        <v>97306.868153978503</v>
      </c>
    </row>
    <row r="93" spans="1:12" x14ac:dyDescent="0.2">
      <c r="A93" t="s">
        <v>592</v>
      </c>
      <c r="B93" s="9">
        <f>B91-B92</f>
        <v>0</v>
      </c>
      <c r="D93" t="s">
        <v>591</v>
      </c>
      <c r="E93">
        <f>'Financial Statement'!$H$313</f>
        <v>1619.2829999999999</v>
      </c>
    </row>
    <row r="94" spans="1:12" x14ac:dyDescent="0.2">
      <c r="D94" s="1" t="s">
        <v>597</v>
      </c>
      <c r="E94" s="66">
        <f>E92/E93</f>
        <v>60.092564520209571</v>
      </c>
    </row>
    <row r="97" spans="1:12" x14ac:dyDescent="0.2">
      <c r="A97" t="s">
        <v>45</v>
      </c>
      <c r="B97" s="142">
        <v>0.1</v>
      </c>
      <c r="F97" t="s">
        <v>581</v>
      </c>
      <c r="G97" t="s">
        <v>582</v>
      </c>
    </row>
    <row r="98" spans="1:12" x14ac:dyDescent="0.2">
      <c r="A98" s="147" t="s">
        <v>598</v>
      </c>
      <c r="F98" s="1">
        <v>2021</v>
      </c>
      <c r="G98" s="1">
        <v>2022</v>
      </c>
      <c r="H98" s="1">
        <v>2023</v>
      </c>
      <c r="I98" s="1">
        <v>2024</v>
      </c>
      <c r="J98" s="1">
        <v>2025</v>
      </c>
      <c r="K98" s="1">
        <v>2026</v>
      </c>
      <c r="L98" s="1" t="s">
        <v>561</v>
      </c>
    </row>
    <row r="99" spans="1:12" x14ac:dyDescent="0.2">
      <c r="A99" t="s">
        <v>583</v>
      </c>
      <c r="B99">
        <v>0.3</v>
      </c>
      <c r="D99" t="s">
        <v>588</v>
      </c>
      <c r="F99" s="9">
        <f>'Financial Statement'!$H$73</f>
        <v>4117.0479999999998</v>
      </c>
      <c r="G99" s="9">
        <f>F99*(1+$B99)</f>
        <v>5352.1624000000002</v>
      </c>
      <c r="H99" s="9">
        <f t="shared" ref="H99:K99" si="15">G99*(1+$B99)</f>
        <v>6957.8111200000003</v>
      </c>
      <c r="I99" s="9">
        <f t="shared" si="15"/>
        <v>9045.1544560000002</v>
      </c>
      <c r="J99" s="9">
        <f t="shared" si="15"/>
        <v>11758.7007928</v>
      </c>
      <c r="K99" s="9">
        <f t="shared" si="15"/>
        <v>15286.311030640001</v>
      </c>
      <c r="L99" s="9"/>
    </row>
    <row r="100" spans="1:12" x14ac:dyDescent="0.2">
      <c r="A100" t="s">
        <v>584</v>
      </c>
      <c r="B100">
        <v>0.15</v>
      </c>
      <c r="D100" t="s">
        <v>589</v>
      </c>
      <c r="F100" s="9"/>
      <c r="G100" s="9">
        <f t="shared" ref="G100:G101" si="16">G99*$B100</f>
        <v>802.82435999999996</v>
      </c>
      <c r="H100" s="9">
        <f t="shared" ref="H100:H101" si="17">H99*$B100</f>
        <v>1043.671668</v>
      </c>
      <c r="I100" s="9">
        <f t="shared" ref="I100:I101" si="18">I99*$B100</f>
        <v>1356.7731684</v>
      </c>
      <c r="J100" s="9">
        <f t="shared" ref="J100:J101" si="19">J99*$B100</f>
        <v>1763.80511892</v>
      </c>
      <c r="K100" s="9">
        <f>K99*$B100</f>
        <v>2292.9466545959999</v>
      </c>
      <c r="L100" s="9"/>
    </row>
    <row r="101" spans="1:12" x14ac:dyDescent="0.2">
      <c r="A101" t="s">
        <v>585</v>
      </c>
      <c r="B101">
        <v>0.2</v>
      </c>
      <c r="D101" t="s">
        <v>590</v>
      </c>
      <c r="F101" s="9"/>
      <c r="G101" s="9">
        <f t="shared" si="16"/>
        <v>160.56487200000001</v>
      </c>
      <c r="H101" s="9">
        <f t="shared" si="17"/>
        <v>208.73433360000001</v>
      </c>
      <c r="I101" s="9">
        <f t="shared" si="18"/>
        <v>271.35463368000001</v>
      </c>
      <c r="J101" s="9">
        <f t="shared" si="19"/>
        <v>352.76102378400003</v>
      </c>
      <c r="K101" s="9">
        <f>K100*$B101</f>
        <v>458.58933091919999</v>
      </c>
      <c r="L101" s="9"/>
    </row>
    <row r="102" spans="1:12" x14ac:dyDescent="0.2">
      <c r="A102" t="s">
        <v>586</v>
      </c>
      <c r="B102">
        <v>2.5000000000000001E-2</v>
      </c>
      <c r="D102" t="s">
        <v>560</v>
      </c>
      <c r="F102" s="9"/>
      <c r="G102" s="9">
        <f>G100-G101</f>
        <v>642.25948799999992</v>
      </c>
      <c r="H102" s="9">
        <f t="shared" ref="H102" si="20">H100-H101</f>
        <v>834.93733439999994</v>
      </c>
      <c r="I102" s="9">
        <f t="shared" ref="I102" si="21">I100-I101</f>
        <v>1085.41853472</v>
      </c>
      <c r="J102" s="9">
        <f t="shared" ref="J102" si="22">J100-J101</f>
        <v>1411.0440951360001</v>
      </c>
      <c r="K102" s="9">
        <f t="shared" ref="K102" si="23">K100-K101</f>
        <v>1834.3573236768</v>
      </c>
      <c r="L102" s="9">
        <f>K102*(1+B102)/(B97-B102)</f>
        <v>25069.550090249595</v>
      </c>
    </row>
    <row r="103" spans="1:12" x14ac:dyDescent="0.2">
      <c r="A103" s="1" t="s">
        <v>596</v>
      </c>
      <c r="D103" t="s">
        <v>562</v>
      </c>
      <c r="G103" s="9">
        <f>G102/(1+$B97)^(G98-2021)</f>
        <v>583.87226181818164</v>
      </c>
      <c r="H103" s="9">
        <f t="shared" ref="H103" si="24">H102/(1+$B97)^(H98-2021)</f>
        <v>690.03085487603289</v>
      </c>
      <c r="I103" s="9">
        <f t="shared" ref="I103" si="25">I102/(1+$B97)^(I98-2021)</f>
        <v>815.49101030803888</v>
      </c>
      <c r="J103" s="9">
        <f t="shared" ref="J103" si="26">J102/(1+$B97)^(J98-2021)</f>
        <v>963.76210309131875</v>
      </c>
      <c r="K103" s="9">
        <f t="shared" ref="K103" si="27">K102/(1+$B97)^(K98-2021)</f>
        <v>1138.9915763806491</v>
      </c>
      <c r="L103" s="9">
        <f>L102/(1+$B97)^(K98-2021)</f>
        <v>15566.218210535537</v>
      </c>
    </row>
    <row r="104" spans="1:12" x14ac:dyDescent="0.2">
      <c r="A104" t="s">
        <v>593</v>
      </c>
      <c r="B104" s="9">
        <f>2*'Financial Statement'!$H$75</f>
        <v>5938.8819999999996</v>
      </c>
      <c r="D104" t="s">
        <v>563</v>
      </c>
      <c r="E104" s="9">
        <f>SUM(G103:L103)</f>
        <v>19758.366017009757</v>
      </c>
    </row>
    <row r="105" spans="1:12" x14ac:dyDescent="0.2">
      <c r="A105" t="s">
        <v>594</v>
      </c>
      <c r="B105" s="9">
        <f>'Financial Statement'!$H$7</f>
        <v>3692.8850000000002</v>
      </c>
      <c r="D105" t="s">
        <v>568</v>
      </c>
      <c r="E105" s="9">
        <f>'Financial Statement'!$H$43-B107</f>
        <v>2578.596</v>
      </c>
    </row>
    <row r="106" spans="1:12" x14ac:dyDescent="0.2">
      <c r="A106" t="s">
        <v>595</v>
      </c>
      <c r="B106" s="9">
        <f>IF(B105&gt;B104,B104,B105)</f>
        <v>3692.8850000000002</v>
      </c>
      <c r="D106" t="s">
        <v>564</v>
      </c>
      <c r="E106" s="9">
        <f>E104-E105</f>
        <v>17179.770017009756</v>
      </c>
    </row>
    <row r="107" spans="1:12" x14ac:dyDescent="0.2">
      <c r="A107" t="s">
        <v>592</v>
      </c>
      <c r="B107" s="9">
        <f>B105-B106</f>
        <v>0</v>
      </c>
      <c r="D107" t="s">
        <v>591</v>
      </c>
      <c r="E107">
        <f>'Financial Statement'!$H$313</f>
        <v>1619.2829999999999</v>
      </c>
    </row>
    <row r="108" spans="1:12" x14ac:dyDescent="0.2">
      <c r="D108" s="1" t="s">
        <v>597</v>
      </c>
      <c r="E108" s="66">
        <f>E106/E107</f>
        <v>10.609491989361809</v>
      </c>
    </row>
    <row r="111" spans="1:12" x14ac:dyDescent="0.2">
      <c r="A111" t="s">
        <v>45</v>
      </c>
      <c r="B111" s="142">
        <v>0.1</v>
      </c>
      <c r="F111" t="s">
        <v>581</v>
      </c>
      <c r="G111" t="s">
        <v>582</v>
      </c>
    </row>
    <row r="112" spans="1:12" x14ac:dyDescent="0.2">
      <c r="A112" s="148" t="s">
        <v>599</v>
      </c>
      <c r="F112" s="1">
        <v>2021</v>
      </c>
      <c r="G112" s="1">
        <v>2022</v>
      </c>
      <c r="H112" s="1">
        <v>2023</v>
      </c>
      <c r="I112" s="1">
        <v>2024</v>
      </c>
      <c r="J112" s="1">
        <v>2025</v>
      </c>
      <c r="K112" s="1">
        <v>2026</v>
      </c>
      <c r="L112" s="1" t="s">
        <v>561</v>
      </c>
    </row>
    <row r="113" spans="1:23" x14ac:dyDescent="0.2">
      <c r="A113" t="s">
        <v>583</v>
      </c>
      <c r="B113">
        <v>0</v>
      </c>
      <c r="D113" t="s">
        <v>588</v>
      </c>
      <c r="F113" s="9">
        <f>'Financial Statement'!$H$73</f>
        <v>4117.0479999999998</v>
      </c>
      <c r="G113" s="9">
        <f>F113*(1+$B113)</f>
        <v>4117.0479999999998</v>
      </c>
      <c r="H113" s="9">
        <f t="shared" ref="H113:K113" si="28">G113*(1+$B113)</f>
        <v>4117.0479999999998</v>
      </c>
      <c r="I113" s="9">
        <f t="shared" si="28"/>
        <v>4117.0479999999998</v>
      </c>
      <c r="J113" s="9">
        <f t="shared" si="28"/>
        <v>4117.0479999999998</v>
      </c>
      <c r="K113" s="9">
        <f t="shared" si="28"/>
        <v>4117.0479999999998</v>
      </c>
      <c r="L113" s="9"/>
    </row>
    <row r="114" spans="1:23" x14ac:dyDescent="0.2">
      <c r="A114" t="s">
        <v>584</v>
      </c>
      <c r="B114">
        <v>0.05</v>
      </c>
      <c r="D114" t="s">
        <v>589</v>
      </c>
      <c r="F114" s="9"/>
      <c r="G114" s="9">
        <f t="shared" ref="G114:G115" si="29">G113*$B114</f>
        <v>205.85239999999999</v>
      </c>
      <c r="H114" s="9">
        <f t="shared" ref="H114:H115" si="30">H113*$B114</f>
        <v>205.85239999999999</v>
      </c>
      <c r="I114" s="9">
        <f t="shared" ref="I114:I115" si="31">I113*$B114</f>
        <v>205.85239999999999</v>
      </c>
      <c r="J114" s="9">
        <f t="shared" ref="J114:J115" si="32">J113*$B114</f>
        <v>205.85239999999999</v>
      </c>
      <c r="K114" s="9">
        <f>K113*$B114</f>
        <v>205.85239999999999</v>
      </c>
      <c r="L114" s="9"/>
    </row>
    <row r="115" spans="1:23" x14ac:dyDescent="0.2">
      <c r="A115" t="s">
        <v>585</v>
      </c>
      <c r="B115">
        <v>0.2</v>
      </c>
      <c r="D115" t="s">
        <v>590</v>
      </c>
      <c r="F115" s="9"/>
      <c r="G115" s="9">
        <f t="shared" si="29"/>
        <v>41.170479999999998</v>
      </c>
      <c r="H115" s="9">
        <f t="shared" si="30"/>
        <v>41.170479999999998</v>
      </c>
      <c r="I115" s="9">
        <f t="shared" si="31"/>
        <v>41.170479999999998</v>
      </c>
      <c r="J115" s="9">
        <f t="shared" si="32"/>
        <v>41.170479999999998</v>
      </c>
      <c r="K115" s="9">
        <f>K114*$B115</f>
        <v>41.170479999999998</v>
      </c>
      <c r="L115" s="9"/>
    </row>
    <row r="116" spans="1:23" x14ac:dyDescent="0.2">
      <c r="A116" t="s">
        <v>586</v>
      </c>
      <c r="B116">
        <v>0</v>
      </c>
      <c r="D116" t="s">
        <v>560</v>
      </c>
      <c r="F116" s="9"/>
      <c r="G116" s="9">
        <f>G114-G115</f>
        <v>164.68191999999999</v>
      </c>
      <c r="H116" s="9">
        <f t="shared" ref="H116" si="33">H114-H115</f>
        <v>164.68191999999999</v>
      </c>
      <c r="I116" s="9">
        <f t="shared" ref="I116" si="34">I114-I115</f>
        <v>164.68191999999999</v>
      </c>
      <c r="J116" s="9">
        <f t="shared" ref="J116" si="35">J114-J115</f>
        <v>164.68191999999999</v>
      </c>
      <c r="K116" s="9">
        <f t="shared" ref="K116" si="36">K114-K115</f>
        <v>164.68191999999999</v>
      </c>
      <c r="L116" s="9">
        <f>K116*(1+B116)/(B111-B116)</f>
        <v>1646.8191999999999</v>
      </c>
    </row>
    <row r="117" spans="1:23" x14ac:dyDescent="0.2">
      <c r="A117" s="1" t="s">
        <v>596</v>
      </c>
      <c r="D117" t="s">
        <v>562</v>
      </c>
      <c r="G117" s="9">
        <f>G116/(1+$B111)^(G112-2021)</f>
        <v>149.71083636363633</v>
      </c>
      <c r="H117" s="9">
        <f t="shared" ref="H117" si="37">H116/(1+$B111)^(H112-2021)</f>
        <v>136.10076033057848</v>
      </c>
      <c r="I117" s="9">
        <f t="shared" ref="I117" si="38">I116/(1+$B111)^(I112-2021)</f>
        <v>123.72796393688951</v>
      </c>
      <c r="J117" s="9">
        <f t="shared" ref="J117" si="39">J116/(1+$B111)^(J112-2021)</f>
        <v>112.47996721535411</v>
      </c>
      <c r="K117" s="9">
        <f t="shared" ref="K117" si="40">K116/(1+$B111)^(K112-2021)</f>
        <v>102.25451565032191</v>
      </c>
      <c r="L117" s="9">
        <f>L116/(1+$B111)^(K112-2021)</f>
        <v>1022.5451565032191</v>
      </c>
    </row>
    <row r="118" spans="1:23" x14ac:dyDescent="0.2">
      <c r="A118" t="s">
        <v>593</v>
      </c>
      <c r="B118" s="9">
        <f>2*'Financial Statement'!$H$75</f>
        <v>5938.8819999999996</v>
      </c>
      <c r="D118" t="s">
        <v>563</v>
      </c>
      <c r="E118" s="9">
        <f>SUM(G117:L117)</f>
        <v>1646.8191999999995</v>
      </c>
    </row>
    <row r="119" spans="1:23" x14ac:dyDescent="0.2">
      <c r="A119" t="s">
        <v>594</v>
      </c>
      <c r="B119" s="9">
        <f>'Financial Statement'!$H$7</f>
        <v>3692.8850000000002</v>
      </c>
      <c r="D119" t="s">
        <v>568</v>
      </c>
      <c r="E119" s="9">
        <f>'Financial Statement'!$H$43-B121</f>
        <v>2578.596</v>
      </c>
    </row>
    <row r="120" spans="1:23" x14ac:dyDescent="0.2">
      <c r="A120" t="s">
        <v>595</v>
      </c>
      <c r="B120" s="9">
        <f>IF(B119&gt;B118,B118,B119)</f>
        <v>3692.8850000000002</v>
      </c>
      <c r="D120" t="s">
        <v>564</v>
      </c>
      <c r="E120" s="9">
        <f>E118-E119</f>
        <v>-931.77680000000055</v>
      </c>
    </row>
    <row r="121" spans="1:23" x14ac:dyDescent="0.2">
      <c r="A121" t="s">
        <v>592</v>
      </c>
      <c r="B121" s="9">
        <f>B119-B120</f>
        <v>0</v>
      </c>
      <c r="D121" t="s">
        <v>591</v>
      </c>
      <c r="E121">
        <f>'Financial Statement'!$H$313</f>
        <v>1619.2829999999999</v>
      </c>
    </row>
    <row r="122" spans="1:23" x14ac:dyDescent="0.2">
      <c r="D122" s="1" t="s">
        <v>597</v>
      </c>
      <c r="E122" s="66">
        <f>E120/E121</f>
        <v>-0.57542554328057582</v>
      </c>
    </row>
    <row r="126" spans="1:23" x14ac:dyDescent="0.2">
      <c r="A126" t="s">
        <v>45</v>
      </c>
      <c r="B126" s="142">
        <v>0.1</v>
      </c>
      <c r="F126" t="s">
        <v>581</v>
      </c>
      <c r="G126" t="s">
        <v>582</v>
      </c>
    </row>
    <row r="127" spans="1:23" x14ac:dyDescent="0.2">
      <c r="A127" s="147" t="s">
        <v>598</v>
      </c>
      <c r="F127" s="1">
        <v>2021</v>
      </c>
      <c r="G127" s="1">
        <v>2022</v>
      </c>
      <c r="H127" s="1">
        <v>2023</v>
      </c>
      <c r="I127" s="1">
        <v>2024</v>
      </c>
      <c r="J127" s="1">
        <v>2025</v>
      </c>
      <c r="K127" s="1">
        <v>2026</v>
      </c>
      <c r="L127" s="1" t="s">
        <v>561</v>
      </c>
      <c r="N127" s="150">
        <f>E137</f>
        <v>10.609491989361809</v>
      </c>
      <c r="O127" s="151">
        <v>0.01</v>
      </c>
      <c r="P127" s="151">
        <v>0.02</v>
      </c>
      <c r="Q127" s="151">
        <v>0.03</v>
      </c>
      <c r="R127" s="151">
        <v>0.04</v>
      </c>
      <c r="S127" s="151">
        <v>0.05</v>
      </c>
      <c r="T127" s="151">
        <v>0.06</v>
      </c>
      <c r="U127" s="151">
        <v>7.0000000000000007E-2</v>
      </c>
      <c r="V127" s="151">
        <v>0.08</v>
      </c>
      <c r="W127" s="151">
        <v>0.09</v>
      </c>
    </row>
    <row r="128" spans="1:23" x14ac:dyDescent="0.2">
      <c r="A128" t="s">
        <v>583</v>
      </c>
      <c r="B128">
        <v>0.3</v>
      </c>
      <c r="D128" t="s">
        <v>588</v>
      </c>
      <c r="F128" s="9">
        <f>'Financial Statement'!$H$73</f>
        <v>4117.0479999999998</v>
      </c>
      <c r="G128" s="9">
        <f>F128*(1+$B128)</f>
        <v>5352.1624000000002</v>
      </c>
      <c r="H128" s="9">
        <f t="shared" ref="H128:K128" si="41">G128*(1+$B128)</f>
        <v>6957.8111200000003</v>
      </c>
      <c r="I128" s="9">
        <f t="shared" si="41"/>
        <v>9045.1544560000002</v>
      </c>
      <c r="J128" s="9">
        <f t="shared" si="41"/>
        <v>11758.7007928</v>
      </c>
      <c r="K128" s="9">
        <f t="shared" si="41"/>
        <v>15286.311030640001</v>
      </c>
      <c r="L128" s="9"/>
      <c r="N128" s="151">
        <v>0.04</v>
      </c>
      <c r="O128" s="152">
        <f t="dataTable" ref="O128:W134" dt2D="1" dtr="1" r1="B131" r2="B126"/>
        <v>32.884442169003194</v>
      </c>
      <c r="P128" s="152">
        <v>49.023440397694522</v>
      </c>
      <c r="Q128" s="152">
        <v>97.44043508376852</v>
      </c>
      <c r="R128" s="152" t="e">
        <v>#DIV/0!</v>
      </c>
      <c r="S128" s="152">
        <v>-96.227543660527488</v>
      </c>
      <c r="T128" s="152">
        <v>-47.810548974453511</v>
      </c>
      <c r="U128" s="152">
        <v>-31.671550745762158</v>
      </c>
      <c r="V128" s="152">
        <v>-23.602051631416487</v>
      </c>
      <c r="W128" s="152">
        <v>-18.760352162809095</v>
      </c>
    </row>
    <row r="129" spans="1:23" x14ac:dyDescent="0.2">
      <c r="A129" t="s">
        <v>584</v>
      </c>
      <c r="B129">
        <v>0.15</v>
      </c>
      <c r="D129" t="s">
        <v>589</v>
      </c>
      <c r="F129" s="9"/>
      <c r="G129" s="9">
        <f t="shared" ref="G129:G130" si="42">G128*$B129</f>
        <v>802.82435999999996</v>
      </c>
      <c r="H129" s="9">
        <f t="shared" ref="H129:H130" si="43">H128*$B129</f>
        <v>1043.671668</v>
      </c>
      <c r="I129" s="9">
        <f t="shared" ref="I129:I130" si="44">I128*$B129</f>
        <v>1356.7731684</v>
      </c>
      <c r="J129" s="9">
        <f t="shared" ref="J129:J130" si="45">J128*$B129</f>
        <v>1763.80511892</v>
      </c>
      <c r="K129" s="9">
        <f>K128*$B129</f>
        <v>2292.9466545959999</v>
      </c>
      <c r="L129" s="9"/>
      <c r="N129" s="151">
        <v>0.05</v>
      </c>
      <c r="O129" s="152">
        <v>23.848298928231802</v>
      </c>
      <c r="P129" s="152">
        <v>31.61475230009205</v>
      </c>
      <c r="Q129" s="152">
        <v>47.147659043812531</v>
      </c>
      <c r="R129" s="152">
        <v>93.746379274973989</v>
      </c>
      <c r="S129" s="152" t="e">
        <v>#DIV/0!</v>
      </c>
      <c r="T129" s="152">
        <v>-92.648501649671914</v>
      </c>
      <c r="U129" s="152">
        <v>-46.049781418510385</v>
      </c>
      <c r="V129" s="152">
        <v>-30.516874674789907</v>
      </c>
      <c r="W129" s="152">
        <v>-22.750421302929666</v>
      </c>
    </row>
    <row r="130" spans="1:23" x14ac:dyDescent="0.2">
      <c r="A130" t="s">
        <v>585</v>
      </c>
      <c r="B130">
        <v>0.2</v>
      </c>
      <c r="D130" t="s">
        <v>590</v>
      </c>
      <c r="F130" s="9"/>
      <c r="G130" s="9">
        <f t="shared" si="42"/>
        <v>160.56487200000001</v>
      </c>
      <c r="H130" s="9">
        <f t="shared" si="43"/>
        <v>208.73433360000001</v>
      </c>
      <c r="I130" s="9">
        <f t="shared" si="44"/>
        <v>271.35463368000001</v>
      </c>
      <c r="J130" s="9">
        <f t="shared" si="45"/>
        <v>352.76102378400003</v>
      </c>
      <c r="K130" s="9">
        <f>K129*$B130</f>
        <v>458.58933091919999</v>
      </c>
      <c r="L130" s="9"/>
      <c r="N130" s="151">
        <v>0.06</v>
      </c>
      <c r="O130" s="152">
        <v>18.439688488547493</v>
      </c>
      <c r="P130" s="152">
        <v>22.92618903292006</v>
      </c>
      <c r="Q130" s="152">
        <v>30.403689940207663</v>
      </c>
      <c r="R130" s="152">
        <v>45.358691754782875</v>
      </c>
      <c r="S130" s="152">
        <v>90.223697198508546</v>
      </c>
      <c r="T130" s="152" t="e">
        <v>#DIV/0!</v>
      </c>
      <c r="U130" s="152">
        <v>-89.23632457639394</v>
      </c>
      <c r="V130" s="152">
        <v>-44.37131913266839</v>
      </c>
      <c r="W130" s="152">
        <v>-29.416317318093189</v>
      </c>
    </row>
    <row r="131" spans="1:23" x14ac:dyDescent="0.2">
      <c r="A131" t="s">
        <v>586</v>
      </c>
      <c r="B131">
        <v>2.5000000000000001E-2</v>
      </c>
      <c r="D131" t="s">
        <v>560</v>
      </c>
      <c r="F131" s="9"/>
      <c r="G131" s="9">
        <f>G129-G130</f>
        <v>642.25948799999992</v>
      </c>
      <c r="H131" s="9">
        <f t="shared" ref="H131" si="46">H129-H130</f>
        <v>834.93733439999994</v>
      </c>
      <c r="I131" s="9">
        <f t="shared" ref="I131" si="47">I129-I130</f>
        <v>1085.41853472</v>
      </c>
      <c r="J131" s="9">
        <f t="shared" ref="J131" si="48">J129-J130</f>
        <v>1411.0440951360001</v>
      </c>
      <c r="K131" s="9">
        <f t="shared" ref="K131" si="49">K129-K130</f>
        <v>1834.3573236768</v>
      </c>
      <c r="L131" s="9">
        <f>K131*(1+B131)/(B126-B131)</f>
        <v>25069.550090249595</v>
      </c>
      <c r="N131" s="151">
        <v>7.0000000000000007E-2</v>
      </c>
      <c r="O131" s="152">
        <v>14.84430067849897</v>
      </c>
      <c r="P131" s="152">
        <v>17.725045673696108</v>
      </c>
      <c r="Q131" s="152">
        <v>22.046163166491819</v>
      </c>
      <c r="R131" s="152">
        <v>29.248025654484668</v>
      </c>
      <c r="S131" s="152">
        <v>43.65175063047036</v>
      </c>
      <c r="T131" s="152">
        <v>86.862925558427406</v>
      </c>
      <c r="U131" s="152" t="e">
        <v>#DIV/0!</v>
      </c>
      <c r="V131" s="152">
        <v>-85.981774153400977</v>
      </c>
      <c r="W131" s="152">
        <v>-42.77059922544386</v>
      </c>
    </row>
    <row r="132" spans="1:23" x14ac:dyDescent="0.2">
      <c r="A132" s="1" t="s">
        <v>596</v>
      </c>
      <c r="D132" t="s">
        <v>562</v>
      </c>
      <c r="G132" s="9">
        <f>G131/(1+$B126)^(G127-2021)</f>
        <v>583.87226181818164</v>
      </c>
      <c r="H132" s="9">
        <f t="shared" ref="H132" si="50">H131/(1+$B126)^(H127-2021)</f>
        <v>690.03085487603289</v>
      </c>
      <c r="I132" s="9">
        <f t="shared" ref="I132" si="51">I131/(1+$B126)^(I127-2021)</f>
        <v>815.49101030803888</v>
      </c>
      <c r="J132" s="9">
        <f t="shared" ref="J132" si="52">J131/(1+$B126)^(J127-2021)</f>
        <v>963.76210309131875</v>
      </c>
      <c r="K132" s="9">
        <f t="shared" ref="K132" si="53">K131/(1+$B126)^(K127-2021)</f>
        <v>1138.9915763806491</v>
      </c>
      <c r="L132" s="9">
        <f>L131/(1+$B126)^(K127-2021)</f>
        <v>15566.218210535537</v>
      </c>
      <c r="N132" s="151">
        <v>0.08</v>
      </c>
      <c r="O132" s="152">
        <v>12.284601799729277</v>
      </c>
      <c r="P132" s="152">
        <v>14.26711856736252</v>
      </c>
      <c r="Q132" s="152">
        <v>17.04264204204906</v>
      </c>
      <c r="R132" s="152">
        <v>21.20592725407888</v>
      </c>
      <c r="S132" s="152">
        <v>28.144735940795236</v>
      </c>
      <c r="T132" s="152">
        <v>42.022353314227928</v>
      </c>
      <c r="U132" s="152">
        <v>83.655205434526124</v>
      </c>
      <c r="V132" s="152" t="e">
        <v>#DIV/0!</v>
      </c>
      <c r="W132" s="152">
        <v>-82.87620304666649</v>
      </c>
    </row>
    <row r="133" spans="1:23" x14ac:dyDescent="0.2">
      <c r="A133" t="s">
        <v>593</v>
      </c>
      <c r="B133" s="9">
        <f>2*'Financial Statement'!$H$75</f>
        <v>5938.8819999999996</v>
      </c>
      <c r="D133" t="s">
        <v>563</v>
      </c>
      <c r="E133" s="9">
        <f>SUM(G132:L132)</f>
        <v>19758.366017009757</v>
      </c>
      <c r="N133" s="151">
        <v>0.09</v>
      </c>
      <c r="O133" s="152">
        <v>10.371847655959549</v>
      </c>
      <c r="P133" s="152">
        <v>11.804916858054737</v>
      </c>
      <c r="Q133" s="152">
        <v>13.715675794181648</v>
      </c>
      <c r="R133" s="152">
        <v>16.390738304759324</v>
      </c>
      <c r="S133" s="152">
        <v>20.403332070625844</v>
      </c>
      <c r="T133" s="152">
        <v>27.090988347070038</v>
      </c>
      <c r="U133" s="152">
        <v>40.466300899958441</v>
      </c>
      <c r="V133" s="152">
        <v>80.592238558623606</v>
      </c>
      <c r="W133" s="152" t="e">
        <v>#DIV/0!</v>
      </c>
    </row>
    <row r="134" spans="1:23" x14ac:dyDescent="0.2">
      <c r="A134" t="s">
        <v>594</v>
      </c>
      <c r="B134" s="9">
        <f>'Financial Statement'!$H$7</f>
        <v>3692.8850000000002</v>
      </c>
      <c r="D134" t="s">
        <v>568</v>
      </c>
      <c r="E134" s="9">
        <f>'Financial Statement'!$H$43-B136</f>
        <v>2578.596</v>
      </c>
      <c r="N134" s="151">
        <v>0.1</v>
      </c>
      <c r="O134" s="152">
        <v>8.8900880117046022</v>
      </c>
      <c r="P134" s="152">
        <v>9.9647154977403574</v>
      </c>
      <c r="Q134" s="152">
        <v>11.346379408357759</v>
      </c>
      <c r="R134" s="152">
        <v>13.188597955847623</v>
      </c>
      <c r="S134" s="152">
        <v>15.767703922333437</v>
      </c>
      <c r="T134" s="152">
        <v>19.636362872062154</v>
      </c>
      <c r="U134" s="152">
        <v>26.084127788276692</v>
      </c>
      <c r="V134" s="152">
        <v>38.979657620705751</v>
      </c>
      <c r="W134" s="152">
        <v>77.66624711799291</v>
      </c>
    </row>
    <row r="135" spans="1:23" x14ac:dyDescent="0.2">
      <c r="A135" t="s">
        <v>595</v>
      </c>
      <c r="B135" s="9">
        <f>IF(B134&gt;B133,B133,B134)</f>
        <v>3692.8850000000002</v>
      </c>
      <c r="D135" t="s">
        <v>564</v>
      </c>
      <c r="E135" s="9">
        <f>E133-E134</f>
        <v>17179.770017009756</v>
      </c>
    </row>
    <row r="136" spans="1:23" x14ac:dyDescent="0.2">
      <c r="A136" t="s">
        <v>592</v>
      </c>
      <c r="B136" s="9">
        <f>B134-B135</f>
        <v>0</v>
      </c>
      <c r="D136" t="s">
        <v>591</v>
      </c>
      <c r="E136">
        <f>'Financial Statement'!$H$313</f>
        <v>1619.2829999999999</v>
      </c>
      <c r="M136" s="1" t="s">
        <v>601</v>
      </c>
      <c r="Q136" s="133" t="s">
        <v>600</v>
      </c>
      <c r="R136" s="133"/>
      <c r="S136" s="133"/>
      <c r="T136" s="133"/>
    </row>
    <row r="137" spans="1:23" x14ac:dyDescent="0.2">
      <c r="D137" s="1" t="s">
        <v>597</v>
      </c>
      <c r="E137" s="66">
        <f>E135/E136</f>
        <v>10.609491989361809</v>
      </c>
      <c r="N137" s="9"/>
      <c r="O137" s="142">
        <f>O127</f>
        <v>0.01</v>
      </c>
      <c r="P137" s="142">
        <f t="shared" ref="P137:W137" si="54">P127</f>
        <v>0.02</v>
      </c>
      <c r="Q137" s="142">
        <f t="shared" si="54"/>
        <v>0.03</v>
      </c>
      <c r="R137" s="142">
        <f t="shared" si="54"/>
        <v>0.04</v>
      </c>
      <c r="S137" s="142">
        <f t="shared" si="54"/>
        <v>0.05</v>
      </c>
      <c r="T137" s="142">
        <f t="shared" si="54"/>
        <v>0.06</v>
      </c>
      <c r="U137" s="142">
        <f t="shared" si="54"/>
        <v>7.0000000000000007E-2</v>
      </c>
      <c r="V137" s="142">
        <f t="shared" si="54"/>
        <v>0.08</v>
      </c>
      <c r="W137" s="142">
        <f t="shared" si="54"/>
        <v>0.09</v>
      </c>
    </row>
    <row r="138" spans="1:23" x14ac:dyDescent="0.2">
      <c r="N138" s="142">
        <f>N128</f>
        <v>0.04</v>
      </c>
      <c r="O138" s="40">
        <f>O128</f>
        <v>32.884442169003194</v>
      </c>
      <c r="P138" s="40">
        <f t="shared" ref="P138:Q138" si="55">P128</f>
        <v>49.023440397694522</v>
      </c>
      <c r="Q138" s="40">
        <f t="shared" si="55"/>
        <v>97.44043508376852</v>
      </c>
      <c r="R138" s="40"/>
      <c r="S138" s="40"/>
      <c r="T138" s="40"/>
      <c r="U138" s="40"/>
      <c r="V138" s="40"/>
      <c r="W138" s="40"/>
    </row>
    <row r="139" spans="1:23" x14ac:dyDescent="0.2">
      <c r="M139" s="149" t="s">
        <v>45</v>
      </c>
      <c r="N139" s="142">
        <f t="shared" ref="N139:O144" si="56">N129</f>
        <v>0.05</v>
      </c>
      <c r="O139" s="40">
        <f t="shared" si="56"/>
        <v>23.848298928231802</v>
      </c>
      <c r="P139" s="40">
        <f t="shared" ref="P139:R139" si="57">P129</f>
        <v>31.61475230009205</v>
      </c>
      <c r="Q139" s="40">
        <f t="shared" si="57"/>
        <v>47.147659043812531</v>
      </c>
      <c r="R139" s="40">
        <f t="shared" si="57"/>
        <v>93.746379274973989</v>
      </c>
      <c r="S139" s="40"/>
      <c r="T139" s="40"/>
      <c r="U139" s="40"/>
      <c r="V139" s="40"/>
      <c r="W139" s="40"/>
    </row>
    <row r="140" spans="1:23" x14ac:dyDescent="0.2">
      <c r="A140" t="s">
        <v>602</v>
      </c>
      <c r="B140" s="69">
        <f>'Financial Statement'!H333</f>
        <v>47.03</v>
      </c>
      <c r="D140" s="145" t="s">
        <v>603</v>
      </c>
      <c r="E140" s="145"/>
      <c r="F140" s="145"/>
      <c r="G140" s="145"/>
      <c r="M140" s="149"/>
      <c r="N140" s="142">
        <f t="shared" si="56"/>
        <v>0.06</v>
      </c>
      <c r="O140" s="40">
        <f t="shared" si="56"/>
        <v>18.439688488547493</v>
      </c>
      <c r="P140" s="40">
        <f t="shared" ref="P140:S140" si="58">P130</f>
        <v>22.92618903292006</v>
      </c>
      <c r="Q140" s="40">
        <f t="shared" si="58"/>
        <v>30.403689940207663</v>
      </c>
      <c r="R140" s="40">
        <f t="shared" si="58"/>
        <v>45.358691754782875</v>
      </c>
      <c r="S140" s="40">
        <f t="shared" si="58"/>
        <v>90.223697198508546</v>
      </c>
      <c r="T140" s="40"/>
      <c r="U140" s="40"/>
      <c r="V140" s="40"/>
      <c r="W140" s="40"/>
    </row>
    <row r="141" spans="1:23" x14ac:dyDescent="0.2">
      <c r="D141" s="145"/>
      <c r="E141" s="145"/>
      <c r="F141" s="145"/>
      <c r="G141" s="145"/>
      <c r="M141" s="149"/>
      <c r="N141" s="142">
        <f t="shared" si="56"/>
        <v>7.0000000000000007E-2</v>
      </c>
      <c r="O141" s="40">
        <f t="shared" si="56"/>
        <v>14.84430067849897</v>
      </c>
      <c r="P141" s="40">
        <f t="shared" ref="P141:T141" si="59">P131</f>
        <v>17.725045673696108</v>
      </c>
      <c r="Q141" s="40">
        <f t="shared" si="59"/>
        <v>22.046163166491819</v>
      </c>
      <c r="R141" s="40">
        <f t="shared" si="59"/>
        <v>29.248025654484668</v>
      </c>
      <c r="S141" s="40">
        <f t="shared" si="59"/>
        <v>43.65175063047036</v>
      </c>
      <c r="T141" s="40">
        <f t="shared" si="59"/>
        <v>86.862925558427406</v>
      </c>
      <c r="U141" s="40"/>
      <c r="V141" s="40"/>
      <c r="W141" s="40"/>
    </row>
    <row r="142" spans="1:23" x14ac:dyDescent="0.2">
      <c r="D142" s="145"/>
      <c r="E142" s="145"/>
      <c r="F142" s="145"/>
      <c r="G142" s="145"/>
      <c r="M142" s="149"/>
      <c r="N142" s="142">
        <f t="shared" si="56"/>
        <v>0.08</v>
      </c>
      <c r="O142" s="40">
        <f t="shared" si="56"/>
        <v>12.284601799729277</v>
      </c>
      <c r="P142" s="40">
        <f t="shared" ref="P142:U142" si="60">P132</f>
        <v>14.26711856736252</v>
      </c>
      <c r="Q142" s="40">
        <f t="shared" si="60"/>
        <v>17.04264204204906</v>
      </c>
      <c r="R142" s="40">
        <f t="shared" si="60"/>
        <v>21.20592725407888</v>
      </c>
      <c r="S142" s="40">
        <f t="shared" si="60"/>
        <v>28.144735940795236</v>
      </c>
      <c r="T142" s="40">
        <f t="shared" si="60"/>
        <v>42.022353314227928</v>
      </c>
      <c r="U142" s="40">
        <f t="shared" si="60"/>
        <v>83.655205434526124</v>
      </c>
      <c r="V142" s="40"/>
      <c r="W142" s="40"/>
    </row>
    <row r="143" spans="1:23" x14ac:dyDescent="0.2">
      <c r="N143" s="142">
        <f t="shared" si="56"/>
        <v>0.09</v>
      </c>
      <c r="O143" s="40">
        <f t="shared" si="56"/>
        <v>10.371847655959549</v>
      </c>
      <c r="P143" s="40">
        <f t="shared" ref="P143:V143" si="61">P133</f>
        <v>11.804916858054737</v>
      </c>
      <c r="Q143" s="40">
        <f t="shared" si="61"/>
        <v>13.715675794181648</v>
      </c>
      <c r="R143" s="40">
        <f t="shared" si="61"/>
        <v>16.390738304759324</v>
      </c>
      <c r="S143" s="40">
        <f t="shared" si="61"/>
        <v>20.403332070625844</v>
      </c>
      <c r="T143" s="40">
        <f t="shared" si="61"/>
        <v>27.090988347070038</v>
      </c>
      <c r="U143" s="40">
        <f t="shared" si="61"/>
        <v>40.466300899958441</v>
      </c>
      <c r="V143" s="40">
        <f t="shared" si="61"/>
        <v>80.592238558623606</v>
      </c>
      <c r="W143" s="40"/>
    </row>
    <row r="144" spans="1:23" x14ac:dyDescent="0.2">
      <c r="D144" s="145" t="s">
        <v>605</v>
      </c>
      <c r="E144" s="145"/>
      <c r="F144" s="145"/>
      <c r="G144" s="145"/>
      <c r="N144" s="142">
        <f t="shared" si="56"/>
        <v>0.1</v>
      </c>
      <c r="O144" s="40">
        <f t="shared" si="56"/>
        <v>8.8900880117046022</v>
      </c>
      <c r="P144" s="40">
        <f t="shared" ref="P144:W144" si="62">P134</f>
        <v>9.9647154977403574</v>
      </c>
      <c r="Q144" s="40">
        <f t="shared" si="62"/>
        <v>11.346379408357759</v>
      </c>
      <c r="R144" s="40">
        <f t="shared" si="62"/>
        <v>13.188597955847623</v>
      </c>
      <c r="S144" s="40">
        <f t="shared" si="62"/>
        <v>15.767703922333437</v>
      </c>
      <c r="T144" s="40">
        <f t="shared" si="62"/>
        <v>19.636362872062154</v>
      </c>
      <c r="U144" s="40">
        <f t="shared" si="62"/>
        <v>26.084127788276692</v>
      </c>
      <c r="V144" s="40">
        <f t="shared" si="62"/>
        <v>38.979657620705751</v>
      </c>
      <c r="W144" s="40">
        <f t="shared" si="62"/>
        <v>77.66624711799291</v>
      </c>
    </row>
    <row r="145" spans="1:23" x14ac:dyDescent="0.2">
      <c r="D145" s="145"/>
      <c r="E145" s="145"/>
      <c r="F145" s="145"/>
      <c r="G145" s="145"/>
      <c r="N145" s="142"/>
      <c r="O145" s="142"/>
      <c r="P145" s="142"/>
      <c r="Q145" s="142"/>
      <c r="R145" s="142"/>
      <c r="S145" s="142"/>
      <c r="T145" s="142"/>
      <c r="U145" s="142"/>
      <c r="V145" s="142"/>
      <c r="W145" s="142"/>
    </row>
    <row r="146" spans="1:23" ht="36" customHeight="1" x14ac:dyDescent="0.2">
      <c r="D146" s="145"/>
      <c r="E146" s="145"/>
      <c r="F146" s="145"/>
      <c r="G146" s="145"/>
    </row>
    <row r="148" spans="1:23" x14ac:dyDescent="0.2">
      <c r="A148" s="1" t="s">
        <v>604</v>
      </c>
    </row>
    <row r="150" spans="1:23" x14ac:dyDescent="0.2">
      <c r="A150" s="1" t="s">
        <v>610</v>
      </c>
      <c r="B150" s="66">
        <f>AVERAGE(E122,E108,E94)</f>
        <v>23.375543655430267</v>
      </c>
    </row>
    <row r="152" spans="1:23" x14ac:dyDescent="0.2">
      <c r="A152" t="s">
        <v>606</v>
      </c>
      <c r="B152" s="145" t="s">
        <v>607</v>
      </c>
      <c r="C152" s="145"/>
      <c r="D152" s="145"/>
      <c r="E152" s="145"/>
      <c r="G152" s="23">
        <f>B150/B140</f>
        <v>0.49703473645397123</v>
      </c>
    </row>
    <row r="153" spans="1:23" x14ac:dyDescent="0.2">
      <c r="B153" s="145"/>
      <c r="C153" s="145"/>
      <c r="D153" s="145"/>
      <c r="E153" s="145"/>
    </row>
    <row r="154" spans="1:23" x14ac:dyDescent="0.2">
      <c r="B154" s="145"/>
      <c r="C154" s="145"/>
      <c r="D154" s="145"/>
      <c r="E154" s="145"/>
    </row>
    <row r="156" spans="1:23" x14ac:dyDescent="0.2">
      <c r="A156" t="s">
        <v>608</v>
      </c>
    </row>
    <row r="158" spans="1:23" x14ac:dyDescent="0.2">
      <c r="A158" t="s">
        <v>45</v>
      </c>
      <c r="B158" s="142">
        <v>0.1</v>
      </c>
      <c r="F158" t="s">
        <v>581</v>
      </c>
      <c r="G158" t="s">
        <v>582</v>
      </c>
    </row>
    <row r="159" spans="1:23" x14ac:dyDescent="0.2">
      <c r="A159" s="147" t="s">
        <v>609</v>
      </c>
      <c r="F159" s="1">
        <v>2021</v>
      </c>
      <c r="G159" s="1">
        <v>2022</v>
      </c>
      <c r="H159" s="1">
        <v>2023</v>
      </c>
      <c r="I159" s="1">
        <v>2024</v>
      </c>
      <c r="J159" s="1">
        <v>2025</v>
      </c>
      <c r="K159" s="1">
        <v>2026</v>
      </c>
      <c r="L159" s="1" t="s">
        <v>561</v>
      </c>
    </row>
    <row r="160" spans="1:23" x14ac:dyDescent="0.2">
      <c r="A160" t="s">
        <v>583</v>
      </c>
      <c r="B160">
        <f>AVERAGE(B85,B99,B113)</f>
        <v>0.3</v>
      </c>
      <c r="D160" t="s">
        <v>588</v>
      </c>
      <c r="F160" s="9">
        <f>'Financial Statement'!$H$73</f>
        <v>4117.0479999999998</v>
      </c>
      <c r="G160" s="9">
        <f>F160*(1+$B160)</f>
        <v>5352.1624000000002</v>
      </c>
      <c r="H160" s="9">
        <f t="shared" ref="H160:K160" si="63">G160*(1+$B160)</f>
        <v>6957.8111200000003</v>
      </c>
      <c r="I160" s="9">
        <f t="shared" si="63"/>
        <v>9045.1544560000002</v>
      </c>
      <c r="J160" s="9">
        <f t="shared" si="63"/>
        <v>11758.7007928</v>
      </c>
      <c r="K160" s="9">
        <f t="shared" si="63"/>
        <v>15286.311030640001</v>
      </c>
      <c r="L160" s="9"/>
    </row>
    <row r="161" spans="1:12" x14ac:dyDescent="0.2">
      <c r="A161" t="s">
        <v>584</v>
      </c>
      <c r="B161">
        <f t="shared" ref="B161:B163" si="64">AVERAGE(B86,B100,B114)</f>
        <v>0.15</v>
      </c>
      <c r="D161" t="s">
        <v>589</v>
      </c>
      <c r="F161" s="9"/>
      <c r="G161" s="9">
        <f t="shared" ref="G161:G162" si="65">G160*$B161</f>
        <v>802.82435999999996</v>
      </c>
      <c r="H161" s="9">
        <f t="shared" ref="H161:H162" si="66">H160*$B161</f>
        <v>1043.671668</v>
      </c>
      <c r="I161" s="9">
        <f t="shared" ref="I161:I162" si="67">I160*$B161</f>
        <v>1356.7731684</v>
      </c>
      <c r="J161" s="9">
        <f t="shared" ref="J161:J162" si="68">J160*$B161</f>
        <v>1763.80511892</v>
      </c>
      <c r="K161" s="9">
        <f>K160*$B161</f>
        <v>2292.9466545959999</v>
      </c>
      <c r="L161" s="9"/>
    </row>
    <row r="162" spans="1:12" x14ac:dyDescent="0.2">
      <c r="A162" t="s">
        <v>585</v>
      </c>
      <c r="B162">
        <f t="shared" si="64"/>
        <v>0.20000000000000004</v>
      </c>
      <c r="D162" t="s">
        <v>590</v>
      </c>
      <c r="F162" s="9"/>
      <c r="G162" s="9">
        <f t="shared" si="65"/>
        <v>160.56487200000001</v>
      </c>
      <c r="H162" s="9">
        <f t="shared" si="66"/>
        <v>208.73433360000004</v>
      </c>
      <c r="I162" s="9">
        <f t="shared" si="67"/>
        <v>271.35463368000006</v>
      </c>
      <c r="J162" s="9">
        <f t="shared" si="68"/>
        <v>352.76102378400009</v>
      </c>
      <c r="K162" s="9">
        <f>K161*$B162</f>
        <v>458.58933091920005</v>
      </c>
      <c r="L162" s="9"/>
    </row>
    <row r="163" spans="1:12" x14ac:dyDescent="0.2">
      <c r="A163" t="s">
        <v>586</v>
      </c>
      <c r="B163">
        <f t="shared" si="64"/>
        <v>0.02</v>
      </c>
      <c r="D163" t="s">
        <v>560</v>
      </c>
      <c r="F163" s="9"/>
      <c r="G163" s="9">
        <f>G161-G162</f>
        <v>642.25948799999992</v>
      </c>
      <c r="H163" s="9">
        <f t="shared" ref="H163" si="69">H161-H162</f>
        <v>834.93733439999994</v>
      </c>
      <c r="I163" s="9">
        <f t="shared" ref="I163" si="70">I161-I162</f>
        <v>1085.41853472</v>
      </c>
      <c r="J163" s="9">
        <f t="shared" ref="J163" si="71">J161-J162</f>
        <v>1411.0440951359999</v>
      </c>
      <c r="K163" s="9">
        <f t="shared" ref="K163" si="72">K161-K162</f>
        <v>1834.3573236767998</v>
      </c>
      <c r="L163" s="9">
        <f>K163*(1+B163)/(B158-B163)</f>
        <v>23388.0558768792</v>
      </c>
    </row>
    <row r="164" spans="1:12" x14ac:dyDescent="0.2">
      <c r="A164" s="1" t="s">
        <v>596</v>
      </c>
      <c r="D164" t="s">
        <v>562</v>
      </c>
      <c r="G164" s="9">
        <f>G163/(1+$B158)^(G159-2021)</f>
        <v>583.87226181818164</v>
      </c>
      <c r="H164" s="9">
        <f t="shared" ref="H164" si="73">H163/(1+$B158)^(H159-2021)</f>
        <v>690.03085487603289</v>
      </c>
      <c r="I164" s="9">
        <f t="shared" ref="I164" si="74">I163/(1+$B158)^(I159-2021)</f>
        <v>815.49101030803888</v>
      </c>
      <c r="J164" s="9">
        <f t="shared" ref="J164" si="75">J163/(1+$B158)^(J159-2021)</f>
        <v>963.76210309131852</v>
      </c>
      <c r="K164" s="9">
        <f t="shared" ref="K164" si="76">K163/(1+$B158)^(K159-2021)</f>
        <v>1138.9915763806491</v>
      </c>
      <c r="L164" s="9">
        <f>L163/(1+$B158)^(K159-2021)</f>
        <v>14522.142598853277</v>
      </c>
    </row>
    <row r="165" spans="1:12" x14ac:dyDescent="0.2">
      <c r="A165" t="s">
        <v>593</v>
      </c>
      <c r="B165" s="9">
        <f>2*'Financial Statement'!$H$75</f>
        <v>5938.8819999999996</v>
      </c>
      <c r="D165" t="s">
        <v>563</v>
      </c>
      <c r="E165" s="9">
        <f>SUM(G164:L164)</f>
        <v>18714.290405327498</v>
      </c>
    </row>
    <row r="166" spans="1:12" x14ac:dyDescent="0.2">
      <c r="A166" t="s">
        <v>594</v>
      </c>
      <c r="B166" s="9">
        <f>'Financial Statement'!$H$7</f>
        <v>3692.8850000000002</v>
      </c>
      <c r="D166" t="s">
        <v>568</v>
      </c>
      <c r="E166" s="9">
        <f>'Financial Statement'!$H$43-B168</f>
        <v>2578.596</v>
      </c>
    </row>
    <row r="167" spans="1:12" x14ac:dyDescent="0.2">
      <c r="A167" t="s">
        <v>595</v>
      </c>
      <c r="B167" s="9">
        <f>IF(B166&gt;B165,B165,B166)</f>
        <v>3692.8850000000002</v>
      </c>
      <c r="D167" t="s">
        <v>564</v>
      </c>
      <c r="E167" s="9">
        <f>E165-E166</f>
        <v>16135.694405327498</v>
      </c>
    </row>
    <row r="168" spans="1:12" x14ac:dyDescent="0.2">
      <c r="A168" t="s">
        <v>592</v>
      </c>
      <c r="B168" s="9">
        <f>B166-B167</f>
        <v>0</v>
      </c>
      <c r="D168" t="s">
        <v>591</v>
      </c>
      <c r="E168">
        <f>'Financial Statement'!$H$313</f>
        <v>1619.2829999999999</v>
      </c>
    </row>
    <row r="169" spans="1:12" x14ac:dyDescent="0.2">
      <c r="D169" s="1" t="s">
        <v>597</v>
      </c>
      <c r="E169" s="66">
        <f>E167/E168</f>
        <v>9.9647154977403574</v>
      </c>
    </row>
    <row r="172" spans="1:12" ht="38" customHeight="1" x14ac:dyDescent="0.2">
      <c r="A172" s="145" t="s">
        <v>611</v>
      </c>
      <c r="B172" s="145"/>
      <c r="C172" s="145"/>
      <c r="D172" s="145"/>
      <c r="E172" s="145"/>
      <c r="G172" s="140">
        <f>E169/B150</f>
        <v>0.42628807460593537</v>
      </c>
    </row>
    <row r="174" spans="1:12" x14ac:dyDescent="0.2">
      <c r="A174" t="s">
        <v>612</v>
      </c>
    </row>
    <row r="175" spans="1:12" ht="59" customHeight="1" x14ac:dyDescent="0.2">
      <c r="A175" s="145" t="s">
        <v>613</v>
      </c>
      <c r="B175" s="145"/>
      <c r="C175" s="145"/>
      <c r="D175" s="145"/>
      <c r="E175" s="145"/>
    </row>
    <row r="177" spans="1:8" x14ac:dyDescent="0.2">
      <c r="A177" t="s">
        <v>614</v>
      </c>
    </row>
    <row r="178" spans="1:8" ht="96" customHeight="1" x14ac:dyDescent="0.2">
      <c r="A178" s="145" t="s">
        <v>622</v>
      </c>
      <c r="B178" s="145"/>
      <c r="C178" s="145"/>
      <c r="D178" s="145"/>
      <c r="E178" s="145"/>
    </row>
    <row r="182" spans="1:8" x14ac:dyDescent="0.2">
      <c r="B182" s="1">
        <v>2015</v>
      </c>
      <c r="C182" s="1">
        <v>2016</v>
      </c>
      <c r="D182" s="1">
        <v>2017</v>
      </c>
      <c r="E182" s="1">
        <v>2018</v>
      </c>
      <c r="F182" s="1">
        <v>2019</v>
      </c>
      <c r="G182" s="1">
        <v>2020</v>
      </c>
      <c r="H182" s="1">
        <v>2021</v>
      </c>
    </row>
    <row r="183" spans="1:8" x14ac:dyDescent="0.2">
      <c r="A183" t="s">
        <v>617</v>
      </c>
      <c r="B183" s="30">
        <f>2*'Financial Statement'!B75</f>
        <v>483.30200000000002</v>
      </c>
      <c r="C183" s="30">
        <f>2*'Financial Statement'!C75</f>
        <v>946.41399999999999</v>
      </c>
      <c r="D183" s="30">
        <f>2*'Financial Statement'!D75</f>
        <v>7093.9939999999997</v>
      </c>
      <c r="E183" s="30">
        <f>2*'Financial Statement'!E75</f>
        <v>3151.8440000000001</v>
      </c>
      <c r="F183" s="30">
        <f>2*'Financial Statement'!F75</f>
        <v>3514.1</v>
      </c>
      <c r="G183" s="30">
        <f>2*'Financial Statement'!G75</f>
        <v>4243.308</v>
      </c>
      <c r="H183" s="30">
        <f>2*'Financial Statement'!H75</f>
        <v>5938.8819999999996</v>
      </c>
    </row>
    <row r="184" spans="1:8" x14ac:dyDescent="0.2">
      <c r="A184" t="s">
        <v>160</v>
      </c>
      <c r="B184" s="30">
        <f>'Financial Statement'!B7</f>
        <v>640.80999999999995</v>
      </c>
      <c r="C184" s="30">
        <f>'Financial Statement'!C7</f>
        <v>987.36800000000005</v>
      </c>
      <c r="D184" s="30">
        <f>'Financial Statement'!D7</f>
        <v>2043.039</v>
      </c>
      <c r="E184" s="30">
        <f>'Financial Statement'!E7</f>
        <v>1279.0630000000001</v>
      </c>
      <c r="F184" s="30">
        <f>'Financial Statement'!F7</f>
        <v>2112.8049999999998</v>
      </c>
      <c r="G184" s="30">
        <f>'Financial Statement'!G7</f>
        <v>2537.54</v>
      </c>
      <c r="H184" s="30">
        <f>'Financial Statement'!H7</f>
        <v>3692.8850000000002</v>
      </c>
    </row>
    <row r="185" spans="1:8" x14ac:dyDescent="0.2">
      <c r="A185" t="s">
        <v>595</v>
      </c>
      <c r="B185" s="9">
        <f>IF(B184&gt;B183,B183,B184)</f>
        <v>483.30200000000002</v>
      </c>
      <c r="C185" s="9">
        <f t="shared" ref="C185:H185" si="77">IF(C184&gt;C183,C183,C184)</f>
        <v>946.41399999999999</v>
      </c>
      <c r="D185" s="9">
        <f t="shared" si="77"/>
        <v>2043.039</v>
      </c>
      <c r="E185" s="9">
        <f t="shared" si="77"/>
        <v>1279.0630000000001</v>
      </c>
      <c r="F185" s="9">
        <f t="shared" si="77"/>
        <v>2112.8049999999998</v>
      </c>
      <c r="G185" s="9">
        <f t="shared" si="77"/>
        <v>2537.54</v>
      </c>
      <c r="H185" s="9">
        <f t="shared" si="77"/>
        <v>3692.8850000000002</v>
      </c>
    </row>
    <row r="186" spans="1:8" x14ac:dyDescent="0.2">
      <c r="A186" t="s">
        <v>592</v>
      </c>
      <c r="B186" s="9">
        <f>B184-B185</f>
        <v>157.50799999999992</v>
      </c>
      <c r="C186" s="9">
        <f t="shared" ref="C186:H186" si="78">C184-C185</f>
        <v>40.954000000000065</v>
      </c>
      <c r="D186" s="9">
        <f t="shared" si="78"/>
        <v>0</v>
      </c>
      <c r="E186" s="9">
        <f t="shared" si="78"/>
        <v>0</v>
      </c>
      <c r="F186" s="9">
        <f t="shared" si="78"/>
        <v>0</v>
      </c>
      <c r="G186" s="9">
        <f t="shared" si="78"/>
        <v>0</v>
      </c>
      <c r="H186" s="9">
        <f t="shared" si="78"/>
        <v>0</v>
      </c>
    </row>
    <row r="187" spans="1:8" ht="29" x14ac:dyDescent="0.2">
      <c r="A187" s="153" t="s">
        <v>615</v>
      </c>
      <c r="B187" s="9">
        <f>'Financial Statement'!B22-B186</f>
        <v>535.05600000000004</v>
      </c>
      <c r="C187" s="9">
        <f>'Financial Statement'!C22-C186</f>
        <v>1139.0309999999999</v>
      </c>
      <c r="D187" s="9">
        <f>'Financial Statement'!D22-D186</f>
        <v>2366.7939999999999</v>
      </c>
      <c r="E187" s="9">
        <f>'Financial Statement'!E22-E186</f>
        <v>1675.9280000000001</v>
      </c>
      <c r="F187" s="9">
        <f>'Financial Statement'!F22-F186</f>
        <v>2643.9859999999999</v>
      </c>
      <c r="G187" s="9">
        <f>'Financial Statement'!G22-G186</f>
        <v>3337.9749999999999</v>
      </c>
      <c r="H187" s="9">
        <f>'Financial Statement'!H22-H186</f>
        <v>4854.0020000000004</v>
      </c>
    </row>
    <row r="188" spans="1:8" x14ac:dyDescent="0.2">
      <c r="A188" s="154" t="s">
        <v>616</v>
      </c>
      <c r="B188">
        <f>'Financial Statement'!B42-'Financial Statement'!B34</f>
        <v>156.25800000000001</v>
      </c>
      <c r="C188">
        <f>'Financial Statement'!C42-'Financial Statement'!C34</f>
        <v>156.744</v>
      </c>
      <c r="D188">
        <f>'Financial Statement'!D42-'Financial Statement'!D34</f>
        <v>346.25599999999997</v>
      </c>
      <c r="E188">
        <f>'Financial Statement'!E42-'Financial Statement'!E34</f>
        <v>292.69099999999997</v>
      </c>
      <c r="F188">
        <f>'Financial Statement'!F42-'Financial Statement'!F34</f>
        <v>457.49599999999998</v>
      </c>
      <c r="G188">
        <f>'Financial Statement'!G42-'Financial Statement'!G34</f>
        <v>626.25</v>
      </c>
      <c r="H188">
        <f>'Financial Statement'!H42-'Financial Statement'!H34</f>
        <v>799.39</v>
      </c>
    </row>
    <row r="189" spans="1:8" x14ac:dyDescent="0.2">
      <c r="A189" t="s">
        <v>618</v>
      </c>
      <c r="B189" s="9">
        <f>B187-B188</f>
        <v>378.798</v>
      </c>
      <c r="C189" s="9">
        <f t="shared" ref="C189:H189" si="79">C187-C188</f>
        <v>982.28699999999992</v>
      </c>
      <c r="D189" s="9">
        <f t="shared" si="79"/>
        <v>2020.538</v>
      </c>
      <c r="E189" s="9">
        <f t="shared" si="79"/>
        <v>1383.2370000000001</v>
      </c>
      <c r="F189" s="9">
        <f t="shared" si="79"/>
        <v>2186.4899999999998</v>
      </c>
      <c r="G189" s="9">
        <f t="shared" si="79"/>
        <v>2711.7249999999999</v>
      </c>
      <c r="H189" s="9">
        <f t="shared" si="79"/>
        <v>4054.6120000000005</v>
      </c>
    </row>
    <row r="190" spans="1:8" x14ac:dyDescent="0.2">
      <c r="A190" t="s">
        <v>619</v>
      </c>
      <c r="C190" s="9">
        <f>C189-B189</f>
        <v>603.48899999999992</v>
      </c>
      <c r="D190" s="9">
        <f t="shared" ref="D190:H190" si="80">D189-C189</f>
        <v>1038.2510000000002</v>
      </c>
      <c r="E190" s="9">
        <f t="shared" si="80"/>
        <v>-637.30099999999993</v>
      </c>
      <c r="F190" s="9">
        <f t="shared" si="80"/>
        <v>803.2529999999997</v>
      </c>
      <c r="G190" s="9">
        <f t="shared" si="80"/>
        <v>525.23500000000013</v>
      </c>
      <c r="H190" s="9">
        <f t="shared" si="80"/>
        <v>1342.8870000000006</v>
      </c>
    </row>
    <row r="191" spans="1:8" x14ac:dyDescent="0.2">
      <c r="A191" t="s">
        <v>620</v>
      </c>
      <c r="B191">
        <f>'Financial Statement'!B225</f>
        <v>19.204999999999998</v>
      </c>
      <c r="C191">
        <f>'Financial Statement'!C225</f>
        <v>66.441000000000003</v>
      </c>
      <c r="D191">
        <f>'Financial Statement'!D225</f>
        <v>84.518000000000001</v>
      </c>
      <c r="E191">
        <f>'Financial Statement'!E225</f>
        <v>120.242</v>
      </c>
      <c r="F191">
        <f>'Financial Statement'!F225</f>
        <v>36.478000000000002</v>
      </c>
      <c r="G191">
        <f>'Financial Statement'!G225</f>
        <v>57.832000000000001</v>
      </c>
      <c r="H191">
        <f>'Financial Statement'!H225</f>
        <v>69.875</v>
      </c>
    </row>
    <row r="192" spans="1:8" x14ac:dyDescent="0.2">
      <c r="A192" t="s">
        <v>621</v>
      </c>
      <c r="B192">
        <f>'Financial Statement'!B114</f>
        <v>15.307</v>
      </c>
      <c r="C192">
        <f>'Financial Statement'!C114</f>
        <v>29.114999999999998</v>
      </c>
      <c r="D192">
        <f>'Financial Statement'!D114</f>
        <v>61.287999999999997</v>
      </c>
      <c r="E192">
        <f>'Financial Statement'!E114</f>
        <v>91.647999999999996</v>
      </c>
      <c r="F192">
        <f>'Financial Statement'!F114</f>
        <v>105.042</v>
      </c>
      <c r="G192">
        <f>'Financial Statement'!G114</f>
        <v>168.14500000000001</v>
      </c>
      <c r="H192">
        <f>'Financial Statement'!H114</f>
        <v>123.452</v>
      </c>
    </row>
    <row r="193" spans="1:8" x14ac:dyDescent="0.2">
      <c r="A193" s="155" t="s">
        <v>590</v>
      </c>
      <c r="B193" s="155"/>
      <c r="C193" s="155">
        <f t="shared" ref="C193:H193" si="81">C191-C192+C190</f>
        <v>640.81499999999994</v>
      </c>
      <c r="D193" s="155">
        <f t="shared" si="81"/>
        <v>1061.4810000000002</v>
      </c>
      <c r="E193" s="155">
        <f t="shared" si="81"/>
        <v>-608.70699999999988</v>
      </c>
      <c r="F193" s="155">
        <f t="shared" si="81"/>
        <v>734.68899999999974</v>
      </c>
      <c r="G193" s="155">
        <f t="shared" si="81"/>
        <v>414.92200000000014</v>
      </c>
      <c r="H193" s="155">
        <f t="shared" si="81"/>
        <v>1289.3100000000006</v>
      </c>
    </row>
    <row r="194" spans="1:8" x14ac:dyDescent="0.2">
      <c r="A194" t="s">
        <v>589</v>
      </c>
      <c r="C194">
        <f>'Financial Statement'!B76-'Financial Statement'!B77-'Financial Statement'!B90</f>
        <v>-357.74</v>
      </c>
      <c r="D194">
        <f>'Financial Statement'!C76-'Financial Statement'!C77-'Financial Statement'!C90</f>
        <v>-513.30499999999995</v>
      </c>
      <c r="E194">
        <f>'Financial Statement'!D76-'Financial Statement'!D77-'Financial Statement'!D90</f>
        <v>-3467.2339999999999</v>
      </c>
      <c r="F194">
        <f>'Financial Statement'!E76-'Financial Statement'!E77-'Financial Statement'!E90</f>
        <v>-1262.2539999999999</v>
      </c>
      <c r="G194">
        <f>'Financial Statement'!F76-'Financial Statement'!F77-'Financial Statement'!F90</f>
        <v>-1003.721</v>
      </c>
      <c r="H194">
        <f>'Financial Statement'!G76-'Financial Statement'!G77-'Financial Statement'!G90</f>
        <v>-880.726</v>
      </c>
    </row>
    <row r="195" spans="1:8" x14ac:dyDescent="0.2">
      <c r="A195" t="s">
        <v>585</v>
      </c>
      <c r="C195" s="40">
        <f>C193/C194</f>
        <v>-1.7912869681891874</v>
      </c>
      <c r="D195" s="40">
        <f t="shared" ref="D195:H195" si="82">D193/D194</f>
        <v>-2.0679342690992693</v>
      </c>
      <c r="E195" s="40">
        <f t="shared" si="82"/>
        <v>0.17555982665144604</v>
      </c>
      <c r="F195" s="40">
        <f t="shared" si="82"/>
        <v>-0.58204529357799606</v>
      </c>
      <c r="G195" s="40">
        <f t="shared" si="82"/>
        <v>-0.41338379888435145</v>
      </c>
      <c r="H195" s="40">
        <f t="shared" si="82"/>
        <v>-1.4639172682536914</v>
      </c>
    </row>
    <row r="199" spans="1:8" x14ac:dyDescent="0.2">
      <c r="A199" t="s">
        <v>623</v>
      </c>
    </row>
    <row r="200" spans="1:8" ht="33" customHeight="1" x14ac:dyDescent="0.2">
      <c r="A200" s="145" t="s">
        <v>628</v>
      </c>
      <c r="B200" s="145"/>
      <c r="C200" s="145"/>
      <c r="D200" s="145"/>
      <c r="E200" s="145"/>
      <c r="F200" s="145"/>
      <c r="G200" s="145"/>
      <c r="H200" s="145"/>
    </row>
    <row r="201" spans="1:8" ht="68" customHeight="1" x14ac:dyDescent="0.2">
      <c r="A201" s="145" t="s">
        <v>626</v>
      </c>
      <c r="B201" s="145"/>
      <c r="C201" s="145"/>
      <c r="D201" s="145"/>
      <c r="E201" s="145"/>
      <c r="F201" s="145"/>
      <c r="G201" s="145"/>
      <c r="H201" s="145"/>
    </row>
    <row r="202" spans="1:8" ht="54" customHeight="1" x14ac:dyDescent="0.2">
      <c r="A202" s="145" t="s">
        <v>627</v>
      </c>
      <c r="B202" s="145"/>
      <c r="C202" s="145"/>
      <c r="D202" s="145"/>
      <c r="E202" s="145"/>
      <c r="F202" s="145"/>
      <c r="G202" s="145"/>
      <c r="H202" s="145"/>
    </row>
    <row r="203" spans="1:8" x14ac:dyDescent="0.2">
      <c r="A203" s="145" t="s">
        <v>625</v>
      </c>
      <c r="B203" s="145"/>
      <c r="C203" s="145"/>
      <c r="D203" s="145"/>
      <c r="E203" s="145"/>
      <c r="F203" s="145"/>
      <c r="G203" s="145"/>
      <c r="H203" s="145"/>
    </row>
  </sheetData>
  <mergeCells count="13">
    <mergeCell ref="A203:H203"/>
    <mergeCell ref="A172:E172"/>
    <mergeCell ref="A175:E175"/>
    <mergeCell ref="A178:E178"/>
    <mergeCell ref="A200:H200"/>
    <mergeCell ref="A201:H201"/>
    <mergeCell ref="A202:H202"/>
    <mergeCell ref="D76:L76"/>
    <mergeCell ref="Q136:T136"/>
    <mergeCell ref="M139:M142"/>
    <mergeCell ref="D140:G142"/>
    <mergeCell ref="D144:G146"/>
    <mergeCell ref="B152:E154"/>
  </mergeCells>
  <conditionalFormatting sqref="O138:W144">
    <cfRule type="cellIs" dxfId="0" priority="1" operator="greaterThan">
      <formula>$B$140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L40"/>
  <sheetViews>
    <sheetView workbookViewId="0">
      <selection activeCell="F31" sqref="F31"/>
    </sheetView>
  </sheetViews>
  <sheetFormatPr baseColWidth="10" defaultColWidth="8.83203125" defaultRowHeight="15" x14ac:dyDescent="0.2"/>
  <cols>
    <col min="1" max="1" width="3.5" customWidth="1"/>
    <col min="2" max="2" width="14.6640625" customWidth="1"/>
    <col min="3" max="3" width="11.1640625" customWidth="1"/>
    <col min="4" max="6" width="8.83203125" customWidth="1"/>
    <col min="7" max="10" width="9.83203125" customWidth="1"/>
    <col min="11" max="11" width="3.83203125" customWidth="1"/>
    <col min="17" max="17" width="15.5" customWidth="1"/>
    <col min="19" max="19" width="10.33203125" customWidth="1"/>
    <col min="22" max="22" width="11.5" customWidth="1"/>
    <col min="23" max="25" width="10.1640625" customWidth="1"/>
  </cols>
  <sheetData>
    <row r="1" spans="1:11" ht="19" x14ac:dyDescent="0.25">
      <c r="A1" s="115" t="s">
        <v>247</v>
      </c>
      <c r="B1" s="2"/>
    </row>
    <row r="3" spans="1:11" ht="16" thickBot="1" x14ac:dyDescent="0.25">
      <c r="A3" s="14"/>
      <c r="B3" s="14"/>
      <c r="C3" s="14"/>
      <c r="D3" s="14"/>
      <c r="E3" s="14"/>
      <c r="F3" s="14"/>
      <c r="G3" s="14"/>
      <c r="H3" s="14"/>
      <c r="I3" s="14"/>
      <c r="J3" s="14"/>
      <c r="K3" s="14"/>
    </row>
    <row r="4" spans="1:11" x14ac:dyDescent="0.2">
      <c r="B4" s="17"/>
      <c r="C4" s="17"/>
      <c r="D4" s="17"/>
      <c r="E4" s="38" t="s">
        <v>211</v>
      </c>
      <c r="F4" s="38" t="s">
        <v>212</v>
      </c>
      <c r="G4" s="129" t="s">
        <v>199</v>
      </c>
      <c r="H4" s="129"/>
      <c r="I4" s="129"/>
      <c r="J4" s="129"/>
    </row>
    <row r="5" spans="1:11" x14ac:dyDescent="0.2">
      <c r="B5" s="1" t="s">
        <v>37</v>
      </c>
      <c r="C5" s="7"/>
      <c r="D5" s="7" t="s">
        <v>39</v>
      </c>
      <c r="E5" s="7" t="s">
        <v>44</v>
      </c>
      <c r="F5" s="7" t="s">
        <v>24</v>
      </c>
      <c r="G5" s="22"/>
      <c r="J5" s="7" t="s">
        <v>197</v>
      </c>
    </row>
    <row r="6" spans="1:11" x14ac:dyDescent="0.2">
      <c r="A6" s="3"/>
      <c r="B6" s="4" t="s">
        <v>36</v>
      </c>
      <c r="C6" s="8" t="s">
        <v>192</v>
      </c>
      <c r="D6" s="8" t="s">
        <v>42</v>
      </c>
      <c r="E6" s="8" t="s">
        <v>45</v>
      </c>
      <c r="F6" s="8" t="s">
        <v>44</v>
      </c>
      <c r="G6" s="11" t="s">
        <v>0</v>
      </c>
      <c r="H6" s="11" t="s">
        <v>193</v>
      </c>
      <c r="I6" s="11" t="s">
        <v>196</v>
      </c>
      <c r="J6" s="11" t="s">
        <v>198</v>
      </c>
      <c r="K6" s="11"/>
    </row>
    <row r="7" spans="1:11" x14ac:dyDescent="0.2">
      <c r="G7" s="22"/>
      <c r="H7" s="22"/>
    </row>
    <row r="8" spans="1:11" x14ac:dyDescent="0.2">
      <c r="A8" s="1" t="s">
        <v>203</v>
      </c>
      <c r="C8" s="15"/>
      <c r="D8" s="15"/>
      <c r="E8" s="23"/>
      <c r="F8" s="23"/>
      <c r="G8" s="72"/>
      <c r="H8" s="83"/>
      <c r="I8" s="21"/>
      <c r="J8" s="72"/>
    </row>
    <row r="9" spans="1:11" x14ac:dyDescent="0.2">
      <c r="B9" s="22" t="s">
        <v>34</v>
      </c>
      <c r="C9" s="15">
        <v>42796</v>
      </c>
      <c r="D9" s="69">
        <v>10</v>
      </c>
      <c r="E9" s="23">
        <v>0.12</v>
      </c>
      <c r="F9" s="93">
        <v>0.06</v>
      </c>
      <c r="G9" s="72">
        <v>3862.7</v>
      </c>
      <c r="H9" s="74" t="s">
        <v>49</v>
      </c>
      <c r="I9" s="74" t="s">
        <v>49</v>
      </c>
      <c r="J9" s="72">
        <v>-177.9</v>
      </c>
    </row>
    <row r="10" spans="1:11" x14ac:dyDescent="0.2">
      <c r="B10" s="22" t="s">
        <v>48</v>
      </c>
      <c r="C10" s="15">
        <v>42796</v>
      </c>
      <c r="D10" s="69">
        <v>22</v>
      </c>
      <c r="E10" s="23">
        <v>0.13400000000000001</v>
      </c>
      <c r="F10" s="93">
        <v>0.03</v>
      </c>
      <c r="G10" s="72">
        <v>4500.277</v>
      </c>
      <c r="H10" s="84">
        <v>250</v>
      </c>
      <c r="I10" s="74" t="s">
        <v>49</v>
      </c>
      <c r="J10" s="72">
        <v>605</v>
      </c>
    </row>
    <row r="11" spans="1:11" x14ac:dyDescent="0.2">
      <c r="B11" t="s">
        <v>70</v>
      </c>
      <c r="C11" s="15">
        <v>42797</v>
      </c>
      <c r="D11" s="69">
        <v>22</v>
      </c>
      <c r="E11" s="79" t="s">
        <v>49</v>
      </c>
      <c r="F11" s="74" t="s">
        <v>49</v>
      </c>
      <c r="G11" s="79" t="s">
        <v>49</v>
      </c>
      <c r="H11" s="84">
        <v>280</v>
      </c>
      <c r="I11" s="21">
        <v>21.24</v>
      </c>
      <c r="J11" s="74">
        <v>357</v>
      </c>
    </row>
    <row r="12" spans="1:11" x14ac:dyDescent="0.2">
      <c r="B12" s="22" t="s">
        <v>191</v>
      </c>
      <c r="C12" s="15">
        <v>42803</v>
      </c>
      <c r="D12" s="69">
        <v>23</v>
      </c>
      <c r="E12" s="23">
        <v>0.10299999999999999</v>
      </c>
      <c r="F12" s="93">
        <v>4.4999999999999998E-2</v>
      </c>
      <c r="G12" s="74">
        <v>4816</v>
      </c>
      <c r="H12" s="84">
        <v>369</v>
      </c>
      <c r="I12" s="21">
        <v>14.09</v>
      </c>
      <c r="J12" s="72">
        <v>-592</v>
      </c>
    </row>
    <row r="13" spans="1:11" x14ac:dyDescent="0.2">
      <c r="B13" s="22" t="s">
        <v>31</v>
      </c>
      <c r="C13" s="15">
        <v>42808</v>
      </c>
      <c r="D13" s="69">
        <v>18</v>
      </c>
      <c r="E13" s="23">
        <v>0.12</v>
      </c>
      <c r="F13" s="93">
        <v>0.04</v>
      </c>
      <c r="G13" s="72">
        <v>6247.9</v>
      </c>
      <c r="H13" s="83">
        <v>346</v>
      </c>
      <c r="I13" s="21">
        <v>18.919</v>
      </c>
      <c r="J13" s="72">
        <v>397.9</v>
      </c>
    </row>
    <row r="14" spans="1:11" x14ac:dyDescent="0.2">
      <c r="B14" s="22" t="s">
        <v>67</v>
      </c>
      <c r="C14" s="15">
        <v>42816</v>
      </c>
      <c r="D14" s="69">
        <v>23</v>
      </c>
      <c r="E14" s="23">
        <v>0.107</v>
      </c>
      <c r="F14" s="93">
        <v>-0.02</v>
      </c>
      <c r="G14" s="72">
        <v>6396</v>
      </c>
      <c r="H14" s="83">
        <v>289</v>
      </c>
      <c r="I14" s="21">
        <v>22.41</v>
      </c>
      <c r="J14" s="72">
        <v>253</v>
      </c>
    </row>
    <row r="15" spans="1:11" x14ac:dyDescent="0.2">
      <c r="F15" s="93"/>
      <c r="G15" s="22"/>
      <c r="H15" s="22"/>
    </row>
    <row r="16" spans="1:11" x14ac:dyDescent="0.2">
      <c r="A16" s="1" t="s">
        <v>204</v>
      </c>
      <c r="F16" s="93"/>
      <c r="G16" s="22"/>
      <c r="H16" s="22"/>
    </row>
    <row r="17" spans="1:11" x14ac:dyDescent="0.2">
      <c r="B17" s="87" t="s">
        <v>46</v>
      </c>
      <c r="C17" s="88">
        <v>42821</v>
      </c>
      <c r="D17" s="98">
        <v>28</v>
      </c>
      <c r="E17" s="89">
        <v>9.7000000000000003E-2</v>
      </c>
      <c r="F17" s="94">
        <v>3.5000000000000003E-2</v>
      </c>
      <c r="G17" s="90">
        <v>4901.7</v>
      </c>
      <c r="H17" s="91">
        <v>236</v>
      </c>
      <c r="I17" s="92">
        <v>20.72</v>
      </c>
      <c r="J17" s="90">
        <v>-243</v>
      </c>
    </row>
    <row r="18" spans="1:11" x14ac:dyDescent="0.2">
      <c r="A18" s="1" t="s">
        <v>200</v>
      </c>
      <c r="C18" s="15"/>
      <c r="D18" s="15"/>
      <c r="E18" s="23"/>
      <c r="F18" s="93"/>
      <c r="G18" s="72"/>
      <c r="H18" s="82"/>
      <c r="I18" s="21"/>
      <c r="J18" s="85"/>
    </row>
    <row r="19" spans="1:11" x14ac:dyDescent="0.2">
      <c r="B19" s="22" t="s">
        <v>32</v>
      </c>
      <c r="C19" s="15">
        <v>42821</v>
      </c>
      <c r="D19" s="69">
        <v>24</v>
      </c>
      <c r="E19" s="23">
        <v>0.13</v>
      </c>
      <c r="F19" s="93">
        <v>3.5000000000000003E-2</v>
      </c>
      <c r="G19" s="72">
        <v>6808</v>
      </c>
      <c r="H19" s="83">
        <v>299</v>
      </c>
      <c r="I19" s="21">
        <v>21.3</v>
      </c>
      <c r="J19" s="72">
        <v>1026.0999999999999</v>
      </c>
    </row>
    <row r="20" spans="1:11" x14ac:dyDescent="0.2">
      <c r="B20" s="22" t="s">
        <v>55</v>
      </c>
      <c r="C20" s="15">
        <v>42821</v>
      </c>
      <c r="D20" s="69">
        <v>30</v>
      </c>
      <c r="E20" s="23">
        <v>0.157</v>
      </c>
      <c r="F20" s="74" t="s">
        <v>49</v>
      </c>
      <c r="G20" s="72">
        <v>5126</v>
      </c>
      <c r="H20" s="22">
        <v>272</v>
      </c>
      <c r="I20" s="21">
        <v>18.059999999999999</v>
      </c>
      <c r="J20" s="72">
        <v>1275</v>
      </c>
    </row>
    <row r="21" spans="1:11" x14ac:dyDescent="0.2">
      <c r="B21" s="22" t="s">
        <v>54</v>
      </c>
      <c r="C21" s="15">
        <v>42821</v>
      </c>
      <c r="D21" s="69">
        <v>30</v>
      </c>
      <c r="E21" s="23">
        <v>0.11</v>
      </c>
      <c r="F21" s="93">
        <v>0.03</v>
      </c>
      <c r="G21" s="72">
        <v>4634.3</v>
      </c>
      <c r="H21" s="83">
        <v>281.2</v>
      </c>
      <c r="I21" s="21">
        <v>17.02</v>
      </c>
      <c r="J21" s="72">
        <v>351</v>
      </c>
    </row>
    <row r="22" spans="1:11" x14ac:dyDescent="0.2">
      <c r="A22" s="1" t="s">
        <v>202</v>
      </c>
      <c r="C22" s="15"/>
      <c r="D22" s="15"/>
      <c r="E22" s="23"/>
      <c r="F22" s="93"/>
      <c r="G22" s="72"/>
      <c r="H22" s="83"/>
      <c r="I22" s="21"/>
      <c r="J22" s="72"/>
    </row>
    <row r="23" spans="1:11" x14ac:dyDescent="0.2">
      <c r="B23" s="22" t="s">
        <v>189</v>
      </c>
      <c r="C23" s="15">
        <v>42821</v>
      </c>
      <c r="D23" s="69">
        <v>26</v>
      </c>
      <c r="E23" s="19">
        <v>0.1</v>
      </c>
      <c r="F23" s="74" t="s">
        <v>49</v>
      </c>
      <c r="G23" s="72">
        <v>5204.3</v>
      </c>
      <c r="H23" s="84">
        <v>289</v>
      </c>
      <c r="I23" s="21">
        <v>18.16</v>
      </c>
      <c r="J23" s="72">
        <v>351</v>
      </c>
    </row>
    <row r="24" spans="1:11" x14ac:dyDescent="0.2">
      <c r="B24" s="22" t="s">
        <v>64</v>
      </c>
      <c r="C24" s="15">
        <v>42821</v>
      </c>
      <c r="D24" s="69">
        <v>28</v>
      </c>
      <c r="E24" s="23">
        <v>0.15</v>
      </c>
      <c r="F24" s="74" t="s">
        <v>49</v>
      </c>
      <c r="G24" s="72">
        <v>4964.7</v>
      </c>
      <c r="H24" s="74" t="s">
        <v>49</v>
      </c>
      <c r="I24" s="74" t="s">
        <v>49</v>
      </c>
      <c r="J24" s="72">
        <v>634.1</v>
      </c>
    </row>
    <row r="25" spans="1:11" x14ac:dyDescent="0.2">
      <c r="B25" s="22" t="s">
        <v>190</v>
      </c>
      <c r="C25" s="15">
        <v>42821</v>
      </c>
      <c r="D25" s="74" t="s">
        <v>214</v>
      </c>
      <c r="E25" s="74" t="s">
        <v>49</v>
      </c>
      <c r="F25" s="74" t="s">
        <v>49</v>
      </c>
      <c r="G25" s="72">
        <v>5649</v>
      </c>
      <c r="H25" s="84">
        <v>281</v>
      </c>
      <c r="I25" s="21">
        <v>18.89</v>
      </c>
      <c r="J25" s="74">
        <v>953</v>
      </c>
    </row>
    <row r="26" spans="1:11" x14ac:dyDescent="0.2">
      <c r="B26" s="22" t="s">
        <v>60</v>
      </c>
      <c r="C26" s="15">
        <v>42821</v>
      </c>
      <c r="D26" s="69">
        <v>31</v>
      </c>
      <c r="E26" s="23">
        <v>0.11</v>
      </c>
      <c r="F26" s="93">
        <v>0.05</v>
      </c>
      <c r="G26" s="72">
        <v>4621</v>
      </c>
      <c r="H26" s="74" t="s">
        <v>49</v>
      </c>
      <c r="I26" s="74" t="s">
        <v>49</v>
      </c>
      <c r="J26" s="72">
        <v>390.76609000000002</v>
      </c>
    </row>
    <row r="27" spans="1:11" x14ac:dyDescent="0.2">
      <c r="B27" s="22" t="s">
        <v>33</v>
      </c>
      <c r="C27" s="15">
        <v>42821</v>
      </c>
      <c r="D27" s="69">
        <v>24</v>
      </c>
      <c r="E27" s="23">
        <v>0.18</v>
      </c>
      <c r="F27" s="74" t="s">
        <v>49</v>
      </c>
      <c r="G27" s="72">
        <v>5269</v>
      </c>
      <c r="H27" s="83">
        <v>332</v>
      </c>
      <c r="I27" s="21">
        <v>16.7</v>
      </c>
      <c r="J27" s="72">
        <v>442</v>
      </c>
    </row>
    <row r="28" spans="1:11" x14ac:dyDescent="0.2">
      <c r="A28" s="3"/>
      <c r="B28" s="104" t="s">
        <v>61</v>
      </c>
      <c r="C28" s="105">
        <v>42821</v>
      </c>
      <c r="D28" s="106" t="s">
        <v>214</v>
      </c>
      <c r="E28" s="107">
        <v>0.1</v>
      </c>
      <c r="F28" s="108" t="s">
        <v>49</v>
      </c>
      <c r="G28" s="109">
        <v>4654</v>
      </c>
      <c r="H28" s="108" t="s">
        <v>49</v>
      </c>
      <c r="I28" s="108" t="s">
        <v>49</v>
      </c>
      <c r="J28" s="108" t="s">
        <v>49</v>
      </c>
      <c r="K28" s="3"/>
    </row>
    <row r="29" spans="1:11" x14ac:dyDescent="0.2">
      <c r="B29" s="22"/>
    </row>
    <row r="30" spans="1:11" x14ac:dyDescent="0.2">
      <c r="B30" s="97" t="s">
        <v>93</v>
      </c>
      <c r="C30" s="15"/>
      <c r="D30" s="100">
        <f t="shared" ref="D30" si="0">AVERAGE(D9:D28)</f>
        <v>24.214285714285715</v>
      </c>
      <c r="E30" s="19">
        <f t="shared" ref="E30:J30" si="1">AVERAGE(E9:E28)</f>
        <v>0.12271428571428573</v>
      </c>
      <c r="F30" s="26">
        <f t="shared" si="1"/>
        <v>3.3888888888888885E-2</v>
      </c>
      <c r="G30" s="101">
        <f t="shared" si="1"/>
        <v>5176.9918000000007</v>
      </c>
      <c r="H30" s="102">
        <f t="shared" si="1"/>
        <v>293.68333333333334</v>
      </c>
      <c r="I30" s="21">
        <f t="shared" si="1"/>
        <v>18.864454545454542</v>
      </c>
      <c r="J30" s="72">
        <f t="shared" si="1"/>
        <v>401.53107266666666</v>
      </c>
    </row>
    <row r="31" spans="1:11" x14ac:dyDescent="0.2">
      <c r="B31" s="97" t="s">
        <v>111</v>
      </c>
      <c r="C31" s="15"/>
      <c r="D31" s="100">
        <f t="shared" ref="D31" si="2">MEDIAN(D9:D28)</f>
        <v>24</v>
      </c>
      <c r="E31" s="19">
        <f t="shared" ref="E31:J31" si="3">MEDIAN(E9:E28)</f>
        <v>0.11499999999999999</v>
      </c>
      <c r="F31" s="26">
        <f t="shared" si="3"/>
        <v>3.5000000000000003E-2</v>
      </c>
      <c r="G31" s="101">
        <f t="shared" si="3"/>
        <v>4964.7</v>
      </c>
      <c r="H31" s="102">
        <f t="shared" si="3"/>
        <v>285.10000000000002</v>
      </c>
      <c r="I31" s="21">
        <f t="shared" si="3"/>
        <v>18.89</v>
      </c>
      <c r="J31" s="72">
        <f t="shared" si="3"/>
        <v>390.76609000000002</v>
      </c>
    </row>
    <row r="32" spans="1:11" x14ac:dyDescent="0.2">
      <c r="B32" s="97" t="s">
        <v>194</v>
      </c>
      <c r="C32" s="15"/>
      <c r="D32" s="100">
        <f t="shared" ref="D32" si="4">MAX(D9:D28)</f>
        <v>31</v>
      </c>
      <c r="E32" s="19">
        <f t="shared" ref="E32:J32" si="5">MAX(E9:E28)</f>
        <v>0.18</v>
      </c>
      <c r="F32" s="26">
        <f t="shared" si="5"/>
        <v>0.06</v>
      </c>
      <c r="G32" s="101">
        <f t="shared" si="5"/>
        <v>6808</v>
      </c>
      <c r="H32" s="102">
        <f t="shared" si="5"/>
        <v>369</v>
      </c>
      <c r="I32" s="21">
        <f t="shared" si="5"/>
        <v>22.41</v>
      </c>
      <c r="J32" s="72">
        <f t="shared" si="5"/>
        <v>1275</v>
      </c>
    </row>
    <row r="33" spans="1:12" x14ac:dyDescent="0.2">
      <c r="B33" s="97" t="s">
        <v>195</v>
      </c>
      <c r="C33" s="15"/>
      <c r="D33" s="100">
        <f t="shared" ref="D33:J33" si="6">MIN(D9:D28)</f>
        <v>10</v>
      </c>
      <c r="E33" s="19">
        <f t="shared" si="6"/>
        <v>9.7000000000000003E-2</v>
      </c>
      <c r="F33" s="26">
        <f t="shared" si="6"/>
        <v>-0.02</v>
      </c>
      <c r="G33" s="101">
        <f t="shared" si="6"/>
        <v>3862.7</v>
      </c>
      <c r="H33" s="102">
        <f t="shared" si="6"/>
        <v>236</v>
      </c>
      <c r="I33" s="21">
        <f t="shared" si="6"/>
        <v>14.09</v>
      </c>
      <c r="J33" s="72">
        <f t="shared" si="6"/>
        <v>-592</v>
      </c>
    </row>
    <row r="34" spans="1:12" x14ac:dyDescent="0.2">
      <c r="B34" s="97" t="s">
        <v>213</v>
      </c>
      <c r="C34" s="15"/>
      <c r="D34" s="99">
        <f t="shared" ref="D34:J34" si="7">_xlfn.STDEV.S(D9:D28)</f>
        <v>5.5355990771421624</v>
      </c>
      <c r="E34" s="13">
        <f t="shared" si="7"/>
        <v>2.4882581400306008E-2</v>
      </c>
      <c r="F34" s="12">
        <f t="shared" si="7"/>
        <v>2.2469114604521275E-2</v>
      </c>
      <c r="G34" s="69">
        <f t="shared" si="7"/>
        <v>794.68108058337873</v>
      </c>
      <c r="H34" s="103">
        <f t="shared" si="7"/>
        <v>38.328290840942586</v>
      </c>
      <c r="I34" s="9">
        <f t="shared" si="7"/>
        <v>2.4416871774917022</v>
      </c>
      <c r="J34" s="69">
        <f t="shared" si="7"/>
        <v>487.10683356948272</v>
      </c>
    </row>
    <row r="35" spans="1:12" x14ac:dyDescent="0.2">
      <c r="B35" s="97" t="s">
        <v>248</v>
      </c>
      <c r="D35" s="40">
        <f>D34/D30</f>
        <v>0.22860881144539902</v>
      </c>
      <c r="E35" s="40">
        <f t="shared" ref="E35:J35" si="8">E34/E30</f>
        <v>0.20276841653334346</v>
      </c>
      <c r="F35" s="40">
        <f t="shared" si="8"/>
        <v>0.66302305390390659</v>
      </c>
      <c r="G35" s="40">
        <f t="shared" si="8"/>
        <v>0.15350248006639272</v>
      </c>
      <c r="H35" s="40">
        <f t="shared" si="8"/>
        <v>0.13050890701189236</v>
      </c>
      <c r="I35" s="40">
        <f t="shared" si="8"/>
        <v>0.12943322435368457</v>
      </c>
      <c r="J35" s="40">
        <f t="shared" si="8"/>
        <v>1.2131236328349047</v>
      </c>
    </row>
    <row r="36" spans="1:12" ht="8" customHeight="1" thickBot="1" x14ac:dyDescent="0.25">
      <c r="A36" s="14"/>
      <c r="B36" s="14"/>
      <c r="C36" s="14"/>
      <c r="D36" s="14"/>
      <c r="E36" s="14"/>
      <c r="F36" s="14"/>
      <c r="G36" s="14"/>
      <c r="H36" s="14"/>
      <c r="I36" s="14"/>
      <c r="J36" s="14"/>
      <c r="K36" s="14"/>
      <c r="L36" s="63"/>
    </row>
    <row r="38" spans="1:12" x14ac:dyDescent="0.2">
      <c r="A38" s="116" t="s">
        <v>249</v>
      </c>
    </row>
    <row r="39" spans="1:12" ht="26.5" customHeight="1" x14ac:dyDescent="0.2">
      <c r="A39" s="130" t="s">
        <v>250</v>
      </c>
      <c r="B39" s="130"/>
      <c r="C39" s="130"/>
      <c r="D39" s="130"/>
      <c r="E39" s="130"/>
      <c r="F39" s="130"/>
      <c r="G39" s="130"/>
      <c r="H39" s="130"/>
      <c r="I39" s="130"/>
      <c r="J39" s="130"/>
    </row>
    <row r="40" spans="1:12" ht="26" customHeight="1" x14ac:dyDescent="0.2">
      <c r="A40" s="130" t="s">
        <v>251</v>
      </c>
      <c r="B40" s="130"/>
      <c r="C40" s="130"/>
      <c r="D40" s="130"/>
      <c r="E40" s="130"/>
      <c r="F40" s="130"/>
      <c r="G40" s="130"/>
      <c r="H40" s="130"/>
      <c r="I40" s="130"/>
      <c r="J40" s="130"/>
    </row>
  </sheetData>
  <mergeCells count="3">
    <mergeCell ref="G4:J4"/>
    <mergeCell ref="A39:J39"/>
    <mergeCell ref="A40:J40"/>
  </mergeCells>
  <pageMargins left="0.7" right="0.7" top="0.75" bottom="0.75" header="0.3" footer="0.3"/>
  <pageSetup scale="91" orientation="portrait" r:id="rId1"/>
  <ignoredErrors>
    <ignoredError sqref="F30:F3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7"/>
  <sheetViews>
    <sheetView workbookViewId="0">
      <selection activeCell="L27" sqref="L27"/>
    </sheetView>
  </sheetViews>
  <sheetFormatPr baseColWidth="10" defaultColWidth="8.83203125" defaultRowHeight="15" x14ac:dyDescent="0.2"/>
  <cols>
    <col min="1" max="2" width="2.83203125" customWidth="1"/>
    <col min="4" max="4" width="7.83203125" customWidth="1"/>
    <col min="5" max="14" width="9.83203125" customWidth="1"/>
    <col min="15" max="15" width="14" customWidth="1"/>
    <col min="16" max="17" width="3.83203125" customWidth="1"/>
  </cols>
  <sheetData>
    <row r="1" spans="1:17" ht="19" x14ac:dyDescent="0.25">
      <c r="A1" s="115" t="s">
        <v>252</v>
      </c>
      <c r="B1" s="2"/>
      <c r="H1" s="57"/>
    </row>
    <row r="3" spans="1:17" ht="16" thickBot="1" x14ac:dyDescent="0.25">
      <c r="A3" s="14"/>
      <c r="B3" s="14"/>
      <c r="C3" s="14"/>
      <c r="D3" s="14"/>
      <c r="E3" s="14"/>
      <c r="F3" s="14"/>
      <c r="G3" s="14"/>
      <c r="H3" s="14"/>
      <c r="I3" s="14"/>
      <c r="J3" s="14"/>
      <c r="K3" s="14"/>
      <c r="L3" s="14"/>
      <c r="M3" s="14"/>
      <c r="N3" s="14"/>
      <c r="O3" s="14"/>
    </row>
    <row r="4" spans="1:17" x14ac:dyDescent="0.2">
      <c r="A4" s="17"/>
      <c r="B4" s="17"/>
      <c r="C4" s="17"/>
      <c r="D4" s="17"/>
      <c r="E4" s="38" t="s">
        <v>278</v>
      </c>
      <c r="F4" s="131" t="s">
        <v>184</v>
      </c>
      <c r="G4" s="131"/>
      <c r="H4" s="131"/>
      <c r="I4" s="131"/>
      <c r="J4" s="131"/>
      <c r="K4" s="131"/>
      <c r="L4" s="131"/>
      <c r="M4" s="131"/>
      <c r="N4" s="131"/>
      <c r="O4" s="131"/>
      <c r="P4" s="17"/>
      <c r="Q4" s="17"/>
    </row>
    <row r="5" spans="1:17" x14ac:dyDescent="0.2">
      <c r="A5" s="4" t="s">
        <v>26</v>
      </c>
      <c r="B5" s="4"/>
      <c r="C5" s="3"/>
      <c r="D5" s="3"/>
      <c r="E5" s="11">
        <v>2016</v>
      </c>
      <c r="F5" s="4">
        <v>2017</v>
      </c>
      <c r="G5" s="4">
        <v>2018</v>
      </c>
      <c r="H5" s="4">
        <v>2019</v>
      </c>
      <c r="I5" s="4">
        <v>2020</v>
      </c>
      <c r="J5" s="4">
        <v>2021</v>
      </c>
      <c r="K5" s="4">
        <v>2022</v>
      </c>
      <c r="L5" s="4">
        <v>2023</v>
      </c>
      <c r="M5" s="4">
        <v>2024</v>
      </c>
      <c r="N5" s="4">
        <v>2025</v>
      </c>
      <c r="O5" s="8" t="s">
        <v>226</v>
      </c>
    </row>
    <row r="6" spans="1:17" ht="6" customHeight="1" x14ac:dyDescent="0.2">
      <c r="A6" s="1"/>
    </row>
    <row r="7" spans="1:17" x14ac:dyDescent="0.2">
      <c r="A7" s="1" t="s">
        <v>29</v>
      </c>
      <c r="E7" s="57"/>
    </row>
    <row r="8" spans="1:17" x14ac:dyDescent="0.2">
      <c r="B8" t="s">
        <v>27</v>
      </c>
      <c r="E8" s="16">
        <v>404.5</v>
      </c>
      <c r="F8" s="16">
        <v>943.7</v>
      </c>
      <c r="G8" s="16">
        <v>1934.7</v>
      </c>
      <c r="H8" s="16">
        <v>3254</v>
      </c>
      <c r="I8" s="16">
        <v>4901.7</v>
      </c>
      <c r="J8" s="16">
        <v>6907.3</v>
      </c>
      <c r="K8" s="16">
        <v>9188.5</v>
      </c>
      <c r="L8" s="16">
        <v>11635.3</v>
      </c>
      <c r="M8" s="16">
        <v>14130.6</v>
      </c>
      <c r="N8" s="16">
        <v>16568.900000000001</v>
      </c>
      <c r="O8" s="16">
        <v>17148.8</v>
      </c>
    </row>
    <row r="9" spans="1:17" x14ac:dyDescent="0.2">
      <c r="C9" t="s">
        <v>24</v>
      </c>
      <c r="E9" s="12">
        <v>5.8949999999999996</v>
      </c>
      <c r="F9" s="12">
        <v>1.333</v>
      </c>
      <c r="G9" s="12">
        <v>1.05</v>
      </c>
      <c r="H9" s="12">
        <v>0.68200000000000005</v>
      </c>
      <c r="I9" s="12">
        <v>0.50600000000000001</v>
      </c>
      <c r="J9" s="12">
        <v>0.40899999999999997</v>
      </c>
      <c r="K9" s="12">
        <v>0.33</v>
      </c>
      <c r="L9" s="12">
        <v>0.26600000000000001</v>
      </c>
      <c r="M9" s="12">
        <v>0.214</v>
      </c>
      <c r="N9" s="12">
        <v>0.17299999999999999</v>
      </c>
      <c r="O9" s="114">
        <f>(O8-N8)/N8</f>
        <v>3.4999305928576897E-2</v>
      </c>
    </row>
    <row r="10" spans="1:17" x14ac:dyDescent="0.2">
      <c r="B10" t="s">
        <v>225</v>
      </c>
      <c r="E10" s="16">
        <v>-459.4</v>
      </c>
      <c r="F10" s="16">
        <v>-771.9</v>
      </c>
      <c r="G10" s="16">
        <v>-609.5</v>
      </c>
      <c r="H10" s="16">
        <v>-194.6</v>
      </c>
      <c r="I10" s="16">
        <v>362.6</v>
      </c>
      <c r="J10" s="16">
        <v>1474</v>
      </c>
      <c r="K10" s="16">
        <v>2616.1</v>
      </c>
      <c r="L10" s="16">
        <v>3887.8</v>
      </c>
      <c r="M10" s="16">
        <v>5222.5</v>
      </c>
      <c r="N10" s="16">
        <v>6573.6</v>
      </c>
      <c r="O10" s="16">
        <v>6803.7</v>
      </c>
    </row>
    <row r="11" spans="1:17" x14ac:dyDescent="0.2">
      <c r="C11" t="s">
        <v>224</v>
      </c>
      <c r="E11" s="12">
        <f t="shared" ref="E11:O11" si="0">E10/E8</f>
        <v>-1.1357231149567366</v>
      </c>
      <c r="F11" s="12">
        <f t="shared" si="0"/>
        <v>-0.81795061990039197</v>
      </c>
      <c r="G11" s="12">
        <f t="shared" si="0"/>
        <v>-0.31503592288210058</v>
      </c>
      <c r="H11" s="12">
        <f t="shared" si="0"/>
        <v>-5.980331899200983E-2</v>
      </c>
      <c r="I11" s="12">
        <f t="shared" si="0"/>
        <v>7.3974335434645128E-2</v>
      </c>
      <c r="J11" s="12">
        <f t="shared" si="0"/>
        <v>0.21339742012074181</v>
      </c>
      <c r="K11" s="12">
        <f t="shared" si="0"/>
        <v>0.28471458888828427</v>
      </c>
      <c r="L11" s="12">
        <f t="shared" si="0"/>
        <v>0.33413835483399656</v>
      </c>
      <c r="M11" s="12">
        <f t="shared" si="0"/>
        <v>0.36958798635585183</v>
      </c>
      <c r="N11" s="12">
        <f t="shared" si="0"/>
        <v>0.39674329617536469</v>
      </c>
      <c r="O11" s="12">
        <f t="shared" si="0"/>
        <v>0.39674496174659452</v>
      </c>
    </row>
    <row r="12" spans="1:17" ht="6" customHeight="1" x14ac:dyDescent="0.2">
      <c r="E12" s="12"/>
      <c r="F12" s="12"/>
      <c r="G12" s="12"/>
      <c r="H12" s="12"/>
      <c r="I12" s="12"/>
      <c r="J12" s="12"/>
      <c r="K12" s="12"/>
      <c r="L12" s="12"/>
      <c r="M12" s="12"/>
      <c r="N12" s="12"/>
      <c r="O12" s="12"/>
    </row>
    <row r="13" spans="1:17" x14ac:dyDescent="0.2">
      <c r="A13" s="1" t="s">
        <v>28</v>
      </c>
    </row>
    <row r="14" spans="1:17" x14ac:dyDescent="0.2">
      <c r="A14" s="1"/>
      <c r="B14" s="29" t="s">
        <v>274</v>
      </c>
      <c r="E14" s="16">
        <v>0</v>
      </c>
      <c r="F14" s="16">
        <v>0</v>
      </c>
      <c r="G14" s="16">
        <v>0</v>
      </c>
      <c r="H14" s="16">
        <v>0</v>
      </c>
      <c r="I14" s="16">
        <v>0</v>
      </c>
      <c r="J14" s="16">
        <v>0</v>
      </c>
      <c r="K14" s="16">
        <v>0</v>
      </c>
      <c r="L14" s="16">
        <v>0</v>
      </c>
      <c r="M14" s="16">
        <v>823.3</v>
      </c>
      <c r="N14" s="16">
        <v>1448.4</v>
      </c>
      <c r="O14" s="16"/>
    </row>
    <row r="15" spans="1:17" x14ac:dyDescent="0.2">
      <c r="B15" s="29" t="s">
        <v>275</v>
      </c>
      <c r="E15" s="16">
        <v>150.5</v>
      </c>
      <c r="F15" s="16">
        <v>256.60000000000002</v>
      </c>
      <c r="G15" s="16">
        <v>227.5</v>
      </c>
      <c r="H15" s="16">
        <v>230.5</v>
      </c>
      <c r="I15" s="16">
        <v>228.4</v>
      </c>
      <c r="J15" s="16">
        <v>208.9</v>
      </c>
      <c r="K15" s="16">
        <v>223.8</v>
      </c>
      <c r="L15" s="16">
        <v>248.1</v>
      </c>
      <c r="M15" s="16">
        <v>206.9</v>
      </c>
      <c r="N15" s="16">
        <v>150.6</v>
      </c>
      <c r="O15" s="16"/>
    </row>
    <row r="16" spans="1:17" x14ac:dyDescent="0.2">
      <c r="B16" s="29" t="s">
        <v>276</v>
      </c>
      <c r="E16" s="16">
        <v>67</v>
      </c>
      <c r="F16" s="16">
        <v>82.6</v>
      </c>
      <c r="G16" s="16">
        <v>96.6</v>
      </c>
      <c r="H16" s="16">
        <v>109.1</v>
      </c>
      <c r="I16" s="16">
        <v>120.1</v>
      </c>
      <c r="J16" s="16">
        <v>130.1</v>
      </c>
      <c r="K16" s="16">
        <v>140.1</v>
      </c>
      <c r="L16" s="16">
        <v>148.1</v>
      </c>
      <c r="M16" s="16">
        <v>155.1</v>
      </c>
      <c r="N16" s="16">
        <v>161.1</v>
      </c>
      <c r="O16" s="16"/>
    </row>
    <row r="17" spans="1:16" x14ac:dyDescent="0.2">
      <c r="B17" s="29" t="s">
        <v>277</v>
      </c>
      <c r="E17" s="111">
        <v>31.8</v>
      </c>
      <c r="F17" s="111">
        <v>75</v>
      </c>
      <c r="G17" s="111">
        <v>159.30000000000001</v>
      </c>
      <c r="H17" s="111">
        <v>202.8</v>
      </c>
      <c r="I17" s="111">
        <v>256.5</v>
      </c>
      <c r="J17" s="111">
        <v>316.60000000000002</v>
      </c>
      <c r="K17" s="111">
        <v>421.1</v>
      </c>
      <c r="L17" s="111">
        <v>533.29999999999995</v>
      </c>
      <c r="M17" s="111">
        <v>647.70000000000005</v>
      </c>
      <c r="N17" s="111">
        <v>759.4</v>
      </c>
      <c r="O17" s="16"/>
    </row>
    <row r="18" spans="1:16" x14ac:dyDescent="0.2">
      <c r="C18" s="1" t="s">
        <v>223</v>
      </c>
      <c r="E18" s="71">
        <v>-708.8</v>
      </c>
      <c r="F18" s="71">
        <v>-1186.2</v>
      </c>
      <c r="G18" s="71">
        <v>-1093</v>
      </c>
      <c r="H18" s="71">
        <v>-737.1</v>
      </c>
      <c r="I18" s="71">
        <v>-242.5</v>
      </c>
      <c r="J18" s="71">
        <f>J10-SUM(J14:J17)</f>
        <v>818.4</v>
      </c>
      <c r="K18" s="71">
        <f>K10-SUM(K14:K17)</f>
        <v>1831.1</v>
      </c>
      <c r="L18" s="71">
        <v>2958.2</v>
      </c>
      <c r="M18" s="71">
        <v>3389.6</v>
      </c>
      <c r="N18" s="71">
        <v>4054.2</v>
      </c>
      <c r="O18" s="71">
        <v>4196.1000000000004</v>
      </c>
    </row>
    <row r="19" spans="1:16" ht="6" customHeight="1" thickBot="1" x14ac:dyDescent="0.25">
      <c r="A19" s="14"/>
      <c r="B19" s="14"/>
      <c r="C19" s="14"/>
      <c r="D19" s="14"/>
      <c r="E19" s="14"/>
      <c r="F19" s="14"/>
      <c r="G19" s="14"/>
      <c r="H19" s="14"/>
      <c r="I19" s="14"/>
      <c r="J19" s="14"/>
      <c r="K19" s="14"/>
      <c r="L19" s="14"/>
      <c r="M19" s="14"/>
      <c r="N19" s="14"/>
      <c r="O19" s="14"/>
    </row>
    <row r="20" spans="1:16" ht="4" customHeight="1" x14ac:dyDescent="0.2"/>
    <row r="21" spans="1:16" ht="4" customHeight="1" thickBot="1" x14ac:dyDescent="0.25">
      <c r="A21" s="14"/>
      <c r="B21" s="14"/>
      <c r="C21" s="14"/>
      <c r="D21" s="14"/>
      <c r="E21" s="14"/>
      <c r="F21" s="14"/>
      <c r="G21" s="14"/>
      <c r="H21" s="14"/>
      <c r="I21" s="14"/>
      <c r="J21" s="14"/>
      <c r="K21" s="14"/>
      <c r="L21" s="14"/>
      <c r="M21" s="14"/>
      <c r="N21" s="14"/>
      <c r="O21" s="14"/>
      <c r="P21" s="14"/>
    </row>
    <row r="22" spans="1:16" x14ac:dyDescent="0.2">
      <c r="A22" s="48" t="s">
        <v>230</v>
      </c>
      <c r="B22" s="3"/>
      <c r="C22" s="3"/>
      <c r="D22" s="3"/>
      <c r="E22" s="3"/>
      <c r="F22" s="3"/>
      <c r="G22" s="3"/>
      <c r="H22" s="3"/>
      <c r="I22" s="3"/>
      <c r="J22" s="3"/>
      <c r="L22" s="48" t="s">
        <v>228</v>
      </c>
      <c r="M22" s="3"/>
      <c r="N22" s="3"/>
      <c r="O22" s="17"/>
    </row>
    <row r="23" spans="1:16" ht="8" customHeight="1" x14ac:dyDescent="0.2"/>
    <row r="24" spans="1:16" x14ac:dyDescent="0.2">
      <c r="B24" t="s">
        <v>114</v>
      </c>
      <c r="E24" s="46">
        <v>0.03</v>
      </c>
      <c r="G24" t="s">
        <v>273</v>
      </c>
      <c r="J24" s="47">
        <v>1404</v>
      </c>
      <c r="L24" s="4" t="s">
        <v>229</v>
      </c>
      <c r="M24" s="3"/>
      <c r="N24" s="49">
        <v>43186</v>
      </c>
    </row>
    <row r="25" spans="1:16" x14ac:dyDescent="0.2">
      <c r="B25" t="s">
        <v>209</v>
      </c>
      <c r="E25" s="56">
        <v>0.02</v>
      </c>
      <c r="G25" t="s">
        <v>227</v>
      </c>
      <c r="J25" s="16">
        <v>2081</v>
      </c>
      <c r="M25" t="s">
        <v>119</v>
      </c>
      <c r="N25" s="112">
        <v>3.0599999999999999E-2</v>
      </c>
    </row>
    <row r="26" spans="1:16" x14ac:dyDescent="0.2">
      <c r="B26" t="s">
        <v>116</v>
      </c>
      <c r="E26" s="45">
        <v>0.35</v>
      </c>
      <c r="M26" t="s">
        <v>118</v>
      </c>
      <c r="N26" s="112">
        <v>2.3800000000000002E-2</v>
      </c>
    </row>
    <row r="27" spans="1:16" x14ac:dyDescent="0.2">
      <c r="B27" t="s">
        <v>115</v>
      </c>
      <c r="E27" s="60">
        <v>9.9000000000000005E-2</v>
      </c>
      <c r="G27" t="s">
        <v>117</v>
      </c>
      <c r="J27" s="13">
        <v>3.5000000000000003E-2</v>
      </c>
    </row>
    <row r="28" spans="1:16" ht="16" thickBot="1" x14ac:dyDescent="0.25">
      <c r="B28" t="s">
        <v>159</v>
      </c>
      <c r="E28" s="60">
        <v>5.5899999999999998E-2</v>
      </c>
    </row>
    <row r="29" spans="1:16" ht="16" thickBot="1" x14ac:dyDescent="0.25">
      <c r="B29" t="s">
        <v>120</v>
      </c>
      <c r="E29" s="113">
        <v>9.7000000000000003E-2</v>
      </c>
    </row>
    <row r="30" spans="1:16" ht="8" customHeight="1" thickBot="1" x14ac:dyDescent="0.25">
      <c r="A30" s="14"/>
      <c r="B30" s="14"/>
      <c r="C30" s="14"/>
      <c r="D30" s="14"/>
      <c r="E30" s="58"/>
      <c r="F30" s="14"/>
      <c r="G30" s="14"/>
      <c r="H30" s="14"/>
      <c r="I30" s="14"/>
      <c r="J30" s="14"/>
      <c r="K30" s="14"/>
      <c r="L30" s="14"/>
      <c r="M30" s="14"/>
      <c r="N30" s="14"/>
      <c r="O30" s="14"/>
      <c r="P30" s="14"/>
    </row>
    <row r="31" spans="1:16" x14ac:dyDescent="0.2">
      <c r="E31" s="46"/>
    </row>
    <row r="32" spans="1:16" x14ac:dyDescent="0.2">
      <c r="A32" s="116" t="s">
        <v>253</v>
      </c>
    </row>
    <row r="33" spans="1:14" x14ac:dyDescent="0.2">
      <c r="A33" s="118" t="s">
        <v>254</v>
      </c>
    </row>
    <row r="34" spans="1:14" ht="10.25" customHeight="1" x14ac:dyDescent="0.2">
      <c r="A34" s="118"/>
    </row>
    <row r="35" spans="1:14" ht="29" customHeight="1" x14ac:dyDescent="0.2">
      <c r="A35" s="130" t="s">
        <v>255</v>
      </c>
      <c r="B35" s="130"/>
      <c r="C35" s="130"/>
      <c r="D35" s="130"/>
      <c r="E35" s="130"/>
      <c r="F35" s="130"/>
      <c r="G35" s="130"/>
      <c r="H35" s="130"/>
      <c r="I35" s="130"/>
      <c r="J35" s="130"/>
      <c r="K35" s="130"/>
      <c r="L35" s="130"/>
      <c r="M35" s="130"/>
      <c r="N35" s="130"/>
    </row>
    <row r="36" spans="1:14" ht="10.25" customHeight="1" x14ac:dyDescent="0.2">
      <c r="A36" s="119"/>
      <c r="B36" s="119"/>
      <c r="C36" s="119"/>
      <c r="D36" s="119"/>
      <c r="E36" s="119"/>
      <c r="F36" s="119"/>
      <c r="G36" s="119"/>
      <c r="H36" s="119"/>
      <c r="I36" s="119"/>
      <c r="J36" s="119"/>
      <c r="K36" s="119"/>
      <c r="L36" s="119"/>
      <c r="M36" s="119"/>
      <c r="N36" s="119"/>
    </row>
    <row r="37" spans="1:14" ht="57.5" customHeight="1" x14ac:dyDescent="0.2">
      <c r="A37" s="130" t="s">
        <v>256</v>
      </c>
      <c r="B37" s="130"/>
      <c r="C37" s="130"/>
      <c r="D37" s="130"/>
      <c r="E37" s="130"/>
      <c r="F37" s="130"/>
      <c r="G37" s="130"/>
      <c r="H37" s="130"/>
      <c r="I37" s="130"/>
      <c r="J37" s="130"/>
      <c r="K37" s="130"/>
      <c r="L37" s="130"/>
      <c r="M37" s="130"/>
      <c r="N37" s="130"/>
    </row>
  </sheetData>
  <mergeCells count="3">
    <mergeCell ref="F4:O4"/>
    <mergeCell ref="A35:N35"/>
    <mergeCell ref="A37:N37"/>
  </mergeCells>
  <pageMargins left="0.7" right="0.7" top="0.47" bottom="0.35" header="0.3" footer="0.3"/>
  <pageSetup scale="8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30"/>
  <sheetViews>
    <sheetView workbookViewId="0">
      <selection activeCell="A28" sqref="A28:J28"/>
    </sheetView>
  </sheetViews>
  <sheetFormatPr baseColWidth="10" defaultColWidth="8.83203125" defaultRowHeight="15" x14ac:dyDescent="0.2"/>
  <cols>
    <col min="1" max="1" width="13.83203125" customWidth="1"/>
    <col min="2" max="2" width="11.83203125" customWidth="1"/>
    <col min="3" max="3" width="9.6640625" customWidth="1"/>
    <col min="4" max="4" width="2.83203125" customWidth="1"/>
    <col min="5" max="6" width="10.33203125" customWidth="1"/>
    <col min="7" max="7" width="2.83203125" customWidth="1"/>
    <col min="10" max="10" width="10.83203125" customWidth="1"/>
    <col min="11" max="11" width="3.83203125" customWidth="1"/>
    <col min="12" max="12" width="5.1640625" customWidth="1"/>
  </cols>
  <sheetData>
    <row r="1" spans="1:11" ht="16" x14ac:dyDescent="0.2">
      <c r="A1" s="115" t="s">
        <v>257</v>
      </c>
    </row>
    <row r="3" spans="1:11" ht="16" thickBot="1" x14ac:dyDescent="0.25">
      <c r="A3" s="14"/>
      <c r="B3" s="14"/>
      <c r="C3" s="14"/>
      <c r="D3" s="14"/>
      <c r="E3" s="14"/>
      <c r="F3" s="14"/>
      <c r="G3" s="14"/>
      <c r="H3" s="14"/>
      <c r="I3" s="14"/>
      <c r="J3" s="14"/>
      <c r="K3" s="14"/>
    </row>
    <row r="4" spans="1:11" x14ac:dyDescent="0.2">
      <c r="A4" s="17"/>
      <c r="B4" s="17"/>
      <c r="C4" s="17"/>
      <c r="D4" s="17"/>
      <c r="E4" s="17"/>
      <c r="F4" s="17"/>
      <c r="G4" s="17"/>
      <c r="H4" s="129" t="s">
        <v>206</v>
      </c>
      <c r="I4" s="129"/>
      <c r="J4" s="129"/>
      <c r="K4" s="17"/>
    </row>
    <row r="5" spans="1:11" x14ac:dyDescent="0.2">
      <c r="A5" s="17"/>
      <c r="B5" s="126" t="s">
        <v>112</v>
      </c>
      <c r="C5" s="126"/>
      <c r="D5" s="17"/>
      <c r="E5" s="126" t="s">
        <v>153</v>
      </c>
      <c r="F5" s="126"/>
      <c r="G5" s="17"/>
      <c r="H5" s="38"/>
      <c r="I5" s="38" t="s">
        <v>161</v>
      </c>
      <c r="J5" s="38" t="s">
        <v>163</v>
      </c>
      <c r="K5" s="59"/>
    </row>
    <row r="6" spans="1:11" x14ac:dyDescent="0.2">
      <c r="B6" s="7" t="s">
        <v>35</v>
      </c>
      <c r="E6" s="7" t="s">
        <v>109</v>
      </c>
      <c r="F6" s="7" t="s">
        <v>110</v>
      </c>
      <c r="H6" s="7"/>
      <c r="I6" s="7" t="s">
        <v>165</v>
      </c>
      <c r="J6" s="7" t="s">
        <v>164</v>
      </c>
      <c r="K6" s="7"/>
    </row>
    <row r="7" spans="1:11" x14ac:dyDescent="0.2">
      <c r="A7" s="4" t="s">
        <v>107</v>
      </c>
      <c r="B7" s="8" t="s">
        <v>30</v>
      </c>
      <c r="C7" s="8" t="s">
        <v>45</v>
      </c>
      <c r="D7" s="3"/>
      <c r="E7" s="8" t="s">
        <v>10</v>
      </c>
      <c r="F7" s="8" t="s">
        <v>108</v>
      </c>
      <c r="G7" s="3"/>
      <c r="H7" s="8" t="s">
        <v>160</v>
      </c>
      <c r="I7" s="8" t="s">
        <v>162</v>
      </c>
      <c r="J7" s="8" t="s">
        <v>162</v>
      </c>
      <c r="K7" s="8"/>
    </row>
    <row r="8" spans="1:11" ht="8" customHeight="1" thickBot="1" x14ac:dyDescent="0.25">
      <c r="A8" s="1"/>
      <c r="B8" s="38"/>
      <c r="C8" s="38"/>
    </row>
    <row r="9" spans="1:11" ht="16" thickBot="1" x14ac:dyDescent="0.25">
      <c r="A9" t="s">
        <v>151</v>
      </c>
      <c r="B9" s="25">
        <v>43186</v>
      </c>
      <c r="C9" s="77">
        <v>9.7000000000000003E-2</v>
      </c>
    </row>
    <row r="10" spans="1:11" ht="8" customHeight="1" x14ac:dyDescent="0.2">
      <c r="C10" s="23"/>
    </row>
    <row r="11" spans="1:11" x14ac:dyDescent="0.2">
      <c r="A11" t="s">
        <v>106</v>
      </c>
      <c r="B11" s="25">
        <v>42817</v>
      </c>
      <c r="C11" s="23">
        <v>0.08</v>
      </c>
      <c r="E11" s="40">
        <v>0.99134</v>
      </c>
      <c r="F11" s="40">
        <v>1.33985</v>
      </c>
      <c r="H11" s="16">
        <v>12918</v>
      </c>
      <c r="I11" s="16">
        <v>3935</v>
      </c>
      <c r="J11" s="16">
        <v>539069.52974999999</v>
      </c>
    </row>
    <row r="12" spans="1:11" x14ac:dyDescent="0.2">
      <c r="A12" t="s">
        <v>104</v>
      </c>
      <c r="B12" s="25">
        <v>42753</v>
      </c>
      <c r="C12" s="19">
        <v>7.4999999999999997E-2</v>
      </c>
      <c r="E12" s="44">
        <v>0.97140000000000004</v>
      </c>
      <c r="F12" s="44">
        <v>1.3001</v>
      </c>
      <c r="H12" s="16">
        <v>19334</v>
      </c>
      <c r="I12" s="16">
        <v>20413</v>
      </c>
      <c r="J12" s="16">
        <v>356313.12359999999</v>
      </c>
    </row>
    <row r="13" spans="1:11" x14ac:dyDescent="0.2">
      <c r="A13" t="s">
        <v>166</v>
      </c>
      <c r="B13" s="25">
        <v>42754</v>
      </c>
      <c r="C13" s="19">
        <v>6.3E-2</v>
      </c>
      <c r="E13" s="44">
        <v>1.3120000000000001</v>
      </c>
      <c r="F13" s="44">
        <v>1.3819999999999999</v>
      </c>
      <c r="G13" s="22"/>
      <c r="H13" s="72">
        <v>1816</v>
      </c>
      <c r="I13" s="72">
        <v>8960</v>
      </c>
      <c r="J13" s="72">
        <v>33191</v>
      </c>
    </row>
    <row r="14" spans="1:11" x14ac:dyDescent="0.2">
      <c r="A14" t="s">
        <v>103</v>
      </c>
      <c r="B14" s="25">
        <v>42795</v>
      </c>
      <c r="C14" s="23">
        <v>8.1000000000000003E-2</v>
      </c>
      <c r="E14" s="44">
        <v>1.5708299999999999</v>
      </c>
      <c r="F14" s="44">
        <v>2.32002</v>
      </c>
      <c r="G14" s="22"/>
      <c r="H14" s="72">
        <v>181.59200000000001</v>
      </c>
      <c r="I14" s="72">
        <v>12.125</v>
      </c>
      <c r="J14" s="72">
        <v>1361.40049</v>
      </c>
    </row>
    <row r="15" spans="1:11" x14ac:dyDescent="0.2">
      <c r="A15" t="s">
        <v>98</v>
      </c>
      <c r="B15" s="25">
        <v>42768</v>
      </c>
      <c r="C15" s="23">
        <v>8.5999999999999993E-2</v>
      </c>
      <c r="E15" s="44">
        <v>0.85634999999999994</v>
      </c>
      <c r="F15" s="44">
        <v>1.1151199999999999</v>
      </c>
      <c r="G15" s="22"/>
      <c r="H15" s="72">
        <v>8903</v>
      </c>
      <c r="I15" s="72">
        <v>0</v>
      </c>
      <c r="J15" s="72">
        <v>331593.65850000002</v>
      </c>
    </row>
    <row r="16" spans="1:11" x14ac:dyDescent="0.2">
      <c r="A16" t="s">
        <v>100</v>
      </c>
      <c r="B16" s="25">
        <v>42782</v>
      </c>
      <c r="C16" s="23">
        <v>8.2000000000000003E-2</v>
      </c>
      <c r="E16" s="44">
        <v>1.9530700000000001</v>
      </c>
      <c r="F16" s="44">
        <v>2.08412</v>
      </c>
      <c r="G16" s="22"/>
      <c r="H16" s="72">
        <v>862.97699999999998</v>
      </c>
      <c r="I16" s="72">
        <v>227.60300000000001</v>
      </c>
      <c r="J16" s="72">
        <v>1896.2511999999999</v>
      </c>
    </row>
    <row r="17" spans="1:11" x14ac:dyDescent="0.2">
      <c r="A17" t="s">
        <v>105</v>
      </c>
      <c r="B17" s="25">
        <v>42774</v>
      </c>
      <c r="C17" s="23">
        <v>8.5000000000000006E-2</v>
      </c>
      <c r="E17" s="44">
        <v>1.48458</v>
      </c>
      <c r="F17" s="44">
        <v>1.12896</v>
      </c>
      <c r="G17" s="22"/>
      <c r="H17" s="72">
        <v>239.52799999999999</v>
      </c>
      <c r="I17" s="72">
        <v>0</v>
      </c>
      <c r="J17" s="72">
        <v>3220.0012499999998</v>
      </c>
    </row>
    <row r="18" spans="1:11" x14ac:dyDescent="0.2">
      <c r="A18" t="s">
        <v>113</v>
      </c>
      <c r="B18" s="25">
        <v>42489</v>
      </c>
      <c r="C18" s="19">
        <v>9.0999999999999998E-2</v>
      </c>
      <c r="E18" s="73" t="s">
        <v>49</v>
      </c>
      <c r="F18" s="73" t="s">
        <v>49</v>
      </c>
      <c r="G18" s="22"/>
      <c r="H18" s="73" t="s">
        <v>49</v>
      </c>
      <c r="I18" s="73" t="s">
        <v>49</v>
      </c>
      <c r="J18" s="73" t="s">
        <v>49</v>
      </c>
    </row>
    <row r="19" spans="1:11" x14ac:dyDescent="0.2">
      <c r="A19" t="s">
        <v>185</v>
      </c>
      <c r="B19" s="25">
        <v>42794</v>
      </c>
      <c r="C19" s="19">
        <v>0.08</v>
      </c>
      <c r="E19" s="75">
        <v>1.446</v>
      </c>
      <c r="F19" s="75">
        <v>1.331</v>
      </c>
      <c r="G19" s="22"/>
      <c r="H19" s="74">
        <v>2081</v>
      </c>
      <c r="I19" s="74">
        <v>7169</v>
      </c>
      <c r="J19" s="74">
        <v>72343</v>
      </c>
    </row>
    <row r="20" spans="1:11" x14ac:dyDescent="0.2">
      <c r="A20" t="s">
        <v>99</v>
      </c>
      <c r="B20" s="25">
        <v>42775</v>
      </c>
      <c r="C20" s="19">
        <v>6.3E-2</v>
      </c>
      <c r="E20" s="40">
        <v>0.91469999999999996</v>
      </c>
      <c r="F20" s="40">
        <v>1.7140599999999999</v>
      </c>
      <c r="H20" s="16">
        <v>988.59799999999996</v>
      </c>
      <c r="I20" s="16">
        <v>1686.652</v>
      </c>
      <c r="J20" s="16">
        <v>11563.1059</v>
      </c>
    </row>
    <row r="21" spans="1:11" x14ac:dyDescent="0.2">
      <c r="A21" t="s">
        <v>101</v>
      </c>
      <c r="B21" s="25">
        <v>42677</v>
      </c>
      <c r="C21" s="23">
        <v>8.3000000000000004E-2</v>
      </c>
      <c r="E21" s="40">
        <v>1.62635</v>
      </c>
      <c r="F21" s="40">
        <v>1.46468</v>
      </c>
      <c r="H21" s="16">
        <v>272.20100000000002</v>
      </c>
      <c r="I21" s="16">
        <v>0</v>
      </c>
      <c r="J21" s="16">
        <v>2991.6797999999999</v>
      </c>
    </row>
    <row r="22" spans="1:11" x14ac:dyDescent="0.2">
      <c r="A22" t="s">
        <v>102</v>
      </c>
      <c r="B22" s="25">
        <v>42754</v>
      </c>
      <c r="C22" s="23">
        <v>0.09</v>
      </c>
      <c r="E22" s="40">
        <v>1.17621</v>
      </c>
      <c r="F22" s="40">
        <v>1.2196400000000001</v>
      </c>
      <c r="H22" s="16">
        <v>852.46699999999998</v>
      </c>
      <c r="I22" s="16">
        <v>0</v>
      </c>
      <c r="J22" s="16">
        <v>2292.2838200000001</v>
      </c>
    </row>
    <row r="23" spans="1:11" ht="8" customHeight="1" x14ac:dyDescent="0.2">
      <c r="B23" s="25"/>
      <c r="C23" s="23"/>
      <c r="E23" s="6"/>
      <c r="F23" s="6"/>
    </row>
    <row r="24" spans="1:11" x14ac:dyDescent="0.2">
      <c r="A24" s="7" t="s">
        <v>93</v>
      </c>
      <c r="B24" s="25"/>
      <c r="C24" s="76">
        <f>AVERAGE(C11:C22)</f>
        <v>7.9916666666666664E-2</v>
      </c>
      <c r="E24" s="43">
        <f>AVERAGE(E11:E22)</f>
        <v>1.3002572727272728</v>
      </c>
      <c r="F24" s="43">
        <f>AVERAGE(F11:F22)</f>
        <v>1.4908681818181817</v>
      </c>
    </row>
    <row r="25" spans="1:11" x14ac:dyDescent="0.2">
      <c r="A25" s="41" t="s">
        <v>111</v>
      </c>
      <c r="B25" s="42"/>
      <c r="C25" s="76">
        <f>MEDIAN(C11:C22)</f>
        <v>8.1500000000000003E-2</v>
      </c>
      <c r="D25" s="1"/>
      <c r="E25" s="43">
        <f>MEDIAN(E11:E22)</f>
        <v>1.3120000000000001</v>
      </c>
      <c r="F25" s="43">
        <f>MEDIAN(F11:F22)</f>
        <v>1.33985</v>
      </c>
    </row>
    <row r="26" spans="1:11" ht="8" customHeight="1" thickBot="1" x14ac:dyDescent="0.25">
      <c r="A26" s="14"/>
      <c r="B26" s="39"/>
      <c r="C26" s="14"/>
      <c r="D26" s="14"/>
      <c r="E26" s="14"/>
      <c r="F26" s="14"/>
      <c r="G26" s="14"/>
      <c r="H26" s="14"/>
      <c r="I26" s="14"/>
      <c r="J26" s="14"/>
      <c r="K26" s="14"/>
    </row>
    <row r="28" spans="1:11" ht="29" customHeight="1" x14ac:dyDescent="0.2">
      <c r="A28" s="128" t="s">
        <v>258</v>
      </c>
      <c r="B28" s="128"/>
      <c r="C28" s="128"/>
      <c r="D28" s="128"/>
      <c r="E28" s="128"/>
      <c r="F28" s="128"/>
      <c r="G28" s="128"/>
      <c r="H28" s="128"/>
      <c r="I28" s="128"/>
      <c r="J28" s="128"/>
    </row>
    <row r="29" spans="1:11" ht="10.25" customHeight="1" x14ac:dyDescent="0.2"/>
    <row r="30" spans="1:11" x14ac:dyDescent="0.2">
      <c r="A30" s="118" t="s">
        <v>259</v>
      </c>
    </row>
  </sheetData>
  <mergeCells count="4">
    <mergeCell ref="E5:F5"/>
    <mergeCell ref="B5:C5"/>
    <mergeCell ref="H4:J4"/>
    <mergeCell ref="A28:J28"/>
  </mergeCells>
  <pageMargins left="0.7" right="0.7" top="0.75" bottom="0.75" header="0.3" footer="0.3"/>
  <pageSetup scale="9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5"/>
  <sheetViews>
    <sheetView workbookViewId="0">
      <selection activeCell="G24" sqref="G24"/>
    </sheetView>
  </sheetViews>
  <sheetFormatPr baseColWidth="10" defaultColWidth="8.83203125" defaultRowHeight="15" x14ac:dyDescent="0.2"/>
  <cols>
    <col min="1" max="1" width="16.6640625" customWidth="1"/>
    <col min="2" max="3" width="9.83203125" customWidth="1"/>
    <col min="4" max="4" width="4.5" customWidth="1"/>
    <col min="5" max="7" width="11.83203125" customWidth="1"/>
    <col min="8" max="8" width="3.83203125" customWidth="1"/>
    <col min="11" max="11" width="14.33203125" customWidth="1"/>
    <col min="12" max="12" width="10.83203125" customWidth="1"/>
    <col min="13" max="13" width="3.83203125" customWidth="1"/>
    <col min="14" max="14" width="10.83203125" customWidth="1"/>
    <col min="15" max="15" width="3.83203125" customWidth="1"/>
    <col min="16" max="16" width="10.83203125" customWidth="1"/>
  </cols>
  <sheetData>
    <row r="1" spans="1:10" ht="16" x14ac:dyDescent="0.2">
      <c r="A1" s="115" t="s">
        <v>260</v>
      </c>
    </row>
    <row r="3" spans="1:10" ht="16" thickBot="1" x14ac:dyDescent="0.25">
      <c r="A3" s="14"/>
      <c r="B3" s="14"/>
      <c r="C3" s="14"/>
      <c r="D3" s="14"/>
      <c r="E3" s="14"/>
      <c r="F3" s="14"/>
      <c r="G3" s="14"/>
      <c r="H3" s="14"/>
    </row>
    <row r="4" spans="1:10" x14ac:dyDescent="0.2">
      <c r="A4" s="17"/>
      <c r="B4" s="17"/>
      <c r="C4" s="17"/>
      <c r="D4" s="17"/>
      <c r="E4" s="132" t="s">
        <v>222</v>
      </c>
      <c r="F4" s="132"/>
      <c r="G4" s="17"/>
      <c r="H4" s="17"/>
    </row>
    <row r="5" spans="1:10" x14ac:dyDescent="0.2">
      <c r="B5" s="133" t="s">
        <v>91</v>
      </c>
      <c r="C5" s="133"/>
      <c r="E5" s="133" t="s">
        <v>157</v>
      </c>
      <c r="F5" s="133"/>
      <c r="G5" s="7" t="s">
        <v>156</v>
      </c>
    </row>
    <row r="6" spans="1:10" x14ac:dyDescent="0.2">
      <c r="B6" s="126" t="s">
        <v>90</v>
      </c>
      <c r="C6" s="126"/>
      <c r="E6" s="126" t="s">
        <v>158</v>
      </c>
      <c r="F6" s="126"/>
      <c r="G6" s="7" t="s">
        <v>154</v>
      </c>
    </row>
    <row r="7" spans="1:10" x14ac:dyDescent="0.2">
      <c r="A7" s="4" t="s">
        <v>87</v>
      </c>
      <c r="B7" s="8" t="s">
        <v>88</v>
      </c>
      <c r="C7" s="8" t="s">
        <v>89</v>
      </c>
      <c r="D7" s="4"/>
      <c r="E7" s="8" t="s">
        <v>88</v>
      </c>
      <c r="F7" s="8" t="s">
        <v>89</v>
      </c>
      <c r="G7" s="8" t="s">
        <v>155</v>
      </c>
      <c r="H7" s="59"/>
    </row>
    <row r="8" spans="1:10" ht="8" customHeight="1" x14ac:dyDescent="0.2"/>
    <row r="9" spans="1:10" x14ac:dyDescent="0.2">
      <c r="A9" s="30" t="s">
        <v>84</v>
      </c>
      <c r="B9" s="32">
        <v>1148</v>
      </c>
      <c r="C9" s="31">
        <f>B9/B$13</f>
        <v>0.35160796324655436</v>
      </c>
      <c r="D9" s="31"/>
      <c r="E9" s="32">
        <v>286</v>
      </c>
      <c r="F9" s="31">
        <f>E9/E$13</f>
        <v>0.4287856071964018</v>
      </c>
      <c r="G9" s="31">
        <f>E9/B9</f>
        <v>0.24912891986062718</v>
      </c>
    </row>
    <row r="10" spans="1:10" x14ac:dyDescent="0.2">
      <c r="A10" s="30" t="s">
        <v>85</v>
      </c>
      <c r="B10" s="32">
        <v>1418</v>
      </c>
      <c r="C10" s="31">
        <f t="shared" ref="C10:C12" si="0">B10/B$13</f>
        <v>0.43430321592649312</v>
      </c>
      <c r="D10" s="31"/>
      <c r="E10" s="32">
        <v>297</v>
      </c>
      <c r="F10" s="31">
        <f t="shared" ref="F10:F12" si="1">E10/E$13</f>
        <v>0.44527736131934031</v>
      </c>
      <c r="G10" s="31">
        <f t="shared" ref="G10:G12" si="2">E10/B10</f>
        <v>0.20944992947813823</v>
      </c>
    </row>
    <row r="11" spans="1:10" x14ac:dyDescent="0.2">
      <c r="A11" s="30" t="s">
        <v>221</v>
      </c>
      <c r="B11" s="32">
        <v>61</v>
      </c>
      <c r="C11" s="31">
        <f t="shared" si="0"/>
        <v>1.8683001531393569E-2</v>
      </c>
      <c r="D11" s="31"/>
      <c r="E11" s="32">
        <v>8</v>
      </c>
      <c r="F11" s="31">
        <f t="shared" si="1"/>
        <v>1.1994002998500749E-2</v>
      </c>
      <c r="G11" s="31">
        <f t="shared" si="2"/>
        <v>0.13114754098360656</v>
      </c>
    </row>
    <row r="12" spans="1:10" x14ac:dyDescent="0.2">
      <c r="A12" s="30" t="s">
        <v>86</v>
      </c>
      <c r="B12" s="34">
        <v>638</v>
      </c>
      <c r="C12" s="33">
        <f t="shared" si="0"/>
        <v>0.19540581929555895</v>
      </c>
      <c r="D12" s="31"/>
      <c r="E12" s="34">
        <v>76</v>
      </c>
      <c r="F12" s="33">
        <f t="shared" si="1"/>
        <v>0.11394302848575712</v>
      </c>
      <c r="G12" s="31">
        <f t="shared" si="2"/>
        <v>0.11912225705329153</v>
      </c>
    </row>
    <row r="13" spans="1:10" x14ac:dyDescent="0.2">
      <c r="A13" s="7" t="s">
        <v>74</v>
      </c>
      <c r="B13" s="32">
        <f>SUM(B9:B12)</f>
        <v>3265</v>
      </c>
      <c r="C13" s="31">
        <f>SUM(C9:C12)</f>
        <v>1</v>
      </c>
      <c r="D13" s="30"/>
      <c r="E13" s="32">
        <f>SUM(E9:E12)</f>
        <v>667</v>
      </c>
      <c r="F13" s="31">
        <f>SUM(F9:F12)</f>
        <v>1</v>
      </c>
      <c r="G13" s="30"/>
    </row>
    <row r="14" spans="1:10" ht="8" customHeight="1" thickBot="1" x14ac:dyDescent="0.25">
      <c r="A14" s="35"/>
      <c r="B14" s="35"/>
      <c r="C14" s="35"/>
      <c r="D14" s="35"/>
      <c r="E14" s="35"/>
      <c r="F14" s="35"/>
      <c r="G14" s="35"/>
      <c r="H14" s="14"/>
    </row>
    <row r="16" spans="1:10" x14ac:dyDescent="0.2">
      <c r="A16" s="128" t="s">
        <v>261</v>
      </c>
      <c r="B16" s="128"/>
      <c r="C16" s="128"/>
      <c r="D16" s="128"/>
      <c r="E16" s="128"/>
      <c r="F16" s="128"/>
      <c r="G16" s="128"/>
      <c r="H16" s="128"/>
      <c r="I16" s="128"/>
      <c r="J16" s="128"/>
    </row>
    <row r="21" ht="8" customHeight="1" x14ac:dyDescent="0.2"/>
    <row r="25" ht="8" customHeight="1" x14ac:dyDescent="0.2"/>
  </sheetData>
  <mergeCells count="6">
    <mergeCell ref="E4:F4"/>
    <mergeCell ref="A16:J16"/>
    <mergeCell ref="B6:C6"/>
    <mergeCell ref="B5:C5"/>
    <mergeCell ref="E6:F6"/>
    <mergeCell ref="E5:F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workbookViewId="0">
      <selection activeCell="K6" sqref="K6"/>
    </sheetView>
  </sheetViews>
  <sheetFormatPr baseColWidth="10" defaultColWidth="8.83203125" defaultRowHeight="15" x14ac:dyDescent="0.2"/>
  <sheetData>
    <row r="1" spans="1:9" x14ac:dyDescent="0.2">
      <c r="A1" s="95" t="s">
        <v>231</v>
      </c>
    </row>
    <row r="2" spans="1:9" x14ac:dyDescent="0.2">
      <c r="A2" t="s">
        <v>210</v>
      </c>
    </row>
    <row r="3" spans="1:9" x14ac:dyDescent="0.2">
      <c r="A3" s="96" t="s">
        <v>262</v>
      </c>
    </row>
    <row r="4" spans="1:9" x14ac:dyDescent="0.2">
      <c r="A4" s="96" t="s">
        <v>268</v>
      </c>
    </row>
    <row r="5" spans="1:9" x14ac:dyDescent="0.2">
      <c r="A5" s="123" t="s">
        <v>279</v>
      </c>
    </row>
    <row r="6" spans="1:9" x14ac:dyDescent="0.2">
      <c r="A6" s="124"/>
    </row>
    <row r="8" spans="1:9" ht="92.5" customHeight="1" x14ac:dyDescent="0.2">
      <c r="A8" s="125" t="s">
        <v>280</v>
      </c>
      <c r="B8" s="125"/>
      <c r="C8" s="125"/>
      <c r="D8" s="125"/>
      <c r="E8" s="125"/>
      <c r="F8" s="125"/>
      <c r="G8" s="125"/>
      <c r="H8" s="125"/>
      <c r="I8" s="125"/>
    </row>
  </sheetData>
  <mergeCells count="1">
    <mergeCell ref="A8:I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9491-A057-AA49-A966-CF0D736F2B50}">
  <sheetPr>
    <outlinePr summaryBelow="0" summaryRight="0"/>
  </sheetPr>
  <dimension ref="A1:H337"/>
  <sheetViews>
    <sheetView workbookViewId="0">
      <pane ySplit="3" topLeftCell="A296" activePane="bottomLeft" state="frozen"/>
      <selection pane="bottomLeft" activeCell="B317" sqref="B317"/>
    </sheetView>
  </sheetViews>
  <sheetFormatPr baseColWidth="10" defaultRowHeight="13" x14ac:dyDescent="0.15"/>
  <cols>
    <col min="1" max="1" width="59.33203125" style="134" customWidth="1"/>
    <col min="2" max="8" width="24.6640625" style="134" customWidth="1"/>
    <col min="9" max="16384" width="10.83203125" style="134"/>
  </cols>
  <sheetData>
    <row r="1" spans="1:8" x14ac:dyDescent="0.15">
      <c r="A1" s="137" t="s">
        <v>557</v>
      </c>
    </row>
    <row r="2" spans="1:8" x14ac:dyDescent="0.15">
      <c r="A2" s="137" t="s">
        <v>556</v>
      </c>
    </row>
    <row r="3" spans="1:8" x14ac:dyDescent="0.15">
      <c r="A3" s="137"/>
      <c r="B3" s="137">
        <v>2015</v>
      </c>
      <c r="C3" s="137">
        <v>2016</v>
      </c>
      <c r="D3" s="137">
        <v>2017</v>
      </c>
      <c r="E3" s="137">
        <v>2018</v>
      </c>
      <c r="F3" s="137">
        <v>2019</v>
      </c>
      <c r="G3" s="137">
        <v>2020</v>
      </c>
      <c r="H3" s="137">
        <v>2021</v>
      </c>
    </row>
    <row r="4" spans="1:8" x14ac:dyDescent="0.15">
      <c r="A4" s="137"/>
    </row>
    <row r="5" spans="1:8" x14ac:dyDescent="0.15">
      <c r="A5" s="138" t="s">
        <v>555</v>
      </c>
    </row>
    <row r="6" spans="1:8" x14ac:dyDescent="0.15">
      <c r="A6" s="137" t="s">
        <v>554</v>
      </c>
    </row>
    <row r="7" spans="1:8" x14ac:dyDescent="0.15">
      <c r="A7" s="136" t="s">
        <v>553</v>
      </c>
      <c r="B7" s="135">
        <v>640.80999999999995</v>
      </c>
      <c r="C7" s="135">
        <v>987.36800000000005</v>
      </c>
      <c r="D7" s="135">
        <v>2043.039</v>
      </c>
      <c r="E7" s="135">
        <v>1279.0630000000001</v>
      </c>
      <c r="F7" s="135">
        <v>2112.8049999999998</v>
      </c>
      <c r="G7" s="135">
        <v>2537.54</v>
      </c>
      <c r="H7" s="135">
        <v>3692.8850000000002</v>
      </c>
    </row>
    <row r="8" spans="1:8" x14ac:dyDescent="0.15">
      <c r="A8" s="136" t="s">
        <v>552</v>
      </c>
      <c r="B8" s="135">
        <v>640.80999999999995</v>
      </c>
      <c r="C8" s="135">
        <v>150.12100000000001</v>
      </c>
      <c r="D8" s="135">
        <v>334.06299999999999</v>
      </c>
      <c r="E8" s="135">
        <v>387.149</v>
      </c>
      <c r="F8" s="135">
        <v>520.31700000000001</v>
      </c>
      <c r="G8" s="135">
        <v>545.61800000000005</v>
      </c>
      <c r="H8" s="135">
        <v>1993.809</v>
      </c>
    </row>
    <row r="9" spans="1:8" x14ac:dyDescent="0.15">
      <c r="A9" s="136" t="s">
        <v>551</v>
      </c>
      <c r="B9" s="135">
        <v>0</v>
      </c>
      <c r="C9" s="135">
        <v>837.24699999999996</v>
      </c>
      <c r="D9" s="135">
        <v>1708.9760000000001</v>
      </c>
      <c r="E9" s="135">
        <v>891.91399999999999</v>
      </c>
      <c r="F9" s="135">
        <v>1592.4880000000001</v>
      </c>
      <c r="G9" s="135">
        <v>1991.922</v>
      </c>
      <c r="H9" s="135">
        <v>1699.076</v>
      </c>
    </row>
    <row r="10" spans="1:8" x14ac:dyDescent="0.15">
      <c r="A10" s="136" t="s">
        <v>550</v>
      </c>
      <c r="B10" s="135">
        <v>44.325000000000003</v>
      </c>
      <c r="C10" s="135">
        <v>162.65899999999999</v>
      </c>
      <c r="D10" s="135">
        <v>279.47300000000001</v>
      </c>
      <c r="E10" s="135">
        <v>354.96499999999997</v>
      </c>
      <c r="F10" s="135">
        <v>492.19400000000002</v>
      </c>
      <c r="G10" s="135">
        <v>744.28800000000001</v>
      </c>
      <c r="H10" s="135">
        <v>1068.873</v>
      </c>
    </row>
    <row r="11" spans="1:8" x14ac:dyDescent="0.15">
      <c r="A11" s="136" t="s">
        <v>549</v>
      </c>
      <c r="B11" s="135">
        <v>44.325000000000003</v>
      </c>
      <c r="C11" s="135">
        <v>162.65899999999999</v>
      </c>
      <c r="D11" s="135">
        <v>279.47300000000001</v>
      </c>
      <c r="E11" s="135">
        <v>354.96499999999997</v>
      </c>
      <c r="F11" s="135">
        <v>492.19400000000002</v>
      </c>
      <c r="G11" s="135">
        <v>744.28800000000001</v>
      </c>
      <c r="H11" s="135">
        <v>1068.873</v>
      </c>
    </row>
    <row r="12" spans="1:8" x14ac:dyDescent="0.15">
      <c r="A12" s="136" t="s">
        <v>548</v>
      </c>
      <c r="B12" s="135">
        <v>0</v>
      </c>
      <c r="C12" s="135">
        <v>0</v>
      </c>
      <c r="D12" s="135">
        <v>0</v>
      </c>
      <c r="E12" s="135">
        <v>0</v>
      </c>
      <c r="F12" s="135">
        <v>0</v>
      </c>
      <c r="G12" s="135">
        <v>0</v>
      </c>
      <c r="H12" s="135">
        <v>0</v>
      </c>
    </row>
    <row r="13" spans="1:8" x14ac:dyDescent="0.15">
      <c r="A13" s="136" t="s">
        <v>547</v>
      </c>
      <c r="B13" s="135">
        <v>0</v>
      </c>
      <c r="C13" s="135">
        <v>0</v>
      </c>
      <c r="D13" s="135">
        <v>0</v>
      </c>
      <c r="E13" s="135">
        <v>0</v>
      </c>
      <c r="F13" s="135">
        <v>0</v>
      </c>
      <c r="G13" s="135">
        <v>0</v>
      </c>
      <c r="H13" s="135">
        <v>0</v>
      </c>
    </row>
    <row r="14" spans="1:8" x14ac:dyDescent="0.15">
      <c r="A14" s="136" t="s">
        <v>363</v>
      </c>
      <c r="B14" s="136" t="s">
        <v>283</v>
      </c>
      <c r="C14" s="136" t="s">
        <v>283</v>
      </c>
      <c r="D14" s="136" t="s">
        <v>283</v>
      </c>
      <c r="E14" s="136" t="s">
        <v>283</v>
      </c>
      <c r="F14" s="136" t="s">
        <v>283</v>
      </c>
      <c r="G14" s="136" t="s">
        <v>283</v>
      </c>
      <c r="H14" s="136" t="s">
        <v>283</v>
      </c>
    </row>
    <row r="15" spans="1:8" x14ac:dyDescent="0.15">
      <c r="A15" s="136" t="s">
        <v>546</v>
      </c>
      <c r="B15" s="135">
        <v>0</v>
      </c>
      <c r="C15" s="135">
        <v>0</v>
      </c>
      <c r="D15" s="135">
        <v>0</v>
      </c>
      <c r="E15" s="135">
        <v>0</v>
      </c>
      <c r="F15" s="135">
        <v>0</v>
      </c>
      <c r="G15" s="135">
        <v>0</v>
      </c>
      <c r="H15" s="135">
        <v>0</v>
      </c>
    </row>
    <row r="16" spans="1:8" x14ac:dyDescent="0.15">
      <c r="A16" s="136" t="s">
        <v>545</v>
      </c>
      <c r="B16" s="135">
        <v>0</v>
      </c>
      <c r="C16" s="135">
        <v>0</v>
      </c>
      <c r="D16" s="135">
        <v>0</v>
      </c>
      <c r="E16" s="135">
        <v>0</v>
      </c>
      <c r="F16" s="135">
        <v>0</v>
      </c>
      <c r="G16" s="135">
        <v>0</v>
      </c>
      <c r="H16" s="135">
        <v>0</v>
      </c>
    </row>
    <row r="17" spans="1:8" x14ac:dyDescent="0.15">
      <c r="A17" s="136" t="s">
        <v>544</v>
      </c>
      <c r="B17" s="136" t="s">
        <v>283</v>
      </c>
      <c r="C17" s="136" t="s">
        <v>283</v>
      </c>
      <c r="D17" s="136" t="s">
        <v>283</v>
      </c>
      <c r="E17" s="136" t="s">
        <v>283</v>
      </c>
      <c r="F17" s="136" t="s">
        <v>283</v>
      </c>
      <c r="G17" s="136" t="s">
        <v>283</v>
      </c>
      <c r="H17" s="136" t="s">
        <v>283</v>
      </c>
    </row>
    <row r="18" spans="1:8" x14ac:dyDescent="0.15">
      <c r="A18" s="136" t="s">
        <v>543</v>
      </c>
      <c r="B18" s="135">
        <v>0</v>
      </c>
      <c r="C18" s="135">
        <v>0</v>
      </c>
      <c r="D18" s="135">
        <v>0</v>
      </c>
      <c r="E18" s="135">
        <v>0</v>
      </c>
      <c r="F18" s="135">
        <v>0</v>
      </c>
      <c r="G18" s="135">
        <v>0</v>
      </c>
      <c r="H18" s="135">
        <v>0</v>
      </c>
    </row>
    <row r="19" spans="1:8" x14ac:dyDescent="0.15">
      <c r="A19" s="136" t="s">
        <v>362</v>
      </c>
      <c r="B19" s="135">
        <v>7.4290000000000003</v>
      </c>
      <c r="C19" s="135">
        <v>29.957999999999998</v>
      </c>
      <c r="D19" s="135">
        <v>44.281999999999996</v>
      </c>
      <c r="E19" s="135">
        <v>41.9</v>
      </c>
      <c r="F19" s="135">
        <v>38.987000000000002</v>
      </c>
      <c r="G19" s="135">
        <v>56.146999999999998</v>
      </c>
      <c r="H19" s="135">
        <v>92.244</v>
      </c>
    </row>
    <row r="20" spans="1:8" x14ac:dyDescent="0.15">
      <c r="A20" s="136" t="s">
        <v>542</v>
      </c>
      <c r="B20" s="136" t="s">
        <v>283</v>
      </c>
      <c r="C20" s="136" t="s">
        <v>283</v>
      </c>
      <c r="D20" s="136" t="s">
        <v>283</v>
      </c>
      <c r="E20" s="136" t="s">
        <v>283</v>
      </c>
      <c r="F20" s="136" t="s">
        <v>283</v>
      </c>
      <c r="G20" s="136" t="s">
        <v>283</v>
      </c>
      <c r="H20" s="136" t="s">
        <v>283</v>
      </c>
    </row>
    <row r="21" spans="1:8" x14ac:dyDescent="0.15">
      <c r="A21" s="136" t="s">
        <v>541</v>
      </c>
      <c r="B21" s="135">
        <v>7.4290000000000003</v>
      </c>
      <c r="C21" s="135">
        <v>29.957999999999998</v>
      </c>
      <c r="D21" s="135">
        <v>44.281999999999996</v>
      </c>
      <c r="E21" s="135">
        <v>41.9</v>
      </c>
      <c r="F21" s="135">
        <v>38.987000000000002</v>
      </c>
      <c r="G21" s="135">
        <v>56.146999999999998</v>
      </c>
      <c r="H21" s="135">
        <v>92.244</v>
      </c>
    </row>
    <row r="22" spans="1:8" x14ac:dyDescent="0.15">
      <c r="A22" s="136" t="s">
        <v>361</v>
      </c>
      <c r="B22" s="135">
        <v>692.56399999999996</v>
      </c>
      <c r="C22" s="135">
        <v>1179.9849999999999</v>
      </c>
      <c r="D22" s="135">
        <v>2366.7939999999999</v>
      </c>
      <c r="E22" s="135">
        <v>1675.9280000000001</v>
      </c>
      <c r="F22" s="135">
        <v>2643.9859999999999</v>
      </c>
      <c r="G22" s="135">
        <v>3337.9749999999999</v>
      </c>
      <c r="H22" s="135">
        <v>4854.0020000000004</v>
      </c>
    </row>
    <row r="23" spans="1:8" x14ac:dyDescent="0.15">
      <c r="A23" s="136" t="s">
        <v>540</v>
      </c>
      <c r="B23" s="135">
        <v>44.079000000000001</v>
      </c>
      <c r="C23" s="135">
        <v>100.58499999999999</v>
      </c>
      <c r="D23" s="135">
        <v>166.762</v>
      </c>
      <c r="E23" s="135">
        <v>212.56</v>
      </c>
      <c r="F23" s="135">
        <v>449.11399999999998</v>
      </c>
      <c r="G23" s="135">
        <v>448.43700000000001</v>
      </c>
      <c r="H23" s="135">
        <v>524.89599999999996</v>
      </c>
    </row>
    <row r="24" spans="1:8" x14ac:dyDescent="0.15">
      <c r="A24" s="136" t="s">
        <v>539</v>
      </c>
      <c r="B24" s="135">
        <v>50.805999999999997</v>
      </c>
      <c r="C24" s="135">
        <v>118.395</v>
      </c>
      <c r="D24" s="135">
        <v>204.52500000000001</v>
      </c>
      <c r="E24" s="135">
        <v>279.55599999999998</v>
      </c>
      <c r="F24" s="135">
        <v>561.67399999999998</v>
      </c>
      <c r="G24" s="135">
        <v>582.88900000000001</v>
      </c>
      <c r="H24" s="135">
        <v>700.15599999999995</v>
      </c>
    </row>
    <row r="25" spans="1:8" x14ac:dyDescent="0.15">
      <c r="A25" s="136" t="s">
        <v>538</v>
      </c>
      <c r="B25" s="135">
        <v>6.7270000000000003</v>
      </c>
      <c r="C25" s="135">
        <v>17.809999999999999</v>
      </c>
      <c r="D25" s="135">
        <v>37.762999999999998</v>
      </c>
      <c r="E25" s="135">
        <v>66.995999999999995</v>
      </c>
      <c r="F25" s="135">
        <v>112.56</v>
      </c>
      <c r="G25" s="135">
        <v>134.452</v>
      </c>
      <c r="H25" s="135">
        <v>175.26</v>
      </c>
    </row>
    <row r="26" spans="1:8" x14ac:dyDescent="0.15">
      <c r="A26" s="136" t="s">
        <v>537</v>
      </c>
      <c r="B26" s="136" t="s">
        <v>283</v>
      </c>
      <c r="C26" s="136" t="s">
        <v>283</v>
      </c>
      <c r="D26" s="136" t="s">
        <v>283</v>
      </c>
      <c r="E26" s="136" t="s">
        <v>283</v>
      </c>
      <c r="F26" s="136" t="s">
        <v>283</v>
      </c>
      <c r="G26" s="136" t="s">
        <v>283</v>
      </c>
      <c r="H26" s="136" t="s">
        <v>283</v>
      </c>
    </row>
    <row r="27" spans="1:8" x14ac:dyDescent="0.15">
      <c r="A27" s="136" t="s">
        <v>536</v>
      </c>
      <c r="B27" s="135">
        <v>9.1</v>
      </c>
      <c r="C27" s="135">
        <v>11.8</v>
      </c>
      <c r="D27" s="135">
        <v>22.7</v>
      </c>
      <c r="E27" s="135">
        <v>43.6</v>
      </c>
      <c r="F27" s="135">
        <v>55</v>
      </c>
      <c r="G27" s="135">
        <v>169.5</v>
      </c>
      <c r="H27" s="135">
        <v>262.7</v>
      </c>
    </row>
    <row r="28" spans="1:8" x14ac:dyDescent="0.15">
      <c r="A28" s="136" t="s">
        <v>355</v>
      </c>
      <c r="B28" s="135">
        <v>177.17400000000001</v>
      </c>
      <c r="C28" s="135">
        <v>395.11900000000003</v>
      </c>
      <c r="D28" s="135">
        <v>806.35500000000002</v>
      </c>
      <c r="E28" s="135">
        <v>758.42399999999998</v>
      </c>
      <c r="F28" s="135">
        <v>853.274</v>
      </c>
      <c r="G28" s="135">
        <v>1045.1880000000001</v>
      </c>
      <c r="H28" s="135">
        <v>1866.106</v>
      </c>
    </row>
    <row r="29" spans="1:8" x14ac:dyDescent="0.15">
      <c r="A29" s="136" t="s">
        <v>353</v>
      </c>
      <c r="B29" s="135">
        <v>16.018999999999998</v>
      </c>
      <c r="C29" s="135">
        <v>35.302999999999997</v>
      </c>
      <c r="D29" s="135">
        <v>58.954999999999998</v>
      </c>
      <c r="E29" s="135">
        <v>23.594000000000001</v>
      </c>
      <c r="F29" s="135">
        <v>10.55</v>
      </c>
      <c r="G29" s="135">
        <v>23.138000000000002</v>
      </c>
      <c r="H29" s="135">
        <v>28.602</v>
      </c>
    </row>
    <row r="30" spans="1:8" x14ac:dyDescent="0.15">
      <c r="A30" s="136" t="s">
        <v>535</v>
      </c>
      <c r="B30" s="135">
        <v>0</v>
      </c>
      <c r="C30" s="135">
        <v>0</v>
      </c>
      <c r="D30" s="135">
        <v>0</v>
      </c>
      <c r="E30" s="135">
        <v>0</v>
      </c>
      <c r="F30" s="135">
        <v>0</v>
      </c>
      <c r="G30" s="135">
        <v>0</v>
      </c>
      <c r="H30" s="135">
        <v>0</v>
      </c>
    </row>
    <row r="31" spans="1:8" x14ac:dyDescent="0.15">
      <c r="A31" s="136" t="s">
        <v>534</v>
      </c>
      <c r="B31" s="135">
        <v>16.018999999999998</v>
      </c>
      <c r="C31" s="135">
        <v>35.302999999999997</v>
      </c>
      <c r="D31" s="135">
        <v>58.954999999999998</v>
      </c>
      <c r="E31" s="135">
        <v>23.594000000000001</v>
      </c>
      <c r="F31" s="135">
        <v>10.55</v>
      </c>
      <c r="G31" s="135">
        <v>23.138000000000002</v>
      </c>
      <c r="H31" s="135">
        <v>28.602</v>
      </c>
    </row>
    <row r="32" spans="1:8" x14ac:dyDescent="0.15">
      <c r="A32" s="136" t="s">
        <v>533</v>
      </c>
      <c r="B32" s="135">
        <v>938.93600000000004</v>
      </c>
      <c r="C32" s="135">
        <v>1722.7919999999999</v>
      </c>
      <c r="D32" s="135">
        <v>3421.5659999999998</v>
      </c>
      <c r="E32" s="135">
        <v>2714.1060000000002</v>
      </c>
      <c r="F32" s="135">
        <v>4011.924</v>
      </c>
      <c r="G32" s="135">
        <v>5024.2380000000003</v>
      </c>
      <c r="H32" s="135">
        <v>7536.3059999999996</v>
      </c>
    </row>
    <row r="33" spans="1:8" x14ac:dyDescent="0.15">
      <c r="A33" s="137" t="s">
        <v>532</v>
      </c>
    </row>
    <row r="34" spans="1:8" x14ac:dyDescent="0.15">
      <c r="A34" s="136" t="s">
        <v>531</v>
      </c>
      <c r="B34" s="135">
        <v>0</v>
      </c>
      <c r="C34" s="135">
        <v>0</v>
      </c>
      <c r="D34" s="135">
        <v>0</v>
      </c>
      <c r="E34" s="135">
        <v>0</v>
      </c>
      <c r="F34" s="135">
        <v>42.179000000000002</v>
      </c>
      <c r="G34" s="135">
        <v>41.076999999999998</v>
      </c>
      <c r="H34" s="135">
        <v>52.396000000000001</v>
      </c>
    </row>
    <row r="35" spans="1:8" x14ac:dyDescent="0.15">
      <c r="A35" s="136" t="s">
        <v>530</v>
      </c>
      <c r="B35" s="135">
        <v>0</v>
      </c>
      <c r="C35" s="135">
        <v>0</v>
      </c>
      <c r="D35" s="135">
        <v>0</v>
      </c>
      <c r="E35" s="135">
        <v>0</v>
      </c>
      <c r="F35" s="135">
        <v>0</v>
      </c>
      <c r="G35" s="135">
        <v>0</v>
      </c>
      <c r="H35" s="135">
        <v>0</v>
      </c>
    </row>
    <row r="36" spans="1:8" x14ac:dyDescent="0.15">
      <c r="A36" s="136" t="s">
        <v>529</v>
      </c>
      <c r="B36" s="136" t="s">
        <v>283</v>
      </c>
      <c r="C36" s="136" t="s">
        <v>283</v>
      </c>
      <c r="D36" s="136" t="s">
        <v>283</v>
      </c>
      <c r="E36" s="136" t="s">
        <v>283</v>
      </c>
      <c r="F36" s="135">
        <v>42.179000000000002</v>
      </c>
      <c r="G36" s="135">
        <v>41.076999999999998</v>
      </c>
      <c r="H36" s="135">
        <v>52.396000000000001</v>
      </c>
    </row>
    <row r="37" spans="1:8" x14ac:dyDescent="0.15">
      <c r="A37" s="136" t="s">
        <v>351</v>
      </c>
      <c r="B37" s="135">
        <v>0.70199999999999996</v>
      </c>
      <c r="C37" s="135">
        <v>8.4190000000000005</v>
      </c>
      <c r="D37" s="135">
        <v>71.194000000000003</v>
      </c>
      <c r="E37" s="135">
        <v>30.876000000000001</v>
      </c>
      <c r="F37" s="135">
        <v>46.886000000000003</v>
      </c>
      <c r="G37" s="135">
        <v>71.908000000000001</v>
      </c>
      <c r="H37" s="135">
        <v>125.282</v>
      </c>
    </row>
    <row r="38" spans="1:8" x14ac:dyDescent="0.15">
      <c r="A38" s="136" t="s">
        <v>528</v>
      </c>
      <c r="B38" s="135">
        <v>1.0640000000000001</v>
      </c>
      <c r="C38" s="135">
        <v>9.2520000000000007</v>
      </c>
      <c r="D38" s="135">
        <v>10.339</v>
      </c>
      <c r="E38" s="135">
        <v>0</v>
      </c>
      <c r="F38" s="135">
        <v>18.593</v>
      </c>
      <c r="G38" s="135">
        <v>38.119</v>
      </c>
      <c r="H38" s="136" t="s">
        <v>283</v>
      </c>
    </row>
    <row r="39" spans="1:8" x14ac:dyDescent="0.15">
      <c r="A39" s="136" t="s">
        <v>527</v>
      </c>
      <c r="B39" s="135">
        <v>154.49199999999999</v>
      </c>
      <c r="C39" s="135">
        <v>139.07300000000001</v>
      </c>
      <c r="D39" s="135">
        <v>264.72300000000001</v>
      </c>
      <c r="E39" s="135">
        <v>261.815</v>
      </c>
      <c r="F39" s="135">
        <v>392.017</v>
      </c>
      <c r="G39" s="135">
        <v>516.22299999999996</v>
      </c>
      <c r="H39" s="135">
        <v>674.10799999999995</v>
      </c>
    </row>
    <row r="40" spans="1:8" x14ac:dyDescent="0.15">
      <c r="A40" s="136" t="s">
        <v>526</v>
      </c>
      <c r="B40" s="135">
        <v>24.87</v>
      </c>
      <c r="C40" s="135">
        <v>78.132999999999996</v>
      </c>
      <c r="D40" s="135">
        <v>149.899</v>
      </c>
      <c r="E40" s="135">
        <v>136.429</v>
      </c>
      <c r="F40" s="135">
        <v>160.16900000000001</v>
      </c>
      <c r="G40" s="135">
        <v>279.12799999999999</v>
      </c>
      <c r="H40" s="135">
        <v>346.601</v>
      </c>
    </row>
    <row r="41" spans="1:8" x14ac:dyDescent="0.15">
      <c r="A41" s="136" t="s">
        <v>525</v>
      </c>
      <c r="B41" s="135">
        <v>129.62200000000001</v>
      </c>
      <c r="C41" s="135">
        <v>60.94</v>
      </c>
      <c r="D41" s="135">
        <v>114.824</v>
      </c>
      <c r="E41" s="135">
        <v>125.386</v>
      </c>
      <c r="F41" s="135">
        <v>231.84800000000001</v>
      </c>
      <c r="G41" s="135">
        <v>237.095</v>
      </c>
      <c r="H41" s="135">
        <v>327.50700000000001</v>
      </c>
    </row>
    <row r="42" spans="1:8" x14ac:dyDescent="0.15">
      <c r="A42" s="136" t="s">
        <v>524</v>
      </c>
      <c r="B42" s="135">
        <v>156.25800000000001</v>
      </c>
      <c r="C42" s="135">
        <v>156.744</v>
      </c>
      <c r="D42" s="135">
        <v>346.25599999999997</v>
      </c>
      <c r="E42" s="135">
        <v>292.69099999999997</v>
      </c>
      <c r="F42" s="135">
        <v>499.67500000000001</v>
      </c>
      <c r="G42" s="135">
        <v>667.327</v>
      </c>
      <c r="H42" s="135">
        <v>851.78599999999994</v>
      </c>
    </row>
    <row r="43" spans="1:8" x14ac:dyDescent="0.15">
      <c r="A43" s="136" t="s">
        <v>523</v>
      </c>
      <c r="B43" s="135">
        <v>13.494</v>
      </c>
      <c r="C43" s="135">
        <v>15.14</v>
      </c>
      <c r="D43" s="135">
        <v>16.033000000000001</v>
      </c>
      <c r="E43" s="135">
        <v>16.8</v>
      </c>
      <c r="F43" s="135">
        <v>1194.954</v>
      </c>
      <c r="G43" s="135">
        <v>1962.461</v>
      </c>
      <c r="H43" s="135">
        <v>2578.596</v>
      </c>
    </row>
    <row r="44" spans="1:8" x14ac:dyDescent="0.15">
      <c r="A44" s="136" t="s">
        <v>522</v>
      </c>
      <c r="B44" s="135">
        <v>0</v>
      </c>
      <c r="C44" s="135">
        <v>0</v>
      </c>
      <c r="D44" s="135">
        <v>0</v>
      </c>
      <c r="E44" s="135">
        <v>0</v>
      </c>
      <c r="F44" s="135">
        <v>891.77599999999995</v>
      </c>
      <c r="G44" s="135">
        <v>1675.1690000000001</v>
      </c>
      <c r="H44" s="135">
        <v>2253.087</v>
      </c>
    </row>
    <row r="45" spans="1:8" x14ac:dyDescent="0.15">
      <c r="A45" s="136" t="s">
        <v>521</v>
      </c>
      <c r="B45" s="135">
        <v>0</v>
      </c>
      <c r="C45" s="135">
        <v>0</v>
      </c>
      <c r="D45" s="135">
        <v>0</v>
      </c>
      <c r="E45" s="135">
        <v>0</v>
      </c>
      <c r="F45" s="135">
        <v>0</v>
      </c>
      <c r="G45" s="135">
        <v>0</v>
      </c>
      <c r="H45" s="135">
        <v>0</v>
      </c>
    </row>
    <row r="46" spans="1:8" x14ac:dyDescent="0.15">
      <c r="A46" s="136" t="s">
        <v>520</v>
      </c>
      <c r="B46" s="135">
        <v>0</v>
      </c>
      <c r="C46" s="135">
        <v>0</v>
      </c>
      <c r="D46" s="135">
        <v>0</v>
      </c>
      <c r="E46" s="135">
        <v>0</v>
      </c>
      <c r="F46" s="135">
        <v>891.77599999999995</v>
      </c>
      <c r="G46" s="135">
        <v>1675.1690000000001</v>
      </c>
      <c r="H46" s="135">
        <v>2253.087</v>
      </c>
    </row>
    <row r="47" spans="1:8" x14ac:dyDescent="0.15">
      <c r="A47" s="136" t="s">
        <v>519</v>
      </c>
      <c r="B47" s="135">
        <v>0</v>
      </c>
      <c r="C47" s="135">
        <v>0</v>
      </c>
      <c r="D47" s="135">
        <v>0</v>
      </c>
      <c r="E47" s="135">
        <v>0</v>
      </c>
      <c r="F47" s="135">
        <v>0</v>
      </c>
      <c r="G47" s="135">
        <v>0</v>
      </c>
      <c r="H47" s="135">
        <v>0</v>
      </c>
    </row>
    <row r="48" spans="1:8" x14ac:dyDescent="0.15">
      <c r="A48" s="136" t="s">
        <v>518</v>
      </c>
      <c r="B48" s="135">
        <v>0</v>
      </c>
      <c r="C48" s="135">
        <v>0</v>
      </c>
      <c r="D48" s="135">
        <v>0</v>
      </c>
      <c r="E48" s="135">
        <v>0</v>
      </c>
      <c r="F48" s="135">
        <v>0</v>
      </c>
      <c r="G48" s="135">
        <v>0</v>
      </c>
      <c r="H48" s="135">
        <v>0</v>
      </c>
    </row>
    <row r="49" spans="1:8" x14ac:dyDescent="0.15">
      <c r="A49" s="136" t="s">
        <v>517</v>
      </c>
      <c r="B49" s="135">
        <v>0</v>
      </c>
      <c r="C49" s="135">
        <v>0</v>
      </c>
      <c r="D49" s="135">
        <v>0</v>
      </c>
      <c r="E49" s="135">
        <v>0</v>
      </c>
      <c r="F49" s="135">
        <v>0</v>
      </c>
      <c r="G49" s="135">
        <v>0</v>
      </c>
      <c r="H49" s="135">
        <v>0</v>
      </c>
    </row>
    <row r="50" spans="1:8" x14ac:dyDescent="0.15">
      <c r="A50" s="136" t="s">
        <v>516</v>
      </c>
      <c r="B50" s="135">
        <v>0</v>
      </c>
      <c r="C50" s="135">
        <v>0</v>
      </c>
      <c r="D50" s="135">
        <v>0</v>
      </c>
      <c r="E50" s="135">
        <v>0</v>
      </c>
      <c r="F50" s="135">
        <v>303.178</v>
      </c>
      <c r="G50" s="135">
        <v>287.29199999999997</v>
      </c>
      <c r="H50" s="135">
        <v>325.50900000000001</v>
      </c>
    </row>
    <row r="51" spans="1:8" x14ac:dyDescent="0.15">
      <c r="A51" s="136" t="s">
        <v>515</v>
      </c>
      <c r="B51" s="135">
        <v>13.494</v>
      </c>
      <c r="C51" s="135">
        <v>15.14</v>
      </c>
      <c r="D51" s="135">
        <v>16.033000000000001</v>
      </c>
      <c r="E51" s="135">
        <v>16.8</v>
      </c>
      <c r="F51" s="135">
        <v>0</v>
      </c>
      <c r="G51" s="135">
        <v>0</v>
      </c>
      <c r="H51" s="135">
        <v>0</v>
      </c>
    </row>
    <row r="52" spans="1:8" x14ac:dyDescent="0.15">
      <c r="A52" s="136" t="s">
        <v>342</v>
      </c>
      <c r="B52" s="135">
        <v>5.0389999999999997</v>
      </c>
      <c r="C52" s="135">
        <v>31.994</v>
      </c>
      <c r="D52" s="135">
        <v>66.95</v>
      </c>
      <c r="E52" s="135">
        <v>93.616</v>
      </c>
      <c r="F52" s="135">
        <v>57.381999999999998</v>
      </c>
      <c r="G52" s="135">
        <v>64.474000000000004</v>
      </c>
      <c r="H52" s="135">
        <v>315.75599999999997</v>
      </c>
    </row>
    <row r="53" spans="1:8" x14ac:dyDescent="0.15">
      <c r="A53" s="136" t="s">
        <v>514</v>
      </c>
      <c r="B53" s="135">
        <v>0</v>
      </c>
      <c r="C53" s="135">
        <v>0</v>
      </c>
      <c r="D53" s="135">
        <v>0</v>
      </c>
      <c r="E53" s="135">
        <v>0</v>
      </c>
      <c r="F53" s="135">
        <v>0</v>
      </c>
      <c r="G53" s="135">
        <v>0</v>
      </c>
      <c r="H53" s="135">
        <v>0</v>
      </c>
    </row>
    <row r="54" spans="1:8" x14ac:dyDescent="0.15">
      <c r="A54" s="136" t="s">
        <v>513</v>
      </c>
      <c r="B54" s="135">
        <v>0</v>
      </c>
      <c r="C54" s="135">
        <v>0</v>
      </c>
      <c r="D54" s="135">
        <v>0</v>
      </c>
      <c r="E54" s="135">
        <v>0</v>
      </c>
      <c r="F54" s="135">
        <v>0</v>
      </c>
      <c r="G54" s="135">
        <v>0</v>
      </c>
      <c r="H54" s="135">
        <v>0</v>
      </c>
    </row>
    <row r="55" spans="1:8" x14ac:dyDescent="0.15">
      <c r="A55" s="136" t="s">
        <v>512</v>
      </c>
      <c r="B55" s="135">
        <v>0</v>
      </c>
      <c r="C55" s="135">
        <v>0</v>
      </c>
      <c r="D55" s="135">
        <v>0</v>
      </c>
      <c r="E55" s="135">
        <v>0</v>
      </c>
      <c r="F55" s="135">
        <v>0</v>
      </c>
      <c r="G55" s="135">
        <v>0</v>
      </c>
      <c r="H55" s="135">
        <v>0</v>
      </c>
    </row>
    <row r="56" spans="1:8" x14ac:dyDescent="0.15">
      <c r="A56" s="136" t="s">
        <v>340</v>
      </c>
      <c r="B56" s="135">
        <v>0</v>
      </c>
      <c r="C56" s="135">
        <v>0</v>
      </c>
      <c r="D56" s="135">
        <v>0</v>
      </c>
      <c r="E56" s="135">
        <v>0</v>
      </c>
      <c r="F56" s="135">
        <v>0</v>
      </c>
      <c r="G56" s="135">
        <v>0</v>
      </c>
      <c r="H56" s="135">
        <v>0</v>
      </c>
    </row>
    <row r="57" spans="1:8" x14ac:dyDescent="0.15">
      <c r="A57" s="136" t="s">
        <v>511</v>
      </c>
      <c r="B57" s="135">
        <v>174.791</v>
      </c>
      <c r="C57" s="135">
        <v>203.87800000000001</v>
      </c>
      <c r="D57" s="135">
        <v>429.23899999999998</v>
      </c>
      <c r="E57" s="135">
        <v>403.10699999999997</v>
      </c>
      <c r="F57" s="135">
        <v>1752.011</v>
      </c>
      <c r="G57" s="135">
        <v>2694.2620000000002</v>
      </c>
      <c r="H57" s="135">
        <v>3746.1379999999999</v>
      </c>
    </row>
    <row r="58" spans="1:8" x14ac:dyDescent="0.15">
      <c r="A58" s="137" t="s">
        <v>510</v>
      </c>
    </row>
    <row r="59" spans="1:8" x14ac:dyDescent="0.15">
      <c r="A59" s="136" t="s">
        <v>509</v>
      </c>
      <c r="B59" s="135">
        <v>4.0000000000000001E-3</v>
      </c>
      <c r="C59" s="135">
        <v>5.0000000000000001E-3</v>
      </c>
      <c r="D59" s="135">
        <v>0</v>
      </c>
      <c r="E59" s="135">
        <v>0</v>
      </c>
      <c r="F59" s="135">
        <v>0</v>
      </c>
      <c r="G59" s="135">
        <v>0</v>
      </c>
      <c r="H59" s="135">
        <v>0</v>
      </c>
    </row>
    <row r="60" spans="1:8" x14ac:dyDescent="0.15">
      <c r="A60" s="136" t="s">
        <v>508</v>
      </c>
      <c r="B60" s="135">
        <v>0</v>
      </c>
      <c r="C60" s="135">
        <v>0</v>
      </c>
      <c r="D60" s="135">
        <v>0</v>
      </c>
      <c r="E60" s="135">
        <v>0</v>
      </c>
      <c r="F60" s="135">
        <v>0</v>
      </c>
      <c r="G60" s="135">
        <v>0</v>
      </c>
      <c r="H60" s="135">
        <v>0</v>
      </c>
    </row>
    <row r="61" spans="1:8" x14ac:dyDescent="0.15">
      <c r="A61" s="136" t="s">
        <v>507</v>
      </c>
      <c r="B61" s="135">
        <v>4.0000000000000001E-3</v>
      </c>
      <c r="C61" s="135">
        <v>5.0000000000000001E-3</v>
      </c>
      <c r="D61" s="135">
        <v>0</v>
      </c>
      <c r="E61" s="135">
        <v>0</v>
      </c>
      <c r="F61" s="135">
        <v>0</v>
      </c>
      <c r="G61" s="135">
        <v>0</v>
      </c>
      <c r="H61" s="135">
        <v>0</v>
      </c>
    </row>
    <row r="62" spans="1:8" x14ac:dyDescent="0.15">
      <c r="A62" s="136" t="s">
        <v>506</v>
      </c>
      <c r="B62" s="135">
        <v>764.14099999999996</v>
      </c>
      <c r="C62" s="135">
        <v>1518.9090000000001</v>
      </c>
      <c r="D62" s="135">
        <v>2992.3270000000002</v>
      </c>
      <c r="E62" s="135">
        <v>2310.9989999999998</v>
      </c>
      <c r="F62" s="135">
        <v>2259.913</v>
      </c>
      <c r="G62" s="135">
        <v>2329.9760000000001</v>
      </c>
      <c r="H62" s="135">
        <v>3790.1680000000001</v>
      </c>
    </row>
    <row r="63" spans="1:8" x14ac:dyDescent="0.15">
      <c r="A63" s="136" t="s">
        <v>505</v>
      </c>
      <c r="B63" s="135">
        <v>5.0000000000000001E-3</v>
      </c>
      <c r="C63" s="135">
        <v>5.0000000000000001E-3</v>
      </c>
      <c r="D63" s="135">
        <v>1.2E-2</v>
      </c>
      <c r="E63" s="135">
        <v>1.2999999999999999E-2</v>
      </c>
      <c r="F63" s="135">
        <v>1.4E-2</v>
      </c>
      <c r="G63" s="135">
        <v>1.4E-2</v>
      </c>
      <c r="H63" s="135">
        <v>1.6E-2</v>
      </c>
    </row>
    <row r="64" spans="1:8" x14ac:dyDescent="0.15">
      <c r="A64" s="136" t="s">
        <v>504</v>
      </c>
      <c r="B64" s="135">
        <v>1467.355</v>
      </c>
      <c r="C64" s="135">
        <v>2728.8229999999999</v>
      </c>
      <c r="D64" s="135">
        <v>7634.8249999999998</v>
      </c>
      <c r="E64" s="135">
        <v>8220.4169999999995</v>
      </c>
      <c r="F64" s="135">
        <v>9205.2559999999994</v>
      </c>
      <c r="G64" s="135">
        <v>10200.141</v>
      </c>
      <c r="H64" s="135">
        <v>12069.097</v>
      </c>
    </row>
    <row r="65" spans="1:8" x14ac:dyDescent="0.15">
      <c r="A65" s="136" t="s">
        <v>503</v>
      </c>
      <c r="B65" s="135">
        <v>-703.21900000000005</v>
      </c>
      <c r="C65" s="135">
        <v>-1209.9190000000001</v>
      </c>
      <c r="D65" s="135">
        <v>-4642.51</v>
      </c>
      <c r="E65" s="135">
        <v>-5909.4309999999996</v>
      </c>
      <c r="F65" s="135">
        <v>-6945.357</v>
      </c>
      <c r="G65" s="135">
        <v>-7870.1790000000001</v>
      </c>
      <c r="H65" s="135">
        <v>-8278.9449999999997</v>
      </c>
    </row>
    <row r="66" spans="1:8" x14ac:dyDescent="0.15">
      <c r="A66" s="136" t="s">
        <v>502</v>
      </c>
      <c r="B66" s="135">
        <v>0</v>
      </c>
      <c r="C66" s="135">
        <v>0</v>
      </c>
      <c r="D66" s="135">
        <v>0</v>
      </c>
      <c r="E66" s="135">
        <v>0</v>
      </c>
      <c r="F66" s="135">
        <v>0</v>
      </c>
      <c r="G66" s="135">
        <v>0</v>
      </c>
      <c r="H66" s="135">
        <v>0</v>
      </c>
    </row>
    <row r="67" spans="1:8" x14ac:dyDescent="0.15">
      <c r="A67" s="136" t="s">
        <v>334</v>
      </c>
      <c r="B67" s="135">
        <v>764.14499999999998</v>
      </c>
      <c r="C67" s="135">
        <v>1518.914</v>
      </c>
      <c r="D67" s="135">
        <v>2992.3270000000002</v>
      </c>
      <c r="E67" s="135">
        <v>2310.9989999999998</v>
      </c>
      <c r="F67" s="135">
        <v>2259.913</v>
      </c>
      <c r="G67" s="135">
        <v>2329.9760000000001</v>
      </c>
      <c r="H67" s="135">
        <v>3790.1680000000001</v>
      </c>
    </row>
    <row r="68" spans="1:8" x14ac:dyDescent="0.15">
      <c r="A68" s="136" t="s">
        <v>333</v>
      </c>
      <c r="B68" s="135">
        <v>0</v>
      </c>
      <c r="C68" s="135">
        <v>0</v>
      </c>
      <c r="D68" s="135">
        <v>0</v>
      </c>
      <c r="E68" s="135">
        <v>0</v>
      </c>
      <c r="F68" s="135">
        <v>0</v>
      </c>
      <c r="G68" s="135">
        <v>0</v>
      </c>
      <c r="H68" s="135">
        <v>0</v>
      </c>
    </row>
    <row r="69" spans="1:8" x14ac:dyDescent="0.15">
      <c r="A69" s="136" t="s">
        <v>501</v>
      </c>
      <c r="B69" s="135">
        <v>764.14499999999998</v>
      </c>
      <c r="C69" s="135">
        <v>1518.914</v>
      </c>
      <c r="D69" s="135">
        <v>2992.3270000000002</v>
      </c>
      <c r="E69" s="135">
        <v>2310.9989999999998</v>
      </c>
      <c r="F69" s="135">
        <v>2259.913</v>
      </c>
      <c r="G69" s="135">
        <v>2329.9760000000001</v>
      </c>
      <c r="H69" s="135">
        <v>3790.1680000000001</v>
      </c>
    </row>
    <row r="70" spans="1:8" x14ac:dyDescent="0.15">
      <c r="A70" s="136" t="s">
        <v>500</v>
      </c>
      <c r="B70" s="135">
        <v>938.93600000000004</v>
      </c>
      <c r="C70" s="135">
        <v>1722.7919999999999</v>
      </c>
      <c r="D70" s="135">
        <v>3421.5659999999998</v>
      </c>
      <c r="E70" s="135">
        <v>2714.1060000000002</v>
      </c>
      <c r="F70" s="135">
        <v>4011.924</v>
      </c>
      <c r="G70" s="135">
        <v>5024.2380000000003</v>
      </c>
      <c r="H70" s="135">
        <v>7536.3059999999996</v>
      </c>
    </row>
    <row r="71" spans="1:8" x14ac:dyDescent="0.15">
      <c r="A71" s="137"/>
    </row>
    <row r="72" spans="1:8" x14ac:dyDescent="0.15">
      <c r="A72" s="138" t="s">
        <v>499</v>
      </c>
    </row>
    <row r="73" spans="1:8" x14ac:dyDescent="0.15">
      <c r="A73" s="136" t="s">
        <v>331</v>
      </c>
      <c r="B73" s="135">
        <v>58.662999999999997</v>
      </c>
      <c r="C73" s="135">
        <v>404.48200000000003</v>
      </c>
      <c r="D73" s="135">
        <v>824.94899999999996</v>
      </c>
      <c r="E73" s="135">
        <v>1180.4459999999999</v>
      </c>
      <c r="F73" s="135">
        <v>1715.5340000000001</v>
      </c>
      <c r="G73" s="135">
        <v>2506.6260000000002</v>
      </c>
      <c r="H73" s="135">
        <v>4117.0479999999998</v>
      </c>
    </row>
    <row r="74" spans="1:8" x14ac:dyDescent="0.15">
      <c r="A74" s="136" t="s">
        <v>330</v>
      </c>
      <c r="B74" s="135">
        <v>167.03399999999999</v>
      </c>
      <c r="C74" s="135">
        <v>422.54500000000002</v>
      </c>
      <c r="D74" s="135">
        <v>702.24</v>
      </c>
      <c r="E74" s="135">
        <v>772.58299999999997</v>
      </c>
      <c r="F74" s="135">
        <v>874.56700000000001</v>
      </c>
      <c r="G74" s="135">
        <v>1160.3</v>
      </c>
      <c r="H74" s="135">
        <v>1730.5350000000001</v>
      </c>
    </row>
    <row r="75" spans="1:8" x14ac:dyDescent="0.15">
      <c r="A75" s="136" t="s">
        <v>498</v>
      </c>
      <c r="B75" s="135">
        <v>241.65100000000001</v>
      </c>
      <c r="C75" s="135">
        <v>473.20699999999999</v>
      </c>
      <c r="D75" s="135">
        <v>3546.9969999999998</v>
      </c>
      <c r="E75" s="135">
        <v>1575.922</v>
      </c>
      <c r="F75" s="135">
        <v>1757.05</v>
      </c>
      <c r="G75" s="135">
        <v>2121.654</v>
      </c>
      <c r="H75" s="135">
        <v>2969.4409999999998</v>
      </c>
    </row>
    <row r="76" spans="1:8" x14ac:dyDescent="0.15">
      <c r="A76" s="136" t="s">
        <v>327</v>
      </c>
      <c r="B76" s="135">
        <v>-350.02199999999999</v>
      </c>
      <c r="C76" s="135">
        <v>-491.27</v>
      </c>
      <c r="D76" s="135">
        <v>-3424.288</v>
      </c>
      <c r="E76" s="135">
        <v>-1168.059</v>
      </c>
      <c r="F76" s="135">
        <v>-916.08299999999997</v>
      </c>
      <c r="G76" s="135">
        <v>-775.32799999999997</v>
      </c>
      <c r="H76" s="135">
        <v>-582.928</v>
      </c>
    </row>
    <row r="77" spans="1:8" x14ac:dyDescent="0.15">
      <c r="A77" s="136" t="s">
        <v>472</v>
      </c>
      <c r="B77" s="135">
        <v>15.307</v>
      </c>
      <c r="C77" s="135">
        <v>29.114999999999998</v>
      </c>
      <c r="D77" s="135">
        <v>61.287999999999997</v>
      </c>
      <c r="E77" s="135">
        <v>91.647999999999996</v>
      </c>
      <c r="F77" s="135">
        <v>87.245000000000005</v>
      </c>
      <c r="G77" s="135">
        <v>86.744</v>
      </c>
      <c r="H77" s="135">
        <v>119.14100000000001</v>
      </c>
    </row>
    <row r="78" spans="1:8" x14ac:dyDescent="0.15">
      <c r="A78" s="136" t="s">
        <v>497</v>
      </c>
      <c r="B78" s="135">
        <v>9.5</v>
      </c>
      <c r="C78" s="135">
        <v>16.2</v>
      </c>
      <c r="D78" s="135">
        <v>31.5</v>
      </c>
      <c r="E78" s="135">
        <v>42.6</v>
      </c>
      <c r="F78" s="135">
        <v>33.399000000000001</v>
      </c>
      <c r="G78" s="135">
        <v>33.506999999999998</v>
      </c>
      <c r="H78" s="135">
        <v>63.183999999999997</v>
      </c>
    </row>
    <row r="79" spans="1:8" x14ac:dyDescent="0.15">
      <c r="A79" s="136" t="s">
        <v>496</v>
      </c>
      <c r="B79" s="136" t="s">
        <v>283</v>
      </c>
      <c r="C79" s="136" t="s">
        <v>283</v>
      </c>
      <c r="D79" s="136" t="s">
        <v>283</v>
      </c>
      <c r="E79" s="136" t="s">
        <v>283</v>
      </c>
      <c r="F79" s="136" t="s">
        <v>283</v>
      </c>
      <c r="G79" s="136" t="s">
        <v>283</v>
      </c>
      <c r="H79" s="136" t="s">
        <v>283</v>
      </c>
    </row>
    <row r="80" spans="1:8" x14ac:dyDescent="0.15">
      <c r="A80" s="136" t="s">
        <v>495</v>
      </c>
      <c r="B80" s="136" t="s">
        <v>283</v>
      </c>
      <c r="C80" s="136" t="s">
        <v>283</v>
      </c>
      <c r="D80" s="136" t="s">
        <v>283</v>
      </c>
      <c r="E80" s="136" t="s">
        <v>283</v>
      </c>
      <c r="F80" s="136" t="s">
        <v>283</v>
      </c>
      <c r="G80" s="136" t="s">
        <v>283</v>
      </c>
      <c r="H80" s="136" t="s">
        <v>283</v>
      </c>
    </row>
    <row r="81" spans="1:8" x14ac:dyDescent="0.15">
      <c r="A81" s="136" t="s">
        <v>325</v>
      </c>
      <c r="B81" s="135">
        <v>-365.32900000000001</v>
      </c>
      <c r="C81" s="135">
        <v>-520.38499999999999</v>
      </c>
      <c r="D81" s="135">
        <v>-3485.576</v>
      </c>
      <c r="E81" s="135">
        <v>-1259.7070000000001</v>
      </c>
      <c r="F81" s="135">
        <v>-1003.328</v>
      </c>
      <c r="G81" s="135">
        <v>-862.072</v>
      </c>
      <c r="H81" s="135">
        <v>-702.06899999999996</v>
      </c>
    </row>
    <row r="82" spans="1:8" x14ac:dyDescent="0.15">
      <c r="A82" s="136" t="s">
        <v>324</v>
      </c>
      <c r="B82" s="135">
        <v>0</v>
      </c>
      <c r="C82" s="135">
        <v>1.4239999999999999</v>
      </c>
      <c r="D82" s="135">
        <v>3.456</v>
      </c>
      <c r="E82" s="135">
        <v>3.8940000000000001</v>
      </c>
      <c r="F82" s="135">
        <v>24.994</v>
      </c>
      <c r="G82" s="135">
        <v>97.227999999999994</v>
      </c>
      <c r="H82" s="135">
        <v>17.675999999999998</v>
      </c>
    </row>
    <row r="83" spans="1:8" x14ac:dyDescent="0.15">
      <c r="A83" s="136" t="s">
        <v>494</v>
      </c>
      <c r="B83" s="135">
        <v>1.2470000000000001</v>
      </c>
      <c r="C83" s="135">
        <v>8.5999999999999993E-2</v>
      </c>
      <c r="D83" s="135">
        <v>25.623999999999999</v>
      </c>
      <c r="E83" s="135">
        <v>26.18</v>
      </c>
      <c r="F83" s="135">
        <v>55.171999999999997</v>
      </c>
      <c r="G83" s="135">
        <v>62.615000000000002</v>
      </c>
      <c r="H83" s="135">
        <v>286.87400000000002</v>
      </c>
    </row>
    <row r="84" spans="1:8" x14ac:dyDescent="0.15">
      <c r="A84" s="136" t="s">
        <v>493</v>
      </c>
      <c r="B84" s="135">
        <v>-0.152</v>
      </c>
      <c r="C84" s="135">
        <v>-4.5679999999999996</v>
      </c>
      <c r="D84" s="135">
        <v>4.5279999999999996</v>
      </c>
      <c r="E84" s="135">
        <v>-1.048</v>
      </c>
      <c r="F84" s="135">
        <v>19.13</v>
      </c>
      <c r="G84" s="135">
        <v>44.488</v>
      </c>
      <c r="H84" s="135">
        <v>281.67500000000001</v>
      </c>
    </row>
    <row r="85" spans="1:8" x14ac:dyDescent="0.15">
      <c r="A85" s="136" t="s">
        <v>492</v>
      </c>
      <c r="B85" s="135">
        <v>1.399</v>
      </c>
      <c r="C85" s="135">
        <v>4.6539999999999999</v>
      </c>
      <c r="D85" s="135">
        <v>21.096</v>
      </c>
      <c r="E85" s="135">
        <v>27.228000000000002</v>
      </c>
      <c r="F85" s="135">
        <v>36.042000000000002</v>
      </c>
      <c r="G85" s="135">
        <v>18.126999999999999</v>
      </c>
      <c r="H85" s="135">
        <v>5.1989999999999998</v>
      </c>
    </row>
    <row r="86" spans="1:8" x14ac:dyDescent="0.15">
      <c r="A86" s="136" t="s">
        <v>322</v>
      </c>
      <c r="B86" s="135">
        <v>-16.399999999999999</v>
      </c>
      <c r="C86" s="135">
        <v>0</v>
      </c>
      <c r="D86" s="136" t="s">
        <v>283</v>
      </c>
      <c r="E86" s="135">
        <v>-15.943</v>
      </c>
      <c r="F86" s="135">
        <v>-60.116999999999997</v>
      </c>
      <c r="G86" s="135">
        <v>-29.5</v>
      </c>
      <c r="H86" s="135">
        <v>-41.5</v>
      </c>
    </row>
    <row r="87" spans="1:8" x14ac:dyDescent="0.15">
      <c r="A87" s="136" t="s">
        <v>321</v>
      </c>
      <c r="B87" s="135">
        <v>-380.48200000000003</v>
      </c>
      <c r="C87" s="135">
        <v>-521.72299999999996</v>
      </c>
      <c r="D87" s="135">
        <v>-3463.4079999999999</v>
      </c>
      <c r="E87" s="135">
        <v>-1253.364</v>
      </c>
      <c r="F87" s="135">
        <v>-1033.2670000000001</v>
      </c>
      <c r="G87" s="135">
        <v>-926.18499999999995</v>
      </c>
      <c r="H87" s="135">
        <v>-474.37099999999998</v>
      </c>
    </row>
    <row r="88" spans="1:8" x14ac:dyDescent="0.15">
      <c r="A88" s="136" t="s">
        <v>491</v>
      </c>
      <c r="B88" s="135">
        <v>-380.21600000000001</v>
      </c>
      <c r="C88" s="135">
        <v>-520.48199999999997</v>
      </c>
      <c r="D88" s="135">
        <v>-3027.58</v>
      </c>
      <c r="E88" s="135">
        <v>-969.92200000000003</v>
      </c>
      <c r="F88" s="135">
        <v>-770.44799999999998</v>
      </c>
      <c r="G88" s="135">
        <v>-320.75700000000001</v>
      </c>
      <c r="H88" s="135">
        <v>364.98899999999998</v>
      </c>
    </row>
    <row r="89" spans="1:8" x14ac:dyDescent="0.15">
      <c r="A89" s="136" t="s">
        <v>490</v>
      </c>
      <c r="B89" s="135">
        <v>-0.26600000000000001</v>
      </c>
      <c r="C89" s="135">
        <v>-1.2410000000000001</v>
      </c>
      <c r="D89" s="135">
        <v>-435.82799999999997</v>
      </c>
      <c r="E89" s="135">
        <v>-283.44200000000001</v>
      </c>
      <c r="F89" s="135">
        <v>-262.81900000000002</v>
      </c>
      <c r="G89" s="135">
        <v>-605.428</v>
      </c>
      <c r="H89" s="135">
        <v>-839.36</v>
      </c>
    </row>
    <row r="90" spans="1:8" x14ac:dyDescent="0.15">
      <c r="A90" s="136" t="s">
        <v>320</v>
      </c>
      <c r="B90" s="135">
        <v>-7.5890000000000004</v>
      </c>
      <c r="C90" s="135">
        <v>-7.08</v>
      </c>
      <c r="D90" s="135">
        <v>-18.341999999999999</v>
      </c>
      <c r="E90" s="135">
        <v>2.5470000000000002</v>
      </c>
      <c r="F90" s="135">
        <v>0.39300000000000002</v>
      </c>
      <c r="G90" s="135">
        <v>18.654</v>
      </c>
      <c r="H90" s="135">
        <v>13.584</v>
      </c>
    </row>
    <row r="91" spans="1:8" x14ac:dyDescent="0.15">
      <c r="A91" s="136" t="s">
        <v>489</v>
      </c>
      <c r="B91" s="135">
        <v>-7.7</v>
      </c>
      <c r="C91" s="135">
        <v>-7.952</v>
      </c>
      <c r="D91" s="135">
        <v>-17.489999999999998</v>
      </c>
      <c r="E91" s="135">
        <v>-0.38300000000000001</v>
      </c>
      <c r="F91" s="135">
        <v>-0.49099999999999999</v>
      </c>
      <c r="G91" s="135">
        <v>-6.3259999999999996</v>
      </c>
      <c r="H91" s="135">
        <v>-9.4130000000000003</v>
      </c>
    </row>
    <row r="92" spans="1:8" x14ac:dyDescent="0.15">
      <c r="A92" s="136" t="s">
        <v>488</v>
      </c>
      <c r="B92" s="135">
        <v>-7.141</v>
      </c>
      <c r="C92" s="135">
        <v>-6.3639999999999999</v>
      </c>
      <c r="D92" s="135">
        <v>-12.287000000000001</v>
      </c>
      <c r="E92" s="135">
        <v>-1.4999999999999999E-2</v>
      </c>
      <c r="F92" s="135">
        <v>-0.27700000000000002</v>
      </c>
      <c r="G92" s="135">
        <v>-1.72</v>
      </c>
      <c r="H92" s="135">
        <v>-6.2949999999999999</v>
      </c>
    </row>
    <row r="93" spans="1:8" x14ac:dyDescent="0.15">
      <c r="A93" s="136" t="s">
        <v>487</v>
      </c>
      <c r="B93" s="135">
        <v>0</v>
      </c>
      <c r="C93" s="135">
        <v>-0.80800000000000005</v>
      </c>
      <c r="D93" s="135">
        <v>-5.5060000000000002</v>
      </c>
      <c r="E93" s="135">
        <v>-0.32800000000000001</v>
      </c>
      <c r="F93" s="135">
        <v>-0.129</v>
      </c>
      <c r="G93" s="135">
        <v>-4.1920000000000002</v>
      </c>
      <c r="H93" s="135">
        <v>-2.673</v>
      </c>
    </row>
    <row r="94" spans="1:8" x14ac:dyDescent="0.15">
      <c r="A94" s="136" t="s">
        <v>486</v>
      </c>
      <c r="B94" s="135">
        <v>-0.55900000000000005</v>
      </c>
      <c r="C94" s="135">
        <v>-0.78</v>
      </c>
      <c r="D94" s="135">
        <v>0.30299999999999999</v>
      </c>
      <c r="E94" s="135">
        <v>-0.04</v>
      </c>
      <c r="F94" s="135">
        <v>-8.5000000000000006E-2</v>
      </c>
      <c r="G94" s="135">
        <v>-0.41399999999999998</v>
      </c>
      <c r="H94" s="135">
        <v>-0.44500000000000001</v>
      </c>
    </row>
    <row r="95" spans="1:8" x14ac:dyDescent="0.15">
      <c r="A95" s="136" t="s">
        <v>485</v>
      </c>
      <c r="B95" s="135">
        <v>0</v>
      </c>
      <c r="C95" s="135">
        <v>0</v>
      </c>
      <c r="D95" s="135">
        <v>0</v>
      </c>
      <c r="E95" s="135">
        <v>0</v>
      </c>
      <c r="F95" s="135">
        <v>0</v>
      </c>
      <c r="G95" s="135">
        <v>0</v>
      </c>
      <c r="H95" s="135">
        <v>0</v>
      </c>
    </row>
    <row r="96" spans="1:8" x14ac:dyDescent="0.15">
      <c r="A96" s="136" t="s">
        <v>484</v>
      </c>
      <c r="B96" s="135">
        <v>0.108</v>
      </c>
      <c r="C96" s="135">
        <v>0.86899999999999999</v>
      </c>
      <c r="D96" s="135">
        <v>0.93200000000000005</v>
      </c>
      <c r="E96" s="135">
        <v>2.8239999999999998</v>
      </c>
      <c r="F96" s="135">
        <v>0.77100000000000002</v>
      </c>
      <c r="G96" s="135">
        <v>23.945</v>
      </c>
      <c r="H96" s="135">
        <v>22.077999999999999</v>
      </c>
    </row>
    <row r="97" spans="1:8" x14ac:dyDescent="0.15">
      <c r="A97" s="136" t="s">
        <v>483</v>
      </c>
      <c r="B97" s="135">
        <v>3.0000000000000001E-3</v>
      </c>
      <c r="C97" s="135">
        <v>3.0000000000000001E-3</v>
      </c>
      <c r="D97" s="135">
        <v>-1.784</v>
      </c>
      <c r="E97" s="135">
        <v>0.106</v>
      </c>
      <c r="F97" s="135">
        <v>0.113</v>
      </c>
      <c r="G97" s="135">
        <v>1.0349999999999999</v>
      </c>
      <c r="H97" s="135">
        <v>0.91900000000000004</v>
      </c>
    </row>
    <row r="98" spans="1:8" x14ac:dyDescent="0.15">
      <c r="A98" s="136" t="s">
        <v>482</v>
      </c>
      <c r="B98" s="135">
        <v>0</v>
      </c>
      <c r="C98" s="135">
        <v>0</v>
      </c>
      <c r="D98" s="135">
        <v>0</v>
      </c>
      <c r="E98" s="135">
        <v>0</v>
      </c>
      <c r="F98" s="135">
        <v>0</v>
      </c>
      <c r="G98" s="135">
        <v>0</v>
      </c>
      <c r="H98" s="135">
        <v>0</v>
      </c>
    </row>
    <row r="99" spans="1:8" x14ac:dyDescent="0.15">
      <c r="A99" s="136" t="s">
        <v>319</v>
      </c>
      <c r="B99" s="135">
        <v>0</v>
      </c>
      <c r="C99" s="135">
        <v>0</v>
      </c>
      <c r="D99" s="135">
        <v>0</v>
      </c>
      <c r="E99" s="135">
        <v>0</v>
      </c>
      <c r="F99" s="135">
        <v>0</v>
      </c>
      <c r="G99" s="135">
        <v>0</v>
      </c>
      <c r="H99" s="135">
        <v>0</v>
      </c>
    </row>
    <row r="100" spans="1:8" x14ac:dyDescent="0.15">
      <c r="A100" s="136" t="s">
        <v>473</v>
      </c>
      <c r="B100" s="135">
        <v>-372.89299999999997</v>
      </c>
      <c r="C100" s="135">
        <v>-514.64300000000003</v>
      </c>
      <c r="D100" s="135">
        <v>-3445.0659999999998</v>
      </c>
      <c r="E100" s="135">
        <v>-1255.9110000000001</v>
      </c>
      <c r="F100" s="135">
        <v>-1033.6600000000001</v>
      </c>
      <c r="G100" s="135">
        <v>-944.83900000000006</v>
      </c>
      <c r="H100" s="135">
        <v>-487.95499999999998</v>
      </c>
    </row>
    <row r="101" spans="1:8" x14ac:dyDescent="0.15">
      <c r="A101" s="136" t="s">
        <v>481</v>
      </c>
      <c r="B101" s="135">
        <v>0</v>
      </c>
      <c r="C101" s="135">
        <v>0</v>
      </c>
      <c r="D101" s="135">
        <v>0</v>
      </c>
      <c r="E101" s="135">
        <v>0</v>
      </c>
      <c r="F101" s="135">
        <v>0</v>
      </c>
      <c r="G101" s="135">
        <v>0</v>
      </c>
      <c r="H101" s="135">
        <v>0</v>
      </c>
    </row>
    <row r="102" spans="1:8" x14ac:dyDescent="0.15">
      <c r="A102" s="136" t="s">
        <v>480</v>
      </c>
      <c r="B102" s="135">
        <v>-372.89299999999997</v>
      </c>
      <c r="C102" s="135">
        <v>-514.64300000000003</v>
      </c>
      <c r="D102" s="135">
        <v>-3445.0659999999998</v>
      </c>
      <c r="E102" s="135">
        <v>-1255.9110000000001</v>
      </c>
      <c r="F102" s="135">
        <v>-1033.6600000000001</v>
      </c>
      <c r="G102" s="135">
        <v>-944.83900000000006</v>
      </c>
      <c r="H102" s="135">
        <v>-487.95499999999998</v>
      </c>
    </row>
    <row r="103" spans="1:8" x14ac:dyDescent="0.15">
      <c r="A103" s="136" t="s">
        <v>479</v>
      </c>
      <c r="B103" s="135">
        <v>0</v>
      </c>
      <c r="C103" s="135">
        <v>0</v>
      </c>
      <c r="D103" s="135">
        <v>0</v>
      </c>
      <c r="E103" s="135">
        <v>0</v>
      </c>
      <c r="F103" s="135">
        <v>0</v>
      </c>
      <c r="G103" s="135">
        <v>0</v>
      </c>
      <c r="H103" s="135">
        <v>0</v>
      </c>
    </row>
    <row r="104" spans="1:8" x14ac:dyDescent="0.15">
      <c r="A104" s="136" t="s">
        <v>478</v>
      </c>
      <c r="B104" s="135">
        <v>-372.89299999999997</v>
      </c>
      <c r="C104" s="135">
        <v>-514.64300000000003</v>
      </c>
      <c r="D104" s="135">
        <v>-3445.0659999999998</v>
      </c>
      <c r="E104" s="135">
        <v>-1255.9110000000001</v>
      </c>
      <c r="F104" s="135">
        <v>-1033.6600000000001</v>
      </c>
      <c r="G104" s="135">
        <v>-944.83900000000006</v>
      </c>
      <c r="H104" s="135">
        <v>-487.95499999999998</v>
      </c>
    </row>
    <row r="105" spans="1:8" x14ac:dyDescent="0.15">
      <c r="A105" s="136" t="s">
        <v>471</v>
      </c>
      <c r="B105" s="135">
        <v>0</v>
      </c>
      <c r="C105" s="135">
        <v>0</v>
      </c>
      <c r="D105" s="135">
        <v>0</v>
      </c>
      <c r="E105" s="135">
        <v>0</v>
      </c>
      <c r="F105" s="135">
        <v>0</v>
      </c>
      <c r="G105" s="135">
        <v>0</v>
      </c>
      <c r="H105" s="135">
        <v>0</v>
      </c>
    </row>
    <row r="106" spans="1:8" x14ac:dyDescent="0.15">
      <c r="A106" s="136" t="s">
        <v>477</v>
      </c>
      <c r="B106" s="135">
        <v>0</v>
      </c>
      <c r="C106" s="135">
        <v>0</v>
      </c>
      <c r="D106" s="135">
        <v>0</v>
      </c>
      <c r="E106" s="135">
        <v>0</v>
      </c>
      <c r="F106" s="135">
        <v>0</v>
      </c>
      <c r="G106" s="135">
        <v>0</v>
      </c>
      <c r="H106" s="135">
        <v>0</v>
      </c>
    </row>
    <row r="107" spans="1:8" x14ac:dyDescent="0.15">
      <c r="A107" s="136" t="s">
        <v>476</v>
      </c>
      <c r="B107" s="135">
        <v>0</v>
      </c>
      <c r="C107" s="135">
        <v>0</v>
      </c>
      <c r="D107" s="135">
        <v>0</v>
      </c>
      <c r="E107" s="135">
        <v>0</v>
      </c>
      <c r="F107" s="135">
        <v>0</v>
      </c>
      <c r="G107" s="135">
        <v>0</v>
      </c>
      <c r="H107" s="135">
        <v>0</v>
      </c>
    </row>
    <row r="108" spans="1:8" x14ac:dyDescent="0.15">
      <c r="A108" s="136" t="s">
        <v>475</v>
      </c>
      <c r="B108" s="135">
        <v>-372.89299999999997</v>
      </c>
      <c r="C108" s="135">
        <v>-514.64300000000003</v>
      </c>
      <c r="D108" s="135">
        <v>-3445.0659999999998</v>
      </c>
      <c r="E108" s="135">
        <v>-1255.9110000000001</v>
      </c>
      <c r="F108" s="135">
        <v>-1033.6600000000001</v>
      </c>
      <c r="G108" s="135">
        <v>-944.83900000000006</v>
      </c>
      <c r="H108" s="135">
        <v>-487.95499999999998</v>
      </c>
    </row>
    <row r="109" spans="1:8" x14ac:dyDescent="0.15">
      <c r="A109" s="136" t="s">
        <v>315</v>
      </c>
      <c r="B109" s="135">
        <v>-372.89299999999997</v>
      </c>
      <c r="C109" s="135">
        <v>-514.64300000000003</v>
      </c>
      <c r="D109" s="135">
        <v>-3445.0659999999998</v>
      </c>
      <c r="E109" s="135">
        <v>-1255.9110000000001</v>
      </c>
      <c r="F109" s="135">
        <v>-1033.6600000000001</v>
      </c>
      <c r="G109" s="135">
        <v>-944.83900000000006</v>
      </c>
      <c r="H109" s="135">
        <v>-487.95499999999998</v>
      </c>
    </row>
    <row r="110" spans="1:8" x14ac:dyDescent="0.15">
      <c r="A110" s="137"/>
    </row>
    <row r="111" spans="1:8" x14ac:dyDescent="0.15">
      <c r="A111" s="138" t="s">
        <v>308</v>
      </c>
    </row>
    <row r="112" spans="1:8" x14ac:dyDescent="0.15">
      <c r="A112" s="137" t="s">
        <v>474</v>
      </c>
    </row>
    <row r="113" spans="1:8" x14ac:dyDescent="0.15">
      <c r="A113" s="136" t="s">
        <v>473</v>
      </c>
      <c r="B113" s="135">
        <v>-372.89299999999997</v>
      </c>
      <c r="C113" s="135">
        <v>-514.64300000000003</v>
      </c>
      <c r="D113" s="135">
        <v>-3445.0659999999998</v>
      </c>
      <c r="E113" s="135">
        <v>-1255.9110000000001</v>
      </c>
      <c r="F113" s="135">
        <v>-1033.6600000000001</v>
      </c>
      <c r="G113" s="135">
        <v>-944.83900000000006</v>
      </c>
      <c r="H113" s="135">
        <v>-487.95499999999998</v>
      </c>
    </row>
    <row r="114" spans="1:8" x14ac:dyDescent="0.15">
      <c r="A114" s="136" t="s">
        <v>472</v>
      </c>
      <c r="B114" s="135">
        <v>15.307</v>
      </c>
      <c r="C114" s="135">
        <v>29.114999999999998</v>
      </c>
      <c r="D114" s="135">
        <v>61.287999999999997</v>
      </c>
      <c r="E114" s="135">
        <v>91.647999999999996</v>
      </c>
      <c r="F114" s="135">
        <v>105.042</v>
      </c>
      <c r="G114" s="135">
        <v>168.14500000000001</v>
      </c>
      <c r="H114" s="135">
        <v>123.452</v>
      </c>
    </row>
    <row r="115" spans="1:8" x14ac:dyDescent="0.15">
      <c r="A115" s="136" t="s">
        <v>471</v>
      </c>
      <c r="B115" s="135">
        <v>0</v>
      </c>
      <c r="C115" s="135">
        <v>0</v>
      </c>
      <c r="D115" s="135">
        <v>0</v>
      </c>
      <c r="E115" s="135">
        <v>0</v>
      </c>
      <c r="F115" s="135">
        <v>0</v>
      </c>
      <c r="G115" s="135">
        <v>0</v>
      </c>
      <c r="H115" s="135">
        <v>0</v>
      </c>
    </row>
    <row r="116" spans="1:8" x14ac:dyDescent="0.15">
      <c r="A116" s="136" t="s">
        <v>470</v>
      </c>
      <c r="B116" s="135">
        <v>-7.7</v>
      </c>
      <c r="C116" s="135">
        <v>-7.952</v>
      </c>
      <c r="D116" s="135">
        <v>-17.489999999999998</v>
      </c>
      <c r="E116" s="135">
        <v>-0.38300000000000001</v>
      </c>
      <c r="F116" s="135">
        <v>-0.49099999999999999</v>
      </c>
      <c r="G116" s="135">
        <v>-6.3259999999999996</v>
      </c>
      <c r="H116" s="135">
        <v>-9.4130000000000003</v>
      </c>
    </row>
    <row r="117" spans="1:8" x14ac:dyDescent="0.15">
      <c r="A117" s="136" t="s">
        <v>469</v>
      </c>
      <c r="B117" s="136" t="s">
        <v>283</v>
      </c>
      <c r="C117" s="136" t="s">
        <v>283</v>
      </c>
      <c r="D117" s="136" t="s">
        <v>283</v>
      </c>
      <c r="E117" s="136" t="s">
        <v>283</v>
      </c>
      <c r="F117" s="136" t="s">
        <v>283</v>
      </c>
      <c r="G117" s="136" t="s">
        <v>283</v>
      </c>
      <c r="H117" s="136" t="s">
        <v>283</v>
      </c>
    </row>
    <row r="118" spans="1:8" x14ac:dyDescent="0.15">
      <c r="A118" s="136" t="s">
        <v>468</v>
      </c>
      <c r="B118" s="135">
        <v>0</v>
      </c>
      <c r="C118" s="135">
        <v>0</v>
      </c>
      <c r="D118" s="135">
        <v>0</v>
      </c>
      <c r="E118" s="135">
        <v>0</v>
      </c>
      <c r="F118" s="135">
        <v>-39.883000000000003</v>
      </c>
      <c r="G118" s="135">
        <v>0</v>
      </c>
      <c r="H118" s="136" t="s">
        <v>283</v>
      </c>
    </row>
    <row r="119" spans="1:8" x14ac:dyDescent="0.15">
      <c r="A119" s="136" t="s">
        <v>467</v>
      </c>
      <c r="B119" s="135">
        <v>74.150000000000006</v>
      </c>
      <c r="C119" s="135">
        <v>32.731000000000002</v>
      </c>
      <c r="D119" s="135">
        <v>2655.5360000000001</v>
      </c>
      <c r="E119" s="135">
        <v>570.34100000000001</v>
      </c>
      <c r="F119" s="135">
        <v>657.43799999999999</v>
      </c>
      <c r="G119" s="135">
        <v>769.221</v>
      </c>
      <c r="H119" s="135">
        <v>862.67700000000002</v>
      </c>
    </row>
    <row r="120" spans="1:8" x14ac:dyDescent="0.15">
      <c r="A120" s="136" t="s">
        <v>466</v>
      </c>
      <c r="B120" s="135">
        <v>-41.905000000000001</v>
      </c>
      <c r="C120" s="135">
        <v>-118.434</v>
      </c>
      <c r="D120" s="135">
        <v>-104.357</v>
      </c>
      <c r="E120" s="135">
        <v>-77.506</v>
      </c>
      <c r="F120" s="135">
        <v>-147.86199999999999</v>
      </c>
      <c r="G120" s="135">
        <v>-255.81800000000001</v>
      </c>
      <c r="H120" s="135">
        <v>-332.96699999999998</v>
      </c>
    </row>
    <row r="121" spans="1:8" x14ac:dyDescent="0.15">
      <c r="A121" s="136" t="s">
        <v>465</v>
      </c>
      <c r="B121" s="136" t="s">
        <v>283</v>
      </c>
      <c r="C121" s="136" t="s">
        <v>283</v>
      </c>
      <c r="D121" s="136" t="s">
        <v>283</v>
      </c>
      <c r="E121" s="136" t="s">
        <v>283</v>
      </c>
      <c r="F121" s="136" t="s">
        <v>283</v>
      </c>
      <c r="G121" s="136" t="s">
        <v>283</v>
      </c>
      <c r="H121" s="136" t="s">
        <v>283</v>
      </c>
    </row>
    <row r="122" spans="1:8" x14ac:dyDescent="0.15">
      <c r="A122" s="136" t="s">
        <v>464</v>
      </c>
      <c r="B122" s="136" t="s">
        <v>283</v>
      </c>
      <c r="C122" s="136" t="s">
        <v>283</v>
      </c>
      <c r="D122" s="136" t="s">
        <v>283</v>
      </c>
      <c r="E122" s="136" t="s">
        <v>283</v>
      </c>
      <c r="F122" s="136" t="s">
        <v>283</v>
      </c>
      <c r="G122" s="136" t="s">
        <v>283</v>
      </c>
      <c r="H122" s="136" t="s">
        <v>283</v>
      </c>
    </row>
    <row r="123" spans="1:8" x14ac:dyDescent="0.15">
      <c r="A123" s="136" t="s">
        <v>463</v>
      </c>
      <c r="B123" s="136" t="s">
        <v>283</v>
      </c>
      <c r="C123" s="136" t="s">
        <v>283</v>
      </c>
      <c r="D123" s="136" t="s">
        <v>283</v>
      </c>
      <c r="E123" s="136" t="s">
        <v>283</v>
      </c>
      <c r="F123" s="136" t="s">
        <v>283</v>
      </c>
      <c r="G123" s="136" t="s">
        <v>283</v>
      </c>
      <c r="H123" s="136" t="s">
        <v>283</v>
      </c>
    </row>
    <row r="124" spans="1:8" x14ac:dyDescent="0.15">
      <c r="A124" s="136" t="s">
        <v>462</v>
      </c>
      <c r="B124" s="135">
        <v>26.419</v>
      </c>
      <c r="C124" s="135">
        <v>-32.061999999999998</v>
      </c>
      <c r="D124" s="135">
        <v>115.422</v>
      </c>
      <c r="E124" s="135">
        <v>-18.113</v>
      </c>
      <c r="F124" s="135">
        <v>154.458</v>
      </c>
      <c r="G124" s="135">
        <v>101.973</v>
      </c>
      <c r="H124" s="135">
        <v>137.08600000000001</v>
      </c>
    </row>
    <row r="125" spans="1:8" x14ac:dyDescent="0.15">
      <c r="A125" s="136" t="s">
        <v>305</v>
      </c>
      <c r="B125" s="135">
        <v>-306.62200000000001</v>
      </c>
      <c r="C125" s="135">
        <v>-611.245</v>
      </c>
      <c r="D125" s="135">
        <v>-734.66700000000003</v>
      </c>
      <c r="E125" s="135">
        <v>-689.92399999999998</v>
      </c>
      <c r="F125" s="135">
        <v>-304.95800000000003</v>
      </c>
      <c r="G125" s="135">
        <v>-167.64400000000001</v>
      </c>
      <c r="H125" s="135">
        <v>292.88</v>
      </c>
    </row>
    <row r="126" spans="1:8" x14ac:dyDescent="0.15">
      <c r="A126" s="137" t="s">
        <v>461</v>
      </c>
    </row>
    <row r="127" spans="1:8" x14ac:dyDescent="0.15">
      <c r="A127" s="136" t="s">
        <v>460</v>
      </c>
      <c r="B127" s="135">
        <v>9.5510000000000002</v>
      </c>
      <c r="C127" s="135">
        <v>6.5129999999999999</v>
      </c>
      <c r="D127" s="135">
        <v>10.029999999999999</v>
      </c>
      <c r="E127" s="135">
        <v>22.495000000000001</v>
      </c>
      <c r="F127" s="135">
        <v>5.4809999999999999</v>
      </c>
      <c r="G127" s="135">
        <v>111.586</v>
      </c>
      <c r="H127" s="135">
        <v>41.16</v>
      </c>
    </row>
    <row r="128" spans="1:8" x14ac:dyDescent="0.15">
      <c r="A128" s="136" t="s">
        <v>459</v>
      </c>
      <c r="B128" s="135">
        <v>0</v>
      </c>
      <c r="C128" s="135">
        <v>0</v>
      </c>
      <c r="D128" s="135">
        <v>0</v>
      </c>
      <c r="E128" s="135">
        <v>0</v>
      </c>
      <c r="F128" s="135">
        <v>0</v>
      </c>
      <c r="G128" s="135">
        <v>0</v>
      </c>
      <c r="H128" s="135">
        <v>0</v>
      </c>
    </row>
    <row r="129" spans="1:8" x14ac:dyDescent="0.15">
      <c r="A129" s="136" t="s">
        <v>458</v>
      </c>
      <c r="B129" s="135">
        <v>0</v>
      </c>
      <c r="C129" s="135">
        <v>-836.75900000000001</v>
      </c>
      <c r="D129" s="135">
        <v>-868.34400000000005</v>
      </c>
      <c r="E129" s="135">
        <v>829.29499999999996</v>
      </c>
      <c r="F129" s="135">
        <v>-684.35500000000002</v>
      </c>
      <c r="G129" s="135">
        <v>-397.10199999999998</v>
      </c>
      <c r="H129" s="135">
        <v>477.29700000000003</v>
      </c>
    </row>
    <row r="130" spans="1:8" x14ac:dyDescent="0.15">
      <c r="A130" s="136" t="s">
        <v>304</v>
      </c>
      <c r="B130" s="135">
        <v>19.204999999999998</v>
      </c>
      <c r="C130" s="135">
        <v>66.441000000000003</v>
      </c>
      <c r="D130" s="135">
        <v>84.518000000000001</v>
      </c>
      <c r="E130" s="135">
        <v>120.242</v>
      </c>
      <c r="F130" s="135">
        <v>36.478000000000002</v>
      </c>
      <c r="G130" s="135">
        <v>57.832000000000001</v>
      </c>
      <c r="H130" s="135">
        <v>69.875</v>
      </c>
    </row>
    <row r="131" spans="1:8" x14ac:dyDescent="0.15">
      <c r="A131" s="136" t="s">
        <v>457</v>
      </c>
      <c r="B131" s="135">
        <v>0</v>
      </c>
      <c r="C131" s="135">
        <v>0</v>
      </c>
      <c r="D131" s="135">
        <v>0</v>
      </c>
      <c r="E131" s="135">
        <v>11.276</v>
      </c>
      <c r="F131" s="135">
        <v>0</v>
      </c>
      <c r="G131" s="135">
        <v>0</v>
      </c>
      <c r="H131" s="135">
        <v>0</v>
      </c>
    </row>
    <row r="132" spans="1:8" x14ac:dyDescent="0.15">
      <c r="A132" s="136" t="s">
        <v>302</v>
      </c>
      <c r="B132" s="135">
        <v>48.73</v>
      </c>
      <c r="C132" s="135">
        <v>104.001</v>
      </c>
      <c r="D132" s="135">
        <v>386.01100000000002</v>
      </c>
      <c r="E132" s="135">
        <v>0.81499999999999995</v>
      </c>
      <c r="F132" s="135">
        <v>77.119</v>
      </c>
      <c r="G132" s="135">
        <v>168.85</v>
      </c>
      <c r="H132" s="135">
        <v>310.91500000000002</v>
      </c>
    </row>
    <row r="133" spans="1:8" x14ac:dyDescent="0.15">
      <c r="A133" s="136" t="s">
        <v>456</v>
      </c>
      <c r="B133" s="135">
        <v>-23.456</v>
      </c>
      <c r="C133" s="135">
        <v>-7.62</v>
      </c>
      <c r="D133" s="135">
        <v>2.1640000000000001</v>
      </c>
      <c r="E133" s="135">
        <v>-2.5649999999999999</v>
      </c>
      <c r="F133" s="135">
        <v>74.825000000000003</v>
      </c>
      <c r="G133" s="135">
        <v>5.5060000000000002</v>
      </c>
      <c r="H133" s="135">
        <v>34.880000000000003</v>
      </c>
    </row>
    <row r="134" spans="1:8" x14ac:dyDescent="0.15">
      <c r="A134" s="136" t="s">
        <v>455</v>
      </c>
      <c r="B134" s="135">
        <v>-100.94199999999999</v>
      </c>
      <c r="C134" s="135">
        <v>-1021.3339999999999</v>
      </c>
      <c r="D134" s="135">
        <v>-1346.739</v>
      </c>
      <c r="E134" s="135">
        <v>694.45399999999995</v>
      </c>
      <c r="F134" s="135">
        <v>-728.60799999999995</v>
      </c>
      <c r="G134" s="135">
        <v>-729.86400000000003</v>
      </c>
      <c r="H134" s="135">
        <v>90.227000000000004</v>
      </c>
    </row>
    <row r="135" spans="1:8" x14ac:dyDescent="0.15">
      <c r="A135" s="137" t="s">
        <v>454</v>
      </c>
    </row>
    <row r="136" spans="1:8" x14ac:dyDescent="0.15">
      <c r="A136" s="136" t="s">
        <v>453</v>
      </c>
      <c r="B136" s="135">
        <v>651.36599999999999</v>
      </c>
      <c r="C136" s="135">
        <v>1157.8779999999999</v>
      </c>
      <c r="D136" s="135">
        <v>2669.1759999999999</v>
      </c>
      <c r="E136" s="135">
        <v>47.988</v>
      </c>
      <c r="F136" s="135">
        <v>16.527000000000001</v>
      </c>
      <c r="G136" s="135">
        <v>34.209000000000003</v>
      </c>
      <c r="H136" s="135">
        <v>14.670999999999999</v>
      </c>
    </row>
    <row r="137" spans="1:8" x14ac:dyDescent="0.15">
      <c r="A137" s="136" t="s">
        <v>452</v>
      </c>
      <c r="B137" s="135">
        <v>1</v>
      </c>
      <c r="C137" s="135">
        <v>10.593</v>
      </c>
      <c r="D137" s="135">
        <v>394.15600000000001</v>
      </c>
      <c r="E137" s="135">
        <v>0.55100000000000005</v>
      </c>
      <c r="F137" s="135">
        <v>0</v>
      </c>
      <c r="G137" s="135">
        <v>0</v>
      </c>
      <c r="H137" s="135">
        <v>0</v>
      </c>
    </row>
    <row r="138" spans="1:8" x14ac:dyDescent="0.15">
      <c r="A138" s="136" t="s">
        <v>300</v>
      </c>
      <c r="B138" s="135">
        <v>0</v>
      </c>
      <c r="C138" s="135">
        <v>0</v>
      </c>
      <c r="D138" s="135">
        <v>0</v>
      </c>
      <c r="E138" s="135">
        <v>0</v>
      </c>
      <c r="F138" s="135">
        <v>0</v>
      </c>
      <c r="G138" s="135">
        <v>0</v>
      </c>
      <c r="H138" s="135">
        <v>0</v>
      </c>
    </row>
    <row r="139" spans="1:8" x14ac:dyDescent="0.15">
      <c r="A139" s="136" t="s">
        <v>451</v>
      </c>
      <c r="B139" s="135">
        <v>0</v>
      </c>
      <c r="C139" s="135">
        <v>5</v>
      </c>
      <c r="D139" s="136" t="s">
        <v>283</v>
      </c>
      <c r="E139" s="135">
        <v>0</v>
      </c>
      <c r="F139" s="135">
        <v>1251.4110000000001</v>
      </c>
      <c r="G139" s="135">
        <v>988.58199999999999</v>
      </c>
      <c r="H139" s="135">
        <v>1137.2270000000001</v>
      </c>
    </row>
    <row r="140" spans="1:8" x14ac:dyDescent="0.15">
      <c r="A140" s="136" t="s">
        <v>450</v>
      </c>
      <c r="B140" s="135">
        <v>0</v>
      </c>
      <c r="C140" s="135">
        <v>5</v>
      </c>
      <c r="D140" s="136" t="s">
        <v>283</v>
      </c>
      <c r="E140" s="135">
        <v>0</v>
      </c>
      <c r="F140" s="135">
        <v>0</v>
      </c>
      <c r="G140" s="135">
        <v>0</v>
      </c>
      <c r="H140" s="135">
        <v>0</v>
      </c>
    </row>
    <row r="141" spans="1:8" x14ac:dyDescent="0.15">
      <c r="A141" s="136" t="s">
        <v>449</v>
      </c>
      <c r="B141" s="135">
        <v>0</v>
      </c>
      <c r="C141" s="135">
        <v>0</v>
      </c>
      <c r="D141" s="136" t="s">
        <v>283</v>
      </c>
      <c r="E141" s="135">
        <v>0</v>
      </c>
      <c r="F141" s="136" t="s">
        <v>283</v>
      </c>
      <c r="G141" s="136" t="s">
        <v>283</v>
      </c>
      <c r="H141" s="136" t="s">
        <v>283</v>
      </c>
    </row>
    <row r="142" spans="1:8" x14ac:dyDescent="0.15">
      <c r="A142" s="136" t="s">
        <v>448</v>
      </c>
      <c r="B142" s="135">
        <v>0</v>
      </c>
      <c r="C142" s="135">
        <v>-5.3949999999999996</v>
      </c>
      <c r="D142" s="135">
        <v>-9.6720000000000006</v>
      </c>
      <c r="E142" s="135">
        <v>0</v>
      </c>
      <c r="F142" s="135">
        <v>-102.086</v>
      </c>
      <c r="G142" s="135">
        <v>-100</v>
      </c>
      <c r="H142" s="135">
        <v>-86.825000000000003</v>
      </c>
    </row>
    <row r="143" spans="1:8" x14ac:dyDescent="0.15">
      <c r="A143" s="136" t="s">
        <v>447</v>
      </c>
      <c r="B143" s="135">
        <v>650.36599999999999</v>
      </c>
      <c r="C143" s="135">
        <v>1141.8900000000001</v>
      </c>
      <c r="D143" s="135">
        <v>2265.348</v>
      </c>
      <c r="E143" s="135">
        <v>47.436999999999998</v>
      </c>
      <c r="F143" s="135">
        <v>1165.8520000000001</v>
      </c>
      <c r="G143" s="135">
        <v>922.79100000000005</v>
      </c>
      <c r="H143" s="135">
        <v>1065.0730000000001</v>
      </c>
    </row>
    <row r="144" spans="1:8" x14ac:dyDescent="0.15">
      <c r="A144" s="136" t="s">
        <v>446</v>
      </c>
      <c r="B144" s="135">
        <v>0</v>
      </c>
      <c r="C144" s="135">
        <v>0</v>
      </c>
      <c r="D144" s="135">
        <v>0</v>
      </c>
      <c r="E144" s="135">
        <v>0</v>
      </c>
      <c r="F144" s="135">
        <v>0</v>
      </c>
      <c r="G144" s="135">
        <v>0</v>
      </c>
      <c r="H144" s="135">
        <v>0</v>
      </c>
    </row>
    <row r="145" spans="1:8" x14ac:dyDescent="0.15">
      <c r="A145" s="136" t="s">
        <v>445</v>
      </c>
      <c r="B145" s="135">
        <v>242.80199999999999</v>
      </c>
      <c r="C145" s="135">
        <v>-490.68900000000002</v>
      </c>
      <c r="D145" s="135">
        <v>183.94200000000001</v>
      </c>
      <c r="E145" s="135">
        <v>51.966999999999999</v>
      </c>
      <c r="F145" s="135">
        <v>132.286</v>
      </c>
      <c r="G145" s="135">
        <v>25.283000000000001</v>
      </c>
      <c r="H145" s="135">
        <v>1448.18</v>
      </c>
    </row>
    <row r="146" spans="1:8" x14ac:dyDescent="0.15">
      <c r="A146" s="137" t="s">
        <v>444</v>
      </c>
    </row>
    <row r="147" spans="1:8" x14ac:dyDescent="0.15">
      <c r="A147" s="136" t="s">
        <v>443</v>
      </c>
      <c r="B147" s="136" t="s">
        <v>283</v>
      </c>
      <c r="C147" s="136" t="s">
        <v>283</v>
      </c>
      <c r="D147" s="136" t="s">
        <v>283</v>
      </c>
      <c r="E147" s="136" t="s">
        <v>283</v>
      </c>
      <c r="F147" s="135">
        <v>1.546</v>
      </c>
      <c r="G147" s="135">
        <v>12.019</v>
      </c>
      <c r="H147" s="135">
        <v>10.887</v>
      </c>
    </row>
    <row r="148" spans="1:8" x14ac:dyDescent="0.15">
      <c r="A148" s="136" t="s">
        <v>297</v>
      </c>
      <c r="B148" s="135">
        <v>3.0000000000000001E-3</v>
      </c>
      <c r="C148" s="135">
        <v>1.6859999999999999</v>
      </c>
      <c r="D148" s="135">
        <v>6.226</v>
      </c>
      <c r="E148" s="135">
        <v>3.5979999999999999</v>
      </c>
      <c r="F148" s="135">
        <v>0.156</v>
      </c>
      <c r="G148" s="135">
        <v>3.6920000000000002</v>
      </c>
      <c r="H148" s="135">
        <v>25.332999999999998</v>
      </c>
    </row>
    <row r="149" spans="1:8" x14ac:dyDescent="0.15">
      <c r="A149" s="137"/>
    </row>
    <row r="150" spans="1:8" x14ac:dyDescent="0.15">
      <c r="A150" s="138" t="s">
        <v>442</v>
      </c>
    </row>
    <row r="151" spans="1:8" x14ac:dyDescent="0.15">
      <c r="A151" s="136" t="s">
        <v>441</v>
      </c>
      <c r="B151" s="136" t="s">
        <v>283</v>
      </c>
      <c r="C151" s="136" t="s">
        <v>283</v>
      </c>
      <c r="D151" s="136" t="s">
        <v>283</v>
      </c>
      <c r="E151" s="136" t="s">
        <v>283</v>
      </c>
      <c r="F151" s="136" t="s">
        <v>283</v>
      </c>
      <c r="G151" s="136" t="s">
        <v>283</v>
      </c>
      <c r="H151" s="136" t="s">
        <v>283</v>
      </c>
    </row>
    <row r="152" spans="1:8" x14ac:dyDescent="0.15">
      <c r="A152" s="136" t="s">
        <v>440</v>
      </c>
      <c r="B152" s="136" t="s">
        <v>283</v>
      </c>
      <c r="C152" s="136" t="s">
        <v>283</v>
      </c>
      <c r="D152" s="136" t="s">
        <v>283</v>
      </c>
      <c r="E152" s="136" t="s">
        <v>283</v>
      </c>
      <c r="F152" s="136" t="s">
        <v>283</v>
      </c>
      <c r="G152" s="136" t="s">
        <v>283</v>
      </c>
      <c r="H152" s="136" t="s">
        <v>283</v>
      </c>
    </row>
    <row r="153" spans="1:8" x14ac:dyDescent="0.15">
      <c r="A153" s="136" t="s">
        <v>293</v>
      </c>
      <c r="B153" s="135">
        <v>1</v>
      </c>
      <c r="C153" s="135">
        <v>1</v>
      </c>
      <c r="D153" s="135">
        <v>1</v>
      </c>
      <c r="E153" s="135">
        <v>1</v>
      </c>
      <c r="F153" s="135">
        <v>1</v>
      </c>
      <c r="G153" s="135">
        <v>1</v>
      </c>
      <c r="H153" s="135">
        <v>1</v>
      </c>
    </row>
    <row r="154" spans="1:8" x14ac:dyDescent="0.15">
      <c r="A154" s="136" t="s">
        <v>292</v>
      </c>
      <c r="B154" s="135">
        <v>2.7</v>
      </c>
      <c r="C154" s="135">
        <v>9.4</v>
      </c>
      <c r="D154" s="135">
        <v>10.9</v>
      </c>
      <c r="E154" s="135">
        <v>11.3</v>
      </c>
      <c r="F154" s="135">
        <v>31.4</v>
      </c>
      <c r="G154" s="135">
        <v>29.5</v>
      </c>
      <c r="H154" s="135">
        <v>62.4</v>
      </c>
    </row>
    <row r="155" spans="1:8" x14ac:dyDescent="0.15">
      <c r="A155" s="136" t="s">
        <v>439</v>
      </c>
      <c r="B155" s="136" t="s">
        <v>283</v>
      </c>
      <c r="C155" s="136" t="s">
        <v>283</v>
      </c>
      <c r="D155" s="136" t="s">
        <v>283</v>
      </c>
      <c r="E155" s="136" t="s">
        <v>283</v>
      </c>
      <c r="F155" s="136" t="s">
        <v>283</v>
      </c>
      <c r="G155" s="136" t="s">
        <v>283</v>
      </c>
      <c r="H155" s="136" t="s">
        <v>283</v>
      </c>
    </row>
    <row r="156" spans="1:8" x14ac:dyDescent="0.15">
      <c r="A156" s="136" t="s">
        <v>438</v>
      </c>
      <c r="B156" s="136" t="s">
        <v>283</v>
      </c>
      <c r="C156" s="136" t="s">
        <v>283</v>
      </c>
      <c r="D156" s="136" t="s">
        <v>283</v>
      </c>
      <c r="E156" s="136" t="s">
        <v>283</v>
      </c>
      <c r="F156" s="136" t="s">
        <v>283</v>
      </c>
      <c r="G156" s="136" t="s">
        <v>283</v>
      </c>
      <c r="H156" s="136" t="s">
        <v>283</v>
      </c>
    </row>
    <row r="157" spans="1:8" x14ac:dyDescent="0.15">
      <c r="A157" s="136" t="s">
        <v>437</v>
      </c>
      <c r="B157" s="136" t="s">
        <v>283</v>
      </c>
      <c r="C157" s="136" t="s">
        <v>283</v>
      </c>
      <c r="D157" s="135">
        <v>0.63600000000000001</v>
      </c>
      <c r="E157" s="135">
        <v>0.70599999999999996</v>
      </c>
      <c r="F157" s="135">
        <v>0.67300000000000004</v>
      </c>
      <c r="G157" s="135">
        <v>0.77800000000000002</v>
      </c>
      <c r="H157" s="135">
        <v>0.998</v>
      </c>
    </row>
    <row r="158" spans="1:8" x14ac:dyDescent="0.15">
      <c r="A158" s="136" t="s">
        <v>436</v>
      </c>
      <c r="B158" s="136" t="s">
        <v>283</v>
      </c>
      <c r="C158" s="136" t="s">
        <v>283</v>
      </c>
      <c r="D158" s="135">
        <v>5403190893</v>
      </c>
      <c r="E158" s="135">
        <v>6166162249</v>
      </c>
      <c r="F158" s="135">
        <v>6787789442</v>
      </c>
      <c r="G158" s="135">
        <v>7583734753</v>
      </c>
      <c r="H158" s="135">
        <v>5158539774</v>
      </c>
    </row>
    <row r="159" spans="1:8" x14ac:dyDescent="0.15">
      <c r="A159" s="136" t="s">
        <v>435</v>
      </c>
      <c r="B159" s="136" t="s">
        <v>283</v>
      </c>
      <c r="C159" s="136" t="s">
        <v>283</v>
      </c>
      <c r="D159" s="136" t="s">
        <v>283</v>
      </c>
      <c r="E159" s="136" t="s">
        <v>283</v>
      </c>
      <c r="F159" s="136" t="s">
        <v>283</v>
      </c>
      <c r="G159" s="136" t="s">
        <v>283</v>
      </c>
      <c r="H159" s="136" t="s">
        <v>283</v>
      </c>
    </row>
    <row r="160" spans="1:8" x14ac:dyDescent="0.15">
      <c r="A160" s="136" t="s">
        <v>434</v>
      </c>
      <c r="B160" s="135">
        <v>4.0000000000000001E-3</v>
      </c>
      <c r="C160" s="135">
        <v>5.0000000000000001E-3</v>
      </c>
      <c r="D160" s="135">
        <v>0</v>
      </c>
      <c r="E160" s="135">
        <v>0</v>
      </c>
      <c r="F160" s="135">
        <v>891.77599999999995</v>
      </c>
      <c r="G160" s="135">
        <v>1675.1690000000001</v>
      </c>
      <c r="H160" s="135">
        <v>2253.087</v>
      </c>
    </row>
    <row r="161" spans="1:8" x14ac:dyDescent="0.15">
      <c r="A161" s="136" t="s">
        <v>433</v>
      </c>
      <c r="B161" s="136" t="s">
        <v>283</v>
      </c>
      <c r="C161" s="136" t="s">
        <v>283</v>
      </c>
      <c r="D161" s="136" t="s">
        <v>283</v>
      </c>
      <c r="E161" s="135">
        <v>4.9470000000000001</v>
      </c>
      <c r="F161" s="135">
        <v>0</v>
      </c>
      <c r="G161" s="135">
        <v>0</v>
      </c>
      <c r="H161" s="135">
        <v>0</v>
      </c>
    </row>
    <row r="162" spans="1:8" x14ac:dyDescent="0.15">
      <c r="A162" s="136" t="s">
        <v>432</v>
      </c>
      <c r="B162" s="136" t="s">
        <v>283</v>
      </c>
      <c r="C162" s="136" t="s">
        <v>283</v>
      </c>
      <c r="D162" s="136" t="s">
        <v>283</v>
      </c>
      <c r="E162" s="135">
        <v>5.0919999999999996</v>
      </c>
      <c r="F162" s="135">
        <v>0</v>
      </c>
      <c r="G162" s="135">
        <v>0</v>
      </c>
      <c r="H162" s="135">
        <v>0</v>
      </c>
    </row>
    <row r="163" spans="1:8" x14ac:dyDescent="0.15">
      <c r="A163" s="136" t="s">
        <v>431</v>
      </c>
      <c r="B163" s="136" t="s">
        <v>283</v>
      </c>
      <c r="C163" s="136" t="s">
        <v>283</v>
      </c>
      <c r="D163" s="136" t="s">
        <v>283</v>
      </c>
      <c r="E163" s="135">
        <v>5.1669999999999998</v>
      </c>
      <c r="F163" s="135">
        <v>0</v>
      </c>
      <c r="G163" s="135">
        <v>0</v>
      </c>
      <c r="H163" s="135">
        <v>281.93700000000001</v>
      </c>
    </row>
    <row r="164" spans="1:8" x14ac:dyDescent="0.15">
      <c r="A164" s="136" t="s">
        <v>430</v>
      </c>
      <c r="B164" s="136" t="s">
        <v>283</v>
      </c>
      <c r="C164" s="136" t="s">
        <v>283</v>
      </c>
      <c r="D164" s="136" t="s">
        <v>283</v>
      </c>
      <c r="E164" s="135">
        <v>5.2450000000000001</v>
      </c>
      <c r="F164" s="135">
        <v>0</v>
      </c>
      <c r="G164" s="135">
        <v>736.04399999999998</v>
      </c>
      <c r="H164" s="135">
        <v>832.51099999999997</v>
      </c>
    </row>
    <row r="165" spans="1:8" x14ac:dyDescent="0.15">
      <c r="A165" s="136" t="s">
        <v>429</v>
      </c>
      <c r="B165" s="136" t="s">
        <v>283</v>
      </c>
      <c r="C165" s="136" t="s">
        <v>283</v>
      </c>
      <c r="D165" s="136" t="s">
        <v>283</v>
      </c>
      <c r="E165" s="136" t="s">
        <v>283</v>
      </c>
      <c r="F165" s="136" t="s">
        <v>283</v>
      </c>
      <c r="G165" s="135">
        <v>0</v>
      </c>
      <c r="H165" s="135">
        <v>0</v>
      </c>
    </row>
    <row r="166" spans="1:8" x14ac:dyDescent="0.15">
      <c r="A166" s="136" t="s">
        <v>428</v>
      </c>
      <c r="B166" s="135">
        <v>13.494</v>
      </c>
      <c r="C166" s="135">
        <v>15.14</v>
      </c>
      <c r="D166" s="135">
        <v>16.033000000000001</v>
      </c>
      <c r="E166" s="135">
        <v>16.8</v>
      </c>
      <c r="F166" s="135">
        <v>0</v>
      </c>
      <c r="G166" s="135">
        <v>0</v>
      </c>
      <c r="H166" s="135">
        <v>0</v>
      </c>
    </row>
    <row r="167" spans="1:8" x14ac:dyDescent="0.15">
      <c r="A167" s="136" t="s">
        <v>427</v>
      </c>
      <c r="B167" s="135">
        <v>0</v>
      </c>
      <c r="C167" s="135">
        <v>0</v>
      </c>
      <c r="D167" s="135">
        <v>0</v>
      </c>
      <c r="E167" s="135">
        <v>0</v>
      </c>
      <c r="F167" s="135">
        <v>0</v>
      </c>
      <c r="G167" s="135">
        <v>0</v>
      </c>
      <c r="H167" s="135">
        <v>0</v>
      </c>
    </row>
    <row r="168" spans="1:8" x14ac:dyDescent="0.15">
      <c r="A168" s="136" t="s">
        <v>291</v>
      </c>
      <c r="B168" s="136" t="s">
        <v>283</v>
      </c>
      <c r="C168" s="136" t="s">
        <v>283</v>
      </c>
      <c r="D168" s="135">
        <v>0</v>
      </c>
      <c r="E168" s="135">
        <v>0</v>
      </c>
      <c r="F168" s="135">
        <v>0</v>
      </c>
      <c r="G168" s="135">
        <v>0</v>
      </c>
      <c r="H168" s="135">
        <v>0</v>
      </c>
    </row>
    <row r="169" spans="1:8" x14ac:dyDescent="0.15">
      <c r="A169" s="136" t="s">
        <v>290</v>
      </c>
      <c r="B169" s="135">
        <v>0</v>
      </c>
      <c r="C169" s="135">
        <v>0</v>
      </c>
      <c r="D169" s="135">
        <v>0</v>
      </c>
      <c r="E169" s="135">
        <v>0</v>
      </c>
      <c r="F169" s="135">
        <v>0</v>
      </c>
      <c r="G169" s="135">
        <v>0</v>
      </c>
      <c r="H169" s="135">
        <v>0</v>
      </c>
    </row>
    <row r="170" spans="1:8" x14ac:dyDescent="0.15">
      <c r="A170" s="136" t="s">
        <v>289</v>
      </c>
      <c r="B170" s="135">
        <v>0</v>
      </c>
      <c r="C170" s="135">
        <v>0</v>
      </c>
      <c r="D170" s="135">
        <v>0</v>
      </c>
      <c r="E170" s="135">
        <v>0</v>
      </c>
      <c r="F170" s="135">
        <v>0</v>
      </c>
      <c r="G170" s="135">
        <v>0</v>
      </c>
      <c r="H170" s="135">
        <v>0</v>
      </c>
    </row>
    <row r="171" spans="1:8" x14ac:dyDescent="0.15">
      <c r="A171" s="136" t="s">
        <v>426</v>
      </c>
      <c r="B171" s="135">
        <v>0.6</v>
      </c>
      <c r="C171" s="135">
        <v>1.859</v>
      </c>
      <c r="D171" s="135">
        <v>3.069</v>
      </c>
      <c r="E171" s="135">
        <v>2.8839999999999999</v>
      </c>
      <c r="F171" s="135">
        <v>3.1949999999999998</v>
      </c>
      <c r="G171" s="135">
        <v>3.863</v>
      </c>
      <c r="H171" s="135">
        <v>5.6609999999999996</v>
      </c>
    </row>
    <row r="172" spans="1:8" x14ac:dyDescent="0.15">
      <c r="A172" s="136" t="s">
        <v>425</v>
      </c>
      <c r="B172" s="135">
        <v>938.93600000000004</v>
      </c>
      <c r="C172" s="135">
        <v>1722.7919999999999</v>
      </c>
      <c r="D172" s="135">
        <v>3421.5659999999998</v>
      </c>
      <c r="E172" s="135">
        <v>2714.1060000000002</v>
      </c>
      <c r="F172" s="135">
        <v>4011.924</v>
      </c>
      <c r="G172" s="135">
        <v>5024.2380000000003</v>
      </c>
      <c r="H172" s="135">
        <v>7536.3059999999996</v>
      </c>
    </row>
    <row r="173" spans="1:8" x14ac:dyDescent="0.15">
      <c r="A173" s="136" t="s">
        <v>424</v>
      </c>
      <c r="B173" s="135">
        <v>0</v>
      </c>
      <c r="C173" s="135">
        <v>-2.101</v>
      </c>
      <c r="D173" s="135">
        <v>15.234999999999999</v>
      </c>
      <c r="E173" s="135">
        <v>3.5150000000000001</v>
      </c>
      <c r="F173" s="135">
        <v>0.14399999999999999</v>
      </c>
      <c r="G173" s="135">
        <v>21.45</v>
      </c>
      <c r="H173" s="135">
        <v>7.343</v>
      </c>
    </row>
    <row r="174" spans="1:8" x14ac:dyDescent="0.15">
      <c r="A174" s="136" t="s">
        <v>423</v>
      </c>
      <c r="B174" s="136" t="s">
        <v>283</v>
      </c>
      <c r="C174" s="136" t="s">
        <v>283</v>
      </c>
      <c r="D174" s="136" t="s">
        <v>283</v>
      </c>
      <c r="E174" s="136" t="s">
        <v>283</v>
      </c>
      <c r="F174" s="136" t="s">
        <v>283</v>
      </c>
      <c r="G174" s="136" t="s">
        <v>283</v>
      </c>
      <c r="H174" s="136" t="s">
        <v>283</v>
      </c>
    </row>
    <row r="175" spans="1:8" x14ac:dyDescent="0.15">
      <c r="A175" s="136" t="s">
        <v>422</v>
      </c>
      <c r="B175" s="135">
        <v>0</v>
      </c>
      <c r="C175" s="135">
        <v>0</v>
      </c>
      <c r="D175" s="135">
        <v>0</v>
      </c>
      <c r="E175" s="135">
        <v>0</v>
      </c>
      <c r="F175" s="135">
        <v>0</v>
      </c>
      <c r="G175" s="135">
        <v>0</v>
      </c>
      <c r="H175" s="135">
        <v>0</v>
      </c>
    </row>
    <row r="176" spans="1:8" x14ac:dyDescent="0.15">
      <c r="A176" s="136" t="s">
        <v>421</v>
      </c>
      <c r="B176" s="136" t="s">
        <v>283</v>
      </c>
      <c r="C176" s="136" t="s">
        <v>283</v>
      </c>
      <c r="D176" s="136" t="s">
        <v>283</v>
      </c>
      <c r="E176" s="136" t="s">
        <v>283</v>
      </c>
      <c r="F176" s="136" t="s">
        <v>283</v>
      </c>
      <c r="G176" s="136" t="s">
        <v>283</v>
      </c>
      <c r="H176" s="136" t="s">
        <v>283</v>
      </c>
    </row>
    <row r="177" spans="1:8" x14ac:dyDescent="0.15">
      <c r="A177" s="136" t="s">
        <v>420</v>
      </c>
      <c r="B177" s="135">
        <v>0</v>
      </c>
      <c r="C177" s="136" t="s">
        <v>283</v>
      </c>
      <c r="D177" s="136" t="s">
        <v>283</v>
      </c>
      <c r="E177" s="136" t="s">
        <v>283</v>
      </c>
      <c r="F177" s="136" t="s">
        <v>283</v>
      </c>
      <c r="G177" s="136" t="s">
        <v>283</v>
      </c>
      <c r="H177" s="136" t="s">
        <v>283</v>
      </c>
    </row>
    <row r="178" spans="1:8" x14ac:dyDescent="0.15">
      <c r="A178" s="136" t="s">
        <v>343</v>
      </c>
      <c r="B178" s="135">
        <v>0</v>
      </c>
      <c r="C178" s="135">
        <v>0</v>
      </c>
      <c r="D178" s="135">
        <v>0</v>
      </c>
      <c r="E178" s="135">
        <v>0</v>
      </c>
      <c r="F178" s="135">
        <v>0</v>
      </c>
      <c r="G178" s="135">
        <v>0</v>
      </c>
      <c r="H178" s="135">
        <v>0</v>
      </c>
    </row>
    <row r="179" spans="1:8" x14ac:dyDescent="0.15">
      <c r="A179" s="136" t="s">
        <v>419</v>
      </c>
      <c r="B179" s="136" t="s">
        <v>283</v>
      </c>
      <c r="C179" s="136" t="s">
        <v>283</v>
      </c>
      <c r="D179" s="136" t="s">
        <v>283</v>
      </c>
      <c r="E179" s="136" t="s">
        <v>283</v>
      </c>
      <c r="F179" s="136" t="s">
        <v>283</v>
      </c>
      <c r="G179" s="136" t="s">
        <v>283</v>
      </c>
      <c r="H179" s="136" t="s">
        <v>283</v>
      </c>
    </row>
    <row r="180" spans="1:8" x14ac:dyDescent="0.15">
      <c r="A180" s="136" t="s">
        <v>418</v>
      </c>
      <c r="B180" s="135">
        <v>0</v>
      </c>
      <c r="C180" s="135">
        <v>0</v>
      </c>
      <c r="D180" s="135">
        <v>0</v>
      </c>
      <c r="E180" s="135">
        <v>0</v>
      </c>
      <c r="F180" s="135">
        <v>0</v>
      </c>
      <c r="G180" s="135">
        <v>0</v>
      </c>
      <c r="H180" s="135">
        <v>0</v>
      </c>
    </row>
    <row r="181" spans="1:8" x14ac:dyDescent="0.15">
      <c r="A181" s="136" t="s">
        <v>417</v>
      </c>
      <c r="B181" s="136" t="s">
        <v>283</v>
      </c>
      <c r="C181" s="136" t="s">
        <v>283</v>
      </c>
      <c r="D181" s="136" t="s">
        <v>283</v>
      </c>
      <c r="E181" s="136" t="s">
        <v>283</v>
      </c>
      <c r="F181" s="136" t="s">
        <v>283</v>
      </c>
      <c r="G181" s="136" t="s">
        <v>283</v>
      </c>
      <c r="H181" s="136" t="s">
        <v>283</v>
      </c>
    </row>
    <row r="182" spans="1:8" x14ac:dyDescent="0.15">
      <c r="A182" s="136" t="s">
        <v>416</v>
      </c>
      <c r="B182" s="135">
        <v>0</v>
      </c>
      <c r="C182" s="135">
        <v>0</v>
      </c>
      <c r="D182" s="135">
        <v>0</v>
      </c>
      <c r="E182" s="135">
        <v>0</v>
      </c>
      <c r="F182" s="135">
        <v>0</v>
      </c>
      <c r="G182" s="135">
        <v>0</v>
      </c>
      <c r="H182" s="135">
        <v>0</v>
      </c>
    </row>
    <row r="183" spans="1:8" x14ac:dyDescent="0.15">
      <c r="A183" s="136" t="s">
        <v>288</v>
      </c>
      <c r="B183" s="135">
        <v>149.71799999999999</v>
      </c>
      <c r="C183" s="135">
        <v>149.71799999999999</v>
      </c>
      <c r="D183" s="135">
        <v>0</v>
      </c>
      <c r="E183" s="135">
        <v>0</v>
      </c>
      <c r="F183" s="135">
        <v>0</v>
      </c>
      <c r="G183" s="135">
        <v>0</v>
      </c>
      <c r="H183" s="135">
        <v>0</v>
      </c>
    </row>
    <row r="184" spans="1:8" x14ac:dyDescent="0.15">
      <c r="A184" s="136" t="s">
        <v>287</v>
      </c>
      <c r="B184" s="135">
        <v>149.71799999999999</v>
      </c>
      <c r="C184" s="135">
        <v>149.71799999999999</v>
      </c>
      <c r="D184" s="135">
        <v>0</v>
      </c>
      <c r="E184" s="135">
        <v>0</v>
      </c>
      <c r="F184" s="135">
        <v>0</v>
      </c>
      <c r="G184" s="135">
        <v>0</v>
      </c>
      <c r="H184" s="135">
        <v>0</v>
      </c>
    </row>
    <row r="185" spans="1:8" x14ac:dyDescent="0.15">
      <c r="A185" s="136" t="s">
        <v>415</v>
      </c>
      <c r="B185" s="135">
        <v>2.5190000000000001</v>
      </c>
      <c r="C185" s="135">
        <v>13.166</v>
      </c>
      <c r="D185" s="135">
        <v>52.252000000000002</v>
      </c>
      <c r="E185" s="135">
        <v>107.265</v>
      </c>
      <c r="F185" s="135">
        <v>165.15</v>
      </c>
      <c r="G185" s="135">
        <v>445.57799999999997</v>
      </c>
      <c r="H185" s="135">
        <v>525.37599999999998</v>
      </c>
    </row>
    <row r="186" spans="1:8" x14ac:dyDescent="0.15">
      <c r="A186" s="136" t="s">
        <v>286</v>
      </c>
      <c r="B186" s="136" t="s">
        <v>283</v>
      </c>
      <c r="C186" s="136" t="s">
        <v>283</v>
      </c>
      <c r="D186" s="135">
        <v>14.61</v>
      </c>
      <c r="E186" s="135">
        <v>5.51</v>
      </c>
      <c r="F186" s="135">
        <v>16.329999999999998</v>
      </c>
      <c r="G186" s="135">
        <v>50.07</v>
      </c>
      <c r="H186" s="135">
        <v>47.03</v>
      </c>
    </row>
    <row r="187" spans="1:8" x14ac:dyDescent="0.15">
      <c r="A187" s="136" t="s">
        <v>414</v>
      </c>
      <c r="B187" s="136" t="s">
        <v>283</v>
      </c>
      <c r="C187" s="136" t="s">
        <v>283</v>
      </c>
      <c r="D187" s="135">
        <v>29.44</v>
      </c>
      <c r="E187" s="135">
        <v>21.22</v>
      </c>
      <c r="F187" s="135">
        <v>18.36</v>
      </c>
      <c r="G187" s="135">
        <v>54.71</v>
      </c>
      <c r="H187" s="135">
        <v>83.34</v>
      </c>
    </row>
    <row r="188" spans="1:8" x14ac:dyDescent="0.15">
      <c r="A188" s="136" t="s">
        <v>413</v>
      </c>
      <c r="B188" s="136" t="s">
        <v>283</v>
      </c>
      <c r="C188" s="136" t="s">
        <v>283</v>
      </c>
      <c r="D188" s="135">
        <v>11.28</v>
      </c>
      <c r="E188" s="135">
        <v>4.82</v>
      </c>
      <c r="F188" s="135">
        <v>5.35</v>
      </c>
      <c r="G188" s="135">
        <v>7.89</v>
      </c>
      <c r="H188" s="135">
        <v>42.96</v>
      </c>
    </row>
    <row r="189" spans="1:8" x14ac:dyDescent="0.15">
      <c r="A189" s="136" t="s">
        <v>285</v>
      </c>
      <c r="B189" s="136" t="s">
        <v>283</v>
      </c>
      <c r="C189" s="136" t="s">
        <v>283</v>
      </c>
      <c r="D189" s="135">
        <v>14.61</v>
      </c>
      <c r="E189" s="135">
        <v>5.51</v>
      </c>
      <c r="F189" s="135">
        <v>16.329999999999998</v>
      </c>
      <c r="G189" s="135">
        <v>50.07</v>
      </c>
      <c r="H189" s="135">
        <v>47.03</v>
      </c>
    </row>
    <row r="190" spans="1:8" x14ac:dyDescent="0.15">
      <c r="A190" s="136" t="s">
        <v>284</v>
      </c>
      <c r="B190" s="136" t="s">
        <v>283</v>
      </c>
      <c r="C190" s="136" t="s">
        <v>283</v>
      </c>
      <c r="D190" s="136" t="s">
        <v>283</v>
      </c>
      <c r="E190" s="136" t="s">
        <v>283</v>
      </c>
      <c r="F190" s="136" t="s">
        <v>283</v>
      </c>
      <c r="G190" s="136" t="s">
        <v>283</v>
      </c>
      <c r="H190" s="136" t="s">
        <v>283</v>
      </c>
    </row>
    <row r="191" spans="1:8" x14ac:dyDescent="0.15">
      <c r="A191" s="136" t="s">
        <v>412</v>
      </c>
      <c r="B191" s="136" t="s">
        <v>283</v>
      </c>
      <c r="C191" s="135">
        <v>32.631</v>
      </c>
      <c r="D191" s="135">
        <v>49.649000000000001</v>
      </c>
      <c r="E191" s="135">
        <v>61.384999999999998</v>
      </c>
      <c r="F191" s="135">
        <v>60.774000000000001</v>
      </c>
      <c r="G191" s="135">
        <v>59.128999999999998</v>
      </c>
      <c r="H191" s="135">
        <v>69.856999999999999</v>
      </c>
    </row>
    <row r="192" spans="1:8" x14ac:dyDescent="0.15">
      <c r="A192" s="136" t="s">
        <v>411</v>
      </c>
      <c r="B192" s="136" t="s">
        <v>283</v>
      </c>
      <c r="C192" s="135">
        <v>39.768999999999998</v>
      </c>
      <c r="D192" s="135">
        <v>59.86</v>
      </c>
      <c r="E192" s="135">
        <v>60.125999999999998</v>
      </c>
      <c r="F192" s="135">
        <v>64.822000000000003</v>
      </c>
      <c r="G192" s="135">
        <v>63.968000000000004</v>
      </c>
      <c r="H192" s="135">
        <v>84.572999999999993</v>
      </c>
    </row>
    <row r="193" spans="1:8" x14ac:dyDescent="0.15">
      <c r="A193" s="136" t="s">
        <v>410</v>
      </c>
      <c r="B193" s="136" t="s">
        <v>283</v>
      </c>
      <c r="C193" s="135">
        <v>49.332000000000001</v>
      </c>
      <c r="D193" s="135">
        <v>60.128999999999998</v>
      </c>
      <c r="E193" s="135">
        <v>57.079000000000001</v>
      </c>
      <c r="F193" s="135">
        <v>56.655000000000001</v>
      </c>
      <c r="G193" s="135">
        <v>59.859000000000002</v>
      </c>
      <c r="H193" s="135">
        <v>82.311999999999998</v>
      </c>
    </row>
    <row r="194" spans="1:8" x14ac:dyDescent="0.15">
      <c r="A194" s="136" t="s">
        <v>409</v>
      </c>
      <c r="B194" s="136" t="s">
        <v>283</v>
      </c>
      <c r="C194" s="135">
        <v>50.545999999999999</v>
      </c>
      <c r="D194" s="135">
        <v>58.552</v>
      </c>
      <c r="E194" s="135">
        <v>48.944000000000003</v>
      </c>
      <c r="F194" s="135">
        <v>52.753999999999998</v>
      </c>
      <c r="G194" s="135">
        <v>59.731000000000002</v>
      </c>
      <c r="H194" s="135">
        <v>77.406000000000006</v>
      </c>
    </row>
    <row r="195" spans="1:8" x14ac:dyDescent="0.15">
      <c r="A195" s="136" t="s">
        <v>408</v>
      </c>
      <c r="B195" s="136" t="s">
        <v>283</v>
      </c>
      <c r="C195" s="135">
        <v>49.920999999999999</v>
      </c>
      <c r="D195" s="135">
        <v>47.372</v>
      </c>
      <c r="E195" s="135">
        <v>45.982999999999997</v>
      </c>
      <c r="F195" s="135">
        <v>52.457999999999998</v>
      </c>
      <c r="G195" s="135">
        <v>55.341000000000001</v>
      </c>
      <c r="H195" s="135">
        <v>34.634999999999998</v>
      </c>
    </row>
    <row r="196" spans="1:8" x14ac:dyDescent="0.15">
      <c r="A196" s="136" t="s">
        <v>282</v>
      </c>
      <c r="B196" s="135">
        <v>11.3</v>
      </c>
      <c r="C196" s="135">
        <v>26.9</v>
      </c>
      <c r="D196" s="135">
        <v>53.2</v>
      </c>
      <c r="E196" s="135">
        <v>58.5</v>
      </c>
      <c r="F196" s="135">
        <v>60.920999999999999</v>
      </c>
      <c r="G196" s="135">
        <v>60.45</v>
      </c>
      <c r="H196" s="135">
        <v>69.831000000000003</v>
      </c>
    </row>
    <row r="197" spans="1:8" x14ac:dyDescent="0.15">
      <c r="A197" s="136" t="s">
        <v>407</v>
      </c>
      <c r="B197" s="136" t="s">
        <v>283</v>
      </c>
      <c r="C197" s="136" t="s">
        <v>283</v>
      </c>
      <c r="D197" s="136" t="s">
        <v>283</v>
      </c>
      <c r="E197" s="136" t="s">
        <v>283</v>
      </c>
      <c r="F197" s="135">
        <v>4.7160000000000002</v>
      </c>
      <c r="G197" s="135">
        <v>2.8149999999999999</v>
      </c>
      <c r="H197" s="135">
        <v>2.4780000000000002</v>
      </c>
    </row>
    <row r="198" spans="1:8" x14ac:dyDescent="0.15">
      <c r="A198" s="136" t="s">
        <v>281</v>
      </c>
      <c r="B198" s="135">
        <v>82.234999999999999</v>
      </c>
      <c r="C198" s="135">
        <v>183.67599999999999</v>
      </c>
      <c r="D198" s="135">
        <v>1534.8630000000001</v>
      </c>
      <c r="E198" s="135">
        <v>772.18499999999995</v>
      </c>
      <c r="F198" s="135">
        <v>883.50900000000001</v>
      </c>
      <c r="G198" s="135">
        <v>1101.5609999999999</v>
      </c>
      <c r="H198" s="135">
        <v>1565.4670000000001</v>
      </c>
    </row>
    <row r="199" spans="1:8" x14ac:dyDescent="0.15">
      <c r="A199" s="136" t="s">
        <v>406</v>
      </c>
      <c r="B199" s="136" t="s">
        <v>283</v>
      </c>
      <c r="C199" s="135">
        <v>220</v>
      </c>
      <c r="D199" s="135">
        <v>3051.9</v>
      </c>
      <c r="E199" s="135">
        <v>5211.6000000000004</v>
      </c>
      <c r="F199" s="135">
        <v>7600</v>
      </c>
      <c r="G199" s="135">
        <v>10600</v>
      </c>
      <c r="H199" s="135">
        <v>15100</v>
      </c>
    </row>
    <row r="200" spans="1:8" x14ac:dyDescent="0.15">
      <c r="A200" s="136" t="s">
        <v>405</v>
      </c>
      <c r="B200" s="135">
        <v>0</v>
      </c>
      <c r="C200" s="135">
        <v>0</v>
      </c>
      <c r="D200" s="135">
        <v>0</v>
      </c>
      <c r="E200" s="135">
        <v>0</v>
      </c>
      <c r="F200" s="135">
        <v>0</v>
      </c>
      <c r="G200" s="135">
        <v>0</v>
      </c>
      <c r="H200" s="135">
        <v>0</v>
      </c>
    </row>
    <row r="201" spans="1:8" x14ac:dyDescent="0.15">
      <c r="A201" s="136" t="s">
        <v>404</v>
      </c>
      <c r="B201" s="135">
        <v>0</v>
      </c>
      <c r="C201" s="135">
        <v>0</v>
      </c>
      <c r="D201" s="135">
        <v>0</v>
      </c>
      <c r="E201" s="135">
        <v>0</v>
      </c>
      <c r="F201" s="135">
        <v>0</v>
      </c>
      <c r="G201" s="135">
        <v>0</v>
      </c>
      <c r="H201" s="135">
        <v>0</v>
      </c>
    </row>
    <row r="202" spans="1:8" x14ac:dyDescent="0.15">
      <c r="A202" s="136" t="s">
        <v>403</v>
      </c>
      <c r="B202" s="135">
        <v>0</v>
      </c>
      <c r="C202" s="135">
        <v>0</v>
      </c>
      <c r="D202" s="135">
        <v>0</v>
      </c>
      <c r="E202" s="135">
        <v>0</v>
      </c>
      <c r="F202" s="135">
        <v>0</v>
      </c>
      <c r="G202" s="135">
        <v>0</v>
      </c>
      <c r="H202" s="135">
        <v>0</v>
      </c>
    </row>
    <row r="203" spans="1:8" x14ac:dyDescent="0.15">
      <c r="A203" s="137"/>
    </row>
    <row r="204" spans="1:8" x14ac:dyDescent="0.15">
      <c r="A204" s="138" t="s">
        <v>402</v>
      </c>
    </row>
    <row r="205" spans="1:8" x14ac:dyDescent="0.15">
      <c r="A205" s="136" t="s">
        <v>401</v>
      </c>
      <c r="B205" s="135">
        <v>44.325000000000003</v>
      </c>
      <c r="C205" s="135">
        <v>162.65899999999999</v>
      </c>
      <c r="D205" s="135">
        <v>279.47300000000001</v>
      </c>
      <c r="E205" s="135">
        <v>354.96499999999997</v>
      </c>
      <c r="F205" s="135">
        <v>492.19400000000002</v>
      </c>
      <c r="G205" s="135">
        <v>744.28800000000001</v>
      </c>
      <c r="H205" s="135">
        <v>1068.873</v>
      </c>
    </row>
    <row r="206" spans="1:8" x14ac:dyDescent="0.15">
      <c r="A206" s="136" t="s">
        <v>400</v>
      </c>
      <c r="B206" s="135">
        <v>0</v>
      </c>
      <c r="C206" s="135">
        <v>0</v>
      </c>
      <c r="D206" s="135">
        <v>0</v>
      </c>
      <c r="E206" s="135">
        <v>0</v>
      </c>
      <c r="F206" s="135">
        <v>0</v>
      </c>
      <c r="G206" s="135">
        <v>0</v>
      </c>
      <c r="H206" s="135">
        <v>0</v>
      </c>
    </row>
    <row r="207" spans="1:8" x14ac:dyDescent="0.15">
      <c r="A207" s="136" t="s">
        <v>399</v>
      </c>
      <c r="B207" s="135">
        <v>0</v>
      </c>
      <c r="C207" s="135">
        <v>0</v>
      </c>
      <c r="D207" s="135">
        <v>0</v>
      </c>
      <c r="E207" s="135">
        <v>0</v>
      </c>
      <c r="F207" s="135">
        <v>0</v>
      </c>
      <c r="G207" s="135">
        <v>0</v>
      </c>
      <c r="H207" s="135">
        <v>0</v>
      </c>
    </row>
    <row r="208" spans="1:8" x14ac:dyDescent="0.15">
      <c r="A208" s="136" t="s">
        <v>364</v>
      </c>
      <c r="B208" s="135">
        <v>44.325000000000003</v>
      </c>
      <c r="C208" s="135">
        <v>162.65899999999999</v>
      </c>
      <c r="D208" s="135">
        <v>279.47300000000001</v>
      </c>
      <c r="E208" s="135">
        <v>354.96499999999997</v>
      </c>
      <c r="F208" s="135">
        <v>492.19400000000002</v>
      </c>
      <c r="G208" s="135">
        <v>744.28800000000001</v>
      </c>
      <c r="H208" s="135">
        <v>1068.873</v>
      </c>
    </row>
    <row r="209" spans="1:8" x14ac:dyDescent="0.15">
      <c r="A209" s="136" t="s">
        <v>398</v>
      </c>
      <c r="B209" s="135">
        <v>0</v>
      </c>
      <c r="C209" s="135">
        <v>0</v>
      </c>
      <c r="D209" s="135">
        <v>0</v>
      </c>
      <c r="E209" s="135">
        <v>0</v>
      </c>
      <c r="F209" s="135">
        <v>0</v>
      </c>
      <c r="G209" s="135">
        <v>0</v>
      </c>
      <c r="H209" s="135">
        <v>0</v>
      </c>
    </row>
    <row r="210" spans="1:8" x14ac:dyDescent="0.15">
      <c r="A210" s="136" t="s">
        <v>397</v>
      </c>
      <c r="B210" s="135">
        <v>0</v>
      </c>
      <c r="C210" s="135">
        <v>0</v>
      </c>
      <c r="D210" s="135">
        <v>0</v>
      </c>
      <c r="E210" s="135">
        <v>0</v>
      </c>
      <c r="F210" s="135">
        <v>0</v>
      </c>
      <c r="G210" s="135">
        <v>0</v>
      </c>
      <c r="H210" s="135">
        <v>0</v>
      </c>
    </row>
    <row r="211" spans="1:8" x14ac:dyDescent="0.15">
      <c r="A211" s="136" t="s">
        <v>396</v>
      </c>
      <c r="B211" s="136" t="s">
        <v>283</v>
      </c>
      <c r="C211" s="136" t="s">
        <v>283</v>
      </c>
      <c r="D211" s="136" t="s">
        <v>283</v>
      </c>
      <c r="E211" s="136" t="s">
        <v>283</v>
      </c>
      <c r="F211" s="136" t="s">
        <v>283</v>
      </c>
      <c r="G211" s="136" t="s">
        <v>283</v>
      </c>
      <c r="H211" s="136" t="s">
        <v>283</v>
      </c>
    </row>
    <row r="212" spans="1:8" x14ac:dyDescent="0.15">
      <c r="A212" s="136" t="s">
        <v>395</v>
      </c>
      <c r="B212" s="135">
        <v>0</v>
      </c>
      <c r="C212" s="135">
        <v>0</v>
      </c>
      <c r="D212" s="135">
        <v>0</v>
      </c>
      <c r="E212" s="135">
        <v>0</v>
      </c>
      <c r="F212" s="135">
        <v>0</v>
      </c>
      <c r="G212" s="135">
        <v>0</v>
      </c>
      <c r="H212" s="135">
        <v>0</v>
      </c>
    </row>
    <row r="213" spans="1:8" x14ac:dyDescent="0.15">
      <c r="A213" s="136" t="s">
        <v>363</v>
      </c>
      <c r="B213" s="136" t="s">
        <v>283</v>
      </c>
      <c r="C213" s="136" t="s">
        <v>283</v>
      </c>
      <c r="D213" s="136" t="s">
        <v>283</v>
      </c>
      <c r="E213" s="136" t="s">
        <v>283</v>
      </c>
      <c r="F213" s="136" t="s">
        <v>283</v>
      </c>
      <c r="G213" s="136" t="s">
        <v>283</v>
      </c>
      <c r="H213" s="136" t="s">
        <v>283</v>
      </c>
    </row>
    <row r="214" spans="1:8" x14ac:dyDescent="0.15">
      <c r="A214" s="136" t="s">
        <v>394</v>
      </c>
      <c r="B214" s="135">
        <v>0</v>
      </c>
      <c r="C214" s="135">
        <v>0</v>
      </c>
      <c r="D214" s="135">
        <v>0</v>
      </c>
      <c r="E214" s="135">
        <v>0</v>
      </c>
      <c r="F214" s="135">
        <v>0</v>
      </c>
      <c r="G214" s="135">
        <v>0</v>
      </c>
      <c r="H214" s="135">
        <v>0</v>
      </c>
    </row>
    <row r="215" spans="1:8" x14ac:dyDescent="0.15">
      <c r="A215" s="136" t="s">
        <v>393</v>
      </c>
      <c r="B215" s="135">
        <v>0</v>
      </c>
      <c r="C215" s="135">
        <v>0</v>
      </c>
      <c r="D215" s="135">
        <v>0</v>
      </c>
      <c r="E215" s="135">
        <v>0</v>
      </c>
      <c r="F215" s="135">
        <v>0</v>
      </c>
      <c r="G215" s="135">
        <v>0</v>
      </c>
      <c r="H215" s="135">
        <v>0</v>
      </c>
    </row>
    <row r="216" spans="1:8" x14ac:dyDescent="0.15">
      <c r="A216" s="136" t="s">
        <v>392</v>
      </c>
      <c r="B216" s="135">
        <v>0</v>
      </c>
      <c r="C216" s="135">
        <v>0</v>
      </c>
      <c r="D216" s="135">
        <v>0</v>
      </c>
      <c r="E216" s="135">
        <v>0</v>
      </c>
      <c r="F216" s="135">
        <v>891.77599999999995</v>
      </c>
      <c r="G216" s="135">
        <v>1675.1690000000001</v>
      </c>
      <c r="H216" s="135">
        <v>2253.087</v>
      </c>
    </row>
    <row r="217" spans="1:8" x14ac:dyDescent="0.15">
      <c r="A217" s="136" t="s">
        <v>391</v>
      </c>
      <c r="B217" s="135">
        <v>0</v>
      </c>
      <c r="C217" s="135">
        <v>0</v>
      </c>
      <c r="D217" s="135">
        <v>0</v>
      </c>
      <c r="E217" s="135">
        <v>0</v>
      </c>
      <c r="F217" s="135">
        <v>0</v>
      </c>
      <c r="G217" s="135">
        <v>0</v>
      </c>
      <c r="H217" s="135">
        <v>0</v>
      </c>
    </row>
    <row r="218" spans="1:8" x14ac:dyDescent="0.15">
      <c r="A218" s="136" t="s">
        <v>390</v>
      </c>
      <c r="B218" s="135">
        <v>0</v>
      </c>
      <c r="C218" s="135">
        <v>0</v>
      </c>
      <c r="D218" s="135">
        <v>0</v>
      </c>
      <c r="E218" s="135">
        <v>0</v>
      </c>
      <c r="F218" s="135">
        <v>0</v>
      </c>
      <c r="G218" s="135">
        <v>0</v>
      </c>
      <c r="H218" s="135">
        <v>0</v>
      </c>
    </row>
    <row r="219" spans="1:8" x14ac:dyDescent="0.15">
      <c r="A219" s="136" t="s">
        <v>389</v>
      </c>
      <c r="B219" s="135">
        <v>0</v>
      </c>
      <c r="C219" s="135">
        <v>0</v>
      </c>
      <c r="D219" s="135">
        <v>0</v>
      </c>
      <c r="E219" s="135">
        <v>0</v>
      </c>
      <c r="F219" s="135">
        <v>0</v>
      </c>
      <c r="G219" s="135">
        <v>0</v>
      </c>
      <c r="H219" s="135">
        <v>0</v>
      </c>
    </row>
    <row r="220" spans="1:8" x14ac:dyDescent="0.15">
      <c r="A220" s="136" t="s">
        <v>388</v>
      </c>
      <c r="B220" s="135">
        <v>0</v>
      </c>
      <c r="C220" s="135">
        <v>0</v>
      </c>
      <c r="D220" s="135">
        <v>0</v>
      </c>
      <c r="E220" s="135">
        <v>0</v>
      </c>
      <c r="F220" s="135">
        <v>303.178</v>
      </c>
      <c r="G220" s="135">
        <v>287.29199999999997</v>
      </c>
      <c r="H220" s="135">
        <v>325.50900000000001</v>
      </c>
    </row>
    <row r="221" spans="1:8" x14ac:dyDescent="0.15">
      <c r="A221" s="136" t="s">
        <v>387</v>
      </c>
      <c r="B221" s="135">
        <v>13.494</v>
      </c>
      <c r="C221" s="135">
        <v>15.14</v>
      </c>
      <c r="D221" s="135">
        <v>16.033000000000001</v>
      </c>
      <c r="E221" s="135">
        <v>16.8</v>
      </c>
      <c r="F221" s="135">
        <v>0</v>
      </c>
      <c r="G221" s="135">
        <v>0</v>
      </c>
      <c r="H221" s="135">
        <v>0</v>
      </c>
    </row>
    <row r="222" spans="1:8" x14ac:dyDescent="0.15">
      <c r="A222" s="136" t="s">
        <v>386</v>
      </c>
      <c r="B222" s="135">
        <v>13.494</v>
      </c>
      <c r="C222" s="135">
        <v>15.14</v>
      </c>
      <c r="D222" s="135">
        <v>16.033000000000001</v>
      </c>
      <c r="E222" s="135">
        <v>16.8</v>
      </c>
      <c r="F222" s="135">
        <v>1194.954</v>
      </c>
      <c r="G222" s="135">
        <v>1962.461</v>
      </c>
      <c r="H222" s="135">
        <v>2578.596</v>
      </c>
    </row>
    <row r="223" spans="1:8" x14ac:dyDescent="0.15">
      <c r="A223" s="137" t="s">
        <v>385</v>
      </c>
    </row>
    <row r="224" spans="1:8" x14ac:dyDescent="0.15">
      <c r="A224" s="136" t="s">
        <v>383</v>
      </c>
      <c r="B224" s="136" t="s">
        <v>283</v>
      </c>
      <c r="C224" s="136" t="s">
        <v>283</v>
      </c>
      <c r="D224" s="136" t="s">
        <v>283</v>
      </c>
      <c r="E224" s="136" t="s">
        <v>283</v>
      </c>
      <c r="F224" s="136" t="s">
        <v>283</v>
      </c>
      <c r="G224" s="136" t="s">
        <v>283</v>
      </c>
      <c r="H224" s="136" t="s">
        <v>283</v>
      </c>
    </row>
    <row r="225" spans="1:8" x14ac:dyDescent="0.15">
      <c r="A225" s="136" t="s">
        <v>304</v>
      </c>
      <c r="B225" s="135">
        <v>19.204999999999998</v>
      </c>
      <c r="C225" s="135">
        <v>66.441000000000003</v>
      </c>
      <c r="D225" s="135">
        <v>84.518000000000001</v>
      </c>
      <c r="E225" s="135">
        <v>120.242</v>
      </c>
      <c r="F225" s="135">
        <v>36.478000000000002</v>
      </c>
      <c r="G225" s="135">
        <v>57.832000000000001</v>
      </c>
      <c r="H225" s="135">
        <v>69.875</v>
      </c>
    </row>
    <row r="226" spans="1:8" x14ac:dyDescent="0.15">
      <c r="A226" s="136" t="s">
        <v>380</v>
      </c>
      <c r="B226" s="136" t="s">
        <v>283</v>
      </c>
      <c r="C226" s="136" t="s">
        <v>283</v>
      </c>
      <c r="D226" s="136" t="s">
        <v>283</v>
      </c>
      <c r="E226" s="136" t="s">
        <v>283</v>
      </c>
      <c r="F226" s="136" t="s">
        <v>283</v>
      </c>
      <c r="G226" s="136" t="s">
        <v>283</v>
      </c>
      <c r="H226" s="136" t="s">
        <v>283</v>
      </c>
    </row>
    <row r="227" spans="1:8" x14ac:dyDescent="0.15">
      <c r="A227" s="136" t="s">
        <v>379</v>
      </c>
      <c r="B227" s="136" t="s">
        <v>283</v>
      </c>
      <c r="C227" s="136" t="s">
        <v>283</v>
      </c>
      <c r="D227" s="136" t="s">
        <v>283</v>
      </c>
      <c r="E227" s="136" t="s">
        <v>283</v>
      </c>
      <c r="F227" s="136" t="s">
        <v>283</v>
      </c>
      <c r="G227" s="136" t="s">
        <v>283</v>
      </c>
      <c r="H227" s="136" t="s">
        <v>283</v>
      </c>
    </row>
    <row r="228" spans="1:8" x14ac:dyDescent="0.15">
      <c r="A228" s="136" t="s">
        <v>378</v>
      </c>
      <c r="B228" s="135">
        <v>50.805999999999997</v>
      </c>
      <c r="C228" s="135">
        <v>118.395</v>
      </c>
      <c r="D228" s="135">
        <v>204.52500000000001</v>
      </c>
      <c r="E228" s="135">
        <v>279.55599999999998</v>
      </c>
      <c r="F228" s="135">
        <v>286.22699999999998</v>
      </c>
      <c r="G228" s="135">
        <v>582.88900000000001</v>
      </c>
      <c r="H228" s="135">
        <v>700.15599999999995</v>
      </c>
    </row>
    <row r="229" spans="1:8" x14ac:dyDescent="0.15">
      <c r="A229" s="137" t="s">
        <v>384</v>
      </c>
    </row>
    <row r="230" spans="1:8" x14ac:dyDescent="0.15">
      <c r="A230" s="136" t="s">
        <v>383</v>
      </c>
      <c r="B230" s="136" t="s">
        <v>283</v>
      </c>
      <c r="C230" s="136" t="s">
        <v>283</v>
      </c>
      <c r="D230" s="136" t="s">
        <v>283</v>
      </c>
      <c r="E230" s="136" t="s">
        <v>283</v>
      </c>
      <c r="F230" s="136" t="s">
        <v>283</v>
      </c>
      <c r="G230" s="136" t="s">
        <v>283</v>
      </c>
      <c r="H230" s="136" t="s">
        <v>283</v>
      </c>
    </row>
    <row r="231" spans="1:8" x14ac:dyDescent="0.15">
      <c r="A231" s="136" t="s">
        <v>382</v>
      </c>
      <c r="B231" s="136" t="s">
        <v>283</v>
      </c>
      <c r="C231" s="136" t="s">
        <v>283</v>
      </c>
      <c r="D231" s="136" t="s">
        <v>283</v>
      </c>
      <c r="E231" s="136" t="s">
        <v>283</v>
      </c>
      <c r="F231" s="136" t="s">
        <v>283</v>
      </c>
      <c r="G231" s="136" t="s">
        <v>283</v>
      </c>
      <c r="H231" s="136" t="s">
        <v>283</v>
      </c>
    </row>
    <row r="232" spans="1:8" x14ac:dyDescent="0.15">
      <c r="A232" s="136" t="s">
        <v>381</v>
      </c>
      <c r="B232" s="136" t="s">
        <v>283</v>
      </c>
      <c r="C232" s="136" t="s">
        <v>283</v>
      </c>
      <c r="D232" s="136" t="s">
        <v>283</v>
      </c>
      <c r="E232" s="136" t="s">
        <v>283</v>
      </c>
      <c r="F232" s="136" t="s">
        <v>283</v>
      </c>
      <c r="G232" s="136" t="s">
        <v>283</v>
      </c>
      <c r="H232" s="136" t="s">
        <v>283</v>
      </c>
    </row>
    <row r="233" spans="1:8" x14ac:dyDescent="0.15">
      <c r="A233" s="136" t="s">
        <v>380</v>
      </c>
      <c r="B233" s="136" t="s">
        <v>283</v>
      </c>
      <c r="C233" s="136" t="s">
        <v>283</v>
      </c>
      <c r="D233" s="136" t="s">
        <v>283</v>
      </c>
      <c r="E233" s="136" t="s">
        <v>283</v>
      </c>
      <c r="F233" s="136" t="s">
        <v>283</v>
      </c>
      <c r="G233" s="136" t="s">
        <v>283</v>
      </c>
      <c r="H233" s="136" t="s">
        <v>283</v>
      </c>
    </row>
    <row r="234" spans="1:8" x14ac:dyDescent="0.15">
      <c r="A234" s="136" t="s">
        <v>379</v>
      </c>
      <c r="B234" s="136" t="s">
        <v>283</v>
      </c>
      <c r="C234" s="136" t="s">
        <v>283</v>
      </c>
      <c r="D234" s="136" t="s">
        <v>283</v>
      </c>
      <c r="E234" s="136" t="s">
        <v>283</v>
      </c>
      <c r="F234" s="136" t="s">
        <v>283</v>
      </c>
      <c r="G234" s="136" t="s">
        <v>283</v>
      </c>
      <c r="H234" s="136" t="s">
        <v>283</v>
      </c>
    </row>
    <row r="235" spans="1:8" x14ac:dyDescent="0.15">
      <c r="A235" s="136" t="s">
        <v>378</v>
      </c>
      <c r="B235" s="135">
        <v>6.7270000000000003</v>
      </c>
      <c r="C235" s="135">
        <v>17.809999999999999</v>
      </c>
      <c r="D235" s="135">
        <v>37.762999999999998</v>
      </c>
      <c r="E235" s="135">
        <v>66.995999999999995</v>
      </c>
      <c r="F235" s="135">
        <v>112.56</v>
      </c>
      <c r="G235" s="135">
        <v>134.452</v>
      </c>
      <c r="H235" s="135">
        <v>175.26</v>
      </c>
    </row>
    <row r="236" spans="1:8" x14ac:dyDescent="0.15">
      <c r="A236" s="136" t="s">
        <v>377</v>
      </c>
      <c r="B236" s="135">
        <v>-7.141</v>
      </c>
      <c r="C236" s="135">
        <v>-6.3639999999999999</v>
      </c>
      <c r="D236" s="135">
        <v>-12.287000000000001</v>
      </c>
      <c r="E236" s="135">
        <v>-1.4999999999999999E-2</v>
      </c>
      <c r="F236" s="135">
        <v>-0.27700000000000002</v>
      </c>
      <c r="G236" s="135">
        <v>-1.72</v>
      </c>
      <c r="H236" s="135">
        <v>-6.2949999999999999</v>
      </c>
    </row>
    <row r="237" spans="1:8" x14ac:dyDescent="0.15">
      <c r="A237" s="136" t="s">
        <v>376</v>
      </c>
      <c r="B237" s="135">
        <v>0</v>
      </c>
      <c r="C237" s="135">
        <v>-0.80800000000000005</v>
      </c>
      <c r="D237" s="135">
        <v>-5.5060000000000002</v>
      </c>
      <c r="E237" s="135">
        <v>-0.32800000000000001</v>
      </c>
      <c r="F237" s="135">
        <v>-0.129</v>
      </c>
      <c r="G237" s="135">
        <v>-4.1920000000000002</v>
      </c>
      <c r="H237" s="135">
        <v>-2.673</v>
      </c>
    </row>
    <row r="238" spans="1:8" x14ac:dyDescent="0.15">
      <c r="A238" s="136" t="s">
        <v>375</v>
      </c>
      <c r="B238" s="135">
        <v>-0.55900000000000005</v>
      </c>
      <c r="C238" s="135">
        <v>-0.78</v>
      </c>
      <c r="D238" s="135">
        <v>0.30299999999999999</v>
      </c>
      <c r="E238" s="135">
        <v>-0.04</v>
      </c>
      <c r="F238" s="135">
        <v>-8.5000000000000006E-2</v>
      </c>
      <c r="G238" s="135">
        <v>-0.41399999999999998</v>
      </c>
      <c r="H238" s="135">
        <v>-0.44500000000000001</v>
      </c>
    </row>
    <row r="239" spans="1:8" x14ac:dyDescent="0.15">
      <c r="A239" s="136" t="s">
        <v>374</v>
      </c>
      <c r="B239" s="135">
        <v>0</v>
      </c>
      <c r="C239" s="135">
        <v>0</v>
      </c>
      <c r="D239" s="135">
        <v>0</v>
      </c>
      <c r="E239" s="135">
        <v>0</v>
      </c>
      <c r="F239" s="135">
        <v>0</v>
      </c>
      <c r="G239" s="135">
        <v>0</v>
      </c>
      <c r="H239" s="135">
        <v>0</v>
      </c>
    </row>
    <row r="240" spans="1:8" x14ac:dyDescent="0.15">
      <c r="A240" s="136" t="s">
        <v>373</v>
      </c>
      <c r="B240" s="135">
        <v>0.108</v>
      </c>
      <c r="C240" s="135">
        <v>0.86899999999999999</v>
      </c>
      <c r="D240" s="135">
        <v>0.93200000000000005</v>
      </c>
      <c r="E240" s="135">
        <v>2.8239999999999998</v>
      </c>
      <c r="F240" s="135">
        <v>0.77100000000000002</v>
      </c>
      <c r="G240" s="135">
        <v>23.945</v>
      </c>
      <c r="H240" s="135">
        <v>22.077999999999999</v>
      </c>
    </row>
    <row r="241" spans="1:8" x14ac:dyDescent="0.15">
      <c r="A241" s="136" t="s">
        <v>372</v>
      </c>
      <c r="B241" s="135">
        <v>3.0000000000000001E-3</v>
      </c>
      <c r="C241" s="135">
        <v>3.0000000000000001E-3</v>
      </c>
      <c r="D241" s="135">
        <v>-1.784</v>
      </c>
      <c r="E241" s="135">
        <v>0.106</v>
      </c>
      <c r="F241" s="135">
        <v>0.113</v>
      </c>
      <c r="G241" s="135">
        <v>1.0349999999999999</v>
      </c>
      <c r="H241" s="135">
        <v>0.91900000000000004</v>
      </c>
    </row>
    <row r="242" spans="1:8" x14ac:dyDescent="0.15">
      <c r="A242" s="136" t="s">
        <v>371</v>
      </c>
      <c r="B242" s="135">
        <v>0</v>
      </c>
      <c r="C242" s="135">
        <v>0</v>
      </c>
      <c r="D242" s="135">
        <v>0</v>
      </c>
      <c r="E242" s="135">
        <v>0</v>
      </c>
      <c r="F242" s="135">
        <v>0</v>
      </c>
      <c r="G242" s="135">
        <v>0</v>
      </c>
      <c r="H242" s="135">
        <v>0</v>
      </c>
    </row>
    <row r="243" spans="1:8" x14ac:dyDescent="0.15">
      <c r="A243" s="136" t="s">
        <v>320</v>
      </c>
      <c r="B243" s="135">
        <v>-7.5890000000000004</v>
      </c>
      <c r="C243" s="135">
        <v>-7.08</v>
      </c>
      <c r="D243" s="135">
        <v>-18.341999999999999</v>
      </c>
      <c r="E243" s="135">
        <v>2.5470000000000002</v>
      </c>
      <c r="F243" s="135">
        <v>0.39300000000000002</v>
      </c>
      <c r="G243" s="135">
        <v>18.654</v>
      </c>
      <c r="H243" s="135">
        <v>13.584</v>
      </c>
    </row>
    <row r="244" spans="1:8" x14ac:dyDescent="0.15">
      <c r="A244" s="137" t="s">
        <v>370</v>
      </c>
    </row>
    <row r="245" spans="1:8" x14ac:dyDescent="0.15">
      <c r="A245" s="136" t="s">
        <v>369</v>
      </c>
      <c r="B245" s="136" t="s">
        <v>283</v>
      </c>
      <c r="C245" s="136" t="s">
        <v>283</v>
      </c>
      <c r="D245" s="136" t="s">
        <v>283</v>
      </c>
      <c r="E245" s="136" t="s">
        <v>283</v>
      </c>
      <c r="F245" s="136" t="s">
        <v>283</v>
      </c>
      <c r="G245" s="136" t="s">
        <v>283</v>
      </c>
      <c r="H245" s="136" t="s">
        <v>283</v>
      </c>
    </row>
    <row r="246" spans="1:8" x14ac:dyDescent="0.15">
      <c r="A246" s="136" t="s">
        <v>339</v>
      </c>
      <c r="B246" s="136" t="s">
        <v>283</v>
      </c>
      <c r="C246" s="136" t="s">
        <v>283</v>
      </c>
      <c r="D246" s="136" t="s">
        <v>283</v>
      </c>
      <c r="E246" s="136" t="s">
        <v>283</v>
      </c>
      <c r="F246" s="136" t="s">
        <v>283</v>
      </c>
      <c r="G246" s="136" t="s">
        <v>283</v>
      </c>
      <c r="H246" s="136" t="s">
        <v>283</v>
      </c>
    </row>
    <row r="247" spans="1:8" x14ac:dyDescent="0.15">
      <c r="A247" s="136" t="s">
        <v>368</v>
      </c>
      <c r="B247" s="136" t="s">
        <v>283</v>
      </c>
      <c r="C247" s="136" t="s">
        <v>283</v>
      </c>
      <c r="D247" s="136" t="s">
        <v>283</v>
      </c>
      <c r="E247" s="136" t="s">
        <v>283</v>
      </c>
      <c r="F247" s="136" t="s">
        <v>283</v>
      </c>
      <c r="G247" s="136" t="s">
        <v>283</v>
      </c>
      <c r="H247" s="136" t="s">
        <v>283</v>
      </c>
    </row>
    <row r="248" spans="1:8" x14ac:dyDescent="0.15">
      <c r="A248" s="136" t="s">
        <v>367</v>
      </c>
      <c r="B248" s="136" t="s">
        <v>283</v>
      </c>
      <c r="C248" s="136" t="s">
        <v>283</v>
      </c>
      <c r="D248" s="136" t="s">
        <v>283</v>
      </c>
      <c r="E248" s="136" t="s">
        <v>283</v>
      </c>
      <c r="F248" s="136" t="s">
        <v>283</v>
      </c>
      <c r="G248" s="136" t="s">
        <v>283</v>
      </c>
      <c r="H248" s="136" t="s">
        <v>283</v>
      </c>
    </row>
    <row r="249" spans="1:8" x14ac:dyDescent="0.15">
      <c r="A249" s="136" t="s">
        <v>74</v>
      </c>
      <c r="B249" s="136" t="s">
        <v>283</v>
      </c>
      <c r="C249" s="136" t="s">
        <v>283</v>
      </c>
      <c r="D249" s="136" t="s">
        <v>283</v>
      </c>
      <c r="E249" s="136" t="s">
        <v>283</v>
      </c>
      <c r="F249" s="136" t="s">
        <v>283</v>
      </c>
      <c r="G249" s="136" t="s">
        <v>283</v>
      </c>
      <c r="H249" s="136" t="s">
        <v>283</v>
      </c>
    </row>
    <row r="250" spans="1:8" x14ac:dyDescent="0.15">
      <c r="A250" s="137"/>
    </row>
    <row r="251" spans="1:8" x14ac:dyDescent="0.15">
      <c r="A251" s="138" t="s">
        <v>366</v>
      </c>
    </row>
    <row r="252" spans="1:8" x14ac:dyDescent="0.15">
      <c r="A252" s="136" t="s">
        <v>365</v>
      </c>
      <c r="B252" s="135">
        <v>640.80999999999995</v>
      </c>
      <c r="C252" s="135">
        <v>987.36800000000005</v>
      </c>
      <c r="D252" s="135">
        <v>2043.039</v>
      </c>
      <c r="E252" s="135">
        <v>1279.0630000000001</v>
      </c>
      <c r="F252" s="135">
        <v>2112.8049999999998</v>
      </c>
      <c r="G252" s="135">
        <v>2537.54</v>
      </c>
      <c r="H252" s="135">
        <v>3692.8850000000002</v>
      </c>
    </row>
    <row r="253" spans="1:8" x14ac:dyDescent="0.15">
      <c r="A253" s="136" t="s">
        <v>364</v>
      </c>
      <c r="B253" s="135">
        <v>44.325000000000003</v>
      </c>
      <c r="C253" s="135">
        <v>162.65899999999999</v>
      </c>
      <c r="D253" s="135">
        <v>279.47300000000001</v>
      </c>
      <c r="E253" s="135">
        <v>354.96499999999997</v>
      </c>
      <c r="F253" s="135">
        <v>492.19400000000002</v>
      </c>
      <c r="G253" s="135">
        <v>744.28800000000001</v>
      </c>
      <c r="H253" s="135">
        <v>1068.873</v>
      </c>
    </row>
    <row r="254" spans="1:8" x14ac:dyDescent="0.15">
      <c r="A254" s="136" t="s">
        <v>363</v>
      </c>
      <c r="B254" s="136" t="s">
        <v>283</v>
      </c>
      <c r="C254" s="136" t="s">
        <v>283</v>
      </c>
      <c r="D254" s="136" t="s">
        <v>283</v>
      </c>
      <c r="E254" s="136" t="s">
        <v>283</v>
      </c>
      <c r="F254" s="136" t="s">
        <v>283</v>
      </c>
      <c r="G254" s="136" t="s">
        <v>283</v>
      </c>
      <c r="H254" s="136" t="s">
        <v>283</v>
      </c>
    </row>
    <row r="255" spans="1:8" x14ac:dyDescent="0.15">
      <c r="A255" s="136" t="s">
        <v>6</v>
      </c>
      <c r="B255" s="136" t="s">
        <v>283</v>
      </c>
      <c r="C255" s="136" t="s">
        <v>283</v>
      </c>
      <c r="D255" s="136" t="s">
        <v>283</v>
      </c>
      <c r="E255" s="136" t="s">
        <v>283</v>
      </c>
      <c r="F255" s="136" t="s">
        <v>283</v>
      </c>
      <c r="G255" s="136" t="s">
        <v>283</v>
      </c>
      <c r="H255" s="136" t="s">
        <v>283</v>
      </c>
    </row>
    <row r="256" spans="1:8" x14ac:dyDescent="0.15">
      <c r="A256" s="136" t="s">
        <v>362</v>
      </c>
      <c r="B256" s="135">
        <v>7.4290000000000003</v>
      </c>
      <c r="C256" s="135">
        <v>29.957999999999998</v>
      </c>
      <c r="D256" s="135">
        <v>44.281999999999996</v>
      </c>
      <c r="E256" s="135">
        <v>41.9</v>
      </c>
      <c r="F256" s="135">
        <v>38.987000000000002</v>
      </c>
      <c r="G256" s="135">
        <v>56.146999999999998</v>
      </c>
      <c r="H256" s="135">
        <v>92.244</v>
      </c>
    </row>
    <row r="257" spans="1:8" x14ac:dyDescent="0.15">
      <c r="A257" s="136" t="s">
        <v>361</v>
      </c>
      <c r="B257" s="135">
        <v>692.56399999999996</v>
      </c>
      <c r="C257" s="135">
        <v>1179.9849999999999</v>
      </c>
      <c r="D257" s="135">
        <v>2366.7939999999999</v>
      </c>
      <c r="E257" s="135">
        <v>1675.9280000000001</v>
      </c>
      <c r="F257" s="135">
        <v>2643.9859999999999</v>
      </c>
      <c r="G257" s="135">
        <v>3337.9749999999999</v>
      </c>
      <c r="H257" s="135">
        <v>4854.0020000000004</v>
      </c>
    </row>
    <row r="258" spans="1:8" x14ac:dyDescent="0.15">
      <c r="A258" s="136" t="s">
        <v>360</v>
      </c>
      <c r="B258" s="135">
        <v>50.805999999999997</v>
      </c>
      <c r="C258" s="135">
        <v>118.395</v>
      </c>
      <c r="D258" s="135">
        <v>204.52500000000001</v>
      </c>
      <c r="E258" s="135">
        <v>279.55599999999998</v>
      </c>
      <c r="F258" s="135">
        <v>561.67399999999998</v>
      </c>
      <c r="G258" s="135">
        <v>582.88900000000001</v>
      </c>
      <c r="H258" s="135">
        <v>700.15599999999995</v>
      </c>
    </row>
    <row r="259" spans="1:8" x14ac:dyDescent="0.15">
      <c r="A259" s="136" t="s">
        <v>359</v>
      </c>
      <c r="B259" s="135">
        <v>6.7270000000000003</v>
      </c>
      <c r="C259" s="135">
        <v>17.809999999999999</v>
      </c>
      <c r="D259" s="135">
        <v>37.762999999999998</v>
      </c>
      <c r="E259" s="135">
        <v>66.995999999999995</v>
      </c>
      <c r="F259" s="135">
        <v>112.56</v>
      </c>
      <c r="G259" s="135">
        <v>134.452</v>
      </c>
      <c r="H259" s="135">
        <v>175.26</v>
      </c>
    </row>
    <row r="260" spans="1:8" x14ac:dyDescent="0.15">
      <c r="A260" s="136" t="s">
        <v>358</v>
      </c>
      <c r="B260" s="135">
        <v>44.079000000000001</v>
      </c>
      <c r="C260" s="135">
        <v>100.58499999999999</v>
      </c>
      <c r="D260" s="135">
        <v>166.762</v>
      </c>
      <c r="E260" s="135">
        <v>212.56</v>
      </c>
      <c r="F260" s="135">
        <v>449.11399999999998</v>
      </c>
      <c r="G260" s="135">
        <v>448.43700000000001</v>
      </c>
      <c r="H260" s="135">
        <v>524.89599999999996</v>
      </c>
    </row>
    <row r="261" spans="1:8" x14ac:dyDescent="0.15">
      <c r="A261" s="136" t="s">
        <v>357</v>
      </c>
      <c r="B261" s="136" t="s">
        <v>283</v>
      </c>
      <c r="C261" s="136" t="s">
        <v>283</v>
      </c>
      <c r="D261" s="136" t="s">
        <v>283</v>
      </c>
      <c r="E261" s="136" t="s">
        <v>283</v>
      </c>
      <c r="F261" s="136" t="s">
        <v>283</v>
      </c>
      <c r="G261" s="136" t="s">
        <v>283</v>
      </c>
      <c r="H261" s="136" t="s">
        <v>283</v>
      </c>
    </row>
    <row r="262" spans="1:8" x14ac:dyDescent="0.15">
      <c r="A262" s="136" t="s">
        <v>356</v>
      </c>
      <c r="B262" s="135">
        <v>9.1</v>
      </c>
      <c r="C262" s="135">
        <v>11.8</v>
      </c>
      <c r="D262" s="135">
        <v>22.7</v>
      </c>
      <c r="E262" s="135">
        <v>43.6</v>
      </c>
      <c r="F262" s="135">
        <v>55</v>
      </c>
      <c r="G262" s="135">
        <v>169.5</v>
      </c>
      <c r="H262" s="135">
        <v>262.7</v>
      </c>
    </row>
    <row r="263" spans="1:8" x14ac:dyDescent="0.15">
      <c r="A263" s="136" t="s">
        <v>355</v>
      </c>
      <c r="B263" s="135">
        <v>177.17400000000001</v>
      </c>
      <c r="C263" s="135">
        <v>395.11900000000003</v>
      </c>
      <c r="D263" s="135">
        <v>806.35500000000002</v>
      </c>
      <c r="E263" s="135">
        <v>758.42399999999998</v>
      </c>
      <c r="F263" s="135">
        <v>853.274</v>
      </c>
      <c r="G263" s="135">
        <v>1045.1880000000001</v>
      </c>
      <c r="H263" s="135">
        <v>1866.106</v>
      </c>
    </row>
    <row r="264" spans="1:8" x14ac:dyDescent="0.15">
      <c r="A264" s="136" t="s">
        <v>354</v>
      </c>
      <c r="B264" s="135">
        <v>0</v>
      </c>
      <c r="C264" s="135">
        <v>0</v>
      </c>
      <c r="D264" s="135">
        <v>0</v>
      </c>
      <c r="E264" s="135">
        <v>0</v>
      </c>
      <c r="F264" s="135">
        <v>0</v>
      </c>
      <c r="G264" s="135">
        <v>0</v>
      </c>
      <c r="H264" s="135">
        <v>0</v>
      </c>
    </row>
    <row r="265" spans="1:8" x14ac:dyDescent="0.15">
      <c r="A265" s="136" t="s">
        <v>353</v>
      </c>
      <c r="B265" s="135">
        <v>16.018999999999998</v>
      </c>
      <c r="C265" s="135">
        <v>35.302999999999997</v>
      </c>
      <c r="D265" s="135">
        <v>58.954999999999998</v>
      </c>
      <c r="E265" s="135">
        <v>23.594000000000001</v>
      </c>
      <c r="F265" s="135">
        <v>10.55</v>
      </c>
      <c r="G265" s="135">
        <v>23.138000000000002</v>
      </c>
      <c r="H265" s="135">
        <v>28.602</v>
      </c>
    </row>
    <row r="266" spans="1:8" x14ac:dyDescent="0.15">
      <c r="A266" s="136" t="s">
        <v>352</v>
      </c>
      <c r="B266" s="135">
        <v>938.93600000000004</v>
      </c>
      <c r="C266" s="135">
        <v>1722.7919999999999</v>
      </c>
      <c r="D266" s="135">
        <v>3421.5659999999998</v>
      </c>
      <c r="E266" s="135">
        <v>2714.1060000000002</v>
      </c>
      <c r="F266" s="135">
        <v>4011.924</v>
      </c>
      <c r="G266" s="135">
        <v>5024.2380000000003</v>
      </c>
      <c r="H266" s="135">
        <v>7536.3059999999996</v>
      </c>
    </row>
    <row r="267" spans="1:8" x14ac:dyDescent="0.15">
      <c r="A267" s="136" t="s">
        <v>351</v>
      </c>
      <c r="B267" s="135">
        <v>0.70199999999999996</v>
      </c>
      <c r="C267" s="135">
        <v>8.4190000000000005</v>
      </c>
      <c r="D267" s="135">
        <v>71.194000000000003</v>
      </c>
      <c r="E267" s="135">
        <v>30.876000000000001</v>
      </c>
      <c r="F267" s="135">
        <v>46.886000000000003</v>
      </c>
      <c r="G267" s="135">
        <v>71.908000000000001</v>
      </c>
      <c r="H267" s="135">
        <v>125.282</v>
      </c>
    </row>
    <row r="268" spans="1:8" x14ac:dyDescent="0.15">
      <c r="A268" s="136" t="s">
        <v>350</v>
      </c>
      <c r="B268" s="135">
        <v>0</v>
      </c>
      <c r="C268" s="135">
        <v>0</v>
      </c>
      <c r="D268" s="135">
        <v>0</v>
      </c>
      <c r="E268" s="135">
        <v>0</v>
      </c>
      <c r="F268" s="135">
        <v>0</v>
      </c>
      <c r="G268" s="135">
        <v>0</v>
      </c>
      <c r="H268" s="135">
        <v>0</v>
      </c>
    </row>
    <row r="269" spans="1:8" x14ac:dyDescent="0.15">
      <c r="A269" s="136" t="s">
        <v>349</v>
      </c>
      <c r="B269" s="135">
        <v>24.87</v>
      </c>
      <c r="C269" s="135">
        <v>78.132999999999996</v>
      </c>
      <c r="D269" s="135">
        <v>149.899</v>
      </c>
      <c r="E269" s="135">
        <v>136.429</v>
      </c>
      <c r="F269" s="135">
        <v>160.16900000000001</v>
      </c>
      <c r="G269" s="135">
        <v>279.12799999999999</v>
      </c>
      <c r="H269" s="135">
        <v>346.601</v>
      </c>
    </row>
    <row r="270" spans="1:8" x14ac:dyDescent="0.15">
      <c r="A270" s="136" t="s">
        <v>348</v>
      </c>
      <c r="B270" s="135">
        <v>1.0640000000000001</v>
      </c>
      <c r="C270" s="135">
        <v>9.2520000000000007</v>
      </c>
      <c r="D270" s="135">
        <v>10.339</v>
      </c>
      <c r="E270" s="135">
        <v>0</v>
      </c>
      <c r="F270" s="135">
        <v>18.593</v>
      </c>
      <c r="G270" s="135">
        <v>38.119</v>
      </c>
      <c r="H270" s="136" t="s">
        <v>283</v>
      </c>
    </row>
    <row r="271" spans="1:8" x14ac:dyDescent="0.15">
      <c r="A271" s="136" t="s">
        <v>347</v>
      </c>
      <c r="B271" s="136" t="s">
        <v>283</v>
      </c>
      <c r="C271" s="136" t="s">
        <v>283</v>
      </c>
      <c r="D271" s="136" t="s">
        <v>283</v>
      </c>
      <c r="E271" s="136" t="s">
        <v>283</v>
      </c>
      <c r="F271" s="135">
        <v>42.179000000000002</v>
      </c>
      <c r="G271" s="135">
        <v>41.076999999999998</v>
      </c>
      <c r="H271" s="135">
        <v>52.396000000000001</v>
      </c>
    </row>
    <row r="272" spans="1:8" x14ac:dyDescent="0.15">
      <c r="A272" s="136" t="s">
        <v>346</v>
      </c>
      <c r="B272" s="135">
        <v>154.49199999999999</v>
      </c>
      <c r="C272" s="135">
        <v>139.07300000000001</v>
      </c>
      <c r="D272" s="135">
        <v>264.72300000000001</v>
      </c>
      <c r="E272" s="135">
        <v>261.815</v>
      </c>
      <c r="F272" s="135">
        <v>392.017</v>
      </c>
      <c r="G272" s="135">
        <v>516.22299999999996</v>
      </c>
      <c r="H272" s="135">
        <v>674.10799999999995</v>
      </c>
    </row>
    <row r="273" spans="1:8" x14ac:dyDescent="0.15">
      <c r="A273" s="136" t="s">
        <v>219</v>
      </c>
      <c r="B273" s="135">
        <v>156.25800000000001</v>
      </c>
      <c r="C273" s="135">
        <v>156.744</v>
      </c>
      <c r="D273" s="135">
        <v>346.25599999999997</v>
      </c>
      <c r="E273" s="135">
        <v>292.69099999999997</v>
      </c>
      <c r="F273" s="135">
        <v>499.67500000000001</v>
      </c>
      <c r="G273" s="135">
        <v>667.327</v>
      </c>
      <c r="H273" s="135">
        <v>851.78599999999994</v>
      </c>
    </row>
    <row r="274" spans="1:8" x14ac:dyDescent="0.15">
      <c r="A274" s="136" t="s">
        <v>345</v>
      </c>
      <c r="B274" s="135">
        <v>13.494</v>
      </c>
      <c r="C274" s="135">
        <v>15.14</v>
      </c>
      <c r="D274" s="135">
        <v>16.033000000000001</v>
      </c>
      <c r="E274" s="135">
        <v>16.8</v>
      </c>
      <c r="F274" s="135">
        <v>1194.954</v>
      </c>
      <c r="G274" s="135">
        <v>1962.461</v>
      </c>
      <c r="H274" s="135">
        <v>2578.596</v>
      </c>
    </row>
    <row r="275" spans="1:8" x14ac:dyDescent="0.15">
      <c r="A275" s="136" t="s">
        <v>344</v>
      </c>
      <c r="B275" s="135">
        <v>0</v>
      </c>
      <c r="C275" s="135">
        <v>0</v>
      </c>
      <c r="D275" s="135">
        <v>0</v>
      </c>
      <c r="E275" s="135">
        <v>0</v>
      </c>
      <c r="F275" s="135">
        <v>0</v>
      </c>
      <c r="G275" s="135">
        <v>0</v>
      </c>
      <c r="H275" s="135">
        <v>0</v>
      </c>
    </row>
    <row r="276" spans="1:8" x14ac:dyDescent="0.15">
      <c r="A276" s="136" t="s">
        <v>343</v>
      </c>
      <c r="B276" s="135">
        <v>0</v>
      </c>
      <c r="C276" s="135">
        <v>0</v>
      </c>
      <c r="D276" s="135">
        <v>0</v>
      </c>
      <c r="E276" s="135">
        <v>0</v>
      </c>
      <c r="F276" s="135">
        <v>0</v>
      </c>
      <c r="G276" s="135">
        <v>0</v>
      </c>
      <c r="H276" s="135">
        <v>0</v>
      </c>
    </row>
    <row r="277" spans="1:8" x14ac:dyDescent="0.15">
      <c r="A277" s="136" t="s">
        <v>342</v>
      </c>
      <c r="B277" s="135">
        <v>5.0389999999999997</v>
      </c>
      <c r="C277" s="135">
        <v>31.994</v>
      </c>
      <c r="D277" s="135">
        <v>66.95</v>
      </c>
      <c r="E277" s="135">
        <v>93.616</v>
      </c>
      <c r="F277" s="135">
        <v>57.381999999999998</v>
      </c>
      <c r="G277" s="135">
        <v>64.474000000000004</v>
      </c>
      <c r="H277" s="135">
        <v>315.75599999999997</v>
      </c>
    </row>
    <row r="278" spans="1:8" x14ac:dyDescent="0.15">
      <c r="A278" s="136" t="s">
        <v>341</v>
      </c>
      <c r="B278" s="135">
        <v>174.791</v>
      </c>
      <c r="C278" s="135">
        <v>203.87800000000001</v>
      </c>
      <c r="D278" s="135">
        <v>429.23899999999998</v>
      </c>
      <c r="E278" s="135">
        <v>403.10699999999997</v>
      </c>
      <c r="F278" s="135">
        <v>1752.011</v>
      </c>
      <c r="G278" s="135">
        <v>2694.2620000000002</v>
      </c>
      <c r="H278" s="135">
        <v>3746.1379999999999</v>
      </c>
    </row>
    <row r="279" spans="1:8" x14ac:dyDescent="0.15">
      <c r="A279" s="136" t="s">
        <v>340</v>
      </c>
      <c r="B279" s="135">
        <v>0</v>
      </c>
      <c r="C279" s="135">
        <v>0</v>
      </c>
      <c r="D279" s="135">
        <v>0</v>
      </c>
      <c r="E279" s="135">
        <v>0</v>
      </c>
      <c r="F279" s="135">
        <v>0</v>
      </c>
      <c r="G279" s="135">
        <v>0</v>
      </c>
      <c r="H279" s="135">
        <v>0</v>
      </c>
    </row>
    <row r="280" spans="1:8" x14ac:dyDescent="0.15">
      <c r="A280" s="136" t="s">
        <v>339</v>
      </c>
      <c r="B280" s="135">
        <v>4.0000000000000001E-3</v>
      </c>
      <c r="C280" s="135">
        <v>5.0000000000000001E-3</v>
      </c>
      <c r="D280" s="135">
        <v>0</v>
      </c>
      <c r="E280" s="135">
        <v>0</v>
      </c>
      <c r="F280" s="135">
        <v>0</v>
      </c>
      <c r="G280" s="135">
        <v>0</v>
      </c>
      <c r="H280" s="135">
        <v>0</v>
      </c>
    </row>
    <row r="281" spans="1:8" x14ac:dyDescent="0.15">
      <c r="A281" s="136" t="s">
        <v>338</v>
      </c>
      <c r="B281" s="135">
        <v>5.0000000000000001E-3</v>
      </c>
      <c r="C281" s="135">
        <v>5.0000000000000001E-3</v>
      </c>
      <c r="D281" s="135">
        <v>1.2E-2</v>
      </c>
      <c r="E281" s="135">
        <v>1.2999999999999999E-2</v>
      </c>
      <c r="F281" s="135">
        <v>1.4E-2</v>
      </c>
      <c r="G281" s="135">
        <v>1.4E-2</v>
      </c>
      <c r="H281" s="135">
        <v>1.6E-2</v>
      </c>
    </row>
    <row r="282" spans="1:8" x14ac:dyDescent="0.15">
      <c r="A282" s="136" t="s">
        <v>337</v>
      </c>
      <c r="B282" s="135">
        <v>1467.355</v>
      </c>
      <c r="C282" s="135">
        <v>2728.8229999999999</v>
      </c>
      <c r="D282" s="135">
        <v>7634.8249999999998</v>
      </c>
      <c r="E282" s="135">
        <v>8220.4169999999995</v>
      </c>
      <c r="F282" s="135">
        <v>9205.2559999999994</v>
      </c>
      <c r="G282" s="135">
        <v>10200.141</v>
      </c>
      <c r="H282" s="135">
        <v>12069.097</v>
      </c>
    </row>
    <row r="283" spans="1:8" x14ac:dyDescent="0.15">
      <c r="A283" s="136" t="s">
        <v>336</v>
      </c>
      <c r="B283" s="135">
        <v>-703.21900000000005</v>
      </c>
      <c r="C283" s="135">
        <v>-1209.9190000000001</v>
      </c>
      <c r="D283" s="135">
        <v>-4642.51</v>
      </c>
      <c r="E283" s="135">
        <v>-5909.4309999999996</v>
      </c>
      <c r="F283" s="135">
        <v>-6945.357</v>
      </c>
      <c r="G283" s="135">
        <v>-7870.1790000000001</v>
      </c>
      <c r="H283" s="135">
        <v>-8278.9449999999997</v>
      </c>
    </row>
    <row r="284" spans="1:8" x14ac:dyDescent="0.15">
      <c r="A284" s="136" t="s">
        <v>335</v>
      </c>
      <c r="B284" s="135">
        <v>0</v>
      </c>
      <c r="C284" s="135">
        <v>0</v>
      </c>
      <c r="D284" s="135">
        <v>0</v>
      </c>
      <c r="E284" s="135">
        <v>0</v>
      </c>
      <c r="F284" s="135">
        <v>0</v>
      </c>
      <c r="G284" s="135">
        <v>0</v>
      </c>
      <c r="H284" s="135">
        <v>0</v>
      </c>
    </row>
    <row r="285" spans="1:8" x14ac:dyDescent="0.15">
      <c r="A285" s="136" t="s">
        <v>334</v>
      </c>
      <c r="B285" s="135">
        <v>764.14499999999998</v>
      </c>
      <c r="C285" s="135">
        <v>1518.914</v>
      </c>
      <c r="D285" s="135">
        <v>2992.3270000000002</v>
      </c>
      <c r="E285" s="135">
        <v>2310.9989999999998</v>
      </c>
      <c r="F285" s="135">
        <v>2259.913</v>
      </c>
      <c r="G285" s="135">
        <v>2329.9760000000001</v>
      </c>
      <c r="H285" s="135">
        <v>3790.1680000000001</v>
      </c>
    </row>
    <row r="286" spans="1:8" x14ac:dyDescent="0.15">
      <c r="A286" s="136" t="s">
        <v>333</v>
      </c>
      <c r="B286" s="135">
        <v>0</v>
      </c>
      <c r="C286" s="135">
        <v>0</v>
      </c>
      <c r="D286" s="135">
        <v>0</v>
      </c>
      <c r="E286" s="135">
        <v>0</v>
      </c>
      <c r="F286" s="135">
        <v>0</v>
      </c>
      <c r="G286" s="135">
        <v>0</v>
      </c>
      <c r="H286" s="135">
        <v>0</v>
      </c>
    </row>
    <row r="287" spans="1:8" x14ac:dyDescent="0.15">
      <c r="A287" s="136" t="s">
        <v>332</v>
      </c>
      <c r="B287" s="135">
        <v>764.14499999999998</v>
      </c>
      <c r="C287" s="135">
        <v>1518.914</v>
      </c>
      <c r="D287" s="135">
        <v>2992.3270000000002</v>
      </c>
      <c r="E287" s="135">
        <v>2310.9989999999998</v>
      </c>
      <c r="F287" s="135">
        <v>2259.913</v>
      </c>
      <c r="G287" s="135">
        <v>2329.9760000000001</v>
      </c>
      <c r="H287" s="135">
        <v>3790.1680000000001</v>
      </c>
    </row>
    <row r="288" spans="1:8" x14ac:dyDescent="0.15">
      <c r="A288" s="136" t="s">
        <v>331</v>
      </c>
      <c r="B288" s="135">
        <v>58.662999999999997</v>
      </c>
      <c r="C288" s="135">
        <v>404.48200000000003</v>
      </c>
      <c r="D288" s="135">
        <v>824.94899999999996</v>
      </c>
      <c r="E288" s="135">
        <v>1180.4459999999999</v>
      </c>
      <c r="F288" s="135">
        <v>1715.5340000000001</v>
      </c>
      <c r="G288" s="135">
        <v>2506.6260000000002</v>
      </c>
      <c r="H288" s="135">
        <v>4117.0479999999998</v>
      </c>
    </row>
    <row r="289" spans="1:8" x14ac:dyDescent="0.15">
      <c r="A289" s="136" t="s">
        <v>330</v>
      </c>
      <c r="B289" s="135">
        <v>167.03399999999999</v>
      </c>
      <c r="C289" s="135">
        <v>422.54500000000002</v>
      </c>
      <c r="D289" s="135">
        <v>702.24</v>
      </c>
      <c r="E289" s="135">
        <v>772.58299999999997</v>
      </c>
      <c r="F289" s="135">
        <v>874.56700000000001</v>
      </c>
      <c r="G289" s="135">
        <v>1160.3</v>
      </c>
      <c r="H289" s="135">
        <v>1730.5350000000001</v>
      </c>
    </row>
    <row r="290" spans="1:8" x14ac:dyDescent="0.15">
      <c r="A290" s="136" t="s">
        <v>329</v>
      </c>
      <c r="B290" s="135">
        <v>0</v>
      </c>
      <c r="C290" s="135">
        <v>0</v>
      </c>
      <c r="D290" s="135">
        <v>0</v>
      </c>
      <c r="E290" s="135">
        <v>0</v>
      </c>
      <c r="F290" s="135">
        <v>0</v>
      </c>
      <c r="G290" s="135">
        <v>0</v>
      </c>
      <c r="H290" s="135">
        <v>0</v>
      </c>
    </row>
    <row r="291" spans="1:8" x14ac:dyDescent="0.15">
      <c r="A291" s="136" t="s">
        <v>328</v>
      </c>
      <c r="B291" s="135">
        <v>241.65100000000001</v>
      </c>
      <c r="C291" s="135">
        <v>473.20699999999999</v>
      </c>
      <c r="D291" s="135">
        <v>3546.9969999999998</v>
      </c>
      <c r="E291" s="135">
        <v>1575.922</v>
      </c>
      <c r="F291" s="135">
        <v>1757.05</v>
      </c>
      <c r="G291" s="135">
        <v>2121.654</v>
      </c>
      <c r="H291" s="135">
        <v>2969.4409999999998</v>
      </c>
    </row>
    <row r="292" spans="1:8" x14ac:dyDescent="0.15">
      <c r="A292" s="136" t="s">
        <v>327</v>
      </c>
      <c r="B292" s="135">
        <v>-350.02199999999999</v>
      </c>
      <c r="C292" s="135">
        <v>-491.27</v>
      </c>
      <c r="D292" s="135">
        <v>-3424.288</v>
      </c>
      <c r="E292" s="135">
        <v>-1168.059</v>
      </c>
      <c r="F292" s="135">
        <v>-916.08299999999997</v>
      </c>
      <c r="G292" s="135">
        <v>-775.32799999999997</v>
      </c>
      <c r="H292" s="135">
        <v>-582.928</v>
      </c>
    </row>
    <row r="293" spans="1:8" x14ac:dyDescent="0.15">
      <c r="A293" s="136" t="s">
        <v>326</v>
      </c>
      <c r="B293" s="135">
        <v>15.307</v>
      </c>
      <c r="C293" s="135">
        <v>29.114999999999998</v>
      </c>
      <c r="D293" s="135">
        <v>61.287999999999997</v>
      </c>
      <c r="E293" s="135">
        <v>91.647999999999996</v>
      </c>
      <c r="F293" s="135">
        <v>87.245000000000005</v>
      </c>
      <c r="G293" s="135">
        <v>86.744</v>
      </c>
      <c r="H293" s="135">
        <v>119.14100000000001</v>
      </c>
    </row>
    <row r="294" spans="1:8" x14ac:dyDescent="0.15">
      <c r="A294" s="136" t="s">
        <v>325</v>
      </c>
      <c r="B294" s="135">
        <v>-365.32900000000001</v>
      </c>
      <c r="C294" s="135">
        <v>-520.38499999999999</v>
      </c>
      <c r="D294" s="135">
        <v>-3485.576</v>
      </c>
      <c r="E294" s="135">
        <v>-1259.7070000000001</v>
      </c>
      <c r="F294" s="135">
        <v>-1003.328</v>
      </c>
      <c r="G294" s="135">
        <v>-862.072</v>
      </c>
      <c r="H294" s="135">
        <v>-702.06899999999996</v>
      </c>
    </row>
    <row r="295" spans="1:8" x14ac:dyDescent="0.15">
      <c r="A295" s="136" t="s">
        <v>324</v>
      </c>
      <c r="B295" s="135">
        <v>0</v>
      </c>
      <c r="C295" s="135">
        <v>1.4239999999999999</v>
      </c>
      <c r="D295" s="135">
        <v>3.456</v>
      </c>
      <c r="E295" s="135">
        <v>3.8940000000000001</v>
      </c>
      <c r="F295" s="135">
        <v>24.994</v>
      </c>
      <c r="G295" s="135">
        <v>97.227999999999994</v>
      </c>
      <c r="H295" s="135">
        <v>17.675999999999998</v>
      </c>
    </row>
    <row r="296" spans="1:8" x14ac:dyDescent="0.15">
      <c r="A296" s="136" t="s">
        <v>323</v>
      </c>
      <c r="B296" s="135">
        <v>1.2470000000000001</v>
      </c>
      <c r="C296" s="135">
        <v>8.5999999999999993E-2</v>
      </c>
      <c r="D296" s="135">
        <v>25.623999999999999</v>
      </c>
      <c r="E296" s="135">
        <v>26.18</v>
      </c>
      <c r="F296" s="135">
        <v>55.171999999999997</v>
      </c>
      <c r="G296" s="135">
        <v>62.615000000000002</v>
      </c>
      <c r="H296" s="135">
        <v>286.87400000000002</v>
      </c>
    </row>
    <row r="297" spans="1:8" x14ac:dyDescent="0.15">
      <c r="A297" s="136" t="s">
        <v>322</v>
      </c>
      <c r="B297" s="135">
        <v>-16.399999999999999</v>
      </c>
      <c r="C297" s="135">
        <v>0</v>
      </c>
      <c r="D297" s="136" t="s">
        <v>283</v>
      </c>
      <c r="E297" s="135">
        <v>-15.943</v>
      </c>
      <c r="F297" s="135">
        <v>-60.116999999999997</v>
      </c>
      <c r="G297" s="135">
        <v>-29.5</v>
      </c>
      <c r="H297" s="135">
        <v>-41.5</v>
      </c>
    </row>
    <row r="298" spans="1:8" x14ac:dyDescent="0.15">
      <c r="A298" s="136" t="s">
        <v>321</v>
      </c>
      <c r="B298" s="135">
        <v>-380.48200000000003</v>
      </c>
      <c r="C298" s="135">
        <v>-521.72299999999996</v>
      </c>
      <c r="D298" s="135">
        <v>-3463.4079999999999</v>
      </c>
      <c r="E298" s="135">
        <v>-1253.364</v>
      </c>
      <c r="F298" s="135">
        <v>-1033.2670000000001</v>
      </c>
      <c r="G298" s="135">
        <v>-926.18499999999995</v>
      </c>
      <c r="H298" s="135">
        <v>-474.37099999999998</v>
      </c>
    </row>
    <row r="299" spans="1:8" x14ac:dyDescent="0.15">
      <c r="A299" s="136" t="s">
        <v>320</v>
      </c>
      <c r="B299" s="135">
        <v>-7.5890000000000004</v>
      </c>
      <c r="C299" s="135">
        <v>-7.08</v>
      </c>
      <c r="D299" s="135">
        <v>-18.341999999999999</v>
      </c>
      <c r="E299" s="135">
        <v>2.5470000000000002</v>
      </c>
      <c r="F299" s="135">
        <v>0.39300000000000002</v>
      </c>
      <c r="G299" s="135">
        <v>18.654</v>
      </c>
      <c r="H299" s="135">
        <v>13.584</v>
      </c>
    </row>
    <row r="300" spans="1:8" x14ac:dyDescent="0.15">
      <c r="A300" s="136" t="s">
        <v>319</v>
      </c>
      <c r="B300" s="135">
        <v>0</v>
      </c>
      <c r="C300" s="135">
        <v>0</v>
      </c>
      <c r="D300" s="135">
        <v>0</v>
      </c>
      <c r="E300" s="135">
        <v>0</v>
      </c>
      <c r="F300" s="135">
        <v>0</v>
      </c>
      <c r="G300" s="135">
        <v>0</v>
      </c>
      <c r="H300" s="135">
        <v>0</v>
      </c>
    </row>
    <row r="301" spans="1:8" x14ac:dyDescent="0.15">
      <c r="A301" s="136" t="s">
        <v>318</v>
      </c>
      <c r="B301" s="135">
        <v>-372.89299999999997</v>
      </c>
      <c r="C301" s="135">
        <v>-514.64300000000003</v>
      </c>
      <c r="D301" s="135">
        <v>-3445.0659999999998</v>
      </c>
      <c r="E301" s="135">
        <v>-1255.9110000000001</v>
      </c>
      <c r="F301" s="135">
        <v>-1033.6600000000001</v>
      </c>
      <c r="G301" s="135">
        <v>-944.83900000000006</v>
      </c>
      <c r="H301" s="135">
        <v>-487.95499999999998</v>
      </c>
    </row>
    <row r="302" spans="1:8" x14ac:dyDescent="0.15">
      <c r="A302" s="136" t="s">
        <v>317</v>
      </c>
      <c r="B302" s="135">
        <v>0</v>
      </c>
      <c r="C302" s="135">
        <v>0</v>
      </c>
      <c r="D302" s="135">
        <v>0</v>
      </c>
      <c r="E302" s="135">
        <v>0</v>
      </c>
      <c r="F302" s="135">
        <v>0</v>
      </c>
      <c r="G302" s="135">
        <v>0</v>
      </c>
      <c r="H302" s="135">
        <v>0</v>
      </c>
    </row>
    <row r="303" spans="1:8" x14ac:dyDescent="0.15">
      <c r="A303" s="136" t="s">
        <v>316</v>
      </c>
      <c r="B303" s="135">
        <v>0</v>
      </c>
      <c r="C303" s="135">
        <v>0</v>
      </c>
      <c r="D303" s="135">
        <v>0</v>
      </c>
      <c r="E303" s="135">
        <v>0</v>
      </c>
      <c r="F303" s="135">
        <v>0</v>
      </c>
      <c r="G303" s="135">
        <v>0</v>
      </c>
      <c r="H303" s="135">
        <v>0</v>
      </c>
    </row>
    <row r="304" spans="1:8" x14ac:dyDescent="0.15">
      <c r="A304" s="136" t="s">
        <v>315</v>
      </c>
      <c r="B304" s="135">
        <v>-372.89299999999997</v>
      </c>
      <c r="C304" s="135">
        <v>-514.64300000000003</v>
      </c>
      <c r="D304" s="135">
        <v>-3445.0659999999998</v>
      </c>
      <c r="E304" s="135">
        <v>-1255.9110000000001</v>
      </c>
      <c r="F304" s="135">
        <v>-1033.6600000000001</v>
      </c>
      <c r="G304" s="135">
        <v>-944.83900000000006</v>
      </c>
      <c r="H304" s="135">
        <v>-487.95499999999998</v>
      </c>
    </row>
    <row r="305" spans="1:8" x14ac:dyDescent="0.15">
      <c r="A305" s="136" t="s">
        <v>314</v>
      </c>
      <c r="B305" s="135">
        <v>0</v>
      </c>
      <c r="C305" s="135">
        <v>0</v>
      </c>
      <c r="D305" s="135">
        <v>0</v>
      </c>
      <c r="E305" s="135">
        <v>0</v>
      </c>
      <c r="F305" s="135">
        <v>0</v>
      </c>
      <c r="G305" s="135">
        <v>0</v>
      </c>
      <c r="H305" s="135">
        <v>0</v>
      </c>
    </row>
    <row r="306" spans="1:8" x14ac:dyDescent="0.15">
      <c r="A306" s="136" t="s">
        <v>313</v>
      </c>
      <c r="B306" s="135">
        <v>-0.32</v>
      </c>
      <c r="C306" s="135">
        <v>-0.44</v>
      </c>
      <c r="D306" s="135">
        <v>-2.84</v>
      </c>
      <c r="E306" s="135">
        <v>-0.97</v>
      </c>
      <c r="F306" s="135">
        <v>-0.75</v>
      </c>
      <c r="G306" s="135">
        <v>-0.65</v>
      </c>
      <c r="H306" s="135">
        <v>-0.31</v>
      </c>
    </row>
    <row r="307" spans="1:8" x14ac:dyDescent="0.15">
      <c r="A307" s="136" t="s">
        <v>312</v>
      </c>
      <c r="B307" s="135">
        <v>-0.32</v>
      </c>
      <c r="C307" s="135">
        <v>-0.44</v>
      </c>
      <c r="D307" s="135">
        <v>-2.84</v>
      </c>
      <c r="E307" s="135">
        <v>-0.97</v>
      </c>
      <c r="F307" s="135">
        <v>-0.75</v>
      </c>
      <c r="G307" s="135">
        <v>-0.65</v>
      </c>
      <c r="H307" s="135">
        <v>-0.31</v>
      </c>
    </row>
    <row r="308" spans="1:8" x14ac:dyDescent="0.15">
      <c r="A308" s="136" t="s">
        <v>311</v>
      </c>
      <c r="B308" s="135">
        <v>-0.32</v>
      </c>
      <c r="C308" s="135">
        <v>-0.44</v>
      </c>
      <c r="D308" s="135">
        <v>-2.84</v>
      </c>
      <c r="E308" s="135">
        <v>-0.97</v>
      </c>
      <c r="F308" s="135">
        <v>-0.75</v>
      </c>
      <c r="G308" s="135">
        <v>-0.65</v>
      </c>
      <c r="H308" s="135">
        <v>-0.31</v>
      </c>
    </row>
    <row r="309" spans="1:8" x14ac:dyDescent="0.15">
      <c r="A309" s="136" t="s">
        <v>310</v>
      </c>
      <c r="B309" s="135">
        <v>-0.32</v>
      </c>
      <c r="C309" s="135">
        <v>-0.44</v>
      </c>
      <c r="D309" s="135">
        <v>-2.84</v>
      </c>
      <c r="E309" s="135">
        <v>-0.97</v>
      </c>
      <c r="F309" s="135">
        <v>-0.75</v>
      </c>
      <c r="G309" s="135">
        <v>-0.65</v>
      </c>
      <c r="H309" s="135">
        <v>-0.31</v>
      </c>
    </row>
    <row r="310" spans="1:8" x14ac:dyDescent="0.15">
      <c r="A310" s="136" t="s">
        <v>309</v>
      </c>
      <c r="B310" s="135">
        <v>1157.213</v>
      </c>
      <c r="C310" s="135">
        <v>1157.213</v>
      </c>
      <c r="D310" s="135">
        <v>1211.6610000000001</v>
      </c>
      <c r="E310" s="135">
        <v>1300.568</v>
      </c>
      <c r="F310" s="135">
        <v>1375.462</v>
      </c>
      <c r="G310" s="135">
        <v>1455.693</v>
      </c>
      <c r="H310" s="135">
        <v>1558.9970000000001</v>
      </c>
    </row>
    <row r="311" spans="1:8" x14ac:dyDescent="0.15">
      <c r="A311" s="137" t="s">
        <v>308</v>
      </c>
    </row>
    <row r="312" spans="1:8" x14ac:dyDescent="0.15">
      <c r="A312" s="136" t="s">
        <v>307</v>
      </c>
      <c r="B312" s="135">
        <v>1157.213</v>
      </c>
      <c r="C312" s="135">
        <v>1157.213</v>
      </c>
      <c r="D312" s="135">
        <v>1211.6610000000001</v>
      </c>
      <c r="E312" s="135">
        <v>1300.568</v>
      </c>
      <c r="F312" s="135">
        <v>1375.462</v>
      </c>
      <c r="G312" s="135">
        <v>1455.693</v>
      </c>
      <c r="H312" s="135">
        <v>1558.9970000000001</v>
      </c>
    </row>
    <row r="313" spans="1:8" x14ac:dyDescent="0.15">
      <c r="A313" s="136" t="s">
        <v>306</v>
      </c>
      <c r="B313" s="135">
        <v>491.58600000000001</v>
      </c>
      <c r="C313" s="135">
        <v>536.37099999999998</v>
      </c>
      <c r="D313" s="135">
        <v>1222.202</v>
      </c>
      <c r="E313" s="135">
        <v>1317.76</v>
      </c>
      <c r="F313" s="135">
        <v>1415.796</v>
      </c>
      <c r="G313" s="135">
        <v>1503.3330000000001</v>
      </c>
      <c r="H313" s="135">
        <v>1619.2829999999999</v>
      </c>
    </row>
    <row r="314" spans="1:8" x14ac:dyDescent="0.15">
      <c r="A314" s="136" t="s">
        <v>305</v>
      </c>
      <c r="B314" s="135">
        <v>-306.62200000000001</v>
      </c>
      <c r="C314" s="135">
        <v>-611.245</v>
      </c>
      <c r="D314" s="135">
        <v>-734.66700000000003</v>
      </c>
      <c r="E314" s="135">
        <v>-689.92399999999998</v>
      </c>
      <c r="F314" s="135">
        <v>-304.95800000000003</v>
      </c>
      <c r="G314" s="135">
        <v>-167.64400000000001</v>
      </c>
      <c r="H314" s="135">
        <v>292.88</v>
      </c>
    </row>
    <row r="315" spans="1:8" x14ac:dyDescent="0.15">
      <c r="A315" s="136" t="s">
        <v>304</v>
      </c>
      <c r="B315" s="135">
        <v>19.204999999999998</v>
      </c>
      <c r="C315" s="135">
        <v>66.441000000000003</v>
      </c>
      <c r="D315" s="135">
        <v>84.518000000000001</v>
      </c>
      <c r="E315" s="135">
        <v>120.242</v>
      </c>
      <c r="F315" s="135">
        <v>36.478000000000002</v>
      </c>
      <c r="G315" s="135">
        <v>57.832000000000001</v>
      </c>
      <c r="H315" s="135">
        <v>69.875</v>
      </c>
    </row>
    <row r="316" spans="1:8" x14ac:dyDescent="0.15">
      <c r="A316" s="136" t="s">
        <v>303</v>
      </c>
      <c r="B316" s="135">
        <v>0</v>
      </c>
      <c r="C316" s="135">
        <v>0</v>
      </c>
      <c r="D316" s="135">
        <v>0</v>
      </c>
      <c r="E316" s="135">
        <v>11.276</v>
      </c>
      <c r="F316" s="135">
        <v>0</v>
      </c>
      <c r="G316" s="135">
        <v>0</v>
      </c>
      <c r="H316" s="135">
        <v>0</v>
      </c>
    </row>
    <row r="317" spans="1:8" x14ac:dyDescent="0.15">
      <c r="A317" s="136" t="s">
        <v>302</v>
      </c>
      <c r="B317" s="135">
        <v>48.73</v>
      </c>
      <c r="C317" s="135">
        <v>104.001</v>
      </c>
      <c r="D317" s="135">
        <v>386.01100000000002</v>
      </c>
      <c r="E317" s="135">
        <v>0.81499999999999995</v>
      </c>
      <c r="F317" s="135">
        <v>77.119</v>
      </c>
      <c r="G317" s="135">
        <v>168.85</v>
      </c>
      <c r="H317" s="135">
        <v>310.91500000000002</v>
      </c>
    </row>
    <row r="318" spans="1:8" x14ac:dyDescent="0.15">
      <c r="A318" s="136" t="s">
        <v>301</v>
      </c>
      <c r="B318" s="135">
        <v>-100.94199999999999</v>
      </c>
      <c r="C318" s="135">
        <v>-1021.3339999999999</v>
      </c>
      <c r="D318" s="135">
        <v>-1346.739</v>
      </c>
      <c r="E318" s="135">
        <v>694.45399999999995</v>
      </c>
      <c r="F318" s="135">
        <v>-728.60799999999995</v>
      </c>
      <c r="G318" s="135">
        <v>-729.86400000000003</v>
      </c>
      <c r="H318" s="135">
        <v>90.227000000000004</v>
      </c>
    </row>
    <row r="319" spans="1:8" x14ac:dyDescent="0.15">
      <c r="A319" s="136" t="s">
        <v>300</v>
      </c>
      <c r="B319" s="135">
        <v>0</v>
      </c>
      <c r="C319" s="135">
        <v>0</v>
      </c>
      <c r="D319" s="135">
        <v>0</v>
      </c>
      <c r="E319" s="135">
        <v>0</v>
      </c>
      <c r="F319" s="135">
        <v>0</v>
      </c>
      <c r="G319" s="135">
        <v>0</v>
      </c>
      <c r="H319" s="135">
        <v>0</v>
      </c>
    </row>
    <row r="320" spans="1:8" x14ac:dyDescent="0.15">
      <c r="A320" s="137" t="s">
        <v>299</v>
      </c>
    </row>
    <row r="321" spans="1:8" x14ac:dyDescent="0.15">
      <c r="A321" s="136" t="s">
        <v>298</v>
      </c>
      <c r="B321" s="136" t="s">
        <v>283</v>
      </c>
      <c r="C321" s="136" t="s">
        <v>283</v>
      </c>
      <c r="D321" s="136" t="s">
        <v>283</v>
      </c>
      <c r="E321" s="136" t="s">
        <v>283</v>
      </c>
      <c r="F321" s="135">
        <v>1.546</v>
      </c>
      <c r="G321" s="135">
        <v>12.019</v>
      </c>
      <c r="H321" s="135">
        <v>10.887</v>
      </c>
    </row>
    <row r="322" spans="1:8" x14ac:dyDescent="0.15">
      <c r="A322" s="136" t="s">
        <v>297</v>
      </c>
      <c r="B322" s="135">
        <v>3.0000000000000001E-3</v>
      </c>
      <c r="C322" s="135">
        <v>1.6859999999999999</v>
      </c>
      <c r="D322" s="135">
        <v>6.226</v>
      </c>
      <c r="E322" s="135">
        <v>3.5979999999999999</v>
      </c>
      <c r="F322" s="135">
        <v>0.156</v>
      </c>
      <c r="G322" s="135">
        <v>3.6920000000000002</v>
      </c>
      <c r="H322" s="135">
        <v>25.332999999999998</v>
      </c>
    </row>
    <row r="323" spans="1:8" x14ac:dyDescent="0.15">
      <c r="A323" s="136" t="s">
        <v>296</v>
      </c>
      <c r="B323" s="136" t="s">
        <v>283</v>
      </c>
      <c r="C323" s="136" t="s">
        <v>283</v>
      </c>
      <c r="D323" s="136" t="s">
        <v>283</v>
      </c>
      <c r="E323" s="136" t="s">
        <v>283</v>
      </c>
      <c r="F323" s="136" t="s">
        <v>283</v>
      </c>
      <c r="G323" s="136" t="s">
        <v>283</v>
      </c>
      <c r="H323" s="136" t="s">
        <v>283</v>
      </c>
    </row>
    <row r="324" spans="1:8" x14ac:dyDescent="0.15">
      <c r="A324" s="136" t="s">
        <v>295</v>
      </c>
      <c r="B324" s="135">
        <v>0</v>
      </c>
      <c r="C324" s="135">
        <v>0</v>
      </c>
      <c r="D324" s="136" t="s">
        <v>283</v>
      </c>
      <c r="E324" s="135">
        <v>0</v>
      </c>
      <c r="F324" s="136" t="s">
        <v>283</v>
      </c>
      <c r="G324" s="136" t="s">
        <v>283</v>
      </c>
      <c r="H324" s="136" t="s">
        <v>283</v>
      </c>
    </row>
    <row r="325" spans="1:8" x14ac:dyDescent="0.15">
      <c r="A325" s="136" t="s">
        <v>294</v>
      </c>
      <c r="B325" s="136" t="s">
        <v>283</v>
      </c>
      <c r="C325" s="136" t="s">
        <v>283</v>
      </c>
      <c r="D325" s="136" t="s">
        <v>283</v>
      </c>
      <c r="E325" s="136" t="s">
        <v>283</v>
      </c>
      <c r="F325" s="136" t="s">
        <v>283</v>
      </c>
      <c r="G325" s="136" t="s">
        <v>283</v>
      </c>
      <c r="H325" s="136" t="s">
        <v>283</v>
      </c>
    </row>
    <row r="326" spans="1:8" x14ac:dyDescent="0.15">
      <c r="A326" s="136" t="s">
        <v>293</v>
      </c>
      <c r="B326" s="135">
        <v>1</v>
      </c>
      <c r="C326" s="135">
        <v>1</v>
      </c>
      <c r="D326" s="135">
        <v>1</v>
      </c>
      <c r="E326" s="135">
        <v>1</v>
      </c>
      <c r="F326" s="135">
        <v>1</v>
      </c>
      <c r="G326" s="135">
        <v>1</v>
      </c>
      <c r="H326" s="135">
        <v>1</v>
      </c>
    </row>
    <row r="327" spans="1:8" x14ac:dyDescent="0.15">
      <c r="A327" s="136" t="s">
        <v>292</v>
      </c>
      <c r="B327" s="135">
        <v>2.7</v>
      </c>
      <c r="C327" s="135">
        <v>9.4</v>
      </c>
      <c r="D327" s="135">
        <v>10.9</v>
      </c>
      <c r="E327" s="135">
        <v>11.3</v>
      </c>
      <c r="F327" s="135">
        <v>31.4</v>
      </c>
      <c r="G327" s="135">
        <v>29.5</v>
      </c>
      <c r="H327" s="135">
        <v>62.4</v>
      </c>
    </row>
    <row r="328" spans="1:8" x14ac:dyDescent="0.15">
      <c r="A328" s="136" t="s">
        <v>291</v>
      </c>
      <c r="B328" s="136" t="s">
        <v>283</v>
      </c>
      <c r="C328" s="136" t="s">
        <v>283</v>
      </c>
      <c r="D328" s="135">
        <v>0</v>
      </c>
      <c r="E328" s="135">
        <v>0</v>
      </c>
      <c r="F328" s="135">
        <v>0</v>
      </c>
      <c r="G328" s="135">
        <v>0</v>
      </c>
      <c r="H328" s="135">
        <v>0</v>
      </c>
    </row>
    <row r="329" spans="1:8" x14ac:dyDescent="0.15">
      <c r="A329" s="136" t="s">
        <v>290</v>
      </c>
      <c r="B329" s="135">
        <v>0</v>
      </c>
      <c r="C329" s="135">
        <v>0</v>
      </c>
      <c r="D329" s="135">
        <v>0</v>
      </c>
      <c r="E329" s="135">
        <v>0</v>
      </c>
      <c r="F329" s="135">
        <v>0</v>
      </c>
      <c r="G329" s="135">
        <v>0</v>
      </c>
      <c r="H329" s="135">
        <v>0</v>
      </c>
    </row>
    <row r="330" spans="1:8" x14ac:dyDescent="0.15">
      <c r="A330" s="136" t="s">
        <v>289</v>
      </c>
      <c r="B330" s="135">
        <v>0</v>
      </c>
      <c r="C330" s="135">
        <v>0</v>
      </c>
      <c r="D330" s="135">
        <v>0</v>
      </c>
      <c r="E330" s="135">
        <v>0</v>
      </c>
      <c r="F330" s="135">
        <v>0</v>
      </c>
      <c r="G330" s="135">
        <v>0</v>
      </c>
      <c r="H330" s="135">
        <v>0</v>
      </c>
    </row>
    <row r="331" spans="1:8" x14ac:dyDescent="0.15">
      <c r="A331" s="136" t="s">
        <v>288</v>
      </c>
      <c r="B331" s="135">
        <v>149.71799999999999</v>
      </c>
      <c r="C331" s="135">
        <v>149.71799999999999</v>
      </c>
      <c r="D331" s="135">
        <v>0</v>
      </c>
      <c r="E331" s="135">
        <v>0</v>
      </c>
      <c r="F331" s="135">
        <v>0</v>
      </c>
      <c r="G331" s="135">
        <v>0</v>
      </c>
      <c r="H331" s="135">
        <v>0</v>
      </c>
    </row>
    <row r="332" spans="1:8" x14ac:dyDescent="0.15">
      <c r="A332" s="136" t="s">
        <v>287</v>
      </c>
      <c r="B332" s="135">
        <v>149.71799999999999</v>
      </c>
      <c r="C332" s="135">
        <v>149.71799999999999</v>
      </c>
      <c r="D332" s="135">
        <v>0</v>
      </c>
      <c r="E332" s="135">
        <v>0</v>
      </c>
      <c r="F332" s="135">
        <v>0</v>
      </c>
      <c r="G332" s="135">
        <v>0</v>
      </c>
      <c r="H332" s="135">
        <v>0</v>
      </c>
    </row>
    <row r="333" spans="1:8" x14ac:dyDescent="0.15">
      <c r="A333" s="136" t="s">
        <v>286</v>
      </c>
      <c r="B333" s="136" t="s">
        <v>283</v>
      </c>
      <c r="C333" s="136" t="s">
        <v>283</v>
      </c>
      <c r="D333" s="135">
        <v>14.61</v>
      </c>
      <c r="E333" s="135">
        <v>5.51</v>
      </c>
      <c r="F333" s="135">
        <v>16.329999999999998</v>
      </c>
      <c r="G333" s="135">
        <v>50.07</v>
      </c>
      <c r="H333" s="135">
        <v>47.03</v>
      </c>
    </row>
    <row r="334" spans="1:8" x14ac:dyDescent="0.15">
      <c r="A334" s="136" t="s">
        <v>285</v>
      </c>
      <c r="B334" s="136" t="s">
        <v>283</v>
      </c>
      <c r="C334" s="136" t="s">
        <v>283</v>
      </c>
      <c r="D334" s="135">
        <v>14.61</v>
      </c>
      <c r="E334" s="135">
        <v>5.51</v>
      </c>
      <c r="F334" s="135">
        <v>16.329999999999998</v>
      </c>
      <c r="G334" s="135">
        <v>50.07</v>
      </c>
      <c r="H334" s="135">
        <v>47.03</v>
      </c>
    </row>
    <row r="335" spans="1:8" x14ac:dyDescent="0.15">
      <c r="A335" s="136" t="s">
        <v>284</v>
      </c>
      <c r="B335" s="136" t="s">
        <v>283</v>
      </c>
      <c r="C335" s="136" t="s">
        <v>283</v>
      </c>
      <c r="D335" s="136" t="s">
        <v>283</v>
      </c>
      <c r="E335" s="136" t="s">
        <v>283</v>
      </c>
      <c r="F335" s="136" t="s">
        <v>283</v>
      </c>
      <c r="G335" s="136" t="s">
        <v>283</v>
      </c>
      <c r="H335" s="136" t="s">
        <v>283</v>
      </c>
    </row>
    <row r="336" spans="1:8" x14ac:dyDescent="0.15">
      <c r="A336" s="136" t="s">
        <v>282</v>
      </c>
      <c r="B336" s="135">
        <v>11.3</v>
      </c>
      <c r="C336" s="135">
        <v>26.9</v>
      </c>
      <c r="D336" s="135">
        <v>53.2</v>
      </c>
      <c r="E336" s="135">
        <v>58.5</v>
      </c>
      <c r="F336" s="135">
        <v>60.920999999999999</v>
      </c>
      <c r="G336" s="135">
        <v>60.45</v>
      </c>
      <c r="H336" s="135">
        <v>69.831000000000003</v>
      </c>
    </row>
    <row r="337" spans="1:8" x14ac:dyDescent="0.15">
      <c r="A337" s="136" t="s">
        <v>281</v>
      </c>
      <c r="B337" s="135">
        <v>82.234999999999999</v>
      </c>
      <c r="C337" s="135">
        <v>183.67599999999999</v>
      </c>
      <c r="D337" s="135">
        <v>1534.8630000000001</v>
      </c>
      <c r="E337" s="135">
        <v>772.18499999999995</v>
      </c>
      <c r="F337" s="135">
        <v>883.50900000000001</v>
      </c>
      <c r="G337" s="135">
        <v>1101.5609999999999</v>
      </c>
      <c r="H337" s="135">
        <v>1565.4670000000001</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
  <sheetViews>
    <sheetView workbookViewId="0">
      <selection activeCell="B23" sqref="B23"/>
    </sheetView>
  </sheetViews>
  <sheetFormatPr baseColWidth="10" defaultColWidth="8.83203125" defaultRowHeight="15" x14ac:dyDescent="0.2"/>
  <cols>
    <col min="1" max="1" width="2.83203125" customWidth="1"/>
    <col min="2" max="2" width="34.6640625" customWidth="1"/>
    <col min="3" max="3" width="10.83203125" customWidth="1"/>
    <col min="4" max="4" width="3.83203125" customWidth="1"/>
    <col min="5" max="5" width="10.83203125" customWidth="1"/>
    <col min="6" max="7" width="2.83203125" customWidth="1"/>
    <col min="8" max="8" width="24.1640625" customWidth="1"/>
    <col min="9" max="9" width="3.83203125" customWidth="1"/>
  </cols>
  <sheetData>
    <row r="1" spans="1:9" ht="16" x14ac:dyDescent="0.2">
      <c r="A1" s="115" t="s">
        <v>232</v>
      </c>
    </row>
    <row r="3" spans="1:9" ht="16" thickBot="1" x14ac:dyDescent="0.25">
      <c r="A3" s="14"/>
      <c r="B3" s="14"/>
      <c r="C3" s="61"/>
      <c r="D3" s="61"/>
      <c r="E3" s="61"/>
      <c r="F3" s="61"/>
      <c r="G3" s="61"/>
      <c r="H3" s="61"/>
      <c r="I3" s="61"/>
    </row>
    <row r="4" spans="1:9" x14ac:dyDescent="0.2">
      <c r="B4" s="1"/>
    </row>
    <row r="5" spans="1:9" x14ac:dyDescent="0.2">
      <c r="A5" s="4" t="s">
        <v>168</v>
      </c>
      <c r="B5" s="3"/>
      <c r="C5" s="4">
        <v>2016</v>
      </c>
      <c r="D5" s="4"/>
      <c r="E5" s="8" t="s">
        <v>169</v>
      </c>
      <c r="F5" s="8"/>
      <c r="G5" s="4" t="s">
        <v>170</v>
      </c>
      <c r="H5" s="62"/>
      <c r="I5" s="62"/>
    </row>
    <row r="6" spans="1:9" x14ac:dyDescent="0.2">
      <c r="B6" s="1"/>
    </row>
    <row r="7" spans="1:9" x14ac:dyDescent="0.2">
      <c r="A7" t="s">
        <v>171</v>
      </c>
      <c r="C7">
        <v>158</v>
      </c>
      <c r="E7">
        <v>236</v>
      </c>
      <c r="G7" t="s">
        <v>172</v>
      </c>
    </row>
    <row r="8" spans="1:9" x14ac:dyDescent="0.2">
      <c r="B8" s="29" t="s">
        <v>173</v>
      </c>
      <c r="C8">
        <v>0.42</v>
      </c>
      <c r="E8" s="40">
        <v>0.5</v>
      </c>
      <c r="F8" s="40"/>
    </row>
    <row r="9" spans="1:9" x14ac:dyDescent="0.2">
      <c r="B9" t="s">
        <v>174</v>
      </c>
      <c r="C9">
        <v>0.6</v>
      </c>
      <c r="E9">
        <v>7.9</v>
      </c>
      <c r="G9" t="s">
        <v>175</v>
      </c>
    </row>
    <row r="10" spans="1:9" x14ac:dyDescent="0.2">
      <c r="B10" t="s">
        <v>176</v>
      </c>
      <c r="C10" s="110">
        <v>26</v>
      </c>
      <c r="D10" s="110"/>
      <c r="E10" s="110">
        <v>14.37</v>
      </c>
      <c r="F10" s="63"/>
      <c r="G10" t="s">
        <v>177</v>
      </c>
    </row>
    <row r="11" spans="1:9" x14ac:dyDescent="0.2">
      <c r="B11" t="s">
        <v>178</v>
      </c>
      <c r="C11" s="3">
        <v>365</v>
      </c>
      <c r="D11" s="64"/>
      <c r="E11" s="3">
        <v>365</v>
      </c>
      <c r="F11" s="63"/>
    </row>
    <row r="12" spans="1:9" x14ac:dyDescent="0.2">
      <c r="B12" s="7" t="s">
        <v>179</v>
      </c>
      <c r="C12" s="65">
        <v>378</v>
      </c>
      <c r="D12" s="65"/>
      <c r="E12" s="65">
        <v>4889</v>
      </c>
      <c r="F12" s="18"/>
      <c r="G12" t="s">
        <v>215</v>
      </c>
    </row>
    <row r="13" spans="1:9" x14ac:dyDescent="0.2">
      <c r="B13" s="7" t="s">
        <v>180</v>
      </c>
      <c r="C13" s="66">
        <f>C12/C7</f>
        <v>2.3924050632911391</v>
      </c>
      <c r="D13" s="65"/>
      <c r="E13" s="66">
        <f>E12/E7</f>
        <v>20.716101694915253</v>
      </c>
      <c r="F13" s="18"/>
    </row>
    <row r="14" spans="1:9" ht="16" thickBot="1" x14ac:dyDescent="0.25">
      <c r="A14" s="14"/>
      <c r="B14" s="14"/>
      <c r="C14" s="14"/>
      <c r="D14" s="14"/>
      <c r="E14" s="14"/>
      <c r="F14" s="14"/>
      <c r="G14" s="14"/>
      <c r="H14" s="14"/>
      <c r="I14" s="14"/>
    </row>
    <row r="16" spans="1:9" x14ac:dyDescent="0.2">
      <c r="A16" s="116" t="s">
        <v>233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baseColWidth="10" defaultColWidth="8.83203125" defaultRowHeight="15" x14ac:dyDescent="0.2"/>
  <cols>
    <col min="1" max="1" width="2.83203125" customWidth="1"/>
    <col min="2" max="2" width="34.6640625" customWidth="1"/>
    <col min="3" max="6" width="10.83203125" customWidth="1"/>
    <col min="7" max="7" width="3.83203125" customWidth="1"/>
  </cols>
  <sheetData>
    <row r="1" spans="1:8" ht="16" x14ac:dyDescent="0.2">
      <c r="A1" s="115" t="s">
        <v>234</v>
      </c>
    </row>
    <row r="3" spans="1:8" ht="16" thickBot="1" x14ac:dyDescent="0.25">
      <c r="A3" s="14"/>
      <c r="B3" s="14"/>
      <c r="C3" s="35"/>
      <c r="D3" s="35"/>
      <c r="E3" s="35"/>
      <c r="F3" s="35"/>
      <c r="G3" s="35"/>
      <c r="H3" s="30"/>
    </row>
    <row r="5" spans="1:8" x14ac:dyDescent="0.2">
      <c r="A5" s="4" t="s">
        <v>181</v>
      </c>
      <c r="B5" s="3"/>
      <c r="C5" s="8" t="s">
        <v>182</v>
      </c>
      <c r="D5" s="8" t="s">
        <v>183</v>
      </c>
      <c r="E5" s="8" t="s">
        <v>98</v>
      </c>
      <c r="F5" s="8" t="s">
        <v>99</v>
      </c>
      <c r="G5" s="3"/>
    </row>
    <row r="6" spans="1:8" x14ac:dyDescent="0.2">
      <c r="B6" s="59"/>
      <c r="C6" s="17"/>
      <c r="D6" s="17"/>
      <c r="E6" s="17"/>
      <c r="F6" s="17"/>
    </row>
    <row r="7" spans="1:8" x14ac:dyDescent="0.2">
      <c r="A7" t="s">
        <v>171</v>
      </c>
      <c r="C7" s="67">
        <v>158</v>
      </c>
      <c r="D7" s="67">
        <v>345</v>
      </c>
      <c r="E7" s="67">
        <v>1227</v>
      </c>
      <c r="F7" s="67">
        <v>129</v>
      </c>
    </row>
    <row r="8" spans="1:8" x14ac:dyDescent="0.2">
      <c r="B8" s="29" t="s">
        <v>173</v>
      </c>
      <c r="C8" s="40">
        <v>0.42</v>
      </c>
      <c r="D8" s="40">
        <v>0.36</v>
      </c>
      <c r="E8" s="40">
        <v>0.57699999999999996</v>
      </c>
      <c r="F8" s="40">
        <v>0.153</v>
      </c>
    </row>
    <row r="9" spans="1:8" x14ac:dyDescent="0.2">
      <c r="B9" t="s">
        <v>174</v>
      </c>
      <c r="C9" s="68">
        <v>0.6</v>
      </c>
      <c r="D9" s="68">
        <v>6.6</v>
      </c>
      <c r="E9" s="68">
        <v>48.6</v>
      </c>
      <c r="F9" s="68">
        <v>104.3</v>
      </c>
    </row>
    <row r="10" spans="1:8" x14ac:dyDescent="0.2">
      <c r="B10" t="s">
        <v>176</v>
      </c>
      <c r="C10" s="69">
        <v>26</v>
      </c>
      <c r="D10" s="69">
        <v>6</v>
      </c>
      <c r="E10" s="69">
        <v>2</v>
      </c>
      <c r="F10" s="69">
        <v>3</v>
      </c>
    </row>
    <row r="11" spans="1:8" x14ac:dyDescent="0.2">
      <c r="B11" t="s">
        <v>178</v>
      </c>
      <c r="C11" s="70">
        <v>365</v>
      </c>
      <c r="D11" s="70">
        <v>365</v>
      </c>
      <c r="E11" s="70">
        <v>365</v>
      </c>
      <c r="F11" s="70">
        <v>365</v>
      </c>
    </row>
    <row r="12" spans="1:8" x14ac:dyDescent="0.2">
      <c r="B12" s="7" t="s">
        <v>179</v>
      </c>
      <c r="C12" s="65">
        <f>C7*C8*C9*C10*C11/1000</f>
        <v>377.85383999999999</v>
      </c>
      <c r="D12" s="65">
        <f t="shared" ref="D12:F12" si="0">D7*D8*D9*D10*D11/1000</f>
        <v>1795.1867999999997</v>
      </c>
      <c r="E12" s="65">
        <f t="shared" si="0"/>
        <v>25117.678962000002</v>
      </c>
      <c r="F12" s="65">
        <f t="shared" si="0"/>
        <v>2254.1331644999996</v>
      </c>
    </row>
    <row r="13" spans="1:8" x14ac:dyDescent="0.2">
      <c r="B13" s="7" t="s">
        <v>180</v>
      </c>
      <c r="C13" s="66">
        <f>C12/C7</f>
        <v>2.3914800000000001</v>
      </c>
      <c r="D13" s="66">
        <f t="shared" ref="D13:F13" si="1">D12/D7</f>
        <v>5.2034399999999996</v>
      </c>
      <c r="E13" s="66">
        <f t="shared" si="1"/>
        <v>20.470806000000003</v>
      </c>
      <c r="F13" s="66">
        <f t="shared" si="1"/>
        <v>17.473900499999996</v>
      </c>
    </row>
    <row r="14" spans="1:8" ht="16" thickBot="1" x14ac:dyDescent="0.25">
      <c r="A14" s="14"/>
      <c r="B14" s="14"/>
      <c r="C14" s="14"/>
      <c r="D14" s="14"/>
      <c r="E14" s="14"/>
      <c r="F14" s="14"/>
      <c r="G14" s="14"/>
    </row>
    <row r="16" spans="1:8" x14ac:dyDescent="0.2">
      <c r="A16" s="117" t="s">
        <v>235</v>
      </c>
    </row>
    <row r="17" spans="2:2" x14ac:dyDescent="0.2">
      <c r="B17" s="117" t="s">
        <v>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3"/>
  <sheetViews>
    <sheetView workbookViewId="0">
      <selection activeCell="H25" sqref="H25"/>
    </sheetView>
  </sheetViews>
  <sheetFormatPr baseColWidth="10" defaultColWidth="8.83203125" defaultRowHeight="15" x14ac:dyDescent="0.2"/>
  <cols>
    <col min="1" max="2" width="3.83203125" customWidth="1"/>
    <col min="3" max="3" width="22.83203125" customWidth="1"/>
    <col min="4" max="5" width="10.83203125" customWidth="1"/>
    <col min="6" max="6" width="3.83203125" customWidth="1"/>
  </cols>
  <sheetData>
    <row r="1" spans="1:6" ht="16" x14ac:dyDescent="0.2">
      <c r="A1" s="115" t="s">
        <v>237</v>
      </c>
    </row>
    <row r="3" spans="1:6" ht="16" thickBot="1" x14ac:dyDescent="0.25">
      <c r="A3" s="14"/>
      <c r="B3" s="14"/>
      <c r="C3" s="14"/>
      <c r="D3" s="14"/>
      <c r="E3" s="14"/>
      <c r="F3" s="14"/>
    </row>
    <row r="4" spans="1:6" x14ac:dyDescent="0.2">
      <c r="A4" s="3"/>
      <c r="B4" s="3"/>
      <c r="C4" s="4"/>
      <c r="D4" s="4">
        <v>2015</v>
      </c>
      <c r="E4" s="4">
        <v>2016</v>
      </c>
    </row>
    <row r="5" spans="1:6" ht="8" customHeight="1" x14ac:dyDescent="0.2">
      <c r="C5" s="5"/>
      <c r="D5" s="5"/>
      <c r="E5" s="5"/>
      <c r="F5" s="5"/>
    </row>
    <row r="6" spans="1:6" x14ac:dyDescent="0.2">
      <c r="A6" s="1" t="s">
        <v>0</v>
      </c>
      <c r="B6" s="1"/>
      <c r="C6" s="1"/>
      <c r="D6" s="52">
        <v>58.7</v>
      </c>
      <c r="E6" s="52">
        <v>404.5</v>
      </c>
      <c r="F6" s="5"/>
    </row>
    <row r="7" spans="1:6" x14ac:dyDescent="0.2">
      <c r="A7" s="1" t="s">
        <v>1</v>
      </c>
      <c r="D7" s="5"/>
      <c r="E7" s="5"/>
      <c r="F7" s="5"/>
    </row>
    <row r="8" spans="1:6" x14ac:dyDescent="0.2">
      <c r="B8" t="s">
        <v>2</v>
      </c>
      <c r="D8" s="5">
        <v>182.3</v>
      </c>
      <c r="E8" s="5">
        <v>451.7</v>
      </c>
      <c r="F8" s="5"/>
    </row>
    <row r="9" spans="1:6" x14ac:dyDescent="0.2">
      <c r="B9" t="s">
        <v>145</v>
      </c>
      <c r="D9" s="5">
        <v>82.2</v>
      </c>
      <c r="E9" s="5">
        <v>183.7</v>
      </c>
      <c r="F9" s="5"/>
    </row>
    <row r="10" spans="1:6" x14ac:dyDescent="0.2">
      <c r="B10" t="s">
        <v>146</v>
      </c>
      <c r="D10" s="5">
        <v>27.2</v>
      </c>
      <c r="E10" s="5">
        <v>124.4</v>
      </c>
      <c r="F10" s="5"/>
    </row>
    <row r="11" spans="1:6" x14ac:dyDescent="0.2">
      <c r="B11" t="s">
        <v>147</v>
      </c>
      <c r="D11" s="51">
        <v>148.6</v>
      </c>
      <c r="E11" s="51">
        <v>165.2</v>
      </c>
      <c r="F11" s="5"/>
    </row>
    <row r="12" spans="1:6" x14ac:dyDescent="0.2">
      <c r="C12" s="1" t="s">
        <v>141</v>
      </c>
      <c r="D12" s="5">
        <v>440.4</v>
      </c>
      <c r="E12" s="5">
        <v>924.9</v>
      </c>
      <c r="F12" s="5"/>
    </row>
    <row r="13" spans="1:6" ht="8" customHeight="1" x14ac:dyDescent="0.2">
      <c r="D13" s="5"/>
      <c r="E13" s="5"/>
      <c r="F13" s="5"/>
    </row>
    <row r="14" spans="1:6" x14ac:dyDescent="0.2">
      <c r="A14" s="1" t="s">
        <v>140</v>
      </c>
      <c r="D14" s="52">
        <v>-381.7</v>
      </c>
      <c r="E14" s="52">
        <v>-520.4</v>
      </c>
      <c r="F14" s="5"/>
    </row>
    <row r="15" spans="1:6" x14ac:dyDescent="0.2">
      <c r="B15" t="s">
        <v>148</v>
      </c>
      <c r="D15" s="5">
        <v>1.4</v>
      </c>
      <c r="E15" s="5">
        <v>3.3</v>
      </c>
      <c r="F15" s="5"/>
    </row>
    <row r="16" spans="1:6" x14ac:dyDescent="0.2">
      <c r="B16" t="s">
        <v>142</v>
      </c>
      <c r="D16" s="51">
        <v>-0.15</v>
      </c>
      <c r="E16" s="51">
        <v>-4.5999999999999996</v>
      </c>
      <c r="F16" s="5"/>
    </row>
    <row r="17" spans="1:6" x14ac:dyDescent="0.2">
      <c r="B17" t="s">
        <v>143</v>
      </c>
      <c r="D17" s="5">
        <v>-380.5</v>
      </c>
      <c r="E17" s="5">
        <v>-521.70000000000005</v>
      </c>
      <c r="F17" s="5"/>
    </row>
    <row r="18" spans="1:6" ht="16" thickBot="1" x14ac:dyDescent="0.25">
      <c r="B18" t="s">
        <v>144</v>
      </c>
      <c r="D18" s="53">
        <v>7.6</v>
      </c>
      <c r="E18" s="53">
        <v>7.1</v>
      </c>
      <c r="F18" s="5"/>
    </row>
    <row r="19" spans="1:6" ht="16" thickTop="1" x14ac:dyDescent="0.2">
      <c r="A19" s="1" t="s">
        <v>129</v>
      </c>
      <c r="D19" s="52">
        <v>-372.9</v>
      </c>
      <c r="E19" s="52">
        <v>-514.6</v>
      </c>
      <c r="F19" s="5"/>
    </row>
    <row r="20" spans="1:6" ht="8" customHeight="1" thickBot="1" x14ac:dyDescent="0.25">
      <c r="A20" s="14"/>
      <c r="B20" s="14"/>
      <c r="C20" s="50"/>
      <c r="D20" s="50"/>
      <c r="E20" s="50"/>
      <c r="F20" s="14"/>
    </row>
    <row r="21" spans="1:6" x14ac:dyDescent="0.2">
      <c r="C21" s="5"/>
      <c r="D21" s="5"/>
      <c r="E21" s="5"/>
      <c r="F21" s="5"/>
    </row>
    <row r="22" spans="1:6" x14ac:dyDescent="0.2">
      <c r="A22" s="116" t="s">
        <v>238</v>
      </c>
      <c r="C22" s="5"/>
      <c r="D22" s="5"/>
      <c r="E22" s="5"/>
      <c r="F22" s="5"/>
    </row>
    <row r="23" spans="1:6" x14ac:dyDescent="0.2">
      <c r="C23" s="5"/>
      <c r="D23" s="5"/>
      <c r="E23" s="5"/>
      <c r="F23" s="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
  <sheetViews>
    <sheetView workbookViewId="0">
      <selection activeCell="J26" sqref="J26"/>
    </sheetView>
  </sheetViews>
  <sheetFormatPr baseColWidth="10" defaultColWidth="8.83203125" defaultRowHeight="15" x14ac:dyDescent="0.2"/>
  <cols>
    <col min="1" max="1" width="5.83203125" customWidth="1"/>
    <col min="2" max="2" width="7.5" customWidth="1"/>
    <col min="3" max="3" width="8.1640625" customWidth="1"/>
    <col min="4" max="4" width="10.83203125" customWidth="1"/>
    <col min="5" max="5" width="8.83203125" customWidth="1"/>
    <col min="6" max="6" width="10.83203125" customWidth="1"/>
    <col min="7" max="7" width="2.83203125" customWidth="1"/>
    <col min="8" max="8" width="8.83203125" customWidth="1"/>
    <col min="9" max="10" width="9.83203125" customWidth="1"/>
    <col min="11" max="11" width="2.83203125" customWidth="1"/>
    <col min="12" max="12" width="8.33203125" customWidth="1"/>
    <col min="13" max="13" width="3.83203125" customWidth="1"/>
    <col min="14" max="14" width="9.83203125" customWidth="1"/>
    <col min="15" max="15" width="2.83203125" customWidth="1"/>
  </cols>
  <sheetData>
    <row r="1" spans="1:13" ht="16" x14ac:dyDescent="0.2">
      <c r="A1" s="115" t="s">
        <v>239</v>
      </c>
    </row>
    <row r="2" spans="1:13" ht="19" x14ac:dyDescent="0.25">
      <c r="A2" s="2"/>
    </row>
    <row r="3" spans="1:13" ht="16" thickBot="1" x14ac:dyDescent="0.25">
      <c r="A3" s="14"/>
      <c r="B3" s="14"/>
      <c r="C3" s="14"/>
      <c r="D3" s="14"/>
      <c r="E3" s="14"/>
      <c r="F3" s="14"/>
      <c r="G3" s="14"/>
      <c r="H3" s="14"/>
      <c r="I3" s="14"/>
      <c r="J3" s="14"/>
      <c r="K3" s="14"/>
      <c r="L3" s="14"/>
      <c r="M3" s="14"/>
    </row>
    <row r="4" spans="1:13" x14ac:dyDescent="0.2">
      <c r="B4" s="126" t="s">
        <v>150</v>
      </c>
      <c r="C4" s="126"/>
      <c r="D4" s="126"/>
      <c r="E4" s="126"/>
      <c r="F4" s="126"/>
      <c r="G4" s="10"/>
    </row>
    <row r="5" spans="1:13" x14ac:dyDescent="0.2">
      <c r="B5" s="7" t="s">
        <v>10</v>
      </c>
      <c r="C5" s="7"/>
      <c r="D5" s="7" t="s">
        <v>19</v>
      </c>
      <c r="E5" s="7"/>
      <c r="F5" s="7" t="s">
        <v>20</v>
      </c>
      <c r="G5" s="7"/>
    </row>
    <row r="6" spans="1:13" x14ac:dyDescent="0.2">
      <c r="B6" s="7" t="s">
        <v>11</v>
      </c>
      <c r="C6" s="7"/>
      <c r="D6" s="7" t="s">
        <v>21</v>
      </c>
      <c r="E6" s="7"/>
      <c r="F6" s="7" t="s">
        <v>21</v>
      </c>
      <c r="G6" s="7"/>
      <c r="H6" s="126" t="s">
        <v>152</v>
      </c>
      <c r="I6" s="126"/>
      <c r="J6" s="126"/>
    </row>
    <row r="7" spans="1:13" x14ac:dyDescent="0.2">
      <c r="B7" s="7" t="s">
        <v>13</v>
      </c>
      <c r="C7" s="7" t="s">
        <v>24</v>
      </c>
      <c r="D7" s="7" t="s">
        <v>18</v>
      </c>
      <c r="E7" s="7" t="s">
        <v>24</v>
      </c>
      <c r="F7" s="7" t="s">
        <v>18</v>
      </c>
      <c r="G7" s="7"/>
      <c r="H7" s="7"/>
      <c r="I7" s="7" t="s">
        <v>15</v>
      </c>
      <c r="J7" s="7" t="s">
        <v>16</v>
      </c>
      <c r="L7" s="7" t="s">
        <v>22</v>
      </c>
      <c r="M7" s="7"/>
    </row>
    <row r="8" spans="1:13" x14ac:dyDescent="0.2">
      <c r="A8" s="3"/>
      <c r="B8" s="8" t="s">
        <v>14</v>
      </c>
      <c r="C8" s="8" t="s">
        <v>25</v>
      </c>
      <c r="D8" s="8" t="s">
        <v>12</v>
      </c>
      <c r="E8" s="8" t="s">
        <v>149</v>
      </c>
      <c r="F8" s="8" t="s">
        <v>12</v>
      </c>
      <c r="G8" s="8"/>
      <c r="H8" s="8" t="s">
        <v>0</v>
      </c>
      <c r="I8" s="8" t="s">
        <v>0</v>
      </c>
      <c r="J8" s="8" t="s">
        <v>17</v>
      </c>
      <c r="K8" s="3"/>
      <c r="L8" s="11" t="s">
        <v>23</v>
      </c>
      <c r="M8" s="11"/>
    </row>
    <row r="9" spans="1:13" ht="8" customHeight="1" x14ac:dyDescent="0.2"/>
    <row r="10" spans="1:13" x14ac:dyDescent="0.2">
      <c r="A10" t="s">
        <v>125</v>
      </c>
      <c r="B10">
        <v>158</v>
      </c>
      <c r="C10" s="56">
        <f>(B10-B11)/B11</f>
        <v>3.2679738562091505E-2</v>
      </c>
      <c r="D10" s="9">
        <v>1.05</v>
      </c>
      <c r="E10" s="56">
        <f>(D10-D11)/D11</f>
        <v>0.25000000000000011</v>
      </c>
      <c r="F10" s="9">
        <v>2.15</v>
      </c>
      <c r="G10" s="9"/>
      <c r="H10" s="5">
        <v>165.7</v>
      </c>
      <c r="I10" s="5">
        <v>153.4</v>
      </c>
      <c r="J10" s="5">
        <v>-169.7</v>
      </c>
      <c r="L10" s="12">
        <f>(H10-I10)/H10</f>
        <v>7.4230537115268461E-2</v>
      </c>
      <c r="M10" s="12"/>
    </row>
    <row r="11" spans="1:13" x14ac:dyDescent="0.2">
      <c r="A11" t="s">
        <v>8</v>
      </c>
      <c r="B11">
        <v>153</v>
      </c>
      <c r="C11" s="56">
        <f t="shared" ref="C11:C20" si="0">(B11-B12)/B12</f>
        <v>6.9930069930069935E-2</v>
      </c>
      <c r="D11" s="9">
        <v>0.84</v>
      </c>
      <c r="E11" s="56">
        <f t="shared" ref="E11:E16" si="1">(D11-D12)/D12</f>
        <v>0.67999999999999994</v>
      </c>
      <c r="F11" s="9">
        <v>1.76</v>
      </c>
      <c r="G11" s="9"/>
      <c r="H11" s="5">
        <v>128.19999999999999</v>
      </c>
      <c r="I11" s="5">
        <v>127.8</v>
      </c>
      <c r="J11" s="5">
        <v>-131</v>
      </c>
      <c r="L11" s="12">
        <f t="shared" ref="L11:L14" si="2">(H11-I11)/H11</f>
        <v>3.1201248049921334E-3</v>
      </c>
      <c r="M11" s="12"/>
    </row>
    <row r="12" spans="1:13" x14ac:dyDescent="0.2">
      <c r="A12" t="s">
        <v>7</v>
      </c>
      <c r="B12">
        <v>143</v>
      </c>
      <c r="C12" s="56">
        <f t="shared" si="0"/>
        <v>0.1721311475409836</v>
      </c>
      <c r="D12" s="9">
        <v>0.5</v>
      </c>
      <c r="E12" s="56">
        <f t="shared" si="1"/>
        <v>0.5625</v>
      </c>
      <c r="F12" s="9">
        <v>1.06</v>
      </c>
      <c r="G12" s="9"/>
      <c r="H12" s="5">
        <v>71.8</v>
      </c>
      <c r="I12" s="5">
        <v>94.8</v>
      </c>
      <c r="J12" s="5">
        <v>-115.9</v>
      </c>
      <c r="L12" s="12">
        <f t="shared" si="2"/>
        <v>-0.3203342618384401</v>
      </c>
      <c r="M12" s="12"/>
    </row>
    <row r="13" spans="1:13" x14ac:dyDescent="0.2">
      <c r="A13" t="s">
        <v>9</v>
      </c>
      <c r="B13">
        <v>122</v>
      </c>
      <c r="C13" s="56">
        <f t="shared" si="0"/>
        <v>0.14018691588785046</v>
      </c>
      <c r="D13" s="9">
        <v>0.32</v>
      </c>
      <c r="E13" s="56">
        <f t="shared" si="1"/>
        <v>3.2258064516129059E-2</v>
      </c>
      <c r="F13" s="9">
        <v>0.67</v>
      </c>
      <c r="G13" s="9"/>
      <c r="H13" s="5">
        <v>38.799999999999997</v>
      </c>
      <c r="I13" s="5">
        <v>75.8</v>
      </c>
      <c r="J13" s="5">
        <v>-103.8</v>
      </c>
      <c r="L13" s="12">
        <f t="shared" si="2"/>
        <v>-0.95360824742268047</v>
      </c>
      <c r="M13" s="12"/>
    </row>
    <row r="14" spans="1:13" x14ac:dyDescent="0.2">
      <c r="A14" t="s">
        <v>126</v>
      </c>
      <c r="B14">
        <v>107</v>
      </c>
      <c r="C14" s="56">
        <f t="shared" si="0"/>
        <v>0.13829787234042554</v>
      </c>
      <c r="D14" s="9">
        <v>0.31</v>
      </c>
      <c r="E14" s="56">
        <f t="shared" si="1"/>
        <v>0.72222222222222232</v>
      </c>
      <c r="F14" s="9">
        <v>0.65</v>
      </c>
      <c r="G14" s="9"/>
      <c r="H14" s="5">
        <v>32.700000000000003</v>
      </c>
      <c r="I14" s="5">
        <v>64.8</v>
      </c>
      <c r="J14" s="5">
        <v>-98.2</v>
      </c>
      <c r="L14" s="12">
        <f t="shared" si="2"/>
        <v>-0.98165137614678877</v>
      </c>
      <c r="M14" s="12"/>
    </row>
    <row r="15" spans="1:13" x14ac:dyDescent="0.2">
      <c r="A15" t="s">
        <v>8</v>
      </c>
      <c r="B15">
        <v>94</v>
      </c>
      <c r="C15" s="56">
        <f t="shared" si="0"/>
        <v>9.3023255813953487E-2</v>
      </c>
      <c r="D15" s="9">
        <v>0.18</v>
      </c>
      <c r="E15" s="56">
        <f t="shared" si="1"/>
        <v>2</v>
      </c>
      <c r="F15" s="9">
        <v>0.36</v>
      </c>
      <c r="G15" s="9"/>
      <c r="H15" s="5">
        <v>16.7</v>
      </c>
      <c r="I15" s="5">
        <v>56.2</v>
      </c>
      <c r="J15" s="5">
        <v>-96.9</v>
      </c>
    </row>
    <row r="16" spans="1:13" x14ac:dyDescent="0.2">
      <c r="A16" t="s">
        <v>7</v>
      </c>
      <c r="B16">
        <v>86</v>
      </c>
      <c r="C16" s="56">
        <f t="shared" si="0"/>
        <v>7.4999999999999997E-2</v>
      </c>
      <c r="D16" s="9">
        <v>0.06</v>
      </c>
      <c r="E16" s="56">
        <f t="shared" si="1"/>
        <v>0.1999999999999999</v>
      </c>
      <c r="F16" s="9">
        <v>0.13</v>
      </c>
      <c r="G16" s="9"/>
      <c r="H16" s="5">
        <v>5.3</v>
      </c>
      <c r="I16" s="5">
        <v>40.6</v>
      </c>
      <c r="J16" s="5">
        <v>-87.8</v>
      </c>
    </row>
    <row r="17" spans="1:13" x14ac:dyDescent="0.2">
      <c r="A17" t="s">
        <v>9</v>
      </c>
      <c r="B17">
        <v>80</v>
      </c>
      <c r="C17" s="56">
        <f t="shared" si="0"/>
        <v>0.12676056338028169</v>
      </c>
      <c r="D17" s="9">
        <v>0.05</v>
      </c>
      <c r="E17" s="13"/>
      <c r="F17" s="9">
        <v>0.1</v>
      </c>
      <c r="G17" s="9"/>
      <c r="H17" s="5">
        <v>3.9</v>
      </c>
      <c r="I17" s="5">
        <v>20.7</v>
      </c>
      <c r="J17" s="5">
        <v>-98.8</v>
      </c>
    </row>
    <row r="18" spans="1:13" x14ac:dyDescent="0.2">
      <c r="A18" t="s">
        <v>127</v>
      </c>
      <c r="B18">
        <v>71</v>
      </c>
      <c r="C18" s="56">
        <f t="shared" si="0"/>
        <v>0.14516129032258066</v>
      </c>
      <c r="D18" s="9"/>
      <c r="F18" s="9"/>
      <c r="G18" s="9"/>
      <c r="H18" s="55"/>
      <c r="I18" s="55"/>
      <c r="J18" s="55"/>
    </row>
    <row r="19" spans="1:13" x14ac:dyDescent="0.2">
      <c r="A19" t="s">
        <v>8</v>
      </c>
      <c r="B19">
        <v>62</v>
      </c>
      <c r="C19" s="56">
        <f t="shared" si="0"/>
        <v>8.771929824561403E-2</v>
      </c>
      <c r="D19" s="9"/>
      <c r="F19" s="9"/>
      <c r="G19" s="9"/>
      <c r="H19" s="55"/>
      <c r="I19" s="55"/>
      <c r="J19" s="55"/>
    </row>
    <row r="20" spans="1:13" x14ac:dyDescent="0.2">
      <c r="A20" t="s">
        <v>7</v>
      </c>
      <c r="B20">
        <v>57</v>
      </c>
      <c r="C20" s="56">
        <f t="shared" si="0"/>
        <v>0.2391304347826087</v>
      </c>
      <c r="D20" s="9"/>
      <c r="F20" s="9"/>
      <c r="G20" s="9"/>
      <c r="H20" s="55"/>
      <c r="I20" s="55"/>
      <c r="J20" s="55"/>
    </row>
    <row r="21" spans="1:13" x14ac:dyDescent="0.2">
      <c r="A21" t="s">
        <v>9</v>
      </c>
      <c r="B21">
        <v>46</v>
      </c>
      <c r="H21" s="55"/>
      <c r="I21" s="55"/>
      <c r="J21" s="55"/>
    </row>
    <row r="22" spans="1:13" ht="8" customHeight="1" thickBot="1" x14ac:dyDescent="0.25">
      <c r="A22" s="14"/>
      <c r="B22" s="14"/>
      <c r="C22" s="14"/>
      <c r="D22" s="14"/>
      <c r="E22" s="14"/>
      <c r="F22" s="14"/>
      <c r="G22" s="14"/>
      <c r="H22" s="14"/>
      <c r="I22" s="14"/>
      <c r="J22" s="14"/>
      <c r="K22" s="14"/>
      <c r="L22" s="14"/>
      <c r="M22" s="14"/>
    </row>
    <row r="24" spans="1:13" x14ac:dyDescent="0.2">
      <c r="A24" s="116" t="s">
        <v>240</v>
      </c>
    </row>
  </sheetData>
  <mergeCells count="2">
    <mergeCell ref="B4:F4"/>
    <mergeCell ref="H6:J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9"/>
  <sheetViews>
    <sheetView workbookViewId="0"/>
  </sheetViews>
  <sheetFormatPr baseColWidth="10" defaultColWidth="8.83203125" defaultRowHeight="15" x14ac:dyDescent="0.2"/>
  <cols>
    <col min="1" max="2" width="3.83203125" customWidth="1"/>
    <col min="3" max="3" width="22.83203125" customWidth="1"/>
    <col min="4" max="5" width="11.83203125" customWidth="1"/>
    <col min="6" max="6" width="3.83203125" customWidth="1"/>
  </cols>
  <sheetData>
    <row r="1" spans="1:6" ht="16" x14ac:dyDescent="0.2">
      <c r="A1" s="115" t="s">
        <v>242</v>
      </c>
    </row>
    <row r="4" spans="1:6" ht="16" thickBot="1" x14ac:dyDescent="0.25">
      <c r="A4" s="14"/>
      <c r="B4" s="14"/>
      <c r="C4" s="14"/>
      <c r="D4" s="14"/>
      <c r="E4" s="14"/>
      <c r="F4" s="14"/>
    </row>
    <row r="5" spans="1:6" x14ac:dyDescent="0.2">
      <c r="A5" s="3"/>
      <c r="B5" s="3"/>
      <c r="C5" s="3"/>
      <c r="D5" s="4">
        <v>2015</v>
      </c>
      <c r="E5" s="4">
        <v>2016</v>
      </c>
      <c r="F5" s="3"/>
    </row>
    <row r="6" spans="1:6" ht="8" customHeight="1" x14ac:dyDescent="0.2">
      <c r="D6" s="5"/>
      <c r="E6" s="5"/>
      <c r="F6" s="5"/>
    </row>
    <row r="7" spans="1:6" x14ac:dyDescent="0.2">
      <c r="A7" s="1" t="s">
        <v>3</v>
      </c>
      <c r="D7" s="5"/>
      <c r="E7" s="5"/>
      <c r="F7" s="5"/>
    </row>
    <row r="8" spans="1:6" x14ac:dyDescent="0.2">
      <c r="B8" t="s">
        <v>4</v>
      </c>
      <c r="D8" s="5"/>
      <c r="E8" s="5"/>
      <c r="F8" s="5"/>
    </row>
    <row r="9" spans="1:6" x14ac:dyDescent="0.2">
      <c r="C9" t="s">
        <v>135</v>
      </c>
      <c r="D9" s="5">
        <v>640.79999999999995</v>
      </c>
      <c r="E9" s="5">
        <v>987.3</v>
      </c>
      <c r="F9" s="5"/>
    </row>
    <row r="10" spans="1:6" x14ac:dyDescent="0.2">
      <c r="C10" t="s">
        <v>5</v>
      </c>
      <c r="D10" s="5">
        <v>44.3</v>
      </c>
      <c r="E10" s="5">
        <v>162.69999999999999</v>
      </c>
      <c r="F10" s="5"/>
    </row>
    <row r="11" spans="1:6" x14ac:dyDescent="0.2">
      <c r="C11" t="s">
        <v>6</v>
      </c>
      <c r="D11" s="51">
        <v>7.4</v>
      </c>
      <c r="E11" s="51">
        <v>30</v>
      </c>
      <c r="F11" s="5"/>
    </row>
    <row r="12" spans="1:6" x14ac:dyDescent="0.2">
      <c r="C12" s="7" t="s">
        <v>217</v>
      </c>
      <c r="D12" s="52">
        <v>692.6</v>
      </c>
      <c r="E12" s="52">
        <v>1180</v>
      </c>
      <c r="F12" s="5"/>
    </row>
    <row r="13" spans="1:6" x14ac:dyDescent="0.2">
      <c r="B13" t="s">
        <v>137</v>
      </c>
      <c r="D13" s="5">
        <v>44.1</v>
      </c>
      <c r="E13" s="5">
        <v>100.6</v>
      </c>
      <c r="F13" s="5"/>
    </row>
    <row r="14" spans="1:6" x14ac:dyDescent="0.2">
      <c r="B14" t="s">
        <v>139</v>
      </c>
      <c r="D14" s="5">
        <v>177.1</v>
      </c>
      <c r="E14" s="5">
        <v>395.1</v>
      </c>
      <c r="F14" s="5"/>
    </row>
    <row r="15" spans="1:6" ht="16" thickBot="1" x14ac:dyDescent="0.25">
      <c r="B15" t="s">
        <v>138</v>
      </c>
      <c r="D15" s="53">
        <v>25.1</v>
      </c>
      <c r="E15" s="53">
        <v>47.1</v>
      </c>
      <c r="F15" s="5"/>
    </row>
    <row r="16" spans="1:6" ht="16" thickTop="1" x14ac:dyDescent="0.2">
      <c r="C16" s="7" t="s">
        <v>218</v>
      </c>
      <c r="D16" s="52">
        <v>938.9</v>
      </c>
      <c r="E16" s="52">
        <v>1722.8</v>
      </c>
      <c r="F16" s="5"/>
    </row>
    <row r="17" spans="1:6" ht="8" customHeight="1" x14ac:dyDescent="0.2">
      <c r="C17" s="7"/>
      <c r="D17" s="52"/>
      <c r="E17" s="52"/>
      <c r="F17" s="5"/>
    </row>
    <row r="18" spans="1:6" x14ac:dyDescent="0.2">
      <c r="A18" s="1" t="s">
        <v>130</v>
      </c>
      <c r="D18" s="5"/>
      <c r="E18" s="5"/>
      <c r="F18" s="5"/>
    </row>
    <row r="19" spans="1:6" x14ac:dyDescent="0.2">
      <c r="B19" t="s">
        <v>131</v>
      </c>
      <c r="D19" s="5"/>
      <c r="E19" s="5"/>
      <c r="F19" s="5"/>
    </row>
    <row r="20" spans="1:6" x14ac:dyDescent="0.2">
      <c r="C20" t="s">
        <v>132</v>
      </c>
      <c r="D20" s="5">
        <v>0.7</v>
      </c>
      <c r="E20" s="5">
        <v>8.4</v>
      </c>
      <c r="F20" s="5"/>
    </row>
    <row r="21" spans="1:6" x14ac:dyDescent="0.2">
      <c r="C21" t="s">
        <v>136</v>
      </c>
      <c r="D21" s="51">
        <v>155.6</v>
      </c>
      <c r="E21" s="51">
        <v>148.30000000000001</v>
      </c>
      <c r="F21" s="5"/>
    </row>
    <row r="22" spans="1:6" x14ac:dyDescent="0.2">
      <c r="C22" s="7" t="s">
        <v>219</v>
      </c>
      <c r="D22" s="52">
        <v>156.30000000000001</v>
      </c>
      <c r="E22" s="52">
        <v>156.69999999999999</v>
      </c>
      <c r="F22" s="5"/>
    </row>
    <row r="23" spans="1:6" x14ac:dyDescent="0.2">
      <c r="B23" t="s">
        <v>133</v>
      </c>
      <c r="D23" s="51">
        <v>18.5</v>
      </c>
      <c r="E23" s="51">
        <v>47.1</v>
      </c>
      <c r="F23" s="5"/>
    </row>
    <row r="24" spans="1:6" x14ac:dyDescent="0.2">
      <c r="C24" s="7" t="s">
        <v>220</v>
      </c>
      <c r="D24" s="52">
        <v>174.8</v>
      </c>
      <c r="E24" s="52">
        <v>203.9</v>
      </c>
      <c r="F24" s="5"/>
    </row>
    <row r="25" spans="1:6" ht="16" thickBot="1" x14ac:dyDescent="0.25">
      <c r="B25" t="s">
        <v>134</v>
      </c>
      <c r="D25" s="54">
        <v>764.1</v>
      </c>
      <c r="E25" s="54">
        <v>1518.9</v>
      </c>
      <c r="F25" s="5"/>
    </row>
    <row r="26" spans="1:6" ht="16" thickTop="1" x14ac:dyDescent="0.2">
      <c r="C26" s="7" t="s">
        <v>216</v>
      </c>
      <c r="D26" s="52">
        <v>938.9</v>
      </c>
      <c r="E26" s="52">
        <v>1722.8</v>
      </c>
      <c r="F26" s="5"/>
    </row>
    <row r="27" spans="1:6" ht="8" customHeight="1" thickBot="1" x14ac:dyDescent="0.25">
      <c r="A27" s="14"/>
      <c r="B27" s="14"/>
      <c r="C27" s="14"/>
      <c r="D27" s="50"/>
      <c r="E27" s="50"/>
      <c r="F27" s="50"/>
    </row>
    <row r="28" spans="1:6" x14ac:dyDescent="0.2">
      <c r="D28" s="5"/>
      <c r="E28" s="5"/>
      <c r="F28" s="5"/>
    </row>
    <row r="29" spans="1:6" x14ac:dyDescent="0.2">
      <c r="A29" s="116" t="s">
        <v>241</v>
      </c>
      <c r="D29" s="5"/>
      <c r="E29" s="5"/>
      <c r="F29" s="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7"/>
  <sheetViews>
    <sheetView workbookViewId="0">
      <selection activeCell="E22" sqref="E22"/>
    </sheetView>
  </sheetViews>
  <sheetFormatPr baseColWidth="10" defaultColWidth="8.83203125" defaultRowHeight="15" x14ac:dyDescent="0.2"/>
  <cols>
    <col min="2" max="5" width="10" customWidth="1"/>
    <col min="6" max="7" width="9.83203125" customWidth="1"/>
    <col min="8" max="8" width="3.83203125" customWidth="1"/>
    <col min="12" max="12" width="17.5" customWidth="1"/>
    <col min="13" max="13" width="12.1640625" customWidth="1"/>
    <col min="14" max="17" width="7.83203125" customWidth="1"/>
  </cols>
  <sheetData>
    <row r="1" spans="1:8" ht="16" x14ac:dyDescent="0.2">
      <c r="A1" s="115" t="s">
        <v>243</v>
      </c>
    </row>
    <row r="3" spans="1:8" ht="16" thickBot="1" x14ac:dyDescent="0.25">
      <c r="A3" s="14"/>
      <c r="B3" s="14"/>
      <c r="C3" s="14"/>
      <c r="D3" s="14"/>
      <c r="E3" s="14"/>
      <c r="F3" s="14"/>
      <c r="G3" s="14"/>
      <c r="H3" s="14"/>
    </row>
    <row r="4" spans="1:8" x14ac:dyDescent="0.2">
      <c r="A4" s="1"/>
      <c r="B4" s="7"/>
      <c r="C4" s="7"/>
      <c r="D4" s="7"/>
      <c r="E4" s="7"/>
      <c r="F4" s="7" t="s">
        <v>93</v>
      </c>
      <c r="G4" s="7" t="s">
        <v>93</v>
      </c>
    </row>
    <row r="5" spans="1:8" x14ac:dyDescent="0.2">
      <c r="A5" s="1"/>
      <c r="B5" s="127" t="s">
        <v>188</v>
      </c>
      <c r="C5" s="127"/>
      <c r="D5" s="127"/>
      <c r="E5" s="127"/>
      <c r="F5" s="7" t="s">
        <v>92</v>
      </c>
      <c r="G5" s="7" t="s">
        <v>39</v>
      </c>
    </row>
    <row r="6" spans="1:8" x14ac:dyDescent="0.2">
      <c r="A6" s="4" t="s">
        <v>30</v>
      </c>
      <c r="B6" s="8" t="s">
        <v>47</v>
      </c>
      <c r="C6" s="8" t="s">
        <v>72</v>
      </c>
      <c r="D6" s="8" t="s">
        <v>69</v>
      </c>
      <c r="E6" s="8" t="s">
        <v>74</v>
      </c>
      <c r="F6" s="8" t="s">
        <v>128</v>
      </c>
      <c r="G6" s="8" t="s">
        <v>42</v>
      </c>
      <c r="H6" s="3"/>
    </row>
    <row r="7" spans="1:8" ht="8" customHeight="1" x14ac:dyDescent="0.2"/>
    <row r="8" spans="1:8" x14ac:dyDescent="0.2">
      <c r="A8" s="36" t="s">
        <v>94</v>
      </c>
      <c r="B8">
        <v>0</v>
      </c>
      <c r="C8">
        <v>2</v>
      </c>
      <c r="D8">
        <v>1</v>
      </c>
      <c r="E8">
        <v>3</v>
      </c>
      <c r="F8" s="24">
        <v>2</v>
      </c>
      <c r="G8" s="9">
        <v>16</v>
      </c>
    </row>
    <row r="9" spans="1:8" x14ac:dyDescent="0.2">
      <c r="A9" s="37" t="s">
        <v>95</v>
      </c>
      <c r="B9">
        <v>0</v>
      </c>
      <c r="C9">
        <v>6</v>
      </c>
      <c r="D9">
        <v>4</v>
      </c>
      <c r="E9">
        <v>10</v>
      </c>
      <c r="F9">
        <v>1.9</v>
      </c>
      <c r="G9" s="9">
        <v>17.5</v>
      </c>
    </row>
    <row r="10" spans="1:8" x14ac:dyDescent="0.2">
      <c r="A10" s="29" t="s">
        <v>96</v>
      </c>
      <c r="B10">
        <v>2</v>
      </c>
      <c r="C10">
        <v>7</v>
      </c>
      <c r="D10">
        <v>7</v>
      </c>
      <c r="E10">
        <v>16</v>
      </c>
      <c r="F10">
        <v>2.5</v>
      </c>
      <c r="G10" s="9">
        <v>19.829999999999998</v>
      </c>
    </row>
    <row r="11" spans="1:8" x14ac:dyDescent="0.2">
      <c r="A11" s="29" t="s">
        <v>97</v>
      </c>
      <c r="B11">
        <v>12</v>
      </c>
      <c r="C11">
        <v>11</v>
      </c>
      <c r="D11">
        <v>7</v>
      </c>
      <c r="E11">
        <v>30</v>
      </c>
      <c r="F11">
        <v>3.4</v>
      </c>
      <c r="G11" s="9">
        <v>23.56</v>
      </c>
    </row>
    <row r="12" spans="1:8" ht="8" customHeight="1" thickBot="1" x14ac:dyDescent="0.25">
      <c r="A12" s="14"/>
      <c r="B12" s="14"/>
      <c r="C12" s="14"/>
      <c r="D12" s="14"/>
      <c r="E12" s="14"/>
      <c r="F12" s="14"/>
      <c r="G12" s="14"/>
      <c r="H12" s="14"/>
    </row>
    <row r="14" spans="1:8" x14ac:dyDescent="0.2">
      <c r="A14" s="116" t="s">
        <v>244</v>
      </c>
    </row>
    <row r="15" spans="1:8" x14ac:dyDescent="0.2">
      <c r="A15" s="116" t="s">
        <v>272</v>
      </c>
    </row>
    <row r="23" ht="8" customHeight="1" x14ac:dyDescent="0.2"/>
    <row r="27" ht="8" customHeight="1" x14ac:dyDescent="0.2"/>
  </sheetData>
  <mergeCells count="1">
    <mergeCell ref="B5:E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48"/>
  <sheetViews>
    <sheetView showGridLines="0" topLeftCell="A26" workbookViewId="0">
      <selection activeCell="A4" sqref="A4:H46"/>
    </sheetView>
  </sheetViews>
  <sheetFormatPr baseColWidth="10" defaultColWidth="8.83203125" defaultRowHeight="15" x14ac:dyDescent="0.2"/>
  <cols>
    <col min="1" max="1" width="2.83203125" customWidth="1"/>
    <col min="2" max="2" width="16.6640625" customWidth="1"/>
    <col min="3" max="3" width="12.5" customWidth="1"/>
    <col min="4" max="4" width="11.1640625" customWidth="1"/>
    <col min="5" max="5" width="10.83203125" customWidth="1"/>
    <col min="6" max="6" width="2.33203125" customWidth="1"/>
    <col min="7" max="7" width="16" customWidth="1"/>
    <col min="8" max="10" width="3.83203125" customWidth="1"/>
    <col min="11" max="11" width="8" customWidth="1"/>
    <col min="12" max="12" width="3.83203125" customWidth="1"/>
    <col min="13" max="13" width="10.83203125" customWidth="1"/>
    <col min="17" max="17" width="11.1640625" customWidth="1"/>
  </cols>
  <sheetData>
    <row r="1" spans="1:14" ht="16" x14ac:dyDescent="0.2">
      <c r="A1" s="115" t="s">
        <v>245</v>
      </c>
    </row>
    <row r="3" spans="1:14" ht="16" thickBot="1" x14ac:dyDescent="0.25">
      <c r="A3" s="14"/>
      <c r="B3" s="14"/>
      <c r="C3" s="14"/>
      <c r="D3" s="14"/>
      <c r="E3" s="14"/>
      <c r="F3" s="14"/>
      <c r="G3" s="14"/>
      <c r="H3" s="14"/>
      <c r="K3" t="s">
        <v>271</v>
      </c>
    </row>
    <row r="4" spans="1:14" x14ac:dyDescent="0.2">
      <c r="D4" s="7" t="s">
        <v>186</v>
      </c>
      <c r="E4" s="7"/>
      <c r="F4" s="7"/>
      <c r="G4" s="7" t="s">
        <v>187</v>
      </c>
      <c r="H4" s="7"/>
    </row>
    <row r="5" spans="1:14" x14ac:dyDescent="0.2">
      <c r="B5" s="1"/>
      <c r="C5" s="7" t="s">
        <v>35</v>
      </c>
      <c r="D5" s="7" t="s">
        <v>38</v>
      </c>
      <c r="E5" s="7" t="s">
        <v>39</v>
      </c>
      <c r="F5" s="7"/>
      <c r="G5" s="7" t="s">
        <v>40</v>
      </c>
      <c r="H5" s="7"/>
    </row>
    <row r="6" spans="1:14" x14ac:dyDescent="0.2">
      <c r="A6" s="4" t="s">
        <v>80</v>
      </c>
      <c r="B6" s="4"/>
      <c r="C6" s="8" t="s">
        <v>30</v>
      </c>
      <c r="D6" s="8" t="s">
        <v>41</v>
      </c>
      <c r="E6" s="8" t="s">
        <v>42</v>
      </c>
      <c r="F6" s="8"/>
      <c r="G6" s="8" t="s">
        <v>43</v>
      </c>
      <c r="H6" s="8"/>
      <c r="K6" s="8" t="s">
        <v>88</v>
      </c>
      <c r="M6" s="4" t="s">
        <v>269</v>
      </c>
      <c r="N6" s="4"/>
    </row>
    <row r="7" spans="1:14" ht="8" customHeight="1" x14ac:dyDescent="0.2"/>
    <row r="8" spans="1:14" x14ac:dyDescent="0.2">
      <c r="A8" s="1" t="s">
        <v>203</v>
      </c>
      <c r="C8" s="15"/>
      <c r="D8" s="13"/>
      <c r="E8" s="27"/>
      <c r="F8" s="27"/>
      <c r="G8" s="73"/>
    </row>
    <row r="9" spans="1:14" x14ac:dyDescent="0.2">
      <c r="A9" s="1"/>
      <c r="B9" t="s">
        <v>82</v>
      </c>
      <c r="C9" s="15">
        <v>42795</v>
      </c>
      <c r="D9" s="81" t="s">
        <v>205</v>
      </c>
      <c r="E9" s="9">
        <v>15</v>
      </c>
      <c r="F9" s="9"/>
      <c r="G9" s="121" t="s">
        <v>49</v>
      </c>
      <c r="K9">
        <v>1</v>
      </c>
    </row>
    <row r="10" spans="1:14" x14ac:dyDescent="0.2">
      <c r="B10" t="s">
        <v>48</v>
      </c>
      <c r="C10" s="20">
        <v>42796</v>
      </c>
      <c r="D10" s="81" t="s">
        <v>205</v>
      </c>
      <c r="E10" s="21">
        <v>22</v>
      </c>
      <c r="F10" s="21"/>
      <c r="G10" s="122" t="s">
        <v>72</v>
      </c>
      <c r="K10">
        <v>2</v>
      </c>
      <c r="M10" t="s">
        <v>267</v>
      </c>
      <c r="N10">
        <v>1</v>
      </c>
    </row>
    <row r="11" spans="1:14" x14ac:dyDescent="0.2">
      <c r="B11" t="s">
        <v>123</v>
      </c>
      <c r="C11" s="20">
        <v>42796</v>
      </c>
      <c r="D11" s="81" t="s">
        <v>205</v>
      </c>
      <c r="E11" s="21">
        <v>16</v>
      </c>
      <c r="F11" s="21"/>
      <c r="G11" s="73" t="s">
        <v>124</v>
      </c>
      <c r="K11">
        <v>3</v>
      </c>
      <c r="M11" t="s">
        <v>47</v>
      </c>
      <c r="N11">
        <v>2</v>
      </c>
    </row>
    <row r="12" spans="1:14" x14ac:dyDescent="0.2">
      <c r="B12" t="s">
        <v>68</v>
      </c>
      <c r="C12" s="20">
        <v>42796</v>
      </c>
      <c r="D12" s="81" t="s">
        <v>205</v>
      </c>
      <c r="E12" s="21">
        <v>10</v>
      </c>
      <c r="F12" s="21"/>
      <c r="G12" s="73" t="s">
        <v>69</v>
      </c>
      <c r="K12">
        <v>4</v>
      </c>
      <c r="M12" t="s">
        <v>72</v>
      </c>
      <c r="N12">
        <v>7</v>
      </c>
    </row>
    <row r="13" spans="1:14" x14ac:dyDescent="0.2">
      <c r="B13" t="s">
        <v>263</v>
      </c>
      <c r="C13" s="20">
        <v>42797</v>
      </c>
      <c r="D13" s="81" t="s">
        <v>205</v>
      </c>
      <c r="E13" s="21">
        <v>14</v>
      </c>
      <c r="F13" s="21"/>
      <c r="G13" s="73" t="s">
        <v>51</v>
      </c>
      <c r="K13">
        <v>5</v>
      </c>
      <c r="M13" t="s">
        <v>69</v>
      </c>
      <c r="N13" s="3">
        <v>7</v>
      </c>
    </row>
    <row r="14" spans="1:14" x14ac:dyDescent="0.2">
      <c r="B14" t="s">
        <v>70</v>
      </c>
      <c r="C14" s="20">
        <v>42797</v>
      </c>
      <c r="D14" s="81" t="s">
        <v>205</v>
      </c>
      <c r="E14" s="21">
        <v>22</v>
      </c>
      <c r="F14" s="21"/>
      <c r="G14" s="122" t="s">
        <v>59</v>
      </c>
      <c r="K14">
        <v>6</v>
      </c>
      <c r="M14" s="7" t="s">
        <v>74</v>
      </c>
      <c r="N14" s="1">
        <f>SUM(N10:N13)</f>
        <v>17</v>
      </c>
    </row>
    <row r="15" spans="1:14" x14ac:dyDescent="0.2">
      <c r="B15" t="s">
        <v>56</v>
      </c>
      <c r="C15" s="20">
        <v>42803</v>
      </c>
      <c r="D15" s="81" t="s">
        <v>205</v>
      </c>
      <c r="E15" s="21">
        <v>23</v>
      </c>
      <c r="F15" s="21"/>
      <c r="G15" s="122" t="s">
        <v>57</v>
      </c>
      <c r="K15">
        <v>7</v>
      </c>
    </row>
    <row r="16" spans="1:14" x14ac:dyDescent="0.2">
      <c r="B16" t="s">
        <v>50</v>
      </c>
      <c r="C16" s="15">
        <v>42808</v>
      </c>
      <c r="D16" s="81" t="s">
        <v>205</v>
      </c>
      <c r="E16" s="9">
        <v>18</v>
      </c>
      <c r="F16" s="9"/>
      <c r="G16" s="73" t="s">
        <v>51</v>
      </c>
      <c r="K16">
        <v>8</v>
      </c>
    </row>
    <row r="17" spans="1:14" x14ac:dyDescent="0.2">
      <c r="B17" t="s">
        <v>266</v>
      </c>
      <c r="C17" s="15">
        <v>42810</v>
      </c>
      <c r="D17" s="81" t="s">
        <v>205</v>
      </c>
      <c r="E17" s="9">
        <v>15</v>
      </c>
      <c r="F17" s="9"/>
      <c r="G17" s="73" t="s">
        <v>69</v>
      </c>
      <c r="K17">
        <v>9</v>
      </c>
    </row>
    <row r="18" spans="1:14" x14ac:dyDescent="0.2">
      <c r="B18" t="s">
        <v>264</v>
      </c>
      <c r="C18" s="15">
        <v>42811</v>
      </c>
      <c r="D18" s="81" t="s">
        <v>205</v>
      </c>
      <c r="E18" s="9">
        <v>20</v>
      </c>
      <c r="F18" s="9"/>
      <c r="G18" s="122" t="s">
        <v>59</v>
      </c>
      <c r="K18">
        <v>10</v>
      </c>
    </row>
    <row r="19" spans="1:14" x14ac:dyDescent="0.2">
      <c r="B19" t="s">
        <v>167</v>
      </c>
      <c r="C19" s="15">
        <v>42814</v>
      </c>
      <c r="D19" s="81" t="s">
        <v>205</v>
      </c>
      <c r="E19" s="9">
        <v>25</v>
      </c>
      <c r="F19" s="9"/>
      <c r="G19" s="120" t="s">
        <v>47</v>
      </c>
      <c r="K19">
        <v>11</v>
      </c>
    </row>
    <row r="20" spans="1:14" x14ac:dyDescent="0.2">
      <c r="B20" t="s">
        <v>265</v>
      </c>
      <c r="C20" s="15">
        <v>42815</v>
      </c>
      <c r="D20" s="81" t="s">
        <v>205</v>
      </c>
      <c r="E20" s="9">
        <v>30</v>
      </c>
      <c r="F20" s="9"/>
      <c r="G20" s="120" t="s">
        <v>47</v>
      </c>
      <c r="K20">
        <v>12</v>
      </c>
    </row>
    <row r="21" spans="1:14" x14ac:dyDescent="0.2">
      <c r="B21" t="s">
        <v>67</v>
      </c>
      <c r="C21" s="15">
        <v>42816</v>
      </c>
      <c r="D21" s="81" t="s">
        <v>205</v>
      </c>
      <c r="E21" s="9">
        <v>23</v>
      </c>
      <c r="F21" s="9"/>
      <c r="G21" s="122" t="s">
        <v>59</v>
      </c>
      <c r="K21">
        <v>13</v>
      </c>
    </row>
    <row r="22" spans="1:14" x14ac:dyDescent="0.2">
      <c r="A22" s="1"/>
      <c r="B22" t="s">
        <v>121</v>
      </c>
      <c r="C22" s="15">
        <v>42816</v>
      </c>
      <c r="D22" s="81" t="s">
        <v>205</v>
      </c>
      <c r="E22" s="6" t="s">
        <v>49</v>
      </c>
      <c r="F22" s="6"/>
      <c r="G22" s="73" t="s">
        <v>122</v>
      </c>
      <c r="K22">
        <v>14</v>
      </c>
    </row>
    <row r="23" spans="1:14" x14ac:dyDescent="0.2">
      <c r="A23" s="1"/>
      <c r="B23" t="s">
        <v>83</v>
      </c>
      <c r="C23" s="15">
        <v>42820</v>
      </c>
      <c r="D23" s="81" t="s">
        <v>205</v>
      </c>
      <c r="E23" s="9">
        <v>17</v>
      </c>
      <c r="F23" s="9"/>
      <c r="G23" s="73" t="s">
        <v>69</v>
      </c>
      <c r="K23">
        <v>15</v>
      </c>
    </row>
    <row r="24" spans="1:14" x14ac:dyDescent="0.2">
      <c r="A24" s="1"/>
      <c r="B24" t="s">
        <v>75</v>
      </c>
      <c r="C24" s="81" t="s">
        <v>49</v>
      </c>
      <c r="D24" s="81" t="s">
        <v>205</v>
      </c>
      <c r="E24" s="81" t="s">
        <v>49</v>
      </c>
      <c r="F24" s="81"/>
      <c r="G24" s="122" t="s">
        <v>59</v>
      </c>
      <c r="K24">
        <v>16</v>
      </c>
    </row>
    <row r="25" spans="1:14" x14ac:dyDescent="0.2">
      <c r="A25" s="1"/>
      <c r="B25" t="s">
        <v>76</v>
      </c>
      <c r="C25" s="81" t="s">
        <v>49</v>
      </c>
      <c r="D25" s="81" t="s">
        <v>205</v>
      </c>
      <c r="E25" s="81" t="s">
        <v>49</v>
      </c>
      <c r="F25" s="81"/>
      <c r="G25" s="122" t="s">
        <v>57</v>
      </c>
      <c r="K25">
        <v>17</v>
      </c>
    </row>
    <row r="26" spans="1:14" ht="14" customHeight="1" x14ac:dyDescent="0.2">
      <c r="A26" s="1"/>
    </row>
    <row r="27" spans="1:14" x14ac:dyDescent="0.2">
      <c r="A27" s="1" t="s">
        <v>77</v>
      </c>
      <c r="M27" s="4" t="s">
        <v>270</v>
      </c>
      <c r="N27" s="4"/>
    </row>
    <row r="28" spans="1:14" x14ac:dyDescent="0.2">
      <c r="B28" t="s">
        <v>46</v>
      </c>
      <c r="C28" s="20">
        <v>43186</v>
      </c>
      <c r="D28" s="19">
        <f>60.48/200</f>
        <v>0.3024</v>
      </c>
      <c r="E28" s="21">
        <v>28</v>
      </c>
      <c r="F28" s="21"/>
      <c r="G28" s="120" t="s">
        <v>47</v>
      </c>
      <c r="H28" s="22"/>
      <c r="K28">
        <v>1</v>
      </c>
    </row>
    <row r="29" spans="1:14" x14ac:dyDescent="0.2">
      <c r="B29" t="s">
        <v>81</v>
      </c>
      <c r="C29" s="20">
        <v>43186</v>
      </c>
      <c r="D29" s="80">
        <f>49.6/200</f>
        <v>0.248</v>
      </c>
      <c r="E29" s="9">
        <v>27</v>
      </c>
      <c r="F29" s="9"/>
      <c r="G29" s="120" t="s">
        <v>47</v>
      </c>
      <c r="H29" s="22"/>
      <c r="K29">
        <v>2</v>
      </c>
    </row>
    <row r="30" spans="1:14" x14ac:dyDescent="0.2">
      <c r="A30" s="1" t="s">
        <v>201</v>
      </c>
      <c r="D30" s="22"/>
      <c r="G30" s="73"/>
      <c r="M30" t="s">
        <v>267</v>
      </c>
      <c r="N30">
        <v>2</v>
      </c>
    </row>
    <row r="31" spans="1:14" x14ac:dyDescent="0.2">
      <c r="B31" t="s">
        <v>32</v>
      </c>
      <c r="C31" s="15">
        <v>42821</v>
      </c>
      <c r="D31" s="80">
        <f>26.5/200</f>
        <v>0.13250000000000001</v>
      </c>
      <c r="E31" s="9">
        <v>24</v>
      </c>
      <c r="F31" s="9"/>
      <c r="G31" s="122" t="s">
        <v>59</v>
      </c>
      <c r="K31">
        <v>3</v>
      </c>
      <c r="M31" t="s">
        <v>47</v>
      </c>
      <c r="N31">
        <v>10</v>
      </c>
    </row>
    <row r="32" spans="1:14" x14ac:dyDescent="0.2">
      <c r="B32" t="s">
        <v>55</v>
      </c>
      <c r="C32" s="81">
        <v>42821</v>
      </c>
      <c r="D32" s="80">
        <f>20/200</f>
        <v>0.1</v>
      </c>
      <c r="E32" s="9">
        <v>30</v>
      </c>
      <c r="F32" s="9"/>
      <c r="G32" s="120" t="s">
        <v>47</v>
      </c>
      <c r="K32">
        <v>4</v>
      </c>
      <c r="M32" t="s">
        <v>72</v>
      </c>
      <c r="N32">
        <v>4</v>
      </c>
    </row>
    <row r="33" spans="1:14" x14ac:dyDescent="0.2">
      <c r="B33" t="s">
        <v>71</v>
      </c>
      <c r="C33" s="78" t="s">
        <v>207</v>
      </c>
      <c r="D33" s="80">
        <v>7.0000000000000007E-2</v>
      </c>
      <c r="E33" s="9"/>
      <c r="F33" s="9"/>
      <c r="G33" s="121" t="s">
        <v>49</v>
      </c>
      <c r="K33">
        <v>5</v>
      </c>
      <c r="M33" t="s">
        <v>69</v>
      </c>
      <c r="N33" s="3">
        <v>0</v>
      </c>
    </row>
    <row r="34" spans="1:14" x14ac:dyDescent="0.2">
      <c r="B34" t="s">
        <v>63</v>
      </c>
      <c r="C34" s="86" t="s">
        <v>208</v>
      </c>
      <c r="D34" s="80">
        <v>0.06</v>
      </c>
      <c r="E34" s="9"/>
      <c r="F34" s="9"/>
      <c r="G34" s="121" t="s">
        <v>49</v>
      </c>
      <c r="K34">
        <v>6</v>
      </c>
      <c r="M34" s="7" t="s">
        <v>74</v>
      </c>
      <c r="N34" s="1">
        <f>SUM(N30:N33)</f>
        <v>16</v>
      </c>
    </row>
    <row r="35" spans="1:14" x14ac:dyDescent="0.2">
      <c r="B35" t="s">
        <v>54</v>
      </c>
      <c r="C35" s="15">
        <v>42821</v>
      </c>
      <c r="D35" s="80">
        <f>6.15/200</f>
        <v>3.0750000000000003E-2</v>
      </c>
      <c r="E35" s="9">
        <v>30</v>
      </c>
      <c r="F35" s="9"/>
      <c r="G35" s="120" t="s">
        <v>53</v>
      </c>
      <c r="K35">
        <v>7</v>
      </c>
    </row>
    <row r="36" spans="1:14" x14ac:dyDescent="0.2">
      <c r="A36" s="1" t="s">
        <v>78</v>
      </c>
      <c r="D36" s="22"/>
      <c r="G36" s="120"/>
    </row>
    <row r="37" spans="1:14" x14ac:dyDescent="0.2">
      <c r="B37" t="s">
        <v>73</v>
      </c>
      <c r="C37" s="15">
        <v>42821</v>
      </c>
      <c r="D37" s="80">
        <f>1.23/200</f>
        <v>6.1500000000000001E-3</v>
      </c>
      <c r="E37" s="9">
        <v>27</v>
      </c>
      <c r="F37" s="9"/>
      <c r="G37" s="120" t="s">
        <v>47</v>
      </c>
      <c r="K37">
        <v>8</v>
      </c>
    </row>
    <row r="38" spans="1:14" x14ac:dyDescent="0.2">
      <c r="B38" t="s">
        <v>52</v>
      </c>
      <c r="C38" s="15">
        <v>42821</v>
      </c>
      <c r="D38" s="80">
        <f>0.92/200</f>
        <v>4.5999999999999999E-3</v>
      </c>
      <c r="E38" s="9">
        <v>26</v>
      </c>
      <c r="F38" s="9"/>
      <c r="G38" s="120" t="s">
        <v>53</v>
      </c>
      <c r="K38">
        <v>9</v>
      </c>
    </row>
    <row r="39" spans="1:14" x14ac:dyDescent="0.2">
      <c r="B39" t="s">
        <v>58</v>
      </c>
      <c r="C39" s="15">
        <v>42821</v>
      </c>
      <c r="D39" s="80">
        <f>0.61/200</f>
        <v>3.0499999999999998E-3</v>
      </c>
      <c r="E39" s="9">
        <v>30</v>
      </c>
      <c r="F39" s="9"/>
      <c r="G39" s="120" t="s">
        <v>47</v>
      </c>
      <c r="K39">
        <v>10</v>
      </c>
    </row>
    <row r="40" spans="1:14" x14ac:dyDescent="0.2">
      <c r="B40" t="s">
        <v>64</v>
      </c>
      <c r="C40" s="15">
        <v>42821</v>
      </c>
      <c r="D40" s="80">
        <f>0.31/200</f>
        <v>1.5499999999999999E-3</v>
      </c>
      <c r="E40" s="28">
        <v>28</v>
      </c>
      <c r="F40" s="28"/>
      <c r="G40" s="120" t="s">
        <v>53</v>
      </c>
      <c r="K40">
        <v>11</v>
      </c>
    </row>
    <row r="41" spans="1:14" x14ac:dyDescent="0.2">
      <c r="B41" t="s">
        <v>65</v>
      </c>
      <c r="C41" s="15">
        <v>42821</v>
      </c>
      <c r="D41" s="80">
        <f>0.62/200</f>
        <v>3.0999999999999999E-3</v>
      </c>
      <c r="E41" s="27" t="s">
        <v>66</v>
      </c>
      <c r="F41" s="27"/>
      <c r="G41" s="122" t="s">
        <v>57</v>
      </c>
      <c r="K41">
        <v>12</v>
      </c>
    </row>
    <row r="42" spans="1:14" x14ac:dyDescent="0.2">
      <c r="B42" t="s">
        <v>60</v>
      </c>
      <c r="C42" s="15">
        <v>42821</v>
      </c>
      <c r="D42" s="80">
        <f>1.23/200</f>
        <v>6.1500000000000001E-3</v>
      </c>
      <c r="E42" s="9">
        <v>31</v>
      </c>
      <c r="F42" s="9"/>
      <c r="G42" s="120" t="s">
        <v>53</v>
      </c>
      <c r="K42">
        <v>13</v>
      </c>
    </row>
    <row r="43" spans="1:14" x14ac:dyDescent="0.2">
      <c r="B43" t="s">
        <v>79</v>
      </c>
      <c r="C43" s="15">
        <v>42821</v>
      </c>
      <c r="D43" s="80">
        <f>0.92/200</f>
        <v>4.5999999999999999E-3</v>
      </c>
      <c r="E43" s="9">
        <v>24</v>
      </c>
      <c r="F43" s="9"/>
      <c r="G43" s="122" t="s">
        <v>72</v>
      </c>
      <c r="K43">
        <v>14</v>
      </c>
    </row>
    <row r="44" spans="1:14" x14ac:dyDescent="0.2">
      <c r="B44" t="s">
        <v>33</v>
      </c>
      <c r="C44" s="15">
        <v>42821</v>
      </c>
      <c r="D44" s="80">
        <f>1.23/200</f>
        <v>6.1500000000000001E-3</v>
      </c>
      <c r="E44" s="9">
        <v>24</v>
      </c>
      <c r="F44" s="9"/>
      <c r="G44" s="122" t="s">
        <v>59</v>
      </c>
      <c r="K44">
        <v>15</v>
      </c>
    </row>
    <row r="45" spans="1:14" x14ac:dyDescent="0.2">
      <c r="B45" t="s">
        <v>61</v>
      </c>
      <c r="C45" s="15">
        <v>42821</v>
      </c>
      <c r="D45" s="80">
        <f>0.31/200</f>
        <v>1.5499999999999999E-3</v>
      </c>
      <c r="E45" s="27" t="s">
        <v>62</v>
      </c>
      <c r="F45" s="27"/>
      <c r="G45" s="120" t="s">
        <v>53</v>
      </c>
      <c r="K45">
        <v>16</v>
      </c>
    </row>
    <row r="46" spans="1:14" ht="8" customHeight="1" thickBot="1" x14ac:dyDescent="0.25">
      <c r="A46" s="14"/>
      <c r="B46" s="14"/>
      <c r="C46" s="14"/>
      <c r="D46" s="14"/>
      <c r="E46" s="14"/>
      <c r="F46" s="14"/>
      <c r="G46" s="14"/>
      <c r="H46" s="14"/>
    </row>
    <row r="48" spans="1:14" ht="67.25" customHeight="1" x14ac:dyDescent="0.2">
      <c r="A48" s="128" t="s">
        <v>246</v>
      </c>
      <c r="B48" s="128"/>
      <c r="C48" s="128"/>
      <c r="D48" s="128"/>
      <c r="E48" s="128"/>
      <c r="F48" s="128"/>
      <c r="G48" s="128"/>
      <c r="H48" s="128"/>
    </row>
  </sheetData>
  <mergeCells count="1">
    <mergeCell ref="A48:H48"/>
  </mergeCells>
  <pageMargins left="0.7" right="0.7" top="0.75" bottom="0.75" header="0.3" footer="0.3"/>
  <pageSetup scale="80" orientation="portrait" r:id="rId1"/>
  <ignoredErrors>
    <ignoredError sqref="D43"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properties xmlns:p="http://schemas.microsoft.com/office/2006/metadata/properties" xmlns:xsi="http://www.w3.org/2001/XMLSchema-instance" xmlns:pc="http://schemas.microsoft.com/office/infopath/2007/PartnerControls">
  <documentManagement>
    <ContentTypeId xmlns="http://schemas.microsoft.com/sharepoint/v3">0x00041BB9609029574BB48B0D67EE7C5EF0</ContentTypeId>
    <TemplateUrl xmlns="http://schemas.microsoft.com/sharepoint/v3" xsi:nil="true"/>
    <RISState xmlns="60B91B04-2990-4B57-B48B-0D67EE7C5EF0" xsi:nil="true"/>
    <RISOtherType xmlns="60B91B04-2990-4B57-B48B-0D67EE7C5EF0" xsi:nil="true"/>
    <RISGuid xmlns="60B91B04-2990-4B57-B48B-0D67EE7C5EF0">0f4480ee-d529-473f-bc7f-1e9d75d063dd</RISGuid>
    <RISCreatedBy xmlns="60B91B04-2990-4B57-B48B-0D67EE7C5EF0" xsi:nil="true"/>
    <RISSaveFlagAdmin xmlns="60B91B04-2990-4B57-B48B-0D67EE7C5EF0" xsi:nil="true"/>
    <RISPRelatedType xmlns="60B91B04-2990-4B57-B48B-0D67EE7C5EF0">File</RISPRelatedType>
    <_SourceUrl xmlns="http://schemas.microsoft.com/sharepoint/v3" xsi:nil="true"/>
    <RISProductID xmlns="60B91B04-2990-4B57-B48B-0D67EE7C5EF0">54431</RISProductID>
    <RISWCMFlag xmlns="60B91B04-2990-4B57-B48B-0D67EE7C5EF0">New</RISWCMFlag>
    <RISCreateDate xmlns="60B91B04-2990-4B57-B48B-0D67EE7C5EF0" xsi:nil="true"/>
    <RISEmbargoDate xmlns="60B91B04-2990-4B57-B48B-0D67EE7C5EF0" xsi:nil="true"/>
    <RISModifiedDate xmlns="60B91B04-2990-4B57-B48B-0D67EE7C5EF0" xsi:nil="true"/>
    <xd_ProgID xmlns="http://schemas.microsoft.com/sharepoint/v3" xsi:nil="true"/>
    <RISAccessLevel xmlns="60B91B04-2990-4B57-B48B-0D67EE7C5EF0" xsi:nil="true"/>
    <RISPrimaryCitation xmlns="60B91B04-2990-4B57-B48B-0D67EE7C5EF0" xsi:nil="true"/>
    <RISUserType xmlns="60B91B04-2990-4B57-B48B-0D67EE7C5EF0" xsi:nil="true"/>
    <RISVisibility xmlns="60B91B04-2990-4B57-B48B-0D67EE7C5EF0" xsi:nil="true"/>
    <RISManuscriptType xmlns="60B91B04-2990-4B57-B48B-0D67EE7C5EF0" xsi:nil="true"/>
    <RISModifiedBy xmlns="60B91B04-2990-4B57-B48B-0D67EE7C5EF0" xsi:nil="true"/>
    <RISIncludeinFRProfile xmlns="60B91B04-2990-4B57-B48B-0D67EE7C5EF0" xsi:nil="true"/>
    <RISSendToDash xmlns="60B91B04-2990-4B57-B48B-0D67EE7C5EF0" xsi:nil="true"/>
    <RISDisplayName xmlns="60B91B04-2990-4B57-B48B-0D67EE7C5EF0">Snap Courseware.xlsx</RISDisplayName>
    <RISSaveFlag xmlns="60B91B04-2990-4B57-B48B-0D67EE7C5EF0">Draft</RISSaveFlag>
    <Order xmlns="http://schemas.microsoft.com/sharepoint/v3" xsi:nil="true"/>
    <_SharedFileIndex xmlns="http://schemas.microsoft.com/sharepoint/v3" xsi:nil="true"/>
    <RISPersonID xmlns="60B91B04-2990-4B57-B48B-0D67EE7C5EF0">6454</RISPersonID>
    <MetaInfo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Publication Files" ma:contentTypeID="0x00041BB9609029574BB48B0D67EE7C5EF0" ma:contentTypeVersion="" ma:contentTypeDescription="" ma:contentTypeScope="" ma:versionID="5315c70c70d028aec2ac959b5fb81a83">
  <xsd:schema xmlns:xsd="http://www.w3.org/2001/XMLSchema" xmlns:xs="http://www.w3.org/2001/XMLSchema" xmlns:p="http://schemas.microsoft.com/office/2006/metadata/properties" xmlns:ns1="http://schemas.microsoft.com/sharepoint/v3" xmlns:ns2="60B91B04-2990-4B57-B48B-0D67EE7C5EF0" targetNamespace="http://schemas.microsoft.com/office/2006/metadata/properties" ma:root="true" ma:fieldsID="61c8bcacd5ab5ce0727aeccdcf09618e" ns1:_="" ns2:_="">
    <xsd:import namespace="http://schemas.microsoft.com/sharepoint/v3"/>
    <xsd:import namespace="60B91B04-2990-4B57-B48B-0D67EE7C5EF0"/>
    <xsd:element name="properties">
      <xsd:complexType>
        <xsd:sequence>
          <xsd:element name="documentManagement">
            <xsd:complexType>
              <xsd:all>
                <xsd:element ref="ns1:ContentTypeId" minOccurs="0"/>
                <xsd:element ref="ns1:_ModerationComments" minOccurs="0"/>
                <xsd:element ref="ns1:File_x0020_Type" minOccurs="0"/>
                <xsd:element ref="ns1:HTML_x0020_File_x0020_Type" minOccurs="0"/>
                <xsd:element ref="ns1:_SourceUrl" minOccurs="0"/>
                <xsd:element ref="ns1:_SharedFileIndex" minOccurs="0"/>
                <xsd:element ref="ns1:TemplateUrl" minOccurs="0"/>
                <xsd:element ref="ns1:xd_ProgID" minOccurs="0"/>
                <xsd:element ref="ns1:xd_Signature" minOccurs="0"/>
                <xsd:element ref="ns2:RISManuscriptType" minOccurs="0"/>
                <xsd:element ref="ns2:RISOtherType" minOccurs="0"/>
                <xsd:element ref="ns2:RISAccessLevel" minOccurs="0"/>
                <xsd:element ref="ns2:RISEmbargoDate" minOccurs="0"/>
                <xsd:element ref="ns2:RISSendToDash" minOccurs="0"/>
                <xsd:element ref="ns2:RISProductID" minOccurs="0"/>
                <xsd:element ref="ns2:RISPrimaryCitation" minOccurs="0"/>
                <xsd:element ref="ns2:RISDisplayName" minOccurs="0"/>
                <xsd:element ref="ns2:RISSaveFlag" minOccurs="0"/>
                <xsd:element ref="ns2:RISUserType" minOccurs="0"/>
                <xsd:element ref="ns2:RISSaveFlagAdmin" minOccurs="0"/>
                <xsd:element ref="ns2:RISState" minOccurs="0"/>
                <xsd:element ref="ns2:RISWCMFlag" minOccurs="0"/>
                <xsd:element ref="ns2:RISCreateDate" minOccurs="0"/>
                <xsd:element ref="ns2:RISModifiedDate" minOccurs="0"/>
                <xsd:element ref="ns2:RISCreatedBy" minOccurs="0"/>
                <xsd:element ref="ns2:RISModifiedBy" minOccurs="0"/>
                <xsd:element ref="ns2:RISVisibility" minOccurs="0"/>
                <xsd:element ref="ns2:RISIncludeinFRProfile" minOccurs="0"/>
                <xsd:element ref="ns2:RISGuid" minOccurs="0"/>
                <xsd:element ref="ns2:RISPersonID" minOccurs="0"/>
                <xsd:element ref="ns2:RISPRelatedTyp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ItemChildCount" minOccurs="0"/>
                <xsd:element ref="ns1:FolderChildCount" minOccurs="0"/>
                <xsd:element ref="ns1:Restricted" minOccurs="0"/>
                <xsd:element ref="ns1:ContentVersion" minOccurs="0"/>
                <xsd:element ref="ns1:AppAuthor" minOccurs="0"/>
                <xsd:element ref="ns1:AppEditor"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element ref="ns1:DocConcurrencyNumber" minOccurs="0"/>
                <xsd:element ref="ns1:ParentUniqueId" minOccurs="0"/>
                <xsd:element ref="ns1:Stream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ntentTypeId" ma:index="0" nillable="true" ma:displayName="Content Type ID" ma:hidden="true" ma:internalName="ContentTypeId" ma:readOnly="true">
      <xsd:simpleType>
        <xsd:restriction base="dms:Unknown"/>
      </xsd:simpleType>
    </xsd:element>
    <xsd:element name="_ModerationComments" ma:index="1" nillable="true" ma:displayName="Approver Comments" ma:hidden="true" ma:internalName="_ModerationComments" ma:readOnly="true">
      <xsd:simpleType>
        <xsd:restriction base="dms:Note"/>
      </xsd:simpleType>
    </xsd:element>
    <xsd:element name="File_x0020_Type" ma:index="5" nillable="true" ma:displayName="File Type" ma:hidden="true" ma:internalName="File_x0020_Type" ma:readOnly="true">
      <xsd:simpleType>
        <xsd:restriction base="dms:Text"/>
      </xsd:simpleType>
    </xsd:element>
    <xsd:element name="HTML_x0020_File_x0020_Type" ma:index="6" nillable="true" ma:displayName="HTML File Type" ma:hidden="true" ma:internalName="HTML_x0020_File_x0020_Type" ma:readOnly="true">
      <xsd:simpleType>
        <xsd:restriction base="dms:Text"/>
      </xsd:simpleType>
    </xsd:element>
    <xsd:element name="_SourceUrl" ma:index="7" nillable="true" ma:displayName="Source URL" ma:hidden="true" ma:internalName="_SourceUrl">
      <xsd:simpleType>
        <xsd:restriction base="dms:Text"/>
      </xsd:simpleType>
    </xsd:element>
    <xsd:element name="_SharedFileIndex" ma:index="8" nillable="true" ma:displayName="Shared File Index" ma:hidden="true" ma:internalName="_SharedFileIndex">
      <xsd:simpleType>
        <xsd:restriction base="dms:Text"/>
      </xsd:simpleType>
    </xsd:element>
    <xsd:element name="TemplateUrl" ma:index="10" nillable="true" ma:displayName="Template Link" ma:hidden="true" ma:internalName="TemplateUrl">
      <xsd:simpleType>
        <xsd:restriction base="dms:Text"/>
      </xsd:simpleType>
    </xsd:element>
    <xsd:element name="xd_ProgID" ma:index="11" nillable="true" ma:displayName="HTML File Link" ma:hidden="true" ma:internalName="xd_ProgID">
      <xsd:simpleType>
        <xsd:restriction base="dms:Text"/>
      </xsd:simpleType>
    </xsd:element>
    <xsd:element name="xd_Signature" ma:index="12" nillable="true" ma:displayName="Is Signed" ma:hidden="true" ma:internalName="xd_Signature" ma:readOnly="true">
      <xsd:simpleType>
        <xsd:restriction base="dms:Boolean"/>
      </xsd:simpleType>
    </xsd:element>
    <xsd:element name="ID" ma:index="35" nillable="true" ma:displayName="ID" ma:internalName="ID" ma:readOnly="true">
      <xsd:simpleType>
        <xsd:restriction base="dms:Unknown"/>
      </xsd:simpleType>
    </xsd:element>
    <xsd:element name="Author" ma:index="38"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40"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41" nillable="true" ma:displayName="Has Copy Destinations" ma:hidden="true" ma:internalName="_HasCopyDestinations" ma:readOnly="true">
      <xsd:simpleType>
        <xsd:restriction base="dms:Boolean"/>
      </xsd:simpleType>
    </xsd:element>
    <xsd:element name="_CopySource" ma:index="42" nillable="true" ma:displayName="Copy Source" ma:internalName="_CopySource" ma:readOnly="true">
      <xsd:simpleType>
        <xsd:restriction base="dms:Text"/>
      </xsd:simpleType>
    </xsd:element>
    <xsd:element name="_ModerationStatus" ma:index="43" nillable="true" ma:displayName="Approval Status" ma:default="0" ma:hidden="true" ma:internalName="_ModerationStatus" ma:readOnly="true">
      <xsd:simpleType>
        <xsd:restriction base="dms:Unknown"/>
      </xsd:simpleType>
    </xsd:element>
    <xsd:element name="FileRef" ma:index="44" nillable="true" ma:displayName="URL Path" ma:hidden="true" ma:list="Docs" ma:internalName="FileRef" ma:readOnly="true" ma:showField="FullUrl">
      <xsd:simpleType>
        <xsd:restriction base="dms:Lookup"/>
      </xsd:simpleType>
    </xsd:element>
    <xsd:element name="FileDirRef" ma:index="45" nillable="true" ma:displayName="Path" ma:hidden="true" ma:list="Docs" ma:internalName="FileDirRef" ma:readOnly="true" ma:showField="DirName">
      <xsd:simpleType>
        <xsd:restriction base="dms:Lookup"/>
      </xsd:simpleType>
    </xsd:element>
    <xsd:element name="Last_x0020_Modified" ma:index="46" nillable="true" ma:displayName="Modified" ma:format="TRUE" ma:hidden="true" ma:list="Docs" ma:internalName="Last_x0020_Modified" ma:readOnly="true" ma:showField="TimeLastModified">
      <xsd:simpleType>
        <xsd:restriction base="dms:Lookup"/>
      </xsd:simpleType>
    </xsd:element>
    <xsd:element name="Created_x0020_Date" ma:index="47" nillable="true" ma:displayName="Created" ma:format="TRUE" ma:hidden="true" ma:list="Docs" ma:internalName="Created_x0020_Date" ma:readOnly="true" ma:showField="TimeCreated">
      <xsd:simpleType>
        <xsd:restriction base="dms:Lookup"/>
      </xsd:simpleType>
    </xsd:element>
    <xsd:element name="File_x0020_Size" ma:index="48" nillable="true" ma:displayName="File Size" ma:format="TRUE" ma:hidden="true" ma:list="Docs" ma:internalName="File_x0020_Size" ma:readOnly="true" ma:showField="SizeInKB">
      <xsd:simpleType>
        <xsd:restriction base="dms:Lookup"/>
      </xsd:simpleType>
    </xsd:element>
    <xsd:element name="FSObjType" ma:index="49" nillable="true" ma:displayName="Item Type" ma:hidden="true" ma:list="Docs" ma:internalName="FSObjType" ma:readOnly="true" ma:showField="FSType">
      <xsd:simpleType>
        <xsd:restriction base="dms:Lookup"/>
      </xsd:simpleType>
    </xsd:element>
    <xsd:element name="SortBehavior" ma:index="50" nillable="true" ma:displayName="Sort Type" ma:hidden="true" ma:list="Docs" ma:internalName="SortBehavior" ma:readOnly="true" ma:showField="SortBehavior">
      <xsd:simpleType>
        <xsd:restriction base="dms:Lookup"/>
      </xsd:simpleType>
    </xsd:element>
    <xsd:element name="CheckedOutUserId" ma:index="52" nillable="true" ma:displayName="ID of the User who has the item Checked Out" ma:hidden="true" ma:list="Docs" ma:internalName="CheckedOutUserId" ma:readOnly="true" ma:showField="CheckoutUserId">
      <xsd:simpleType>
        <xsd:restriction base="dms:Lookup"/>
      </xsd:simpleType>
    </xsd:element>
    <xsd:element name="IsCheckedoutToLocal" ma:index="53" nillable="true" ma:displayName="Is Checked out to local" ma:hidden="true" ma:list="Docs" ma:internalName="IsCheckedoutToLocal" ma:readOnly="true" ma:showField="IsCheckoutToLocal">
      <xsd:simpleType>
        <xsd:restriction base="dms:Lookup"/>
      </xsd:simpleType>
    </xsd:element>
    <xsd:element name="CheckoutUser" ma:index="54"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55" nillable="true" ma:displayName="Unique Id" ma:hidden="true" ma:list="Docs" ma:internalName="UniqueId" ma:readOnly="true" ma:showField="UniqueId">
      <xsd:simpleType>
        <xsd:restriction base="dms:Lookup"/>
      </xsd:simpleType>
    </xsd:element>
    <xsd:element name="SyncClientId" ma:index="56" nillable="true" ma:displayName="Client Id" ma:hidden="true" ma:list="Docs" ma:internalName="SyncClientId" ma:readOnly="true" ma:showField="SyncClientId">
      <xsd:simpleType>
        <xsd:restriction base="dms:Lookup"/>
      </xsd:simpleType>
    </xsd:element>
    <xsd:element name="ProgId" ma:index="57" nillable="true" ma:displayName="ProgId" ma:hidden="true" ma:list="Docs" ma:internalName="ProgId" ma:readOnly="true" ma:showField="ProgId">
      <xsd:simpleType>
        <xsd:restriction base="dms:Lookup"/>
      </xsd:simpleType>
    </xsd:element>
    <xsd:element name="ScopeId" ma:index="58" nillable="true" ma:displayName="ScopeId" ma:hidden="true" ma:list="Docs" ma:internalName="ScopeId" ma:readOnly="true" ma:showField="ScopeId">
      <xsd:simpleType>
        <xsd:restriction base="dms:Lookup"/>
      </xsd:simpleType>
    </xsd:element>
    <xsd:element name="VirusStatus" ma:index="59" nillable="true" ma:displayName="Virus Status" ma:format="TRUE" ma:hidden="true" ma:list="Docs" ma:internalName="VirusStatus" ma:readOnly="true" ma:showField="Size">
      <xsd:simpleType>
        <xsd:restriction base="dms:Lookup"/>
      </xsd:simpleType>
    </xsd:element>
    <xsd:element name="CheckedOutTitle" ma:index="60" nillable="true" ma:displayName="Checked Out To" ma:format="TRUE" ma:hidden="true" ma:list="Docs" ma:internalName="CheckedOutTitle" ma:readOnly="true" ma:showField="CheckedOutTitle">
      <xsd:simpleType>
        <xsd:restriction base="dms:Lookup"/>
      </xsd:simpleType>
    </xsd:element>
    <xsd:element name="_CheckinComment" ma:index="61" nillable="true" ma:displayName="Check In Comment" ma:format="TRUE" ma:list="Docs" ma:internalName="_CheckinComment" ma:readOnly="true" ma:showField="CheckinComment">
      <xsd:simpleType>
        <xsd:restriction base="dms:Lookup"/>
      </xsd:simpleType>
    </xsd:element>
    <xsd:element name="MetaInfo" ma:index="74" nillable="true" ma:displayName="Property Bag" ma:hidden="true" ma:list="Docs" ma:internalName="MetaInfo" ma:showField="MetaInfo">
      <xsd:simpleType>
        <xsd:restriction base="dms:Lookup"/>
      </xsd:simpleType>
    </xsd:element>
    <xsd:element name="_Level" ma:index="75" nillable="true" ma:displayName="Level" ma:hidden="true" ma:internalName="_Level" ma:readOnly="true">
      <xsd:simpleType>
        <xsd:restriction base="dms:Unknown"/>
      </xsd:simpleType>
    </xsd:element>
    <xsd:element name="_IsCurrentVersion" ma:index="76" nillable="true" ma:displayName="Is Current Version" ma:hidden="true" ma:internalName="_IsCurrentVersion" ma:readOnly="true">
      <xsd:simpleType>
        <xsd:restriction base="dms:Boolean"/>
      </xsd:simpleType>
    </xsd:element>
    <xsd:element name="ItemChildCount" ma:index="77" nillable="true" ma:displayName="Item Child Count" ma:hidden="true" ma:list="Docs" ma:internalName="ItemChildCount" ma:readOnly="true" ma:showField="ItemChildCount">
      <xsd:simpleType>
        <xsd:restriction base="dms:Lookup"/>
      </xsd:simpleType>
    </xsd:element>
    <xsd:element name="FolderChildCount" ma:index="78" nillable="true" ma:displayName="Folder Child Count" ma:hidden="true" ma:list="Docs" ma:internalName="FolderChildCount" ma:readOnly="true" ma:showField="FolderChildCount">
      <xsd:simpleType>
        <xsd:restriction base="dms:Lookup"/>
      </xsd:simpleType>
    </xsd:element>
    <xsd:element name="Restricted" ma:index="79" nillable="true" ma:displayName="Restricted" ma:hidden="true" ma:list="Docs" ma:internalName="Restricted" ma:readOnly="true" ma:showField="Restricted">
      <xsd:simpleType>
        <xsd:restriction base="dms:Lookup"/>
      </xsd:simpleType>
    </xsd:element>
    <xsd:element name="ContentVersion" ma:index="80" nillable="true" ma:displayName="$Resources:core,Content_Version;" ma:hidden="true" ma:list="Docs" ma:internalName="ContentVersion" ma:readOnly="true" ma:showField="ContentVersion">
      <xsd:simpleType>
        <xsd:restriction base="dms:Lookup"/>
      </xsd:simpleType>
    </xsd:element>
    <xsd:element name="AppAuthor" ma:index="81" nillable="true" ma:displayName="App Created By" ma:list="AppPrincipals" ma:internalName="AppAuthor" ma:readOnly="true" ma:showField="Title">
      <xsd:simpleType>
        <xsd:restriction base="dms:Lookup"/>
      </xsd:simpleType>
    </xsd:element>
    <xsd:element name="AppEditor" ma:index="82" nillable="true" ma:displayName="App Modified By" ma:list="AppPrincipals" ma:internalName="AppEditor" ma:readOnly="true" ma:showField="Title">
      <xsd:simpleType>
        <xsd:restriction base="dms:Lookup"/>
      </xsd:simpleType>
    </xsd:element>
    <xsd:element name="owshiddenversion" ma:index="86" nillable="true" ma:displayName="owshiddenversion" ma:hidden="true" ma:internalName="owshiddenversion" ma:readOnly="true">
      <xsd:simpleType>
        <xsd:restriction base="dms:Unknown"/>
      </xsd:simpleType>
    </xsd:element>
    <xsd:element name="_UIVersion" ma:index="87" nillable="true" ma:displayName="UI Version" ma:hidden="true" ma:internalName="_UIVersion" ma:readOnly="true">
      <xsd:simpleType>
        <xsd:restriction base="dms:Unknown"/>
      </xsd:simpleType>
    </xsd:element>
    <xsd:element name="_UIVersionString" ma:index="88" nillable="true" ma:displayName="Version" ma:internalName="_UIVersionString" ma:readOnly="true">
      <xsd:simpleType>
        <xsd:restriction base="dms:Text"/>
      </xsd:simpleType>
    </xsd:element>
    <xsd:element name="InstanceID" ma:index="89" nillable="true" ma:displayName="Instance ID" ma:hidden="true" ma:internalName="InstanceID" ma:readOnly="true">
      <xsd:simpleType>
        <xsd:restriction base="dms:Unknown"/>
      </xsd:simpleType>
    </xsd:element>
    <xsd:element name="Order" ma:index="90" nillable="true" ma:displayName="Order" ma:hidden="true" ma:internalName="Order">
      <xsd:simpleType>
        <xsd:restriction base="dms:Number"/>
      </xsd:simpleType>
    </xsd:element>
    <xsd:element name="GUID" ma:index="91" nillable="true" ma:displayName="GUID" ma:hidden="true" ma:internalName="GUID" ma:readOnly="true">
      <xsd:simpleType>
        <xsd:restriction base="dms:Unknown"/>
      </xsd:simpleType>
    </xsd:element>
    <xsd:element name="WorkflowVersion" ma:index="92" nillable="true" ma:displayName="Workflow Version" ma:hidden="true" ma:internalName="WorkflowVersion" ma:readOnly="true">
      <xsd:simpleType>
        <xsd:restriction base="dms:Unknown"/>
      </xsd:simpleType>
    </xsd:element>
    <xsd:element name="WorkflowInstanceID" ma:index="93" nillable="true" ma:displayName="Workflow Instance ID" ma:hidden="true" ma:internalName="WorkflowInstanceID" ma:readOnly="true">
      <xsd:simpleType>
        <xsd:restriction base="dms:Unknown"/>
      </xsd:simpleType>
    </xsd:element>
    <xsd:element name="ParentVersionString" ma:index="94" nillable="true" ma:displayName="Source Version (Converted Document)" ma:hidden="true" ma:list="Docs" ma:internalName="ParentVersionString" ma:readOnly="true" ma:showField="ParentVersionString">
      <xsd:simpleType>
        <xsd:restriction base="dms:Lookup"/>
      </xsd:simpleType>
    </xsd:element>
    <xsd:element name="ParentLeafName" ma:index="95" nillable="true" ma:displayName="Source Name (Converted Document)" ma:hidden="true" ma:list="Docs" ma:internalName="ParentLeafName" ma:readOnly="true" ma:showField="ParentLeafName">
      <xsd:simpleType>
        <xsd:restriction base="dms:Lookup"/>
      </xsd:simpleType>
    </xsd:element>
    <xsd:element name="DocConcurrencyNumber" ma:index="96" nillable="true" ma:displayName="Document Concurrency Number" ma:hidden="true" ma:list="Docs" ma:internalName="DocConcurrencyNumber" ma:readOnly="true" ma:showField="DocConcurrencyNumber">
      <xsd:simpleType>
        <xsd:restriction base="dms:Lookup"/>
      </xsd:simpleType>
    </xsd:element>
    <xsd:element name="ParentUniqueId" ma:index="97" nillable="true" ma:displayName="Document Parent Identifier" ma:hidden="true" ma:list="Docs" ma:internalName="ParentUniqueId" ma:readOnly="true" ma:showField="ParentUniqueId">
      <xsd:simpleType>
        <xsd:restriction base="dms:Lookup"/>
      </xsd:simpleType>
    </xsd:element>
    <xsd:element name="StreamHash" ma:index="98" nillable="true" ma:displayName="Document Stream Hash" ma:hidden="true" ma:list="Docs" ma:internalName="StreamHash" ma:readOnly="true" ma:showField="StreamHash">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0B91B04-2990-4B57-B48B-0D67EE7C5EF0" elementFormDefault="qualified">
    <xsd:import namespace="http://schemas.microsoft.com/office/2006/documentManagement/types"/>
    <xsd:import namespace="http://schemas.microsoft.com/office/infopath/2007/PartnerControls"/>
    <xsd:element name="RISManuscriptType" ma:index="13" nillable="true" ma:displayName="Manuscript Type" ma:format="Dropdown" ma:internalName="RISManuscriptType">
      <xsd:simpleType>
        <xsd:restriction base="dms:Choice">
          <xsd:enumeration value="Author's original"/>
          <xsd:enumeration value="Author's final version"/>
          <xsd:enumeration value="Proof"/>
          <xsd:enumeration value="Published version"/>
          <xsd:enumeration value="Other"/>
        </xsd:restriction>
      </xsd:simpleType>
    </xsd:element>
    <xsd:element name="RISOtherType" ma:index="14" nillable="true" ma:displayName="Type" ma:internalName="RISOtherType">
      <xsd:simpleType>
        <xsd:restriction base="dms:Text">
          <xsd:maxLength value="120"/>
        </xsd:restriction>
      </xsd:simpleType>
    </xsd:element>
    <xsd:element name="RISAccessLevel" ma:index="15" nillable="true" ma:displayName="Access To" ma:format="Dropdown" ma:internalName="RISAccessLevel">
      <xsd:simpleType>
        <xsd:restriction base="dms:Choice">
          <xsd:enumeration value="Everyone"/>
          <xsd:enumeration value="HBS Only"/>
          <xsd:enumeration value="Private"/>
        </xsd:restriction>
      </xsd:simpleType>
    </xsd:element>
    <xsd:element name="RISEmbargoDate" ma:index="16" nillable="true" ma:displayName="Availability/Embargo Date" ma:format="DateOnly" ma:internalName="RISEmbargoDate">
      <xsd:simpleType>
        <xsd:restriction base="dms:DateTime"/>
      </xsd:simpleType>
    </xsd:element>
    <xsd:element name="RISSendToDash" ma:index="17" nillable="true" ma:displayName="DASH" ma:format="Dropdown" ma:internalName="RISSendToDash">
      <xsd:simpleType>
        <xsd:restriction base="dms:Choice">
          <xsd:enumeration value="Citation and File"/>
          <xsd:enumeration value="Citation Only"/>
          <xsd:enumeration value="Dark"/>
          <xsd:enumeration value="Do not send to DASH"/>
        </xsd:restriction>
      </xsd:simpleType>
    </xsd:element>
    <xsd:element name="RISProductID" ma:index="18" nillable="true" ma:displayName="Product ID" ma:internalName="RISProductID">
      <xsd:simpleType>
        <xsd:restriction base="dms:Number"/>
      </xsd:simpleType>
    </xsd:element>
    <xsd:element name="RISPrimaryCitation" ma:index="19" nillable="true" ma:displayName="Primary Citation" ma:format="Dropdown" ma:internalName="RISPrimaryCitation">
      <xsd:simpleType>
        <xsd:restriction base="dms:Choice">
          <xsd:enumeration value="F"/>
          <xsd:enumeration value="T"/>
        </xsd:restriction>
      </xsd:simpleType>
    </xsd:element>
    <xsd:element name="RISDisplayName" ma:index="20" nillable="true" ma:displayName="Display Name" ma:internalName="RISDisplayName">
      <xsd:simpleType>
        <xsd:restriction base="dms:Text">
          <xsd:maxLength value="120"/>
        </xsd:restriction>
      </xsd:simpleType>
    </xsd:element>
    <xsd:element name="RISSaveFlag" ma:index="21" nillable="true" ma:displayName="Save Flag" ma:internalName="RISSaveFlag">
      <xsd:simpleType>
        <xsd:restriction base="dms:Text">
          <xsd:maxLength value="255"/>
        </xsd:restriction>
      </xsd:simpleType>
    </xsd:element>
    <xsd:element name="RISUserType" ma:index="22" nillable="true" ma:displayName="User Type" ma:internalName="RISUserType">
      <xsd:simpleType>
        <xsd:restriction base="dms:Text">
          <xsd:maxLength value="100"/>
        </xsd:restriction>
      </xsd:simpleType>
    </xsd:element>
    <xsd:element name="RISSaveFlagAdmin" ma:index="23" nillable="true" ma:displayName="Save Flag Admin" ma:internalName="RISSaveFlagAdmin">
      <xsd:simpleType>
        <xsd:restriction base="dms:Text">
          <xsd:maxLength value="255"/>
        </xsd:restriction>
      </xsd:simpleType>
    </xsd:element>
    <xsd:element name="RISState" ma:index="24" nillable="true" ma:displayName="Publication State" ma:internalName="RISState">
      <xsd:simpleType>
        <xsd:restriction base="dms:Text">
          <xsd:maxLength value="255"/>
        </xsd:restriction>
      </xsd:simpleType>
    </xsd:element>
    <xsd:element name="RISWCMFlag" ma:index="25" nillable="true" ma:displayName="WCM Flag" ma:format="Dropdown" ma:internalName="RISWCMFlag">
      <xsd:simpleType>
        <xsd:restriction base="dms:Choice">
          <xsd:enumeration value="New"/>
          <xsd:enumeration value="Updated"/>
          <xsd:enumeration value="NoChange"/>
          <xsd:enumeration value="Deleted"/>
        </xsd:restriction>
      </xsd:simpleType>
    </xsd:element>
    <xsd:element name="RISCreateDate" ma:index="26" nillable="true" ma:displayName="Created Date" ma:format="DateOnly" ma:internalName="RISCreateDate">
      <xsd:simpleType>
        <xsd:restriction base="dms:DateTime"/>
      </xsd:simpleType>
    </xsd:element>
    <xsd:element name="RISModifiedDate" ma:index="27" nillable="true" ma:displayName="Modified Date" ma:format="DateOnly" ma:internalName="RISModifiedDate">
      <xsd:simpleType>
        <xsd:restriction base="dms:DateTime"/>
      </xsd:simpleType>
    </xsd:element>
    <xsd:element name="RISCreatedBy" ma:index="28" nillable="true" ma:displayName="RIS Created By" ma:internalName="RISCreatedBy">
      <xsd:simpleType>
        <xsd:restriction base="dms:Text">
          <xsd:maxLength value="100"/>
        </xsd:restriction>
      </xsd:simpleType>
    </xsd:element>
    <xsd:element name="RISModifiedBy" ma:index="29" nillable="true" ma:displayName="RIS Modified By" ma:internalName="RISModifiedBy">
      <xsd:simpleType>
        <xsd:restriction base="dms:Text">
          <xsd:maxLength value="100"/>
        </xsd:restriction>
      </xsd:simpleType>
    </xsd:element>
    <xsd:element name="RISVisibility" ma:index="30" nillable="true" ma:displayName="Visibility" ma:format="Dropdown" ma:internalName="RISVisibility">
      <xsd:simpleType>
        <xsd:restriction base="dms:Choice">
          <xsd:enumeration value="Public"/>
          <xsd:enumeration value="Suppressed"/>
        </xsd:restriction>
      </xsd:simpleType>
    </xsd:element>
    <xsd:element name="RISIncludeinFRProfile" ma:index="31" nillable="true" ma:displayName="Show on My F And R Profile" ma:internalName="RISIncludeinFRProfile">
      <xsd:simpleType>
        <xsd:restriction base="dms:Boolean"/>
      </xsd:simpleType>
    </xsd:element>
    <xsd:element name="RISGuid" ma:index="32" nillable="true" ma:displayName="Unique ID" ma:internalName="RISGuid">
      <xsd:simpleType>
        <xsd:restriction base="dms:Text">
          <xsd:maxLength value="36"/>
        </xsd:restriction>
      </xsd:simpleType>
    </xsd:element>
    <xsd:element name="RISPersonID" ma:index="33" nillable="true" ma:displayName="Person ID" ma:internalName="RISPersonID">
      <xsd:simpleType>
        <xsd:restriction base="dms:Text">
          <xsd:maxLength value="10"/>
        </xsd:restriction>
      </xsd:simpleType>
    </xsd:element>
    <xsd:element name="RISPRelatedType" ma:index="34" nillable="true" ma:displayName="Related Type" ma:internalName="RISPRelatedType">
      <xsd:simpleType>
        <xsd:restriction base="dms:Text">
          <xsd:maxLength value="120"/>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6" ma:displayName="Content Type"/>
        <xsd:element ref="dc:title" minOccurs="0" maxOccurs="1" ma:index="9"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9C12E6-9E51-464D-A804-6229DD5CB320}">
  <ds:schemaRefs>
    <ds:schemaRef ds:uri="http://schemas.microsoft.com/sharepoint/v3"/>
    <ds:schemaRef ds:uri="http://purl.org/dc/terms/"/>
    <ds:schemaRef ds:uri="http://schemas.openxmlformats.org/package/2006/metadata/core-properties"/>
    <ds:schemaRef ds:uri="60B91B04-2990-4B57-B48B-0D67EE7C5EF0"/>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53F4223E-A0A7-4BDF-9E74-38EC56AE07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B91B04-2990-4B57-B48B-0D67EE7C5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Solution</vt:lpstr>
      <vt:lpstr>Financial Statement</vt:lpstr>
      <vt:lpstr>Ex #2 Rev Model</vt:lpstr>
      <vt:lpstr>Ex #3 Rev vs Comps</vt:lpstr>
      <vt:lpstr>Ex #4 Inc-Statement</vt:lpstr>
      <vt:lpstr>Ex #5 Quarterly Fin</vt:lpstr>
      <vt:lpstr>Ex #6 Balance Sheet</vt:lpstr>
      <vt:lpstr>Ex #7 Snap Ratings Over Time</vt:lpstr>
      <vt:lpstr>Ex #8 Analyst Recs Rev</vt:lpstr>
      <vt:lpstr>Ex #9 Analyst Forecasts</vt:lpstr>
      <vt:lpstr>Ex #10 FCF &amp; Assumptions</vt:lpstr>
      <vt:lpstr>Ex #11 MS WACCs</vt:lpstr>
      <vt:lpstr>Ex #12 MS Ratings Universe</vt:lpstr>
      <vt:lpstr>Copyright</vt:lpstr>
    </vt:vector>
  </TitlesOfParts>
  <Company>Harvard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Snap Courseware_189cccf7-2c43-4d0e-9c99-5fd6c5df405d.xlsx</dc:title>
  <dc:creator>Ben Esty</dc:creator>
  <cp:lastModifiedBy>Elliot Sykora</cp:lastModifiedBy>
  <cp:lastPrinted>2018-10-11T15:01:13Z</cp:lastPrinted>
  <dcterms:created xsi:type="dcterms:W3CDTF">2018-03-19T13:38:39Z</dcterms:created>
  <dcterms:modified xsi:type="dcterms:W3CDTF">2022-05-05T04:46:27Z</dcterms:modified>
</cp:coreProperties>
</file>