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Z:\Drive\Developments\03 - 3 Nield Avenue Development\000 Feasability\"/>
    </mc:Choice>
  </mc:AlternateContent>
  <xr:revisionPtr revIDLastSave="0" documentId="13_ncr:1_{7DC0B63A-6336-4243-878D-F746B93BB920}" xr6:coauthVersionLast="47" xr6:coauthVersionMax="47" xr10:uidLastSave="{00000000-0000-0000-0000-000000000000}"/>
  <bookViews>
    <workbookView xWindow="-103" yWindow="-103" windowWidth="25440" windowHeight="15257" tabRatio="725" activeTab="1" xr2:uid="{00000000-000D-0000-FFFF-FFFF00000000}"/>
  </bookViews>
  <sheets>
    <sheet name="EXECUTIVE SUMMARY" sheetId="1" r:id="rId1"/>
    <sheet name="FEASABILITY STUDY" sheetId="2" r:id="rId2"/>
    <sheet name="INTEREST STUDY" sheetId="3" r:id="rId3"/>
    <sheet name="PROPOSED LOAN" sheetId="4" r:id="rId4"/>
    <sheet name="VISUALISATION" sheetId="5" r:id="rId5"/>
  </sheets>
  <definedNames>
    <definedName name="_xlnm._FilterDatabase" localSheetId="1">'FEASABILITY STUDY'!$A$3:$G$279</definedName>
    <definedName name="_xlnm.Print_Area" localSheetId="1">'FEASABILITY STUDY'!$A$1:$G$279</definedName>
    <definedName name="_xlnm.Print_Area" localSheetId="2">'INTEREST STUDY'!$A$1:$AH$60</definedName>
    <definedName name="_xlnm.Print_Area" localSheetId="3">'PROPOSED LOAN'!$A$1:$I$60</definedName>
    <definedName name="_xlnm.Print_Titles" localSheetId="1">'FEASABILITY STUDY'!$1:$3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5" l="1"/>
  <c r="E205" i="2"/>
  <c r="E174" i="2"/>
  <c r="F174" i="2"/>
  <c r="F175" i="2" s="1"/>
  <c r="C178" i="2"/>
  <c r="B178" i="2"/>
  <c r="A178" i="2"/>
  <c r="D65" i="2"/>
  <c r="E65" i="2" s="1"/>
  <c r="F65" i="2" s="1"/>
  <c r="G79" i="2"/>
  <c r="D69" i="2"/>
  <c r="E69" i="2" s="1"/>
  <c r="F69" i="2" s="1"/>
  <c r="D64" i="2"/>
  <c r="E64" i="2" s="1"/>
  <c r="F64" i="2" s="1"/>
  <c r="D60" i="2"/>
  <c r="E60" i="2" s="1"/>
  <c r="F60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8" i="2"/>
  <c r="F68" i="2" s="1"/>
  <c r="E67" i="2"/>
  <c r="F67" i="2" s="1"/>
  <c r="E66" i="2"/>
  <c r="F66" i="2" s="1"/>
  <c r="E63" i="2"/>
  <c r="F63" i="2" s="1"/>
  <c r="E62" i="2"/>
  <c r="F62" i="2" s="1"/>
  <c r="E61" i="2"/>
  <c r="F61" i="2" s="1"/>
  <c r="D48" i="3"/>
  <c r="D47" i="3"/>
  <c r="D46" i="3"/>
  <c r="D45" i="3"/>
  <c r="E44" i="3"/>
  <c r="D44" i="3"/>
  <c r="E191" i="2"/>
  <c r="G191" i="2" s="1"/>
  <c r="D216" i="2" s="1"/>
  <c r="G209" i="2"/>
  <c r="E190" i="2"/>
  <c r="E57" i="3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R14" i="3"/>
  <c r="R13" i="3"/>
  <c r="R3" i="3"/>
  <c r="S3" i="3" s="1"/>
  <c r="U3" i="3"/>
  <c r="V3" i="3" s="1"/>
  <c r="W3" i="3" s="1"/>
  <c r="X3" i="3" s="1"/>
  <c r="Y3" i="3" s="1"/>
  <c r="Z3" i="3" s="1"/>
  <c r="AA3" i="3" s="1"/>
  <c r="AB3" i="3" s="1"/>
  <c r="AC3" i="3" s="1"/>
  <c r="AD3" i="3" s="1"/>
  <c r="AE3" i="3" s="1"/>
  <c r="AF3" i="3" s="1"/>
  <c r="AG3" i="3" s="1"/>
  <c r="C52" i="4"/>
  <c r="C46" i="4"/>
  <c r="H44" i="4"/>
  <c r="H36" i="4"/>
  <c r="C35" i="4"/>
  <c r="H31" i="4"/>
  <c r="C31" i="4"/>
  <c r="C30" i="4"/>
  <c r="H37" i="4" s="1"/>
  <c r="H12" i="4"/>
  <c r="C12" i="4"/>
  <c r="C7" i="4"/>
  <c r="E51" i="3"/>
  <c r="E56" i="3" s="1"/>
  <c r="AC44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AG27" i="3"/>
  <c r="AG31" i="3" s="1"/>
  <c r="AF27" i="3"/>
  <c r="AF31" i="3" s="1"/>
  <c r="AE27" i="3"/>
  <c r="AE31" i="3" s="1"/>
  <c r="AD27" i="3"/>
  <c r="AD31" i="3" s="1"/>
  <c r="AC27" i="3"/>
  <c r="AC31" i="3" s="1"/>
  <c r="AB27" i="3"/>
  <c r="AB31" i="3" s="1"/>
  <c r="AA27" i="3"/>
  <c r="AA31" i="3" s="1"/>
  <c r="Z27" i="3"/>
  <c r="Z31" i="3" s="1"/>
  <c r="Y27" i="3"/>
  <c r="Y31" i="3" s="1"/>
  <c r="X27" i="3"/>
  <c r="X31" i="3" s="1"/>
  <c r="W27" i="3"/>
  <c r="W31" i="3" s="1"/>
  <c r="V27" i="3"/>
  <c r="V31" i="3" s="1"/>
  <c r="U27" i="3"/>
  <c r="U31" i="3" s="1"/>
  <c r="T27" i="3"/>
  <c r="E26" i="3"/>
  <c r="T26" i="3" s="1"/>
  <c r="E24" i="3"/>
  <c r="E170" i="2" s="1"/>
  <c r="F170" i="2" s="1"/>
  <c r="D21" i="3"/>
  <c r="AH20" i="3"/>
  <c r="S14" i="3"/>
  <c r="Q14" i="3"/>
  <c r="P14" i="3"/>
  <c r="O14" i="3"/>
  <c r="N14" i="3"/>
  <c r="M14" i="3"/>
  <c r="L14" i="3"/>
  <c r="K14" i="3"/>
  <c r="J14" i="3"/>
  <c r="I14" i="3"/>
  <c r="H14" i="3"/>
  <c r="G14" i="3"/>
  <c r="F14" i="3"/>
  <c r="S13" i="3"/>
  <c r="Q13" i="3"/>
  <c r="P13" i="3"/>
  <c r="O13" i="3"/>
  <c r="N13" i="3"/>
  <c r="M13" i="3"/>
  <c r="L13" i="3"/>
  <c r="K13" i="3"/>
  <c r="J13" i="3"/>
  <c r="I13" i="3"/>
  <c r="H13" i="3"/>
  <c r="G13" i="3"/>
  <c r="F13" i="3"/>
  <c r="E12" i="3"/>
  <c r="F12" i="3" s="1"/>
  <c r="AH12" i="3" s="1"/>
  <c r="S9" i="3"/>
  <c r="D8" i="3"/>
  <c r="G4" i="3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G3" i="3"/>
  <c r="H3" i="3" s="1"/>
  <c r="I3" i="3" s="1"/>
  <c r="J3" i="3" s="1"/>
  <c r="K3" i="3" s="1"/>
  <c r="L3" i="3" s="1"/>
  <c r="M3" i="3" s="1"/>
  <c r="N3" i="3" s="1"/>
  <c r="O3" i="3" s="1"/>
  <c r="P3" i="3" s="1"/>
  <c r="Q3" i="3" s="1"/>
  <c r="B275" i="2"/>
  <c r="A275" i="2"/>
  <c r="B274" i="2"/>
  <c r="A274" i="2"/>
  <c r="B273" i="2"/>
  <c r="A273" i="2"/>
  <c r="A272" i="2"/>
  <c r="B266" i="2"/>
  <c r="A266" i="2"/>
  <c r="B265" i="2"/>
  <c r="A265" i="2"/>
  <c r="B264" i="2"/>
  <c r="A264" i="2"/>
  <c r="A263" i="2"/>
  <c r="B257" i="2"/>
  <c r="A257" i="2"/>
  <c r="B256" i="2"/>
  <c r="A256" i="2"/>
  <c r="B255" i="2"/>
  <c r="A255" i="2"/>
  <c r="E252" i="2"/>
  <c r="E251" i="2"/>
  <c r="G250" i="2"/>
  <c r="G249" i="2"/>
  <c r="B248" i="2"/>
  <c r="A248" i="2"/>
  <c r="B247" i="2"/>
  <c r="A247" i="2"/>
  <c r="B246" i="2"/>
  <c r="A246" i="2"/>
  <c r="G242" i="2"/>
  <c r="B242" i="2"/>
  <c r="D242" i="2" s="1"/>
  <c r="B241" i="2"/>
  <c r="B227" i="2"/>
  <c r="B226" i="2"/>
  <c r="B228" i="2" s="1"/>
  <c r="B221" i="2"/>
  <c r="B196" i="2"/>
  <c r="B200" i="2"/>
  <c r="B198" i="2"/>
  <c r="B31" i="5"/>
  <c r="C27" i="5" s="1"/>
  <c r="D188" i="2"/>
  <c r="E187" i="2"/>
  <c r="F187" i="2" s="1"/>
  <c r="C183" i="2"/>
  <c r="B183" i="2"/>
  <c r="D181" i="2"/>
  <c r="D180" i="2"/>
  <c r="B179" i="2"/>
  <c r="G175" i="2"/>
  <c r="F172" i="2"/>
  <c r="D168" i="2"/>
  <c r="D185" i="2" s="1"/>
  <c r="D167" i="2"/>
  <c r="E167" i="2" s="1"/>
  <c r="E185" i="2" s="1"/>
  <c r="D166" i="2"/>
  <c r="A165" i="2"/>
  <c r="B152" i="2"/>
  <c r="B163" i="2" s="1"/>
  <c r="B189" i="2" s="1"/>
  <c r="G147" i="2"/>
  <c r="B147" i="2"/>
  <c r="E146" i="2"/>
  <c r="F146" i="2" s="1"/>
  <c r="E145" i="2"/>
  <c r="F145" i="2" s="1"/>
  <c r="E144" i="2"/>
  <c r="F144" i="2" s="1"/>
  <c r="E143" i="2"/>
  <c r="F143" i="2" s="1"/>
  <c r="D141" i="2"/>
  <c r="E141" i="2" s="1"/>
  <c r="F141" i="2" s="1"/>
  <c r="D140" i="2"/>
  <c r="E140" i="2" s="1"/>
  <c r="F140" i="2" s="1"/>
  <c r="D139" i="2"/>
  <c r="E139" i="2" s="1"/>
  <c r="F139" i="2" s="1"/>
  <c r="D138" i="2"/>
  <c r="B135" i="2"/>
  <c r="B142" i="2" s="1"/>
  <c r="D134" i="2"/>
  <c r="D133" i="2"/>
  <c r="C130" i="2"/>
  <c r="B130" i="2"/>
  <c r="E128" i="2"/>
  <c r="G128" i="2" s="1"/>
  <c r="G125" i="2"/>
  <c r="D125" i="2"/>
  <c r="B11" i="5" s="1"/>
  <c r="F124" i="2"/>
  <c r="D124" i="2"/>
  <c r="B124" i="2" s="1"/>
  <c r="F123" i="2"/>
  <c r="D123" i="2"/>
  <c r="B123" i="2" s="1"/>
  <c r="D122" i="2"/>
  <c r="D121" i="2"/>
  <c r="E121" i="2" s="1"/>
  <c r="F121" i="2" s="1"/>
  <c r="D120" i="2"/>
  <c r="E120" i="2" s="1"/>
  <c r="F120" i="2" s="1"/>
  <c r="E119" i="2"/>
  <c r="E180" i="2" s="1"/>
  <c r="G180" i="2" s="1"/>
  <c r="G116" i="2"/>
  <c r="E115" i="2"/>
  <c r="F115" i="2" s="1"/>
  <c r="F116" i="2" s="1"/>
  <c r="F112" i="2"/>
  <c r="D112" i="2"/>
  <c r="B7" i="5" s="1"/>
  <c r="G109" i="2"/>
  <c r="D109" i="2"/>
  <c r="D195" i="2" s="1"/>
  <c r="D107" i="2"/>
  <c r="D108" i="2" s="1"/>
  <c r="E108" i="2" s="1"/>
  <c r="B106" i="2"/>
  <c r="G103" i="2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F57" i="2"/>
  <c r="B56" i="2"/>
  <c r="B55" i="2"/>
  <c r="A54" i="2"/>
  <c r="F52" i="2"/>
  <c r="A49" i="2"/>
  <c r="A254" i="2" s="1"/>
  <c r="F47" i="2"/>
  <c r="B47" i="2"/>
  <c r="E45" i="2"/>
  <c r="G45" i="2" s="1"/>
  <c r="D45" i="2"/>
  <c r="E43" i="2"/>
  <c r="G43" i="2" s="1"/>
  <c r="G42" i="2"/>
  <c r="B45" i="5" s="1"/>
  <c r="D42" i="2"/>
  <c r="B41" i="2"/>
  <c r="B40" i="2"/>
  <c r="F37" i="2"/>
  <c r="F36" i="2"/>
  <c r="F35" i="2"/>
  <c r="E33" i="2"/>
  <c r="G33" i="2" s="1"/>
  <c r="G32" i="2"/>
  <c r="D32" i="2"/>
  <c r="F31" i="2"/>
  <c r="B31" i="2"/>
  <c r="B30" i="2"/>
  <c r="E27" i="2"/>
  <c r="G27" i="2" s="1"/>
  <c r="E24" i="2"/>
  <c r="D25" i="2" s="1"/>
  <c r="E25" i="2" s="1"/>
  <c r="G25" i="2" s="1"/>
  <c r="D28" i="2" s="1"/>
  <c r="G23" i="2"/>
  <c r="D23" i="2"/>
  <c r="B22" i="2"/>
  <c r="B21" i="2"/>
  <c r="F17" i="2"/>
  <c r="F22" i="2" s="1"/>
  <c r="E16" i="2"/>
  <c r="G16" i="2" s="1"/>
  <c r="E15" i="2"/>
  <c r="G15" i="2" s="1"/>
  <c r="E14" i="2"/>
  <c r="G14" i="2" s="1"/>
  <c r="E12" i="2"/>
  <c r="D13" i="2" s="1"/>
  <c r="E13" i="2" s="1"/>
  <c r="G13" i="2" s="1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35" i="1" a="1"/>
  <c r="G35" i="1" s="1"/>
  <c r="F35" i="1"/>
  <c r="E35" i="1"/>
  <c r="G8" i="1" a="1"/>
  <c r="G8" i="1" s="1"/>
  <c r="G7" i="1" a="1"/>
  <c r="G7" i="1" s="1"/>
  <c r="C7" i="1" a="1"/>
  <c r="C7" i="1" s="1"/>
  <c r="B4" i="1"/>
  <c r="F79" i="2" l="1"/>
  <c r="E79" i="2" s="1"/>
  <c r="B5" i="5" s="1"/>
  <c r="E116" i="2"/>
  <c r="D116" i="2" s="1"/>
  <c r="B39" i="2"/>
  <c r="B38" i="2"/>
  <c r="B112" i="2"/>
  <c r="B29" i="2"/>
  <c r="B28" i="2"/>
  <c r="E28" i="2" s="1"/>
  <c r="G28" i="2" s="1"/>
  <c r="B19" i="2"/>
  <c r="D34" i="2"/>
  <c r="E34" i="2" s="1"/>
  <c r="G34" i="2" s="1"/>
  <c r="D39" i="2" s="1"/>
  <c r="D135" i="2"/>
  <c r="E135" i="2" s="1"/>
  <c r="D208" i="2"/>
  <c r="G251" i="2"/>
  <c r="T4" i="3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D204" i="2"/>
  <c r="V44" i="3"/>
  <c r="X44" i="3"/>
  <c r="Y44" i="3"/>
  <c r="AH13" i="3"/>
  <c r="E13" i="3" s="1"/>
  <c r="B13" i="3" s="1"/>
  <c r="Z44" i="3"/>
  <c r="AA44" i="3"/>
  <c r="U44" i="3"/>
  <c r="AH14" i="3"/>
  <c r="AB44" i="3"/>
  <c r="AD44" i="3"/>
  <c r="AH27" i="3"/>
  <c r="E27" i="3" s="1"/>
  <c r="B27" i="3" s="1"/>
  <c r="AG44" i="3"/>
  <c r="E107" i="2"/>
  <c r="F107" i="2" s="1"/>
  <c r="B18" i="2"/>
  <c r="B180" i="2"/>
  <c r="AH35" i="3"/>
  <c r="E35" i="3" s="1"/>
  <c r="F41" i="2"/>
  <c r="E152" i="2"/>
  <c r="D18" i="2"/>
  <c r="E142" i="2"/>
  <c r="F142" i="2" s="1"/>
  <c r="F147" i="2" s="1"/>
  <c r="E147" i="2" s="1"/>
  <c r="B57" i="2"/>
  <c r="B103" i="2" s="1"/>
  <c r="D182" i="2"/>
  <c r="F103" i="2"/>
  <c r="E103" i="2" s="1"/>
  <c r="G185" i="2"/>
  <c r="B185" i="2"/>
  <c r="E208" i="2"/>
  <c r="AH26" i="3"/>
  <c r="G130" i="2"/>
  <c r="D129" i="2"/>
  <c r="E129" i="2" s="1"/>
  <c r="F129" i="2" s="1"/>
  <c r="F130" i="2" s="1"/>
  <c r="F108" i="2"/>
  <c r="D186" i="2"/>
  <c r="AH29" i="3"/>
  <c r="G24" i="2"/>
  <c r="D190" i="2"/>
  <c r="B190" i="2" s="1"/>
  <c r="E21" i="3"/>
  <c r="D187" i="2"/>
  <c r="B187" i="2" s="1"/>
  <c r="H46" i="4"/>
  <c r="H47" i="4" s="1"/>
  <c r="C42" i="4" s="1"/>
  <c r="G11" i="1" s="1" a="1"/>
  <c r="G11" i="1" s="1"/>
  <c r="C51" i="4"/>
  <c r="C50" i="4" s="1"/>
  <c r="C47" i="4" s="1"/>
  <c r="C48" i="4" s="1"/>
  <c r="G190" i="2"/>
  <c r="D202" i="2"/>
  <c r="D206" i="2"/>
  <c r="E206" i="2" s="1"/>
  <c r="F206" i="2" s="1"/>
  <c r="AH34" i="3"/>
  <c r="G12" i="2"/>
  <c r="D44" i="2"/>
  <c r="E44" i="2" s="1"/>
  <c r="G44" i="2" s="1"/>
  <c r="T24" i="3"/>
  <c r="C49" i="4"/>
  <c r="D191" i="2"/>
  <c r="C43" i="4"/>
  <c r="E188" i="2"/>
  <c r="E8" i="3"/>
  <c r="AE44" i="3"/>
  <c r="E47" i="3"/>
  <c r="AF44" i="3"/>
  <c r="C40" i="4"/>
  <c r="G9" i="1" s="1" a="1"/>
  <c r="G9" i="1" s="1"/>
  <c r="C41" i="4"/>
  <c r="G10" i="1" s="1" a="1"/>
  <c r="G10" i="1" s="1"/>
  <c r="W44" i="3"/>
  <c r="E45" i="3"/>
  <c r="C37" i="4"/>
  <c r="E178" i="2" l="1"/>
  <c r="F178" i="2" s="1"/>
  <c r="D79" i="2"/>
  <c r="E39" i="2"/>
  <c r="G39" i="2" s="1"/>
  <c r="D38" i="2"/>
  <c r="E38" i="2" s="1"/>
  <c r="G38" i="2" s="1"/>
  <c r="E130" i="2"/>
  <c r="D58" i="3"/>
  <c r="D57" i="3"/>
  <c r="F109" i="2"/>
  <c r="E109" i="2" s="1"/>
  <c r="B109" i="2" s="1"/>
  <c r="D142" i="2"/>
  <c r="E18" i="2"/>
  <c r="G18" i="2" s="1"/>
  <c r="AH44" i="3"/>
  <c r="E46" i="3"/>
  <c r="E48" i="3" s="1"/>
  <c r="E204" i="2"/>
  <c r="D205" i="2" s="1"/>
  <c r="B205" i="2" s="1"/>
  <c r="E179" i="2"/>
  <c r="F179" i="2" s="1"/>
  <c r="B9" i="5"/>
  <c r="D147" i="2"/>
  <c r="D153" i="2"/>
  <c r="E153" i="2" s="1"/>
  <c r="G153" i="2" s="1"/>
  <c r="G163" i="2" s="1"/>
  <c r="F152" i="2"/>
  <c r="AD47" i="3"/>
  <c r="AC47" i="3"/>
  <c r="AA47" i="3"/>
  <c r="Y47" i="3"/>
  <c r="X47" i="3"/>
  <c r="W47" i="3"/>
  <c r="AG47" i="3"/>
  <c r="U47" i="3"/>
  <c r="AF47" i="3"/>
  <c r="AE47" i="3"/>
  <c r="AB47" i="3"/>
  <c r="Z47" i="3"/>
  <c r="V47" i="3"/>
  <c r="D29" i="2"/>
  <c r="E29" i="2" s="1"/>
  <c r="G29" i="2" s="1"/>
  <c r="D130" i="2"/>
  <c r="E183" i="2"/>
  <c r="D19" i="2"/>
  <c r="E19" i="2" s="1"/>
  <c r="G19" i="2" s="1"/>
  <c r="F205" i="2"/>
  <c r="D46" i="2"/>
  <c r="E46" i="2" s="1"/>
  <c r="G46" i="2" s="1"/>
  <c r="G47" i="2" s="1"/>
  <c r="E54" i="3"/>
  <c r="B8" i="3"/>
  <c r="D16" i="3"/>
  <c r="R16" i="3" s="1"/>
  <c r="D15" i="3"/>
  <c r="R15" i="3" s="1"/>
  <c r="D11" i="3"/>
  <c r="E11" i="3" s="1"/>
  <c r="F11" i="3" s="1"/>
  <c r="AH11" i="3" s="1"/>
  <c r="D10" i="3"/>
  <c r="E10" i="3" s="1"/>
  <c r="F10" i="3" s="1"/>
  <c r="AH10" i="3" s="1"/>
  <c r="D56" i="3"/>
  <c r="B56" i="3" s="1"/>
  <c r="D52" i="3"/>
  <c r="D53" i="3" s="1"/>
  <c r="D55" i="3"/>
  <c r="D59" i="3"/>
  <c r="D32" i="3"/>
  <c r="D30" i="3"/>
  <c r="D54" i="3"/>
  <c r="E168" i="2"/>
  <c r="E52" i="3"/>
  <c r="D35" i="3"/>
  <c r="B35" i="3" s="1"/>
  <c r="D31" i="3"/>
  <c r="D25" i="3"/>
  <c r="E25" i="3" s="1"/>
  <c r="D28" i="3"/>
  <c r="E28" i="3" s="1"/>
  <c r="T28" i="3" s="1"/>
  <c r="T31" i="3" s="1"/>
  <c r="D33" i="3"/>
  <c r="D36" i="3"/>
  <c r="B21" i="3"/>
  <c r="B59" i="5"/>
  <c r="F208" i="2"/>
  <c r="B208" i="2"/>
  <c r="Y45" i="3"/>
  <c r="W45" i="3"/>
  <c r="AG45" i="3"/>
  <c r="U45" i="3"/>
  <c r="AF45" i="3"/>
  <c r="AE45" i="3"/>
  <c r="AC45" i="3"/>
  <c r="AB45" i="3"/>
  <c r="AA45" i="3"/>
  <c r="Z45" i="3"/>
  <c r="X45" i="3"/>
  <c r="V45" i="3"/>
  <c r="AD45" i="3"/>
  <c r="B47" i="5"/>
  <c r="E181" i="2"/>
  <c r="D103" i="2"/>
  <c r="E40" i="2"/>
  <c r="B23" i="5"/>
  <c r="F188" i="2"/>
  <c r="B188" i="2"/>
  <c r="D178" i="2" l="1"/>
  <c r="E214" i="2"/>
  <c r="E226" i="2" s="1"/>
  <c r="D227" i="2" s="1"/>
  <c r="E227" i="2" s="1"/>
  <c r="F227" i="2" s="1"/>
  <c r="F228" i="2" s="1"/>
  <c r="B55" i="5"/>
  <c r="AG48" i="3"/>
  <c r="D20" i="2"/>
  <c r="E20" i="2" s="1"/>
  <c r="G20" i="2" s="1"/>
  <c r="D179" i="2"/>
  <c r="E195" i="2"/>
  <c r="G21" i="2"/>
  <c r="E21" i="2" s="1"/>
  <c r="D21" i="2" s="1"/>
  <c r="D22" i="2" s="1"/>
  <c r="D154" i="2"/>
  <c r="D155" i="2" s="1"/>
  <c r="E155" i="2" s="1"/>
  <c r="F204" i="2"/>
  <c r="B204" i="2"/>
  <c r="AH47" i="3"/>
  <c r="AE46" i="3"/>
  <c r="AA46" i="3"/>
  <c r="Z46" i="3"/>
  <c r="X46" i="3"/>
  <c r="V46" i="3"/>
  <c r="AF46" i="3"/>
  <c r="AC46" i="3"/>
  <c r="Y46" i="3"/>
  <c r="W46" i="3"/>
  <c r="AD46" i="3"/>
  <c r="AG46" i="3"/>
  <c r="U46" i="3"/>
  <c r="AB46" i="3"/>
  <c r="D214" i="2"/>
  <c r="D234" i="2" s="1"/>
  <c r="E234" i="2" s="1"/>
  <c r="F234" i="2" s="1"/>
  <c r="B54" i="3"/>
  <c r="B49" i="5"/>
  <c r="E47" i="2"/>
  <c r="D47" i="2" s="1"/>
  <c r="G30" i="2"/>
  <c r="E30" i="2" s="1"/>
  <c r="D30" i="2" s="1"/>
  <c r="D31" i="2" s="1"/>
  <c r="E31" i="2" s="1"/>
  <c r="X48" i="3"/>
  <c r="AA48" i="3"/>
  <c r="Z48" i="3"/>
  <c r="V48" i="3"/>
  <c r="AH45" i="3"/>
  <c r="AH28" i="3"/>
  <c r="AH31" i="3"/>
  <c r="T25" i="3"/>
  <c r="E53" i="3"/>
  <c r="B53" i="3" s="1"/>
  <c r="C35" i="5"/>
  <c r="T48" i="3"/>
  <c r="G40" i="2"/>
  <c r="G41" i="2" s="1"/>
  <c r="D40" i="2"/>
  <c r="B52" i="3"/>
  <c r="S15" i="3"/>
  <c r="F15" i="3"/>
  <c r="J15" i="3"/>
  <c r="I15" i="3"/>
  <c r="H15" i="3"/>
  <c r="G15" i="3"/>
  <c r="Q15" i="3"/>
  <c r="P15" i="3"/>
  <c r="O15" i="3"/>
  <c r="N15" i="3"/>
  <c r="M15" i="3"/>
  <c r="L15" i="3"/>
  <c r="K15" i="3"/>
  <c r="B13" i="5"/>
  <c r="F181" i="2"/>
  <c r="B181" i="2"/>
  <c r="B168" i="2"/>
  <c r="D169" i="2"/>
  <c r="AE32" i="3"/>
  <c r="M16" i="3"/>
  <c r="AF32" i="3"/>
  <c r="F16" i="3"/>
  <c r="AD32" i="3"/>
  <c r="S16" i="3"/>
  <c r="AC32" i="3"/>
  <c r="Q16" i="3"/>
  <c r="AB32" i="3"/>
  <c r="P16" i="3"/>
  <c r="AA32" i="3"/>
  <c r="O16" i="3"/>
  <c r="Z32" i="3"/>
  <c r="N16" i="3"/>
  <c r="Y32" i="3"/>
  <c r="L16" i="3"/>
  <c r="X32" i="3"/>
  <c r="K16" i="3"/>
  <c r="W32" i="3"/>
  <c r="J16" i="3"/>
  <c r="V32" i="3"/>
  <c r="I16" i="3"/>
  <c r="U32" i="3"/>
  <c r="H16" i="3"/>
  <c r="AG32" i="3"/>
  <c r="G16" i="3"/>
  <c r="B17" i="5"/>
  <c r="D183" i="2"/>
  <c r="G183" i="2"/>
  <c r="G184" i="2" s="1"/>
  <c r="D226" i="2" l="1"/>
  <c r="B195" i="2"/>
  <c r="B39" i="5"/>
  <c r="W48" i="3"/>
  <c r="B48" i="3"/>
  <c r="AB48" i="3"/>
  <c r="AF48" i="3"/>
  <c r="Y48" i="3"/>
  <c r="G22" i="2"/>
  <c r="E22" i="2" s="1"/>
  <c r="G226" i="2"/>
  <c r="E230" i="2" s="1"/>
  <c r="G259" i="2"/>
  <c r="E259" i="2" s="1"/>
  <c r="AC48" i="3"/>
  <c r="AE48" i="3"/>
  <c r="AD48" i="3"/>
  <c r="U48" i="3"/>
  <c r="AH48" i="3" s="1"/>
  <c r="E154" i="2"/>
  <c r="F154" i="2" s="1"/>
  <c r="F195" i="2"/>
  <c r="D259" i="2"/>
  <c r="F214" i="2"/>
  <c r="G214" i="2" s="1"/>
  <c r="D230" i="2"/>
  <c r="E31" i="3"/>
  <c r="B31" i="3" s="1"/>
  <c r="D268" i="2"/>
  <c r="AH46" i="3"/>
  <c r="D277" i="2"/>
  <c r="D250" i="2"/>
  <c r="B250" i="2" s="1"/>
  <c r="F155" i="2"/>
  <c r="C18" i="1" a="1"/>
  <c r="C18" i="1" s="1"/>
  <c r="AH15" i="3"/>
  <c r="E15" i="3" s="1"/>
  <c r="D50" i="2"/>
  <c r="D198" i="2"/>
  <c r="G16" i="1" s="1" a="1"/>
  <c r="G16" i="1" s="1"/>
  <c r="G31" i="2"/>
  <c r="AH25" i="3"/>
  <c r="T30" i="3"/>
  <c r="AH16" i="3"/>
  <c r="E16" i="3" s="1"/>
  <c r="AH32" i="3"/>
  <c r="E32" i="3" s="1"/>
  <c r="D170" i="2"/>
  <c r="B170" i="2" s="1"/>
  <c r="D194" i="2"/>
  <c r="D172" i="2"/>
  <c r="B172" i="2" s="1"/>
  <c r="D173" i="2"/>
  <c r="D175" i="2" s="1"/>
  <c r="B27" i="5" s="1"/>
  <c r="E169" i="2"/>
  <c r="D193" i="2"/>
  <c r="D197" i="2"/>
  <c r="D171" i="2"/>
  <c r="E171" i="2" s="1"/>
  <c r="F171" i="2" s="1"/>
  <c r="D266" i="2"/>
  <c r="E266" i="2" s="1"/>
  <c r="G266" i="2" s="1"/>
  <c r="D41" i="2"/>
  <c r="E41" i="2" s="1"/>
  <c r="D265" i="2"/>
  <c r="E265" i="2" s="1"/>
  <c r="G265" i="2" s="1"/>
  <c r="D264" i="2"/>
  <c r="E264" i="2" s="1"/>
  <c r="G264" i="2" s="1"/>
  <c r="F163" i="2" l="1"/>
  <c r="E163" i="2" s="1"/>
  <c r="C17" i="1" s="1"/>
  <c r="G228" i="2"/>
  <c r="E228" i="2" s="1"/>
  <c r="D228" i="2" s="1"/>
  <c r="B259" i="2"/>
  <c r="G277" i="2"/>
  <c r="E277" i="2" s="1"/>
  <c r="B277" i="2" s="1"/>
  <c r="G268" i="2"/>
  <c r="E268" i="2" s="1"/>
  <c r="B268" i="2" s="1"/>
  <c r="F230" i="2"/>
  <c r="G230" i="2" s="1"/>
  <c r="B29" i="5"/>
  <c r="F169" i="2"/>
  <c r="AH30" i="3"/>
  <c r="E30" i="3" s="1"/>
  <c r="B30" i="3" s="1"/>
  <c r="T36" i="3"/>
  <c r="B15" i="3"/>
  <c r="E122" i="2"/>
  <c r="B32" i="3"/>
  <c r="D255" i="2"/>
  <c r="D273" i="2" s="1"/>
  <c r="D51" i="2"/>
  <c r="E50" i="2"/>
  <c r="F182" i="2"/>
  <c r="B16" i="3"/>
  <c r="F184" i="2" l="1"/>
  <c r="E184" i="2" s="1"/>
  <c r="E55" i="3"/>
  <c r="D43" i="3"/>
  <c r="B21" i="5"/>
  <c r="B33" i="5" s="1"/>
  <c r="D49" i="3"/>
  <c r="T43" i="3" s="1"/>
  <c r="D163" i="2"/>
  <c r="D41" i="3"/>
  <c r="D39" i="3"/>
  <c r="E39" i="3" s="1"/>
  <c r="E189" i="2"/>
  <c r="F189" i="2" s="1"/>
  <c r="D40" i="3"/>
  <c r="E186" i="2"/>
  <c r="E182" i="2"/>
  <c r="D233" i="2"/>
  <c r="E233" i="2" s="1"/>
  <c r="D184" i="2"/>
  <c r="D243" i="2"/>
  <c r="E241" i="2"/>
  <c r="G50" i="2"/>
  <c r="E255" i="2"/>
  <c r="D256" i="2"/>
  <c r="D274" i="2" s="1"/>
  <c r="E274" i="2" s="1"/>
  <c r="G274" i="2" s="1"/>
  <c r="E51" i="2"/>
  <c r="D275" i="2"/>
  <c r="E275" i="2" s="1"/>
  <c r="G275" i="2" s="1"/>
  <c r="E273" i="2"/>
  <c r="G273" i="2" s="1"/>
  <c r="B122" i="2"/>
  <c r="F122" i="2"/>
  <c r="F125" i="2" s="1"/>
  <c r="E125" i="2" s="1"/>
  <c r="B125" i="2" s="1"/>
  <c r="E58" i="3" l="1"/>
  <c r="B58" i="3" s="1"/>
  <c r="B55" i="3"/>
  <c r="T21" i="3"/>
  <c r="U21" i="3" s="1"/>
  <c r="V21" i="3" s="1"/>
  <c r="W21" i="3" s="1"/>
  <c r="X21" i="3" s="1"/>
  <c r="Y21" i="3" s="1"/>
  <c r="Z21" i="3" s="1"/>
  <c r="AA21" i="3" s="1"/>
  <c r="AB21" i="3" s="1"/>
  <c r="AC21" i="3" s="1"/>
  <c r="AD21" i="3" s="1"/>
  <c r="AE21" i="3" s="1"/>
  <c r="AF21" i="3" s="1"/>
  <c r="AG21" i="3" s="1"/>
  <c r="U33" i="3"/>
  <c r="U36" i="3" s="1"/>
  <c r="D189" i="2"/>
  <c r="B184" i="2"/>
  <c r="B57" i="3"/>
  <c r="G51" i="2"/>
  <c r="G256" i="2" s="1"/>
  <c r="E256" i="2"/>
  <c r="T49" i="3"/>
  <c r="E41" i="3"/>
  <c r="E40" i="3"/>
  <c r="D235" i="2"/>
  <c r="E235" i="2" s="1"/>
  <c r="B235" i="2" s="1"/>
  <c r="F233" i="2"/>
  <c r="G255" i="2"/>
  <c r="B15" i="5"/>
  <c r="B182" i="2"/>
  <c r="F241" i="2"/>
  <c r="F243" i="2" s="1"/>
  <c r="E243" i="2" s="1"/>
  <c r="B243" i="2" s="1"/>
  <c r="D241" i="2"/>
  <c r="B186" i="2"/>
  <c r="F186" i="2"/>
  <c r="E59" i="3" l="1"/>
  <c r="V33" i="3"/>
  <c r="W33" i="3" s="1"/>
  <c r="AH21" i="3"/>
  <c r="G52" i="2"/>
  <c r="E198" i="2" s="1"/>
  <c r="D42" i="3"/>
  <c r="E42" i="3" s="1"/>
  <c r="E43" i="3" s="1"/>
  <c r="E202" i="2"/>
  <c r="F202" i="2" s="1"/>
  <c r="B191" i="2"/>
  <c r="F192" i="2"/>
  <c r="G235" i="2"/>
  <c r="X40" i="3"/>
  <c r="AF40" i="3"/>
  <c r="AE40" i="3"/>
  <c r="AB40" i="3"/>
  <c r="AA40" i="3"/>
  <c r="Z40" i="3"/>
  <c r="AC40" i="3"/>
  <c r="Y40" i="3"/>
  <c r="W40" i="3"/>
  <c r="V40" i="3"/>
  <c r="U40" i="3"/>
  <c r="AG40" i="3"/>
  <c r="AD40" i="3"/>
  <c r="AF41" i="3"/>
  <c r="AD41" i="3"/>
  <c r="AB41" i="3"/>
  <c r="AA41" i="3"/>
  <c r="X41" i="3"/>
  <c r="W41" i="3"/>
  <c r="V41" i="3"/>
  <c r="AG41" i="3"/>
  <c r="AE41" i="3"/>
  <c r="AC41" i="3"/>
  <c r="Z41" i="3"/>
  <c r="Y41" i="3"/>
  <c r="U41" i="3"/>
  <c r="V36" i="3" l="1"/>
  <c r="D192" i="2"/>
  <c r="D200" i="2"/>
  <c r="E200" i="2" s="1"/>
  <c r="E52" i="2"/>
  <c r="E257" i="2" s="1"/>
  <c r="X43" i="3"/>
  <c r="X49" i="3" s="1"/>
  <c r="W43" i="3"/>
  <c r="W49" i="3" s="1"/>
  <c r="V43" i="3"/>
  <c r="V49" i="3" s="1"/>
  <c r="AG43" i="3"/>
  <c r="AG49" i="3" s="1"/>
  <c r="U43" i="3"/>
  <c r="AA43" i="3"/>
  <c r="AA49" i="3" s="1"/>
  <c r="AF43" i="3"/>
  <c r="AF49" i="3" s="1"/>
  <c r="AE43" i="3"/>
  <c r="AE49" i="3" s="1"/>
  <c r="Z43" i="3"/>
  <c r="Z49" i="3" s="1"/>
  <c r="AD43" i="3"/>
  <c r="AD49" i="3" s="1"/>
  <c r="AC43" i="3"/>
  <c r="AC49" i="3" s="1"/>
  <c r="Y43" i="3"/>
  <c r="Y49" i="3" s="1"/>
  <c r="AB43" i="3"/>
  <c r="AB49" i="3" s="1"/>
  <c r="V42" i="3"/>
  <c r="AA42" i="3"/>
  <c r="Y42" i="3"/>
  <c r="U42" i="3"/>
  <c r="AD42" i="3"/>
  <c r="AG42" i="3"/>
  <c r="AC42" i="3"/>
  <c r="AB42" i="3"/>
  <c r="X42" i="3"/>
  <c r="W42" i="3"/>
  <c r="AE42" i="3"/>
  <c r="Z42" i="3"/>
  <c r="AF42" i="3"/>
  <c r="G192" i="2"/>
  <c r="E192" i="2" s="1"/>
  <c r="D203" i="2"/>
  <c r="E203" i="2" s="1"/>
  <c r="F203" i="2" s="1"/>
  <c r="B202" i="2"/>
  <c r="AB39" i="3"/>
  <c r="X39" i="3"/>
  <c r="W39" i="3"/>
  <c r="AF39" i="3"/>
  <c r="AE39" i="3"/>
  <c r="AD39" i="3"/>
  <c r="U39" i="3"/>
  <c r="AG39" i="3"/>
  <c r="AC39" i="3"/>
  <c r="AA39" i="3"/>
  <c r="Z39" i="3"/>
  <c r="Y39" i="3"/>
  <c r="V39" i="3"/>
  <c r="X33" i="3"/>
  <c r="W36" i="3"/>
  <c r="AH40" i="3"/>
  <c r="AH41" i="3"/>
  <c r="F200" i="2" l="1"/>
  <c r="B53" i="5"/>
  <c r="B192" i="2"/>
  <c r="D52" i="2"/>
  <c r="D257" i="2" s="1"/>
  <c r="E57" i="2"/>
  <c r="D57" i="2" s="1"/>
  <c r="D55" i="2" s="1"/>
  <c r="E55" i="2" s="1"/>
  <c r="G55" i="2" s="1"/>
  <c r="AH42" i="3"/>
  <c r="U49" i="3"/>
  <c r="AH49" i="3" s="1"/>
  <c r="AH43" i="3"/>
  <c r="E216" i="2"/>
  <c r="F216" i="2" s="1"/>
  <c r="G216" i="2" s="1"/>
  <c r="D56" i="2"/>
  <c r="E56" i="2" s="1"/>
  <c r="G56" i="2" s="1"/>
  <c r="B43" i="3"/>
  <c r="E49" i="3"/>
  <c r="AH39" i="3"/>
  <c r="Y33" i="3"/>
  <c r="X36" i="3"/>
  <c r="Z33" i="3" l="1"/>
  <c r="Y36" i="3"/>
  <c r="B49" i="3"/>
  <c r="E194" i="2"/>
  <c r="G57" i="2"/>
  <c r="B194" i="2" l="1"/>
  <c r="G194" i="2"/>
  <c r="AA33" i="3"/>
  <c r="Z36" i="3"/>
  <c r="AB33" i="3" l="1"/>
  <c r="AA36" i="3"/>
  <c r="AC33" i="3" l="1"/>
  <c r="AB36" i="3"/>
  <c r="AD33" i="3" l="1"/>
  <c r="AC36" i="3"/>
  <c r="AE33" i="3" l="1"/>
  <c r="AD36" i="3"/>
  <c r="AF33" i="3" l="1"/>
  <c r="AE36" i="3"/>
  <c r="AG33" i="3" l="1"/>
  <c r="AG36" i="3" s="1"/>
  <c r="AF36" i="3"/>
  <c r="AH36" i="3" l="1"/>
  <c r="E36" i="3" s="1"/>
  <c r="B36" i="3" s="1"/>
  <c r="AH33" i="3"/>
  <c r="E33" i="3" s="1"/>
  <c r="C11" i="1" s="1"/>
  <c r="B33" i="3" l="1"/>
  <c r="E173" i="2"/>
  <c r="F173" i="2" l="1"/>
  <c r="E175" i="2" s="1"/>
  <c r="B173" i="2"/>
  <c r="E193" i="2" l="1"/>
  <c r="B175" i="2"/>
  <c r="B37" i="5" l="1"/>
  <c r="F193" i="2"/>
  <c r="B193" i="2"/>
  <c r="F197" i="2" l="1"/>
  <c r="G201" i="2"/>
  <c r="D209" i="2"/>
  <c r="D201" i="2"/>
  <c r="G15" i="1" a="1"/>
  <c r="G15" i="1" s="1"/>
  <c r="G198" i="2"/>
  <c r="D199" i="2" s="1"/>
  <c r="E199" i="2" s="1"/>
  <c r="G257" i="2" l="1"/>
  <c r="D196" i="2"/>
  <c r="E196" i="2" s="1"/>
  <c r="F199" i="2"/>
  <c r="B51" i="5"/>
  <c r="F201" i="2" l="1"/>
  <c r="E201" i="2"/>
  <c r="B201" i="2" s="1"/>
  <c r="G196" i="2"/>
  <c r="B41" i="5"/>
  <c r="G197" i="2" l="1"/>
  <c r="D210" i="2" s="1"/>
  <c r="D207" i="2" l="1"/>
  <c r="E207" i="2"/>
  <c r="F207" i="2" s="1"/>
  <c r="G210" i="2"/>
  <c r="D212" i="2"/>
  <c r="D276" i="2" s="1"/>
  <c r="E197" i="2"/>
  <c r="B197" i="2" s="1"/>
  <c r="D249" i="2"/>
  <c r="D267" i="2"/>
  <c r="B35" i="5"/>
  <c r="B43" i="5" s="1"/>
  <c r="D258" i="2" l="1"/>
  <c r="D261" i="2" s="1"/>
  <c r="D223" i="2"/>
  <c r="D236" i="2" s="1"/>
  <c r="D238" i="2" s="1"/>
  <c r="B207" i="2"/>
  <c r="B57" i="5"/>
  <c r="B61" i="5" s="1"/>
  <c r="B63" i="5" s="1"/>
  <c r="A63" i="5" s="1"/>
  <c r="F209" i="2"/>
  <c r="F210" i="2" s="1"/>
  <c r="E210" i="2" s="1"/>
  <c r="E209" i="2"/>
  <c r="B209" i="2" s="1"/>
  <c r="D270" i="2"/>
  <c r="D269" i="2"/>
  <c r="D252" i="2"/>
  <c r="B252" i="2" s="1"/>
  <c r="B249" i="2"/>
  <c r="D251" i="2"/>
  <c r="B251" i="2" s="1"/>
  <c r="D278" i="2"/>
  <c r="D279" i="2"/>
  <c r="D260" i="2" l="1"/>
  <c r="E212" i="2"/>
  <c r="B210" i="2"/>
  <c r="G18" i="1" s="1" a="1"/>
  <c r="G18" i="1" s="1"/>
  <c r="G258" i="2" l="1"/>
  <c r="E219" i="2"/>
  <c r="E236" i="2"/>
  <c r="D220" i="2"/>
  <c r="E220" i="2" s="1"/>
  <c r="F220" i="2" s="1"/>
  <c r="F221" i="2" s="1"/>
  <c r="E248" i="2"/>
  <c r="F212" i="2"/>
  <c r="G212" i="2" s="1"/>
  <c r="G17" i="1" a="1"/>
  <c r="G17" i="1" s="1"/>
  <c r="E237" i="2" l="1"/>
  <c r="G248" i="2"/>
  <c r="D248" i="2"/>
  <c r="B236" i="2"/>
  <c r="D237" i="2"/>
  <c r="G236" i="2"/>
  <c r="G238" i="2" s="1"/>
  <c r="G219" i="2"/>
  <c r="G221" i="2" s="1"/>
  <c r="E221" i="2" s="1"/>
  <c r="D219" i="2"/>
  <c r="E258" i="2"/>
  <c r="G267" i="2"/>
  <c r="G276" i="2"/>
  <c r="D221" i="2" l="1"/>
  <c r="B65" i="5"/>
  <c r="A65" i="5" s="1"/>
  <c r="E223" i="2"/>
  <c r="F223" i="2" s="1"/>
  <c r="G223" i="2" s="1"/>
  <c r="E276" i="2"/>
  <c r="G278" i="2"/>
  <c r="G269" i="2"/>
  <c r="E267" i="2"/>
  <c r="E260" i="2"/>
  <c r="B258" i="2"/>
  <c r="D247" i="2"/>
  <c r="E247" i="2" s="1"/>
  <c r="G247" i="2" s="1"/>
  <c r="D246" i="2"/>
  <c r="E246" i="2" s="1"/>
  <c r="G246" i="2" s="1"/>
  <c r="F237" i="2"/>
  <c r="F238" i="2" s="1"/>
  <c r="E238" i="2" s="1"/>
  <c r="B238" i="2" s="1"/>
  <c r="B237" i="2"/>
  <c r="G260" i="2" l="1"/>
  <c r="F252" i="2" s="1"/>
  <c r="B260" i="2"/>
  <c r="E261" i="2"/>
  <c r="E269" i="2"/>
  <c r="B267" i="2"/>
  <c r="B276" i="2"/>
  <c r="E278" i="2"/>
  <c r="G270" i="2" l="1"/>
  <c r="G279" i="2"/>
  <c r="E279" i="2"/>
  <c r="B279" i="2" s="1"/>
  <c r="B278" i="2"/>
  <c r="E270" i="2"/>
  <c r="B270" i="2" s="1"/>
  <c r="B269" i="2"/>
  <c r="B261" i="2"/>
  <c r="G2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<sst xmlns="http://schemas.openxmlformats.org/spreadsheetml/2006/main" count="839" uniqueCount="509">
  <si>
    <t>EXECUTIVE SUMMARY - LATROBE FINANCIAL</t>
  </si>
  <si>
    <t>3 NIELD AVENUE, BALGOWLAH - TOWNHOUSE DEVELOPMENT</t>
  </si>
  <si>
    <t>LOAN STRUCTURE</t>
  </si>
  <si>
    <t>SECURITY &amp; LVR</t>
  </si>
  <si>
    <t>Loan Amount:</t>
  </si>
  <si>
    <t>On Completion Value:</t>
  </si>
  <si>
    <t>Interest Rate:</t>
  </si>
  <si>
    <t>8.39% p.a.</t>
  </si>
  <si>
    <t>Land Value:</t>
  </si>
  <si>
    <t>Loan Term:</t>
  </si>
  <si>
    <t>15 months</t>
  </si>
  <si>
    <t>LVR (Land):</t>
  </si>
  <si>
    <t>Monthly Interest:</t>
  </si>
  <si>
    <t>LVR (Completion):</t>
  </si>
  <si>
    <t>Total Interest:</t>
  </si>
  <si>
    <t>Loan to Cost:</t>
  </si>
  <si>
    <t>DEVELOPMENT OVERVIEW</t>
  </si>
  <si>
    <t>EXIT STRATEGY</t>
  </si>
  <si>
    <t>Property Type:</t>
  </si>
  <si>
    <t>2 Luxury Townhouses</t>
  </si>
  <si>
    <t>Sale Timing:</t>
  </si>
  <si>
    <t>At Structure Complete</t>
  </si>
  <si>
    <t>Total Internal Area:</t>
  </si>
  <si>
    <t>659.54 m²</t>
  </si>
  <si>
    <t>Expected Sale Price:</t>
  </si>
  <si>
    <t>Construction GBA:</t>
  </si>
  <si>
    <t>788.11 m²</t>
  </si>
  <si>
    <t>Sale Rate per m²:</t>
  </si>
  <si>
    <t>Construction Cost:</t>
  </si>
  <si>
    <t>Net Profit (Pre-tax):</t>
  </si>
  <si>
    <t>Contingency (10%):</t>
  </si>
  <si>
    <t>ROI (Pre-tax):</t>
  </si>
  <si>
    <t>PAYMENT SCHEDULE</t>
  </si>
  <si>
    <t>Month</t>
  </si>
  <si>
    <t>Period</t>
  </si>
  <si>
    <t>Progress / Milestone</t>
  </si>
  <si>
    <t>Draw</t>
  </si>
  <si>
    <t>Interest</t>
  </si>
  <si>
    <t>Cumulative</t>
  </si>
  <si>
    <t>Oct 2025</t>
  </si>
  <si>
    <t>Site prep &amp; excavation</t>
  </si>
  <si>
    <t>Nov 2025</t>
  </si>
  <si>
    <t>Footings &amp; foundation</t>
  </si>
  <si>
    <t>Dec 2025</t>
  </si>
  <si>
    <t>Slab complete</t>
  </si>
  <si>
    <t>Jan 2026</t>
  </si>
  <si>
    <t>Frame stage commence</t>
  </si>
  <si>
    <t>Feb 2026</t>
  </si>
  <si>
    <t>Frame stage</t>
  </si>
  <si>
    <t>Mar 2026</t>
  </si>
  <si>
    <t>Roof &amp; external walls</t>
  </si>
  <si>
    <t>Apr 2026</t>
  </si>
  <si>
    <t>Windows &amp; lock-up</t>
  </si>
  <si>
    <t>May 2026</t>
  </si>
  <si>
    <t>Internal walls &amp; plumbing</t>
  </si>
  <si>
    <t>Jun 2026</t>
  </si>
  <si>
    <t>Electrical &amp; insulation</t>
  </si>
  <si>
    <t>Jul 2026</t>
  </si>
  <si>
    <t>Plaster &amp; internal linings</t>
  </si>
  <si>
    <t>Aug 2026</t>
  </si>
  <si>
    <t>Kitchen &amp; bathrooms</t>
  </si>
  <si>
    <t>Sep 2026</t>
  </si>
  <si>
    <t>Flooring &amp; painting</t>
  </si>
  <si>
    <t>Oct 2026</t>
  </si>
  <si>
    <t>Final fit-out &amp; completion</t>
  </si>
  <si>
    <t>TOTAL</t>
  </si>
  <si>
    <t>Construction Complete</t>
  </si>
  <si>
    <t>KEY STRENGTHS</t>
  </si>
  <si>
    <t>RISK MITIGATION</t>
  </si>
  <si>
    <t>✓ Conservative LVR structure (45.83% land, 75% completion)</t>
  </si>
  <si>
    <t>• Fixed price construction contract</t>
  </si>
  <si>
    <t>✓ Monthly interest payments demonstrate strong cash flow</t>
  </si>
  <si>
    <t>• S-curve progress payments aligned to milestones</t>
  </si>
  <si>
    <t>✓ 10% construction contingency ($454,709)</t>
  </si>
  <si>
    <t>• No reliance on pre-sales</t>
  </si>
  <si>
    <t>✓ Proven location with recent comparable sales</t>
  </si>
  <si>
    <t>• Value engineering savings incorporated</t>
  </si>
  <si>
    <t>✓ Flexible exit strategy at structure complete</t>
  </si>
  <si>
    <t>• Experienced developer/builder team</t>
  </si>
  <si>
    <t>CONTACT INFORMATION</t>
  </si>
  <si>
    <t>Developer:</t>
  </si>
  <si>
    <t>Johinke Developments</t>
  </si>
  <si>
    <t>Broker:</t>
  </si>
  <si>
    <t>[Broker Name]</t>
  </si>
  <si>
    <t>Phone:</t>
  </si>
  <si>
    <t>[Phone Number]</t>
  </si>
  <si>
    <t>Email:</t>
  </si>
  <si>
    <t>[Email Address]</t>
  </si>
  <si>
    <t>Note: Full financial model and supporting documentation available upon request</t>
  </si>
  <si>
    <t>3 Nield Avenue Balgowlah - Feasibility</t>
  </si>
  <si>
    <t>DESCRIPTION</t>
  </si>
  <si>
    <t>QUANTITY</t>
  </si>
  <si>
    <t>UNIT</t>
  </si>
  <si>
    <t>RATE</t>
  </si>
  <si>
    <t>AMOUNT</t>
  </si>
  <si>
    <t>DEBIT</t>
  </si>
  <si>
    <t>CREDIT</t>
  </si>
  <si>
    <t>TOWNHOUSE COMPARISONS</t>
  </si>
  <si>
    <t>156a Woodland Street (19 Oct 2021)</t>
  </si>
  <si>
    <t>m2</t>
  </si>
  <si>
    <t>156a Woodland Street (15 May 2024 - Core Logic)</t>
  </si>
  <si>
    <t>2/148 Woodland Street (23 Feb 23)</t>
  </si>
  <si>
    <t>25 Nield Avenue (26 Sep 23)</t>
  </si>
  <si>
    <t>53a Seaview Street (04 Jun 23)</t>
  </si>
  <si>
    <t>18 Willyama Avenue (For Sale)</t>
  </si>
  <si>
    <t>25 NIELD AVE BALGOLWAH (26 SEP 2023) - Actual</t>
  </si>
  <si>
    <t>Land Value</t>
  </si>
  <si>
    <t>LS</t>
  </si>
  <si>
    <t>Improved Land Value</t>
  </si>
  <si>
    <t>Lift Improvement</t>
  </si>
  <si>
    <t>Pool Improvement</t>
  </si>
  <si>
    <t>Away from Main Road</t>
  </si>
  <si>
    <t>15m Width Vs 20m Width</t>
  </si>
  <si>
    <t>Larger Internal</t>
  </si>
  <si>
    <t>%</t>
  </si>
  <si>
    <t>Increased Land Size</t>
  </si>
  <si>
    <t>Increase Property Prices to 29 May 2025</t>
  </si>
  <si>
    <t>Therefore with Improvements</t>
  </si>
  <si>
    <t>3 Nield Ave Using Adjustments Rate above</t>
  </si>
  <si>
    <t>53A SEAVIEW STREET BALGOWLAH (09 April 2025) - Actual</t>
  </si>
  <si>
    <t>Distant Views - No Tree</t>
  </si>
  <si>
    <t>Away from Main Road Improvement</t>
  </si>
  <si>
    <t>m%</t>
  </si>
  <si>
    <t>18 WILLYAMA AVE FAIRLIGHT (04 June 2025) - For Sale</t>
  </si>
  <si>
    <t>Better Views</t>
  </si>
  <si>
    <t>16m Width Vs 20m Width</t>
  </si>
  <si>
    <t>Fairlight Postcode</t>
  </si>
  <si>
    <t>3 NIELD AVE BALGOWLAH (29 May 2025) - Valuation 6 May 2025</t>
  </si>
  <si>
    <t>New Improved Land Value</t>
  </si>
  <si>
    <t>Conservative Valuation Adjustment</t>
  </si>
  <si>
    <t>Additional Value till Sale (Prediction 3-4 Rate Drops 2025/26 Since Valuation)</t>
  </si>
  <si>
    <t>Therefore with Improvements (+ % during Construction)</t>
  </si>
  <si>
    <t>TOWNHOUSE A - MAR 2024 - Estimate  - Internal Area</t>
  </si>
  <si>
    <t>TOWNHOUSE B - MAR 2024 - Estimate - Internal Area</t>
  </si>
  <si>
    <t>SUBTOTAL</t>
  </si>
  <si>
    <t xml:space="preserve"> </t>
  </si>
  <si>
    <t>DEVELOPER CDC &amp; MISCELLANEOUS COST</t>
  </si>
  <si>
    <t>TRUST ESTABLISHMENT</t>
  </si>
  <si>
    <t>ARCHITECTURAL CONSULTANT</t>
  </si>
  <si>
    <t>ARCHITECTURAL REDESIGN</t>
  </si>
  <si>
    <t>STRUCTURE CONSULTANT</t>
  </si>
  <si>
    <t>STRUCTURE REDESIGN</t>
  </si>
  <si>
    <t>STORMWATER CONSULTANT</t>
  </si>
  <si>
    <t>SECTION 73 CONSULTANT</t>
  </si>
  <si>
    <t>SYDNEY WATER TAP-IN</t>
  </si>
  <si>
    <t>BASIX CONSULTANT</t>
  </si>
  <si>
    <t>LANDSCAPE CONSULTANT</t>
  </si>
  <si>
    <t>TOWN PLANNING CONSULTANT</t>
  </si>
  <si>
    <t>PCA</t>
  </si>
  <si>
    <t>PLANNING ADVICE</t>
  </si>
  <si>
    <t>SURVEYOR</t>
  </si>
  <si>
    <t>SURVEYOR ADDITIONAL</t>
  </si>
  <si>
    <t>MARKETING RENDERS</t>
  </si>
  <si>
    <t>GEOTECH - EXCAVATION, ACID SULFATE &amp; GROUND REPORT</t>
  </si>
  <si>
    <t>CIVIL ENGINEER</t>
  </si>
  <si>
    <t>SELLING AGENT MARKETING</t>
  </si>
  <si>
    <t>LONG SERVICE LEVY</t>
  </si>
  <si>
    <t>PROPERTY VALUATION</t>
  </si>
  <si>
    <t>LAND TAX</t>
  </si>
  <si>
    <t>LAND VALUE - NO THRESHOLD DUE TO BEING A TRUST</t>
  </si>
  <si>
    <t>LAND TAX - DECEMBER 2025 (IICL LATE BILL)</t>
  </si>
  <si>
    <t>LAND TAX - DECEMBER 2025</t>
  </si>
  <si>
    <t>BUYERS AGENT</t>
  </si>
  <si>
    <t>COUNCIL COST</t>
  </si>
  <si>
    <t>SECTION 7.11 CONTRIBUTIONS</t>
  </si>
  <si>
    <t>DEVELOPER PURCHASE FINANCE - 70 LVR COST</t>
  </si>
  <si>
    <t>FINANCE AMOUNT</t>
  </si>
  <si>
    <t>APPLICATION FEE + GST</t>
  </si>
  <si>
    <t>MANDATE FEE + BROKERS COMM + GST</t>
  </si>
  <si>
    <t>INTEREST - (PRE CONSTRUCTION)</t>
  </si>
  <si>
    <t>ACCOUNT FEE - 12 MONTH (PRE CONSTRUCTION)</t>
  </si>
  <si>
    <t>LAWYERS FEE HWL</t>
  </si>
  <si>
    <t>DEVELOPER INCOME RENTAL</t>
  </si>
  <si>
    <t>RENTAL RETURN</t>
  </si>
  <si>
    <t>Wks</t>
  </si>
  <si>
    <t>REAL ESTATE FEES</t>
  </si>
  <si>
    <t>RECENT SALES - NIELD AVE BALGOWLAH</t>
  </si>
  <si>
    <t>9 Nield Avenue (15 May 2024 - Core Logic)</t>
  </si>
  <si>
    <t>17 Nield Avenue (15 May 2024 - Core Logic)</t>
  </si>
  <si>
    <t>AVERAGE PRICE</t>
  </si>
  <si>
    <t>DEVELOPER ACTUAL COST PURCHASE VALUE - 70 LVR COST</t>
  </si>
  <si>
    <t>PURCHASE PRICE - FLOOR AREA RATE</t>
  </si>
  <si>
    <t>CASH DEPOSIT (10%)</t>
  </si>
  <si>
    <t>CASH (20%)</t>
  </si>
  <si>
    <t>LOAN (70%)</t>
  </si>
  <si>
    <t>STAMP DUTY</t>
  </si>
  <si>
    <t>REGISTRATION FEE</t>
  </si>
  <si>
    <t>SETTLEMENT FEE</t>
  </si>
  <si>
    <t>LAWYERS FEE - TG LAW</t>
  </si>
  <si>
    <t>COUNCIL FEES</t>
  </si>
  <si>
    <t>TOWNHOUSE A - Nov 2024 - Estimate (25 Nield Avenue) GBA</t>
  </si>
  <si>
    <t>TOWNHOUSE B - Nov 2024 - Estimate (25 Nield Avenue) GBA</t>
  </si>
  <si>
    <t>CONSTRUCTION COST</t>
  </si>
  <si>
    <t>VALUE ENGINEERING</t>
  </si>
  <si>
    <t>CONTINGENCY</t>
  </si>
  <si>
    <t>VALUATION</t>
  </si>
  <si>
    <t>MAXIMUM FINANCE AMOUNT</t>
  </si>
  <si>
    <t>DEVELOPMENT LOAN</t>
  </si>
  <si>
    <t>APPLICATION FEE</t>
  </si>
  <si>
    <t>LAWYERS + DISBURSTMENTS</t>
  </si>
  <si>
    <t>MANDATE FEE + BROKERS COMMISSON</t>
  </si>
  <si>
    <t>QS FEES</t>
  </si>
  <si>
    <t>INTEREST - 15 MONTHS (BUILD, SETTLEMENT) - 8.39% Pa</t>
  </si>
  <si>
    <t xml:space="preserve">DEVELOPER TOTALS WITH FINANCE </t>
  </si>
  <si>
    <t>NO</t>
  </si>
  <si>
    <t>LAND PURCHASE COST + LAND STAMP DUTY + MISC FEES</t>
  </si>
  <si>
    <t>PURCHASE LOAN</t>
  </si>
  <si>
    <t>CDC + BUYER AGENT + SECTION 7.11 CONTRIBUTIONS</t>
  </si>
  <si>
    <t>PURCHASE FINANCE COST PAID</t>
  </si>
  <si>
    <t>SUBTOTAL - PURCHAST &amp; PROPERTY DEVELOPMENT</t>
  </si>
  <si>
    <t>FINANCE FEES - PURCHASE + CONSTRUCTION</t>
  </si>
  <si>
    <t>FINANCE INTEREST PURCHASE + CONSTRUCTION (CAPITIALISED)</t>
  </si>
  <si>
    <t>PURCHASE LOAN REPAYMENT</t>
  </si>
  <si>
    <t>BUILD COST + CONSULTANTS + SERVICES + CONTINGENCY</t>
  </si>
  <si>
    <t>BUILDER INVESTMENT (CAPITALISED OR NOT - INTEREST)</t>
  </si>
  <si>
    <t>INVESTMENT (CAPITALISED INTEREST)</t>
  </si>
  <si>
    <t>SUBTOTAL - PRE-CONSTRUCTION (MUST NOT BE "-")</t>
  </si>
  <si>
    <t>FINANCE INTEREST PURCHASE + CONSTRUCTION (NOT CAPITIALISED)</t>
  </si>
  <si>
    <t>OFFSET ACCOUNT (INCL BUILDERS PROFIT</t>
  </si>
  <si>
    <t>SELL (INCL. GST)</t>
  </si>
  <si>
    <t>SELLING AGENT COMMISSION</t>
  </si>
  <si>
    <t>LESS GST PAYABLE - GST AT SETTLEMENT (MARGIN SCHEME)</t>
  </si>
  <si>
    <t>SUBTOTAL - SELLING COSTS</t>
  </si>
  <si>
    <t>LESS INVESTMENT (CAPITALISED INTEREST)</t>
  </si>
  <si>
    <t>LESS INVESTMENT (CAPITALISED INTEREST) PROFIT</t>
  </si>
  <si>
    <t>LESS BUILDER PROFIT PAID POST SALE</t>
  </si>
  <si>
    <t>LESS BUILDER INVESTMENT</t>
  </si>
  <si>
    <t>LESS BUILDER INVESTMENT PROFIT</t>
  </si>
  <si>
    <t>LESS DEVELOPER COST RECOVERY</t>
  </si>
  <si>
    <t>LESS LOAN REPAYMENT</t>
  </si>
  <si>
    <t>SUBTOTAL - COST RECOVERY</t>
  </si>
  <si>
    <t>DEVELOPER PROFIT (EXCL DEVELOPER INVESTMENT)</t>
  </si>
  <si>
    <t>JOHINKE DEVELOPMENTS PROFIT (ROI) PRE TAX WITH FINANCE</t>
  </si>
  <si>
    <t>ROI</t>
  </si>
  <si>
    <t>BUILDER PROFIT (ROI) PRE TAX WITH FINANCE</t>
  </si>
  <si>
    <t>INVESTOR PROFIT (ROI) PRE TAX FINANCE</t>
  </si>
  <si>
    <t>DEVELOPER INCOME LESS TRUST TAX</t>
  </si>
  <si>
    <t>JOHINKE PROJECTS DISTRIBUTION</t>
  </si>
  <si>
    <t>JOHINKE PROJECTS TAX</t>
  </si>
  <si>
    <t>SUBTOTAL POST TAX</t>
  </si>
  <si>
    <t>JOHINKE DEVELOPMENTS PROFIT (ROI) POST TAX</t>
  </si>
  <si>
    <t>TAX</t>
  </si>
  <si>
    <t>BUILDER INCOME LESS INCOME TAX</t>
  </si>
  <si>
    <t>BUILDER INCOME</t>
  </si>
  <si>
    <t>BUILDER INCOME TAX</t>
  </si>
  <si>
    <t>BUILDER PROFIT (ROI) POST TAX</t>
  </si>
  <si>
    <t>VARIES</t>
  </si>
  <si>
    <t>DEVELOPMENT PROFIT VS OPPORTUNITY COST</t>
  </si>
  <si>
    <t>LESS OPPORTUNITY COST - YEAR 1 - LESS TAX</t>
  </si>
  <si>
    <t>LESS OPPORTUNITY COST - YEAR 2 - LESS TAX</t>
  </si>
  <si>
    <t>OPPORTUNITY COST - TAX CREDIT</t>
  </si>
  <si>
    <t>PROFIT</t>
  </si>
  <si>
    <t>LESS PROFIT TAX</t>
  </si>
  <si>
    <t>SALE PRIOR TO CONSTRUCTION</t>
  </si>
  <si>
    <t>COST TO DATE</t>
  </si>
  <si>
    <t>PURCHASE OFFER</t>
  </si>
  <si>
    <t>SUBTOTAL (LOSS)</t>
  </si>
  <si>
    <t>BREAK EVEN SALE POINT (WORST CASE)</t>
  </si>
  <si>
    <t>JOHINKE DEVELOPMENT RETURN</t>
  </si>
  <si>
    <t>BUILDER PROFIT RETURN</t>
  </si>
  <si>
    <t>VARIANCE FROM BREAK EVEN</t>
  </si>
  <si>
    <t>VARIANCE FROM ADJUSTED VALUATION</t>
  </si>
  <si>
    <t>3 Nield Avenue Balgowlah - Build Interest Cash Flow</t>
  </si>
  <si>
    <t>QTY</t>
  </si>
  <si>
    <t>SUBTOTALS</t>
  </si>
  <si>
    <t>ORIGINAL CDC</t>
  </si>
  <si>
    <t>DEVELOPER PURCHASE FINANCE</t>
  </si>
  <si>
    <t>INITIAL LOAN</t>
  </si>
  <si>
    <t>CDC PROGRAM</t>
  </si>
  <si>
    <t>SELLING PERIOD</t>
  </si>
  <si>
    <t>FINANCE</t>
  </si>
  <si>
    <t>LOT VACANT</t>
  </si>
  <si>
    <t>APPLICATION FEE RATE + GST</t>
  </si>
  <si>
    <t>MANDATE FEE + BROKERS COMM. + GST</t>
  </si>
  <si>
    <t>LAWYERS FEE</t>
  </si>
  <si>
    <t>MONTHLY ACCOUNT FEE</t>
  </si>
  <si>
    <t>MTH</t>
  </si>
  <si>
    <t>PURCHASE INTEREST RATE (Pa)</t>
  </si>
  <si>
    <t>YR</t>
  </si>
  <si>
    <t>PURCHASE INTEREST</t>
  </si>
  <si>
    <t>PURCHASE FEE + INTEREST PAID</t>
  </si>
  <si>
    <t>DEVELOPER BALANCE LOAN</t>
  </si>
  <si>
    <t>BUILD PROGRAM</t>
  </si>
  <si>
    <t>SETTLEMENT</t>
  </si>
  <si>
    <t>MEASURE OF WORK</t>
  </si>
  <si>
    <t>S-CURVE</t>
  </si>
  <si>
    <t>DEVELOPMENT LOAN - MAX 75LVR + TIP-IN</t>
  </si>
  <si>
    <t>DEVELOPER BUILD FINANCE</t>
  </si>
  <si>
    <t>QS REPORT</t>
  </si>
  <si>
    <t>MONTHLY QS FEE</t>
  </si>
  <si>
    <t>BROKERS COMM + GST</t>
  </si>
  <si>
    <t>INTEREST RATE (Pa) - ASSUEMED</t>
  </si>
  <si>
    <t>BALANCE FEE</t>
  </si>
  <si>
    <t>BALANCE QS &amp; BROKERAGE SERVICES</t>
  </si>
  <si>
    <t>PURCHASE INTEREST - BALANCE</t>
  </si>
  <si>
    <t>BALANCE INTEREST</t>
  </si>
  <si>
    <t>BALANCE LINE FEE RATE</t>
  </si>
  <si>
    <t>BALANCE LINE FEE AMOUNT</t>
  </si>
  <si>
    <t>BALANCE INTEREST + FEE + LINE</t>
  </si>
  <si>
    <t>OFFSET ACCOUNT CALCULATION (INCL GST)</t>
  </si>
  <si>
    <t>BUILD CLAIM</t>
  </si>
  <si>
    <t>GST</t>
  </si>
  <si>
    <t>SUBTOTAL - BUILD CLAIM</t>
  </si>
  <si>
    <t>SUBTOTAL - ACTUAL CLAIM</t>
  </si>
  <si>
    <t>TOTAL OFFSET ACCOUNT</t>
  </si>
  <si>
    <t>DEVELOPER FINANCE</t>
  </si>
  <si>
    <t>INTEREST CAPITALISED? (YES / NO)</t>
  </si>
  <si>
    <t>DEVELOPMENT LOAN (INCL CONTINGENCY)</t>
  </si>
  <si>
    <t>ESTABLISHMENT FEES</t>
  </si>
  <si>
    <t>PURCHASE LOAN AMOUNT</t>
  </si>
  <si>
    <t>BUILDING LOAN AMOUNT</t>
  </si>
  <si>
    <t>INTEREST REPAYMENTS</t>
  </si>
  <si>
    <t>DEVELOPER INVESTMENT</t>
  </si>
  <si>
    <t>BALANCED CHECK</t>
  </si>
  <si>
    <t>FINANCIAL LENDING</t>
  </si>
  <si>
    <r>
      <rPr>
        <b/>
        <sz val="16"/>
        <color rgb="FFFD0507"/>
        <rFont val="Arial"/>
      </rPr>
      <t xml:space="preserve">Loan Requirements
</t>
    </r>
    <r>
      <rPr>
        <sz val="11"/>
        <color rgb="FF726D75"/>
        <rFont val="Arial"/>
      </rPr>
      <t xml:space="preserve">
</t>
    </r>
    <r>
      <rPr>
        <sz val="11"/>
        <color rgb="FF544B54"/>
        <rFont val="Arial"/>
      </rPr>
      <t xml:space="preserve">
</t>
    </r>
  </si>
  <si>
    <t>Loan Amount</t>
  </si>
  <si>
    <t>A</t>
  </si>
  <si>
    <t>Residential/Commercial</t>
  </si>
  <si>
    <t>Residential</t>
  </si>
  <si>
    <t>Application Fee (%)</t>
  </si>
  <si>
    <t>State</t>
  </si>
  <si>
    <t>NSW</t>
  </si>
  <si>
    <t>Referral Fee (%)</t>
  </si>
  <si>
    <t>Number of Securities</t>
  </si>
  <si>
    <t>Referral Fee($)</t>
  </si>
  <si>
    <t>B</t>
  </si>
  <si>
    <t>Title Insurance</t>
  </si>
  <si>
    <t>Refer to First Title</t>
  </si>
  <si>
    <t>For Increases  only - Original Loan Amount</t>
  </si>
  <si>
    <t>Is this application an Internal Refinance?</t>
  </si>
  <si>
    <t>No</t>
  </si>
  <si>
    <r>
      <rPr>
        <b/>
        <sz val="16"/>
        <color rgb="FFFD0507"/>
        <rFont val="Arial"/>
      </rPr>
      <t xml:space="preserve">Funds Required
</t>
    </r>
    <r>
      <rPr>
        <sz val="11"/>
        <color rgb="FF7E807E"/>
        <rFont val="Arial"/>
      </rPr>
      <t xml:space="preserve">
</t>
    </r>
    <r>
      <rPr>
        <sz val="11"/>
        <color rgb="FF484F6E"/>
        <rFont val="Arial"/>
      </rPr>
      <t xml:space="preserve">
</t>
    </r>
  </si>
  <si>
    <r>
      <rPr>
        <b/>
        <sz val="16"/>
        <color rgb="FFFD0507"/>
        <rFont val="Arial"/>
      </rPr>
      <t>Funds Available</t>
    </r>
  </si>
  <si>
    <t xml:space="preserve">Application Fee </t>
  </si>
  <si>
    <t>C</t>
  </si>
  <si>
    <t>Loan Approved</t>
  </si>
  <si>
    <t xml:space="preserve">Deposit Paid (Land Only) Savings
</t>
  </si>
  <si>
    <t>Disbursement and Electronic Filing Fee</t>
  </si>
  <si>
    <t>D</t>
  </si>
  <si>
    <t xml:space="preserve">Gifted Funds
</t>
  </si>
  <si>
    <t>Lenders Legal</t>
  </si>
  <si>
    <t>E</t>
  </si>
  <si>
    <t>FHOG</t>
  </si>
  <si>
    <t>Solicitors Out of Pockets GSA Fee</t>
  </si>
  <si>
    <t>F</t>
  </si>
  <si>
    <t>General Security Agreement Fee</t>
  </si>
  <si>
    <t>Brokerage/  Mandate (if applicable)</t>
  </si>
  <si>
    <t>Purchase Price</t>
  </si>
  <si>
    <t xml:space="preserve">Stamp Duty
</t>
  </si>
  <si>
    <t>GST on purchase (if applicable)</t>
  </si>
  <si>
    <t xml:space="preserve">Outgoing Financial Institute Mortgage Refinance (including exit fees) </t>
  </si>
  <si>
    <t>G</t>
  </si>
  <si>
    <t>Debt Consolidation</t>
  </si>
  <si>
    <r>
      <t xml:space="preserve">Construction /  Check Cost </t>
    </r>
    <r>
      <rPr>
        <i/>
        <sz val="12"/>
        <rFont val="Arial"/>
      </rPr>
      <t xml:space="preserve">(higher of) 
</t>
    </r>
  </si>
  <si>
    <t>H</t>
  </si>
  <si>
    <t xml:space="preserve">Other Construction Costs (To be retained) </t>
  </si>
  <si>
    <t>Interest Budget (to be retained)</t>
  </si>
  <si>
    <t>Other Construction Costs (Applicant to pay)</t>
  </si>
  <si>
    <t>Contingencies</t>
  </si>
  <si>
    <t>I</t>
  </si>
  <si>
    <t>Total funds required</t>
  </si>
  <si>
    <t>J</t>
  </si>
  <si>
    <r>
      <rPr>
        <b/>
        <sz val="12"/>
        <color rgb="FF544B54"/>
        <rFont val="Arial"/>
      </rPr>
      <t xml:space="preserve">Total resources available                                          </t>
    </r>
    <r>
      <rPr>
        <u/>
        <sz val="12"/>
        <color rgb="FF544B54"/>
        <rFont val="Times New Roman"/>
      </rPr>
      <t>                   s,11s,ooo.oo </t>
    </r>
    <r>
      <rPr>
        <u/>
        <sz val="12"/>
        <rFont val="Arial"/>
      </rPr>
      <t>1</t>
    </r>
  </si>
  <si>
    <t>Construction Funding Breakdown</t>
  </si>
  <si>
    <t>Loan Breakdown</t>
  </si>
  <si>
    <t>Loan to Cost Table</t>
  </si>
  <si>
    <t xml:space="preserve">On Completion Value </t>
  </si>
  <si>
    <t>K</t>
  </si>
  <si>
    <t>L</t>
  </si>
  <si>
    <t xml:space="preserve">Land (Valuation) </t>
  </si>
  <si>
    <t>Build Costs</t>
  </si>
  <si>
    <t>Loan</t>
  </si>
  <si>
    <t>Contingency</t>
  </si>
  <si>
    <t>Interest Already Paid</t>
  </si>
  <si>
    <t>T</t>
  </si>
  <si>
    <t>LVR Breakdown</t>
  </si>
  <si>
    <t>Interest Budget Retainined</t>
  </si>
  <si>
    <t xml:space="preserve">LVR at  Land (max 66.66%) </t>
  </si>
  <si>
    <t>A / L</t>
  </si>
  <si>
    <t>Acquisition Costs</t>
  </si>
  <si>
    <t>LVR on Completion (At time of Valuation)</t>
  </si>
  <si>
    <t>A / K</t>
  </si>
  <si>
    <t>Stamp Duty Already Paid</t>
  </si>
  <si>
    <t>U</t>
  </si>
  <si>
    <t xml:space="preserve">Loan to Cost (max 80%) </t>
  </si>
  <si>
    <t>A / Z</t>
  </si>
  <si>
    <t>Selling Costs</t>
  </si>
  <si>
    <t>V</t>
  </si>
  <si>
    <t>Net Equity on Completion</t>
  </si>
  <si>
    <t>M</t>
  </si>
  <si>
    <t>Statutory Charges</t>
  </si>
  <si>
    <t>W</t>
  </si>
  <si>
    <t>Loan Setup / Application Fee</t>
  </si>
  <si>
    <t>Funds Disbursement</t>
  </si>
  <si>
    <t>Open Space Contributions</t>
  </si>
  <si>
    <t xml:space="preserve">Disbursement for Settlement Fees </t>
  </si>
  <si>
    <t>N</t>
  </si>
  <si>
    <t>SUM(C : F)</t>
  </si>
  <si>
    <t>Build related costs</t>
  </si>
  <si>
    <t>Y</t>
  </si>
  <si>
    <t>SUM(H : C)</t>
  </si>
  <si>
    <t xml:space="preserve">Purchase/refinance/cash outlay </t>
  </si>
  <si>
    <t>O</t>
  </si>
  <si>
    <t>A - N - Q - R</t>
  </si>
  <si>
    <t>Total Costs for Loan to Cost Ratio</t>
  </si>
  <si>
    <t>Z</t>
  </si>
  <si>
    <t>Y + L</t>
  </si>
  <si>
    <t>Advance at settlement:</t>
  </si>
  <si>
    <t>P</t>
  </si>
  <si>
    <t>N + O</t>
  </si>
  <si>
    <t>Applicants contribution at settlement</t>
  </si>
  <si>
    <t>Q</t>
  </si>
  <si>
    <t>A - J</t>
  </si>
  <si>
    <t xml:space="preserve">Funds held for Construction </t>
  </si>
  <si>
    <t>R</t>
  </si>
  <si>
    <t>I + H</t>
  </si>
  <si>
    <t>Contingency set aside</t>
  </si>
  <si>
    <t>Funds available to builder</t>
  </si>
  <si>
    <t xml:space="preserve">Applicants contribution towards Construction </t>
  </si>
  <si>
    <t>Not Required</t>
  </si>
  <si>
    <t>• Release of  deposit at settlement will bereviewed on a case by case basis, refer to COT if required.</t>
  </si>
  <si>
    <t>Equity Release at Frame Stage</t>
  </si>
  <si>
    <t>S</t>
  </si>
  <si>
    <t xml:space="preserve">
</t>
  </si>
  <si>
    <t xml:space="preserve">Funding breakdown guide: </t>
  </si>
  <si>
    <t xml:space="preserve">Settlement/Construction funding condition </t>
  </si>
  <si>
    <t>Shortfall of funds condition</t>
  </si>
  <si>
    <t>Equity release at frame condition</t>
  </si>
  <si>
    <t>Version 1.9</t>
  </si>
  <si>
    <t>3 Nield Avenue Balgowlah - Visualisation</t>
  </si>
  <si>
    <t>VISUAL REPRESENTATION</t>
  </si>
  <si>
    <t>AMOUT</t>
  </si>
  <si>
    <t>Purchase Cost</t>
  </si>
  <si>
    <t>Purchase + Stamp Duty Cost</t>
  </si>
  <si>
    <t>PURCHASE</t>
  </si>
  <si>
    <t>Purchase Loan Credits</t>
  </si>
  <si>
    <t>CDC + Council Fees Cost</t>
  </si>
  <si>
    <t>Interest &amp; Fees Cost</t>
  </si>
  <si>
    <t>Rental Income</t>
  </si>
  <si>
    <t>DEVELOPMENT</t>
  </si>
  <si>
    <t>Subtotal Purchase &amp; Development Cost</t>
  </si>
  <si>
    <t>Purchase Loan Cost</t>
  </si>
  <si>
    <t>Loan-to-Cost</t>
  </si>
  <si>
    <t>Max Loan Metics - Loan to Value 75.00%(LVR), Loan to Cost 80.00% (LtC) &amp; Loan-to-Land 66.66%(LtL)</t>
  </si>
  <si>
    <t>Fees</t>
  </si>
  <si>
    <t>Builder Investment</t>
  </si>
  <si>
    <t>Subtotal Pre-Construction</t>
  </si>
  <si>
    <t xml:space="preserve"> QS Services &amp; Interest Cost</t>
  </si>
  <si>
    <t>SERVICE</t>
  </si>
  <si>
    <t>Subtotal - Servicability</t>
  </si>
  <si>
    <t>JLL Property Under Valuation 05-May-2025</t>
  </si>
  <si>
    <t>Mark Valuation Adjustment 05-May-2025</t>
  </si>
  <si>
    <t>SALE</t>
  </si>
  <si>
    <t>Subtotal Mark Valuation - 25-Oct-2025 - 18 Months Post Valuation (5 rate drops - 7.5% increase)</t>
  </si>
  <si>
    <t>Selling Agent Fee</t>
  </si>
  <si>
    <t xml:space="preserve"> Profit (10% Build) + Investment Recovery + Investment Profit (10%)</t>
  </si>
  <si>
    <t>Developer Profit + Investment Recovery + Investment Profit (10%)</t>
  </si>
  <si>
    <t>Loan Repayment Cost</t>
  </si>
  <si>
    <t>COST RECOVERY</t>
  </si>
  <si>
    <t>Subtotal Fees &amp; Cost Recovery + Loan Repayment</t>
  </si>
  <si>
    <t>Total Profit Pre Tax</t>
  </si>
  <si>
    <t>Total Profit Post Tax (Corporate Beneficiery)</t>
  </si>
  <si>
    <t>LAND TAX - YEAR 1 &amp; 2 (1.6% PA)</t>
  </si>
  <si>
    <t>SUBTOTAL - SERVICING DEBT</t>
  </si>
  <si>
    <t>BUILDER CONSTRUCTION COST (EXCL GST)</t>
  </si>
  <si>
    <t xml:space="preserve">PLUS GST CREDIT (QS / LENDER / AGENT FEES </t>
  </si>
  <si>
    <t>VARIATION 1 - CONSULTANTS</t>
  </si>
  <si>
    <t>VARIATION 2 - CONNECTION SERVICES - POWER / WATER / SEWER / STORMWATER</t>
  </si>
  <si>
    <t>VARIATION 3 - JOINERY</t>
  </si>
  <si>
    <t>VARIATION 4 - SOLAR PANELS</t>
  </si>
  <si>
    <t>VARIATION 5 - SOLAR BATTERY &amp; INVERTER</t>
  </si>
  <si>
    <t>VARIATION 6 - UNDERTILE HEATING</t>
  </si>
  <si>
    <t>VARIATION 7 - HYDRAULIC POOL BASE</t>
  </si>
  <si>
    <t>CONSTRUCTION COST PROFIT (BUILDER INVESTED)</t>
  </si>
  <si>
    <t>LOAN AMOUNT</t>
  </si>
  <si>
    <t>IS THE INTEREST CAPITALISED (YES/NO or Y/N)?</t>
  </si>
  <si>
    <t>$4,173,493.59 + GST</t>
  </si>
  <si>
    <t>ACTUAL CLAIM WITH VARIATIONS (CONSULT + SERVICES)</t>
  </si>
  <si>
    <t>CONTINGENCY USED FOR VARIATIONS</t>
  </si>
  <si>
    <t>BALANCE AMOUNT</t>
  </si>
  <si>
    <t>= $5,712,000 Inflatered Build LESS $285,000 Contingency Cost LESS GST</t>
  </si>
  <si>
    <t>Land Tax Cost - Year 1 &amp; 2</t>
  </si>
  <si>
    <t xml:space="preserve">GST Margin Scheme with </t>
  </si>
  <si>
    <t>GST Credits for QS / Lender / Agent Fees</t>
  </si>
  <si>
    <t>$23000 - $62000</t>
  </si>
  <si>
    <t>WEBSITE PROVIDER (GO DADDY) - 100%</t>
  </si>
  <si>
    <t>INTERNET - 80%</t>
  </si>
  <si>
    <t>LAPTOPS - 100%</t>
  </si>
  <si>
    <t>OFFICE - 15%</t>
  </si>
  <si>
    <t>CAR - FORD RANGER - 80%</t>
  </si>
  <si>
    <t>MEETINGS - DINNERS, SITE VISITS - 100%</t>
  </si>
  <si>
    <t>PRINTER &amp; CONSUMABLES - 80%</t>
  </si>
  <si>
    <t>ELECTRICITY - 15%</t>
  </si>
  <si>
    <t>WATER - 15%</t>
  </si>
  <si>
    <t>GAS - 15%</t>
  </si>
  <si>
    <t>ANNUAL SUBSCRIPTION - GITHUB - 100%</t>
  </si>
  <si>
    <t>ANNUAL SUBSCRIPTION ENGINEERS AUSTRALIA - 100%</t>
  </si>
  <si>
    <t>ANNUAL SUBSCRIPTION CORELOGIC PROPERTY VALUE - 100%</t>
  </si>
  <si>
    <t>ANNUAL SUBSCRIPTION PROPCODE - 100%</t>
  </si>
  <si>
    <t>ANNUAL SUBSCRIPTION ARCHISTAR - 100%</t>
  </si>
  <si>
    <t>ANNUAL SUBSCRIPTION COPILOT - 100%</t>
  </si>
  <si>
    <t>ANNUAL SUBSCRIPTION CHATGPT PRO - 80%</t>
  </si>
  <si>
    <t xml:space="preserve">MOBILE PHONES - IPHONES / PADS - 80% </t>
  </si>
  <si>
    <t>MICROSOFT OFFICE  - 100%</t>
  </si>
  <si>
    <t>Mths</t>
  </si>
  <si>
    <t>OFFICES &amp; EXPENSES</t>
  </si>
  <si>
    <t>Offices &amp; Expenses</t>
  </si>
  <si>
    <t>MONTHLY BAS FOR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</si>
</sst>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[$$-C09]#,##0.00;[Red]\-[$$-C09]#,##0.00"/>
    <numFmt numFmtId="165" formatCode="&quot;Rev&quot;\ ##"/>
    <numFmt numFmtId="166" formatCode="&quot;TOWNHOUSE FUTURE VALUE - VALUATION + &quot;#.00%&quot; Pa&quot;"/>
    <numFmt numFmtId="167" formatCode="&quot;ADJUSTED 18 WILLYAMA SALE POINT (BEST CASE) + &quot;#.00%"/>
    <numFmt numFmtId="168" formatCode="&quot;ADJUSTED SALE POINT (AVERAGE CASE) + &quot;#.00%"/>
    <numFmt numFmtId="169" formatCode="&quot;ROI &quot;##.##%"/>
    <numFmt numFmtId="170" formatCode="&quot; ROI Pa&quot;\ ##.##%"/>
    <numFmt numFmtId="171" formatCode="##\ &quot;MONTHS&quot;"/>
    <numFmt numFmtId="172" formatCode="&quot;ROI &quot;00.00%"/>
    <numFmt numFmtId="173" formatCode="&quot; ROI Pa&quot;\ 00.00%"/>
    <numFmt numFmtId="174" formatCode="0.000%"/>
    <numFmt numFmtId="175" formatCode="0\ &quot;MONTHS&quot;"/>
    <numFmt numFmtId="176" formatCode="0E+00"/>
    <numFmt numFmtId="177" formatCode="&quot;DEVELOPER FINANCE - &quot;00.00%&quot;LVR&quot;"/>
    <numFmt numFmtId="178" formatCode="&quot;Return on Investment &quot;0.00%"/>
    <numFmt numFmtId="179" formatCode="&quot; Loan - Build - Purchase - Fees = &quot;&quot;$&quot;###,###&quot; Shortfall&quot;"/>
    <numFmt numFmtId="180" formatCode="&quot;Actual Build Cost &quot;&quot;$&quot;0,000,000.00&quot;, therefore the extra over in a Offset Account&quot;"/>
    <numFmt numFmtId="181" formatCode="&quot;CDC PROGRAM - &quot;##\ &quot;MONTHS&quot;"/>
    <numFmt numFmtId="182" formatCode="&quot;CONSTRUCTION PROGRAM - &quot;##\ &quot;MONTHS&quot;"/>
    <numFmt numFmtId="183" formatCode="mmmm\ yyyy"/>
    <numFmt numFmtId="184" formatCode="_([$$-409]* #,##0.00_);_([$$-409]* \(#,##0.00\);_([$$-409]* &quot;-&quot;??_);_(@_)"/>
  </numFmts>
  <fonts count="74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2"/>
      <color theme="1"/>
      <name val="Arial"/>
    </font>
    <font>
      <b/>
      <sz val="9"/>
      <color theme="1"/>
      <name val="Arial"/>
    </font>
    <font>
      <sz val="9"/>
      <color theme="1"/>
      <name val="Arial"/>
    </font>
    <font>
      <b/>
      <i/>
      <u/>
      <sz val="9"/>
      <color theme="1"/>
      <name val="Arial"/>
    </font>
    <font>
      <sz val="9"/>
      <color rgb="FF7030A0"/>
      <name val="Arial"/>
    </font>
    <font>
      <b/>
      <i/>
      <sz val="9"/>
      <color theme="1"/>
      <name val="Arial"/>
    </font>
    <font>
      <b/>
      <sz val="9"/>
      <color theme="0"/>
      <name val="Arial"/>
    </font>
    <font>
      <b/>
      <sz val="16"/>
      <color theme="1"/>
      <name val="Arial"/>
    </font>
    <font>
      <b/>
      <i/>
      <sz val="9"/>
      <color rgb="FF7030A0"/>
      <name val="Arial"/>
    </font>
    <font>
      <sz val="9"/>
      <name val="Arial"/>
    </font>
    <font>
      <b/>
      <sz val="9"/>
      <name val="Arial"/>
    </font>
    <font>
      <b/>
      <sz val="9"/>
      <color rgb="FF7030A0"/>
      <name val="Arial"/>
    </font>
    <font>
      <sz val="10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9"/>
      <color theme="1"/>
      <name val="Arial"/>
    </font>
    <font>
      <b/>
      <u/>
      <sz val="10"/>
      <color theme="0"/>
      <name val="Arial"/>
    </font>
    <font>
      <b/>
      <sz val="20"/>
      <color theme="1"/>
      <name val="Arial"/>
    </font>
    <font>
      <sz val="11"/>
      <name val="Calibri"/>
      <scheme val="minor"/>
    </font>
    <font>
      <sz val="10"/>
      <color rgb="FF000000"/>
      <name val="Arial"/>
    </font>
    <font>
      <sz val="11.5"/>
      <name val="Arial"/>
    </font>
    <font>
      <sz val="12"/>
      <name val="Times New Roman"/>
    </font>
    <font>
      <b/>
      <sz val="11"/>
      <name val="Arial"/>
    </font>
    <font>
      <b/>
      <sz val="16"/>
      <name val="Arial"/>
    </font>
    <font>
      <b/>
      <sz val="16"/>
      <color rgb="FFFD0507"/>
      <name val="Arial"/>
    </font>
    <font>
      <b/>
      <sz val="10"/>
      <color rgb="FF000000"/>
      <name val="Times New Roman"/>
    </font>
    <font>
      <sz val="10"/>
      <color rgb="FF000000"/>
      <name val="Times New Roman"/>
    </font>
    <font>
      <sz val="12"/>
      <name val="Calibri"/>
      <scheme val="minor"/>
    </font>
    <font>
      <sz val="12"/>
      <name val="Arial"/>
    </font>
    <font>
      <b/>
      <sz val="12"/>
      <name val="Arial"/>
    </font>
    <font>
      <b/>
      <sz val="12"/>
      <name val="Times New Roman"/>
    </font>
    <font>
      <sz val="12"/>
      <color theme="1"/>
      <name val="Calibri"/>
      <scheme val="minor"/>
    </font>
    <font>
      <sz val="12"/>
      <color rgb="FF7E807E"/>
      <name val="Arial"/>
    </font>
    <font>
      <sz val="12"/>
      <color rgb="FF000000"/>
      <name val="Times New Roman"/>
    </font>
    <font>
      <b/>
      <sz val="16"/>
      <color theme="1"/>
      <name val="Calibri"/>
      <scheme val="minor"/>
    </font>
    <font>
      <b/>
      <u/>
      <sz val="9"/>
      <color theme="1"/>
      <name val="Arial"/>
    </font>
    <font>
      <sz val="11"/>
      <color rgb="FFFF0000"/>
      <name val="Calibri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2"/>
      <color theme="0"/>
      <name val="Calibri"/>
      <scheme val="minor"/>
    </font>
    <font>
      <b/>
      <sz val="11"/>
      <color rgb="FFED0000"/>
      <name val="Calibri"/>
      <scheme val="minor"/>
    </font>
    <font>
      <b/>
      <sz val="12"/>
      <color theme="1"/>
      <name val="Calibri"/>
      <scheme val="minor"/>
    </font>
    <font>
      <sz val="12"/>
      <color rgb="FFED0000"/>
      <name val="Calibri"/>
      <scheme val="minor"/>
    </font>
    <font>
      <b/>
      <sz val="12"/>
      <color rgb="FFED0000"/>
      <name val="Calibri"/>
      <scheme val="minor"/>
    </font>
    <font>
      <b/>
      <sz val="12"/>
      <color rgb="FFFF0000"/>
      <name val="Calibri"/>
      <scheme val="minor"/>
    </font>
    <font>
      <b/>
      <sz val="16"/>
      <color rgb="FFFFFFFF"/>
      <name val="Arial"/>
    </font>
    <font>
      <sz val="11"/>
      <name val="Calibri"/>
      <scheme val="minor"/>
    </font>
    <font>
      <b/>
      <sz val="12"/>
      <name val="Arial"/>
    </font>
    <font>
      <i/>
      <sz val="10"/>
      <name val="Arial"/>
    </font>
    <font>
      <b/>
      <sz val="11"/>
      <name val="Arial"/>
    </font>
    <font>
      <b/>
      <sz val="10"/>
      <name val="Arial"/>
    </font>
    <font>
      <b/>
      <sz val="9"/>
      <color rgb="FFFFFFFF"/>
      <name val="Arial"/>
    </font>
    <font>
      <sz val="9"/>
      <name val="Arial"/>
    </font>
    <font>
      <sz val="10"/>
      <name val="Arial"/>
    </font>
    <font>
      <b/>
      <sz val="11"/>
      <color rgb="FFFFFFFF"/>
      <name val="Arial"/>
    </font>
    <font>
      <i/>
      <sz val="9"/>
      <color rgb="FF595959"/>
      <name val="Arial"/>
    </font>
    <font>
      <sz val="11"/>
      <color theme="1"/>
      <name val="Calibri"/>
      <scheme val="minor"/>
    </font>
    <font>
      <sz val="11"/>
      <color rgb="FF726D75"/>
      <name val="Arial"/>
    </font>
    <font>
      <sz val="11"/>
      <color rgb="FF544B54"/>
      <name val="Arial"/>
    </font>
    <font>
      <sz val="11"/>
      <color rgb="FF7E807E"/>
      <name val="Arial"/>
    </font>
    <font>
      <sz val="11"/>
      <color rgb="FF484F6E"/>
      <name val="Arial"/>
    </font>
    <font>
      <i/>
      <sz val="12"/>
      <name val="Arial"/>
    </font>
    <font>
      <b/>
      <sz val="12"/>
      <color rgb="FF544B54"/>
      <name val="Arial"/>
    </font>
    <font>
      <u/>
      <sz val="12"/>
      <color rgb="FF544B54"/>
      <name val="Times New Roman"/>
    </font>
    <font>
      <u/>
      <sz val="12"/>
      <name val="Arial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00000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</patternFill>
    </fill>
    <fill>
      <patternFill patternType="solid">
        <fgColor rgb="FF00B0F0"/>
      </patternFill>
    </fill>
    <fill>
      <patternFill patternType="solid">
        <fgColor rgb="FF002060"/>
      </patternFill>
    </fill>
    <fill>
      <patternFill patternType="solid">
        <fgColor theme="3" tint="0.499984740745262"/>
        <bgColor indexed="65"/>
      </patternFill>
    </fill>
    <fill>
      <patternFill patternType="solid">
        <fgColor theme="8"/>
      </patternFill>
    </fill>
    <fill>
      <patternFill patternType="solid">
        <fgColor theme="7" tint="-0.24997711111789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3" tint="0.74999237037263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92D05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 tint="4.9989318521683403E-2"/>
        <bgColor indexed="65"/>
      </patternFill>
    </fill>
    <fill>
      <patternFill patternType="solid">
        <fgColor rgb="FF00B050"/>
      </patternFill>
    </fill>
    <fill>
      <patternFill patternType="solid">
        <fgColor rgb="FFD9D9D9"/>
      </patternFill>
    </fill>
    <fill>
      <patternFill patternType="solid">
        <fgColor rgb="FFF5F5F5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50505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50505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50505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D3D3D3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7">
    <xf numFmtId="0" fontId="0" fillId="0" borderId="1"/>
    <xf numFmtId="44" fontId="58" fillId="0" borderId="1" applyFont="0" applyFill="0" applyBorder="0" applyAlignment="0" applyProtection="0"/>
    <xf numFmtId="44" fontId="1" fillId="0" borderId="1" applyFont="0" applyFill="0" applyBorder="0" applyAlignment="0" applyProtection="0"/>
    <xf numFmtId="0" fontId="2" fillId="0" borderId="1"/>
    <xf numFmtId="0" fontId="1" fillId="0" borderId="1"/>
    <xf numFmtId="9" fontId="58" fillId="0" borderId="1" applyFont="0" applyFill="0" applyBorder="0" applyAlignment="0" applyProtection="0"/>
    <xf numFmtId="9" fontId="1" fillId="0" borderId="1" applyFont="0" applyFill="0" applyBorder="0" applyAlignment="0" applyProtection="0"/>
  </cellStyleXfs>
  <cellXfs count="594">
    <xf numFmtId="0" fontId="0" fillId="0" borderId="1" xfId="0"/>
    <xf numFmtId="49" fontId="47" fillId="10" borderId="0" xfId="0" applyNumberFormat="1" applyFont="1" applyFill="1" applyBorder="1" applyAlignment="1">
      <alignment horizontal="left" vertical="top"/>
    </xf>
    <xf numFmtId="0" fontId="47" fillId="10" borderId="0" xfId="0" applyFont="1" applyFill="1" applyBorder="1" applyAlignment="1">
      <alignment horizontal="center" vertical="top"/>
    </xf>
    <xf numFmtId="0" fontId="48" fillId="10" borderId="0" xfId="0" applyFont="1" applyFill="1" applyBorder="1" applyAlignment="1">
      <alignment vertical="top"/>
    </xf>
    <xf numFmtId="49" fontId="49" fillId="0" borderId="0" xfId="0" applyNumberFormat="1" applyFont="1" applyBorder="1" applyAlignment="1">
      <alignment horizontal="left" vertical="top"/>
    </xf>
    <xf numFmtId="0" fontId="49" fillId="0" borderId="0" xfId="0" applyFont="1" applyBorder="1" applyAlignment="1">
      <alignment horizontal="center" vertical="top"/>
    </xf>
    <xf numFmtId="183" fontId="50" fillId="0" borderId="0" xfId="0" applyNumberFormat="1" applyFont="1" applyBorder="1" applyAlignment="1">
      <alignment horizontal="center" vertical="top"/>
    </xf>
    <xf numFmtId="0" fontId="50" fillId="0" borderId="0" xfId="0" applyFont="1" applyBorder="1" applyAlignment="1">
      <alignment horizontal="center" vertical="top"/>
    </xf>
    <xf numFmtId="49" fontId="51" fillId="23" borderId="39" xfId="0" applyNumberFormat="1" applyFont="1" applyFill="1" applyBorder="1" applyAlignment="1">
      <alignment vertical="top"/>
    </xf>
    <xf numFmtId="0" fontId="51" fillId="23" borderId="39" xfId="0" applyFont="1" applyFill="1" applyBorder="1" applyAlignment="1">
      <alignment vertical="top"/>
    </xf>
    <xf numFmtId="49" fontId="52" fillId="0" borderId="0" xfId="0" applyNumberFormat="1" applyFont="1" applyBorder="1" applyAlignment="1">
      <alignment vertical="top"/>
    </xf>
    <xf numFmtId="49" fontId="52" fillId="0" borderId="1" xfId="0" applyNumberFormat="1" applyFont="1" applyAlignment="1">
      <alignment horizontal="left" vertical="top"/>
    </xf>
    <xf numFmtId="49" fontId="52" fillId="0" borderId="1" xfId="0" applyNumberFormat="1" applyFont="1" applyAlignment="1">
      <alignment vertical="top"/>
    </xf>
    <xf numFmtId="49" fontId="52" fillId="0" borderId="0" xfId="0" applyNumberFormat="1" applyFont="1" applyBorder="1" applyAlignment="1">
      <alignment horizontal="left" vertical="top"/>
    </xf>
    <xf numFmtId="49" fontId="53" fillId="10" borderId="40" xfId="0" applyNumberFormat="1" applyFont="1" applyFill="1" applyBorder="1" applyAlignment="1">
      <alignment horizontal="center" vertical="top"/>
    </xf>
    <xf numFmtId="0" fontId="54" fillId="0" borderId="41" xfId="0" applyFont="1" applyBorder="1" applyAlignment="1">
      <alignment horizontal="center" vertical="top"/>
    </xf>
    <xf numFmtId="49" fontId="54" fillId="0" borderId="42" xfId="0" applyNumberFormat="1" applyFont="1" applyBorder="1" applyAlignment="1">
      <alignment vertical="top"/>
    </xf>
    <xf numFmtId="184" fontId="54" fillId="0" borderId="41" xfId="0" applyNumberFormat="1" applyFont="1" applyBorder="1" applyAlignment="1">
      <alignment vertical="top"/>
    </xf>
    <xf numFmtId="0" fontId="54" fillId="0" borderId="42" xfId="0" applyFont="1" applyBorder="1" applyAlignment="1">
      <alignment horizontal="center" vertical="top"/>
    </xf>
    <xf numFmtId="184" fontId="54" fillId="0" borderId="42" xfId="0" applyNumberFormat="1" applyFont="1" applyBorder="1" applyAlignment="1">
      <alignment vertical="top"/>
    </xf>
    <xf numFmtId="49" fontId="52" fillId="24" borderId="43" xfId="0" applyNumberFormat="1" applyFont="1" applyFill="1" applyBorder="1" applyAlignment="1">
      <alignment vertical="top"/>
    </xf>
    <xf numFmtId="49" fontId="52" fillId="24" borderId="44" xfId="0" applyNumberFormat="1" applyFont="1" applyFill="1" applyBorder="1" applyAlignment="1">
      <alignment vertical="top"/>
    </xf>
    <xf numFmtId="184" fontId="52" fillId="24" borderId="43" xfId="0" applyNumberFormat="1" applyFont="1" applyFill="1" applyBorder="1" applyAlignment="1">
      <alignment vertical="top"/>
    </xf>
    <xf numFmtId="49" fontId="55" fillId="0" borderId="42" xfId="0" applyNumberFormat="1" applyFont="1" applyBorder="1" applyAlignment="1">
      <alignment vertical="top"/>
    </xf>
    <xf numFmtId="0" fontId="55" fillId="0" borderId="42" xfId="0" applyFont="1" applyBorder="1" applyAlignment="1">
      <alignment vertical="top"/>
    </xf>
    <xf numFmtId="49" fontId="56" fillId="10" borderId="45" xfId="0" applyNumberFormat="1" applyFont="1" applyFill="1" applyBorder="1" applyAlignment="1">
      <alignment vertical="top"/>
    </xf>
    <xf numFmtId="0" fontId="56" fillId="10" borderId="45" xfId="0" applyFont="1" applyFill="1" applyBorder="1" applyAlignment="1">
      <alignment vertical="top"/>
    </xf>
    <xf numFmtId="49" fontId="55" fillId="0" borderId="0" xfId="0" applyNumberFormat="1" applyFont="1" applyBorder="1" applyAlignment="1">
      <alignment vertical="top"/>
    </xf>
    <xf numFmtId="49" fontId="57" fillId="0" borderId="46" xfId="0" applyNumberFormat="1" applyFont="1" applyBorder="1" applyAlignment="1">
      <alignment horizontal="center" vertical="top"/>
    </xf>
    <xf numFmtId="0" fontId="57" fillId="0" borderId="46" xfId="0" applyFont="1" applyBorder="1" applyAlignment="1">
      <alignment horizontal="center" vertical="top"/>
    </xf>
    <xf numFmtId="0" fontId="19" fillId="0" borderId="1" xfId="0" applyFont="1" applyAlignment="1">
      <alignment vertical="center"/>
    </xf>
    <xf numFmtId="0" fontId="19" fillId="0" borderId="1" xfId="0" applyFont="1" applyAlignment="1">
      <alignment horizontal="center" vertical="center"/>
    </xf>
    <xf numFmtId="164" fontId="19" fillId="0" borderId="1" xfId="0" applyNumberFormat="1" applyFont="1" applyAlignment="1">
      <alignment horizontal="right" vertical="center"/>
    </xf>
    <xf numFmtId="164" fontId="19" fillId="0" borderId="1" xfId="0" applyNumberFormat="1" applyFont="1" applyAlignment="1">
      <alignment vertical="center"/>
    </xf>
    <xf numFmtId="14" fontId="16" fillId="0" borderId="1" xfId="0" applyNumberFormat="1" applyFont="1" applyAlignment="1">
      <alignment horizontal="center" vertical="center"/>
    </xf>
    <xf numFmtId="165" fontId="16" fillId="0" borderId="1" xfId="1" applyNumberFormat="1" applyFont="1" applyAlignment="1">
      <alignment horizontal="center" vertical="center"/>
    </xf>
    <xf numFmtId="0" fontId="9" fillId="0" borderId="1" xfId="0" applyFont="1" applyAlignment="1">
      <alignment vertical="center"/>
    </xf>
    <xf numFmtId="0" fontId="3" fillId="0" borderId="1" xfId="0" applyFont="1" applyAlignment="1">
      <alignment horizontal="center" vertical="center"/>
    </xf>
    <xf numFmtId="164" fontId="3" fillId="0" borderId="1" xfId="0" applyNumberFormat="1" applyFont="1" applyAlignment="1">
      <alignment horizontal="right" vertical="center"/>
    </xf>
    <xf numFmtId="164" fontId="3" fillId="0" borderId="1" xfId="0" applyNumberFormat="1" applyFont="1" applyAlignment="1">
      <alignment vertical="center"/>
    </xf>
    <xf numFmtId="0" fontId="4" fillId="0" borderId="1" xfId="0" applyFont="1" applyAlignment="1">
      <alignment horizontal="center" vertical="center"/>
    </xf>
    <xf numFmtId="44" fontId="18" fillId="10" borderId="23" xfId="1" applyFont="1" applyFill="1" applyBorder="1" applyAlignment="1">
      <alignment vertical="center"/>
    </xf>
    <xf numFmtId="44" fontId="18" fillId="10" borderId="24" xfId="1" applyFont="1" applyFill="1" applyBorder="1" applyAlignment="1">
      <alignment horizontal="center" vertical="center"/>
    </xf>
    <xf numFmtId="44" fontId="18" fillId="10" borderId="25" xfId="1" applyFont="1" applyFill="1" applyBorder="1" applyAlignment="1">
      <alignment horizontal="center" vertical="center"/>
    </xf>
    <xf numFmtId="164" fontId="18" fillId="10" borderId="23" xfId="1" applyNumberFormat="1" applyFont="1" applyFill="1" applyBorder="1" applyAlignment="1">
      <alignment horizontal="center" vertical="center"/>
    </xf>
    <xf numFmtId="164" fontId="18" fillId="10" borderId="24" xfId="1" applyNumberFormat="1" applyFont="1" applyFill="1" applyBorder="1" applyAlignment="1">
      <alignment horizontal="center" vertical="center"/>
    </xf>
    <xf numFmtId="8" fontId="18" fillId="10" borderId="25" xfId="1" applyNumberFormat="1" applyFont="1" applyFill="1" applyBorder="1" applyAlignment="1">
      <alignment horizontal="center" vertical="center"/>
    </xf>
    <xf numFmtId="44" fontId="4" fillId="0" borderId="1" xfId="1" applyFont="1" applyAlignment="1">
      <alignment horizontal="center" vertical="center"/>
    </xf>
    <xf numFmtId="0" fontId="3" fillId="2" borderId="23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vertical="center"/>
    </xf>
    <xf numFmtId="164" fontId="4" fillId="2" borderId="9" xfId="0" applyNumberFormat="1" applyFont="1" applyFill="1" applyBorder="1" applyAlignment="1">
      <alignment vertical="center"/>
    </xf>
    <xf numFmtId="10" fontId="6" fillId="2" borderId="9" xfId="5" applyNumberFormat="1" applyFont="1" applyFill="1" applyBorder="1" applyAlignment="1">
      <alignment vertical="center"/>
    </xf>
    <xf numFmtId="8" fontId="4" fillId="2" borderId="12" xfId="5" applyNumberFormat="1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2" fontId="4" fillId="0" borderId="4" xfId="5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4" fontId="4" fillId="0" borderId="1" xfId="1" applyFont="1" applyAlignment="1">
      <alignment vertical="center"/>
    </xf>
    <xf numFmtId="44" fontId="4" fillId="4" borderId="1" xfId="1" applyFont="1" applyFill="1" applyAlignment="1">
      <alignment vertical="center"/>
    </xf>
    <xf numFmtId="44" fontId="6" fillId="0" borderId="1" xfId="1" applyFont="1" applyAlignment="1">
      <alignment vertical="center"/>
    </xf>
    <xf numFmtId="44" fontId="4" fillId="0" borderId="3" xfId="1" applyFont="1" applyBorder="1" applyAlignment="1">
      <alignment vertical="center"/>
    </xf>
    <xf numFmtId="0" fontId="3" fillId="0" borderId="1" xfId="0" applyFont="1" applyAlignment="1">
      <alignment vertical="center"/>
    </xf>
    <xf numFmtId="0" fontId="3" fillId="7" borderId="23" xfId="0" applyFont="1" applyFill="1" applyBorder="1" applyAlignment="1">
      <alignment vertical="center" wrapText="1"/>
    </xf>
    <xf numFmtId="2" fontId="3" fillId="4" borderId="23" xfId="5" applyNumberFormat="1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44" fontId="3" fillId="7" borderId="24" xfId="1" applyFont="1" applyFill="1" applyBorder="1" applyAlignment="1">
      <alignment vertical="center"/>
    </xf>
    <xf numFmtId="44" fontId="3" fillId="4" borderId="24" xfId="1" applyFont="1" applyFill="1" applyBorder="1" applyAlignment="1">
      <alignment vertical="center"/>
    </xf>
    <xf numFmtId="44" fontId="13" fillId="7" borderId="24" xfId="1" applyFont="1" applyFill="1" applyBorder="1" applyAlignment="1">
      <alignment vertical="center"/>
    </xf>
    <xf numFmtId="44" fontId="3" fillId="7" borderId="25" xfId="1" applyFont="1" applyFill="1" applyBorder="1" applyAlignment="1">
      <alignment vertical="center"/>
    </xf>
    <xf numFmtId="44" fontId="3" fillId="0" borderId="1" xfId="1" applyFont="1" applyAlignment="1">
      <alignment vertical="center"/>
    </xf>
    <xf numFmtId="10" fontId="4" fillId="0" borderId="4" xfId="5" applyNumberFormat="1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2" fontId="3" fillId="4" borderId="20" xfId="5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4" fontId="3" fillId="0" borderId="21" xfId="1" applyFont="1" applyBorder="1" applyAlignment="1">
      <alignment vertical="center"/>
    </xf>
    <xf numFmtId="44" fontId="13" fillId="0" borderId="21" xfId="1" applyFont="1" applyBorder="1" applyAlignment="1">
      <alignment vertical="center"/>
    </xf>
    <xf numFmtId="44" fontId="3" fillId="0" borderId="22" xfId="1" applyFont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2" fontId="3" fillId="4" borderId="4" xfId="5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4" fontId="3" fillId="7" borderId="1" xfId="1" applyFont="1" applyFill="1" applyAlignment="1">
      <alignment vertical="center"/>
    </xf>
    <xf numFmtId="44" fontId="3" fillId="4" borderId="1" xfId="1" applyFont="1" applyFill="1" applyAlignment="1">
      <alignment vertical="center"/>
    </xf>
    <xf numFmtId="44" fontId="13" fillId="7" borderId="1" xfId="1" applyFont="1" applyFill="1" applyAlignment="1">
      <alignment vertical="center"/>
    </xf>
    <xf numFmtId="44" fontId="3" fillId="7" borderId="3" xfId="1" applyFont="1" applyFill="1" applyBorder="1" applyAlignment="1">
      <alignment vertical="center"/>
    </xf>
    <xf numFmtId="0" fontId="3" fillId="14" borderId="23" xfId="0" applyFont="1" applyFill="1" applyBorder="1" applyAlignment="1">
      <alignment vertical="center" wrapText="1"/>
    </xf>
    <xf numFmtId="0" fontId="3" fillId="14" borderId="25" xfId="0" applyFont="1" applyFill="1" applyBorder="1" applyAlignment="1">
      <alignment horizontal="center" vertical="center"/>
    </xf>
    <xf numFmtId="44" fontId="3" fillId="14" borderId="24" xfId="1" applyFont="1" applyFill="1" applyBorder="1" applyAlignment="1">
      <alignment vertical="center"/>
    </xf>
    <xf numFmtId="44" fontId="13" fillId="14" borderId="24" xfId="1" applyFont="1" applyFill="1" applyBorder="1" applyAlignment="1">
      <alignment horizontal="center" vertical="center"/>
    </xf>
    <xf numFmtId="44" fontId="3" fillId="14" borderId="25" xfId="1" applyFont="1" applyFill="1" applyBorder="1" applyAlignment="1">
      <alignment vertical="center"/>
    </xf>
    <xf numFmtId="44" fontId="6" fillId="0" borderId="1" xfId="1" applyFont="1" applyAlignment="1">
      <alignment horizontal="center" vertical="center"/>
    </xf>
    <xf numFmtId="44" fontId="13" fillId="0" borderId="21" xfId="1" applyFont="1" applyBorder="1" applyAlignment="1">
      <alignment horizontal="center" vertical="center"/>
    </xf>
    <xf numFmtId="2" fontId="4" fillId="4" borderId="4" xfId="5" applyNumberFormat="1" applyFont="1" applyFill="1" applyBorder="1" applyAlignment="1">
      <alignment horizontal="center" vertical="center"/>
    </xf>
    <xf numFmtId="10" fontId="4" fillId="4" borderId="4" xfId="5" applyNumberFormat="1" applyFont="1" applyFill="1" applyBorder="1" applyAlignment="1">
      <alignment horizontal="center" vertical="center"/>
    </xf>
    <xf numFmtId="44" fontId="4" fillId="0" borderId="1" xfId="0" applyNumberFormat="1" applyFont="1" applyAlignment="1">
      <alignment vertical="center"/>
    </xf>
    <xf numFmtId="2" fontId="3" fillId="0" borderId="20" xfId="5" applyNumberFormat="1" applyFont="1" applyBorder="1" applyAlignment="1">
      <alignment horizontal="center" vertical="center"/>
    </xf>
    <xf numFmtId="0" fontId="4" fillId="0" borderId="1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44" fontId="4" fillId="0" borderId="4" xfId="1" applyFont="1" applyBorder="1" applyAlignment="1">
      <alignment vertical="center"/>
    </xf>
    <xf numFmtId="166" fontId="3" fillId="2" borderId="35" xfId="0" applyNumberFormat="1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4" fontId="3" fillId="2" borderId="37" xfId="1" applyFont="1" applyFill="1" applyBorder="1" applyAlignment="1">
      <alignment vertical="center"/>
    </xf>
    <xf numFmtId="44" fontId="4" fillId="2" borderId="37" xfId="1" applyFont="1" applyFill="1" applyBorder="1" applyAlignment="1">
      <alignment vertical="center"/>
    </xf>
    <xf numFmtId="44" fontId="6" fillId="2" borderId="37" xfId="1" applyFont="1" applyFill="1" applyBorder="1" applyAlignment="1">
      <alignment vertical="center"/>
    </xf>
    <xf numFmtId="44" fontId="4" fillId="2" borderId="36" xfId="1" applyFont="1" applyFill="1" applyBorder="1" applyAlignment="1">
      <alignment vertical="center"/>
    </xf>
    <xf numFmtId="0" fontId="7" fillId="0" borderId="1" xfId="0" applyFont="1" applyAlignment="1">
      <alignment vertical="center"/>
    </xf>
    <xf numFmtId="0" fontId="5" fillId="0" borderId="4" xfId="0" applyFont="1" applyBorder="1" applyAlignment="1">
      <alignment vertical="center" wrapText="1"/>
    </xf>
    <xf numFmtId="2" fontId="5" fillId="4" borderId="4" xfId="5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4" fontId="5" fillId="0" borderId="1" xfId="1" applyFont="1" applyAlignment="1">
      <alignment vertical="center"/>
    </xf>
    <xf numFmtId="44" fontId="3" fillId="0" borderId="3" xfId="1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2" fontId="4" fillId="0" borderId="5" xfId="5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4" fontId="4" fillId="0" borderId="5" xfId="1" applyFont="1" applyBorder="1" applyAlignment="1">
      <alignment vertical="center"/>
    </xf>
    <xf numFmtId="44" fontId="4" fillId="0" borderId="2" xfId="1" applyFont="1" applyBorder="1" applyAlignment="1">
      <alignment vertical="center"/>
    </xf>
    <xf numFmtId="44" fontId="4" fillId="0" borderId="32" xfId="1" applyFont="1" applyBorder="1" applyAlignment="1">
      <alignment vertical="center"/>
    </xf>
    <xf numFmtId="166" fontId="3" fillId="2" borderId="23" xfId="0" applyNumberFormat="1" applyFont="1" applyFill="1" applyBorder="1" applyAlignment="1">
      <alignment horizontal="left" vertical="center" wrapText="1"/>
    </xf>
    <xf numFmtId="44" fontId="3" fillId="2" borderId="24" xfId="1" applyFont="1" applyFill="1" applyBorder="1" applyAlignment="1">
      <alignment vertical="center"/>
    </xf>
    <xf numFmtId="44" fontId="4" fillId="2" borderId="24" xfId="1" applyFont="1" applyFill="1" applyBorder="1" applyAlignment="1">
      <alignment vertical="center"/>
    </xf>
    <xf numFmtId="44" fontId="6" fillId="2" borderId="24" xfId="1" applyFont="1" applyFill="1" applyBorder="1" applyAlignment="1">
      <alignment vertical="center"/>
    </xf>
    <xf numFmtId="44" fontId="4" fillId="2" borderId="25" xfId="1" applyFont="1" applyFill="1" applyBorder="1" applyAlignment="1">
      <alignment vertical="center"/>
    </xf>
    <xf numFmtId="0" fontId="3" fillId="2" borderId="38" xfId="0" applyFont="1" applyFill="1" applyBorder="1" applyAlignment="1">
      <alignment vertical="center" wrapText="1"/>
    </xf>
    <xf numFmtId="10" fontId="3" fillId="2" borderId="35" xfId="0" applyNumberFormat="1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44" fontId="3" fillId="2" borderId="35" xfId="1" applyFont="1" applyFill="1" applyBorder="1" applyAlignment="1">
      <alignment vertical="center"/>
    </xf>
    <xf numFmtId="44" fontId="3" fillId="2" borderId="36" xfId="1" applyFont="1" applyFill="1" applyBorder="1" applyAlignment="1">
      <alignment vertical="center"/>
    </xf>
    <xf numFmtId="2" fontId="4" fillId="0" borderId="4" xfId="1" applyNumberFormat="1" applyFont="1" applyBorder="1" applyAlignment="1">
      <alignment horizontal="center" vertical="center"/>
    </xf>
    <xf numFmtId="44" fontId="4" fillId="4" borderId="4" xfId="1" applyFont="1" applyFill="1" applyBorder="1" applyAlignment="1">
      <alignment vertical="center"/>
    </xf>
    <xf numFmtId="0" fontId="3" fillId="0" borderId="26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44" fontId="3" fillId="0" borderId="20" xfId="1" applyFont="1" applyBorder="1" applyAlignment="1">
      <alignment vertical="center"/>
    </xf>
    <xf numFmtId="10" fontId="3" fillId="0" borderId="20" xfId="0" applyNumberFormat="1" applyFont="1" applyBorder="1" applyAlignment="1">
      <alignment horizontal="center" vertical="center"/>
    </xf>
    <xf numFmtId="44" fontId="3" fillId="4" borderId="21" xfId="1" applyFont="1" applyFill="1" applyBorder="1" applyAlignment="1">
      <alignment vertical="center"/>
    </xf>
    <xf numFmtId="0" fontId="3" fillId="20" borderId="11" xfId="0" applyFont="1" applyFill="1" applyBorder="1" applyAlignment="1">
      <alignment vertical="center" wrapText="1"/>
    </xf>
    <xf numFmtId="0" fontId="3" fillId="20" borderId="24" xfId="0" applyFont="1" applyFill="1" applyBorder="1" applyAlignment="1">
      <alignment horizontal="center" vertical="center"/>
    </xf>
    <xf numFmtId="44" fontId="3" fillId="20" borderId="23" xfId="1" applyFont="1" applyFill="1" applyBorder="1" applyAlignment="1">
      <alignment vertical="center"/>
    </xf>
    <xf numFmtId="44" fontId="3" fillId="20" borderId="24" xfId="1" applyFont="1" applyFill="1" applyBorder="1" applyAlignment="1">
      <alignment vertical="center"/>
    </xf>
    <xf numFmtId="2" fontId="4" fillId="0" borderId="4" xfId="5" applyNumberFormat="1" applyFont="1" applyBorder="1" applyAlignment="1">
      <alignment horizontal="center" vertical="center" wrapText="1"/>
    </xf>
    <xf numFmtId="0" fontId="4" fillId="0" borderId="1" xfId="0" applyFont="1" applyAlignment="1">
      <alignment horizontal="center" vertical="center" wrapText="1"/>
    </xf>
    <xf numFmtId="44" fontId="4" fillId="4" borderId="4" xfId="1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2" fontId="3" fillId="0" borderId="4" xfId="5" applyNumberFormat="1" applyFont="1" applyBorder="1" applyAlignment="1">
      <alignment horizontal="center" vertical="center"/>
    </xf>
    <xf numFmtId="44" fontId="3" fillId="0" borderId="4" xfId="1" applyFont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10" fontId="3" fillId="2" borderId="23" xfId="5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44" fontId="3" fillId="2" borderId="23" xfId="1" applyFont="1" applyFill="1" applyBorder="1" applyAlignment="1">
      <alignment vertical="center"/>
    </xf>
    <xf numFmtId="44" fontId="3" fillId="2" borderId="25" xfId="1" applyFont="1" applyFill="1" applyBorder="1" applyAlignment="1">
      <alignment vertical="center"/>
    </xf>
    <xf numFmtId="10" fontId="4" fillId="8" borderId="4" xfId="5" applyNumberFormat="1" applyFont="1" applyFill="1" applyBorder="1" applyAlignment="1">
      <alignment horizontal="center" vertical="center"/>
    </xf>
    <xf numFmtId="10" fontId="3" fillId="0" borderId="20" xfId="5" applyNumberFormat="1" applyFont="1" applyBorder="1" applyAlignment="1">
      <alignment horizontal="center" vertical="center"/>
    </xf>
    <xf numFmtId="2" fontId="3" fillId="2" borderId="23" xfId="1" applyNumberFormat="1" applyFont="1" applyFill="1" applyBorder="1" applyAlignment="1">
      <alignment horizontal="center" vertical="center"/>
    </xf>
    <xf numFmtId="44" fontId="3" fillId="2" borderId="23" xfId="1" applyFont="1" applyFill="1" applyBorder="1" applyAlignment="1">
      <alignment vertical="center" wrapText="1"/>
    </xf>
    <xf numFmtId="2" fontId="4" fillId="4" borderId="4" xfId="1" applyNumberFormat="1" applyFont="1" applyFill="1" applyBorder="1" applyAlignment="1">
      <alignment horizontal="center" vertical="center"/>
    </xf>
    <xf numFmtId="44" fontId="4" fillId="15" borderId="4" xfId="1" applyFont="1" applyFill="1" applyBorder="1" applyAlignment="1">
      <alignment vertical="center" wrapText="1"/>
    </xf>
    <xf numFmtId="2" fontId="3" fillId="0" borderId="20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44" fontId="3" fillId="0" borderId="20" xfId="1" applyFont="1" applyBorder="1" applyAlignment="1">
      <alignment vertical="center" wrapText="1"/>
    </xf>
    <xf numFmtId="2" fontId="3" fillId="20" borderId="23" xfId="5" applyNumberFormat="1" applyFont="1" applyFill="1" applyBorder="1" applyAlignment="1">
      <alignment horizontal="center" vertical="center"/>
    </xf>
    <xf numFmtId="44" fontId="3" fillId="20" borderId="25" xfId="1" applyFont="1" applyFill="1" applyBorder="1" applyAlignment="1">
      <alignment vertical="center"/>
    </xf>
    <xf numFmtId="0" fontId="8" fillId="6" borderId="6" xfId="0" applyFont="1" applyFill="1" applyBorder="1" applyAlignment="1">
      <alignment vertical="center" wrapText="1"/>
    </xf>
    <xf numFmtId="2" fontId="8" fillId="6" borderId="4" xfId="5" applyNumberFormat="1" applyFont="1" applyFill="1" applyBorder="1" applyAlignment="1">
      <alignment horizontal="center" vertical="center"/>
    </xf>
    <xf numFmtId="0" fontId="8" fillId="6" borderId="1" xfId="0" applyFont="1" applyFill="1" applyAlignment="1">
      <alignment horizontal="center" vertical="center"/>
    </xf>
    <xf numFmtId="44" fontId="8" fillId="6" borderId="4" xfId="1" applyFont="1" applyFill="1" applyBorder="1" applyAlignment="1">
      <alignment vertical="center"/>
    </xf>
    <xf numFmtId="44" fontId="8" fillId="6" borderId="1" xfId="1" applyFont="1" applyFill="1" applyAlignment="1">
      <alignment vertical="center"/>
    </xf>
    <xf numFmtId="44" fontId="8" fillId="6" borderId="3" xfId="1" applyFont="1" applyFill="1" applyBorder="1" applyAlignment="1">
      <alignment vertical="center"/>
    </xf>
    <xf numFmtId="2" fontId="4" fillId="0" borderId="4" xfId="1" applyNumberFormat="1" applyFont="1" applyBorder="1" applyAlignment="1">
      <alignment horizontal="center" vertical="center" wrapText="1"/>
    </xf>
    <xf numFmtId="9" fontId="4" fillId="0" borderId="4" xfId="5" applyFont="1" applyBorder="1" applyAlignment="1">
      <alignment horizontal="center" vertical="center"/>
    </xf>
    <xf numFmtId="44" fontId="7" fillId="0" borderId="4" xfId="1" applyFont="1" applyBorder="1" applyAlignment="1">
      <alignment vertical="center"/>
    </xf>
    <xf numFmtId="10" fontId="4" fillId="4" borderId="4" xfId="5" applyNumberFormat="1" applyFont="1" applyFill="1" applyBorder="1" applyAlignment="1">
      <alignment horizontal="center" vertical="center" wrapText="1"/>
    </xf>
    <xf numFmtId="44" fontId="4" fillId="0" borderId="4" xfId="1" applyFont="1" applyBorder="1" applyAlignment="1">
      <alignment vertical="center" wrapText="1"/>
    </xf>
    <xf numFmtId="177" fontId="3" fillId="20" borderId="11" xfId="0" applyNumberFormat="1" applyFont="1" applyFill="1" applyBorder="1" applyAlignment="1">
      <alignment horizontal="left" vertical="center" wrapText="1"/>
    </xf>
    <xf numFmtId="10" fontId="11" fillId="4" borderId="4" xfId="5" applyNumberFormat="1" applyFont="1" applyFill="1" applyBorder="1" applyAlignment="1">
      <alignment horizontal="center" vertical="center"/>
    </xf>
    <xf numFmtId="10" fontId="3" fillId="0" borderId="4" xfId="5" applyNumberFormat="1" applyFont="1" applyBorder="1" applyAlignment="1">
      <alignment horizontal="center" vertical="center"/>
    </xf>
    <xf numFmtId="44" fontId="37" fillId="20" borderId="24" xfId="1" applyFont="1" applyFill="1" applyBorder="1" applyAlignment="1">
      <alignment horizontal="center" vertical="center"/>
    </xf>
    <xf numFmtId="44" fontId="3" fillId="4" borderId="30" xfId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3" fillId="16" borderId="6" xfId="0" applyFont="1" applyFill="1" applyBorder="1" applyAlignment="1">
      <alignment vertical="center" wrapText="1"/>
    </xf>
    <xf numFmtId="10" fontId="3" fillId="16" borderId="4" xfId="5" applyNumberFormat="1" applyFont="1" applyFill="1" applyBorder="1" applyAlignment="1">
      <alignment horizontal="center" vertical="center"/>
    </xf>
    <xf numFmtId="0" fontId="3" fillId="16" borderId="1" xfId="0" applyFont="1" applyFill="1" applyAlignment="1">
      <alignment horizontal="center" vertical="center"/>
    </xf>
    <xf numFmtId="44" fontId="3" fillId="16" borderId="4" xfId="1" applyFont="1" applyFill="1" applyBorder="1" applyAlignment="1">
      <alignment vertical="center"/>
    </xf>
    <xf numFmtId="44" fontId="3" fillId="16" borderId="1" xfId="1" applyFont="1" applyFill="1" applyAlignment="1">
      <alignment vertical="center"/>
    </xf>
    <xf numFmtId="44" fontId="3" fillId="16" borderId="3" xfId="1" applyFont="1" applyFill="1" applyBorder="1" applyAlignment="1">
      <alignment vertical="center"/>
    </xf>
    <xf numFmtId="2" fontId="3" fillId="16" borderId="4" xfId="0" applyNumberFormat="1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1" xfId="0" applyNumberFormat="1" applyFont="1" applyAlignment="1">
      <alignment vertical="center"/>
    </xf>
    <xf numFmtId="8" fontId="4" fillId="0" borderId="3" xfId="1" applyNumberFormat="1" applyFont="1" applyBorder="1" applyAlignment="1">
      <alignment vertical="center"/>
    </xf>
    <xf numFmtId="0" fontId="3" fillId="3" borderId="13" xfId="0" applyFont="1" applyFill="1" applyBorder="1" applyAlignment="1">
      <alignment vertical="center" wrapText="1"/>
    </xf>
    <xf numFmtId="10" fontId="3" fillId="3" borderId="19" xfId="5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44" fontId="3" fillId="3" borderId="19" xfId="1" applyFont="1" applyFill="1" applyBorder="1" applyAlignment="1">
      <alignment vertical="center"/>
    </xf>
    <xf numFmtId="44" fontId="12" fillId="3" borderId="14" xfId="1" applyFont="1" applyFill="1" applyBorder="1" applyAlignment="1">
      <alignment vertical="center"/>
    </xf>
    <xf numFmtId="172" fontId="3" fillId="3" borderId="14" xfId="0" applyNumberFormat="1" applyFont="1" applyFill="1" applyBorder="1" applyAlignment="1">
      <alignment horizontal="right" vertical="center"/>
    </xf>
    <xf numFmtId="173" fontId="3" fillId="3" borderId="31" xfId="5" applyNumberFormat="1" applyFont="1" applyFill="1" applyBorder="1" applyAlignment="1">
      <alignment horizontal="center" vertical="center"/>
    </xf>
    <xf numFmtId="8" fontId="4" fillId="0" borderId="3" xfId="1" applyNumberFormat="1" applyFont="1" applyBorder="1" applyAlignment="1">
      <alignment horizontal="center" vertical="center"/>
    </xf>
    <xf numFmtId="0" fontId="3" fillId="5" borderId="13" xfId="0" applyFont="1" applyFill="1" applyBorder="1" applyAlignment="1">
      <alignment vertical="center" wrapText="1"/>
    </xf>
    <xf numFmtId="10" fontId="3" fillId="5" borderId="19" xfId="5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44" fontId="3" fillId="5" borderId="19" xfId="1" applyFont="1" applyFill="1" applyBorder="1" applyAlignment="1">
      <alignment vertical="center"/>
    </xf>
    <xf numFmtId="44" fontId="3" fillId="5" borderId="14" xfId="1" applyFont="1" applyFill="1" applyBorder="1" applyAlignment="1">
      <alignment vertical="center"/>
    </xf>
    <xf numFmtId="172" fontId="3" fillId="5" borderId="14" xfId="0" applyNumberFormat="1" applyFont="1" applyFill="1" applyBorder="1" applyAlignment="1">
      <alignment horizontal="right" vertical="center"/>
    </xf>
    <xf numFmtId="173" fontId="3" fillId="5" borderId="31" xfId="5" applyNumberFormat="1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10" fontId="3" fillId="0" borderId="19" xfId="5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44" fontId="3" fillId="0" borderId="19" xfId="1" applyFont="1" applyBorder="1" applyAlignment="1">
      <alignment vertical="center"/>
    </xf>
    <xf numFmtId="44" fontId="3" fillId="0" borderId="14" xfId="1" applyFont="1" applyBorder="1" applyAlignment="1">
      <alignment vertical="center"/>
    </xf>
    <xf numFmtId="172" fontId="3" fillId="0" borderId="14" xfId="0" applyNumberFormat="1" applyFont="1" applyBorder="1" applyAlignment="1">
      <alignment horizontal="right" vertical="center"/>
    </xf>
    <xf numFmtId="173" fontId="3" fillId="0" borderId="31" xfId="5" applyNumberFormat="1" applyFont="1" applyBorder="1" applyAlignment="1">
      <alignment horizontal="center" vertical="center"/>
    </xf>
    <xf numFmtId="164" fontId="4" fillId="0" borderId="1" xfId="1" applyNumberFormat="1" applyFont="1" applyAlignment="1">
      <alignment vertical="center"/>
    </xf>
    <xf numFmtId="164" fontId="4" fillId="0" borderId="4" xfId="1" applyNumberFormat="1" applyFont="1" applyBorder="1" applyAlignment="1">
      <alignment horizontal="center" vertical="center" wrapText="1"/>
    </xf>
    <xf numFmtId="164" fontId="3" fillId="0" borderId="21" xfId="1" applyNumberFormat="1" applyFont="1" applyBorder="1" applyAlignment="1">
      <alignment vertical="center"/>
    </xf>
    <xf numFmtId="164" fontId="3" fillId="0" borderId="4" xfId="1" applyNumberFormat="1" applyFont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 wrapText="1"/>
    </xf>
    <xf numFmtId="2" fontId="12" fillId="3" borderId="19" xfId="5" applyNumberFormat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64" fontId="12" fillId="3" borderId="19" xfId="5" applyNumberFormat="1" applyFont="1" applyFill="1" applyBorder="1" applyAlignment="1">
      <alignment horizontal="center" vertical="center" wrapText="1"/>
    </xf>
    <xf numFmtId="164" fontId="12" fillId="3" borderId="14" xfId="1" applyNumberFormat="1" applyFont="1" applyFill="1" applyBorder="1" applyAlignment="1">
      <alignment vertical="center"/>
    </xf>
    <xf numFmtId="169" fontId="3" fillId="3" borderId="14" xfId="0" applyNumberFormat="1" applyFont="1" applyFill="1" applyBorder="1" applyAlignment="1">
      <alignment horizontal="right" vertical="center"/>
    </xf>
    <xf numFmtId="170" fontId="3" fillId="3" borderId="31" xfId="5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2" fontId="8" fillId="0" borderId="16" xfId="5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4" fontId="8" fillId="0" borderId="16" xfId="1" applyNumberFormat="1" applyFont="1" applyBorder="1" applyAlignment="1">
      <alignment vertical="center" wrapText="1"/>
    </xf>
    <xf numFmtId="164" fontId="8" fillId="0" borderId="17" xfId="1" applyNumberFormat="1" applyFont="1" applyBorder="1" applyAlignment="1">
      <alignment vertical="center"/>
    </xf>
    <xf numFmtId="8" fontId="8" fillId="0" borderId="18" xfId="1" applyNumberFormat="1" applyFont="1" applyBorder="1" applyAlignment="1">
      <alignment vertical="center"/>
    </xf>
    <xf numFmtId="0" fontId="12" fillId="5" borderId="11" xfId="0" applyFont="1" applyFill="1" applyBorder="1" applyAlignment="1">
      <alignment vertical="center" wrapText="1"/>
    </xf>
    <xf numFmtId="2" fontId="12" fillId="5" borderId="23" xfId="1" applyNumberFormat="1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44" fontId="12" fillId="5" borderId="23" xfId="1" applyFont="1" applyFill="1" applyBorder="1" applyAlignment="1">
      <alignment vertical="center" wrapText="1"/>
    </xf>
    <xf numFmtId="44" fontId="12" fillId="5" borderId="24" xfId="1" applyFont="1" applyFill="1" applyBorder="1" applyAlignment="1">
      <alignment vertical="center"/>
    </xf>
    <xf numFmtId="44" fontId="12" fillId="5" borderId="25" xfId="1" applyFont="1" applyFill="1" applyBorder="1" applyAlignment="1">
      <alignment vertical="center"/>
    </xf>
    <xf numFmtId="44" fontId="4" fillId="0" borderId="4" xfId="1" applyFont="1" applyBorder="1" applyAlignment="1">
      <alignment horizontal="center" vertical="center" wrapText="1"/>
    </xf>
    <xf numFmtId="9" fontId="3" fillId="5" borderId="19" xfId="5" applyFont="1" applyFill="1" applyBorder="1" applyAlignment="1">
      <alignment horizontal="center" vertical="center"/>
    </xf>
    <xf numFmtId="44" fontId="3" fillId="5" borderId="19" xfId="5" applyNumberFormat="1" applyFont="1" applyFill="1" applyBorder="1" applyAlignment="1">
      <alignment horizontal="center" vertical="center" wrapText="1"/>
    </xf>
    <xf numFmtId="169" fontId="3" fillId="5" borderId="14" xfId="0" applyNumberFormat="1" applyFont="1" applyFill="1" applyBorder="1" applyAlignment="1">
      <alignment horizontal="right" vertical="center"/>
    </xf>
    <xf numFmtId="170" fontId="3" fillId="5" borderId="31" xfId="5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2" fontId="8" fillId="0" borderId="10" xfId="5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8" fillId="0" borderId="10" xfId="1" applyNumberFormat="1" applyFont="1" applyBorder="1" applyAlignment="1">
      <alignment vertical="center" wrapText="1"/>
    </xf>
    <xf numFmtId="164" fontId="8" fillId="0" borderId="9" xfId="1" applyNumberFormat="1" applyFont="1" applyBorder="1" applyAlignment="1">
      <alignment vertical="center"/>
    </xf>
    <xf numFmtId="8" fontId="8" fillId="0" borderId="12" xfId="1" applyNumberFormat="1" applyFont="1" applyBorder="1" applyAlignment="1">
      <alignment vertical="center"/>
    </xf>
    <xf numFmtId="166" fontId="3" fillId="2" borderId="11" xfId="0" applyNumberFormat="1" applyFont="1" applyFill="1" applyBorder="1" applyAlignment="1">
      <alignment horizontal="left" vertical="center" wrapText="1"/>
    </xf>
    <xf numFmtId="164" fontId="3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0" fontId="6" fillId="2" borderId="24" xfId="5" applyNumberFormat="1" applyFont="1" applyFill="1" applyBorder="1" applyAlignment="1">
      <alignment vertical="center"/>
    </xf>
    <xf numFmtId="8" fontId="4" fillId="2" borderId="25" xfId="5" applyNumberFormat="1" applyFont="1" applyFill="1" applyBorder="1" applyAlignment="1">
      <alignment vertical="center"/>
    </xf>
    <xf numFmtId="164" fontId="4" fillId="0" borderId="4" xfId="1" applyNumberFormat="1" applyFont="1" applyBorder="1" applyAlignment="1">
      <alignment vertical="center"/>
    </xf>
    <xf numFmtId="10" fontId="4" fillId="0" borderId="20" xfId="5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64" fontId="3" fillId="0" borderId="20" xfId="1" applyNumberFormat="1" applyFont="1" applyBorder="1" applyAlignment="1">
      <alignment vertical="center"/>
    </xf>
    <xf numFmtId="0" fontId="8" fillId="0" borderId="27" xfId="0" applyFont="1" applyBorder="1" applyAlignment="1">
      <alignment vertical="center" wrapText="1"/>
    </xf>
    <xf numFmtId="2" fontId="8" fillId="0" borderId="1" xfId="5" applyNumberFormat="1" applyFont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64" fontId="8" fillId="0" borderId="1" xfId="1" applyNumberFormat="1" applyFont="1" applyAlignment="1">
      <alignment vertical="center" wrapText="1"/>
    </xf>
    <xf numFmtId="164" fontId="8" fillId="0" borderId="1" xfId="1" applyNumberFormat="1" applyFont="1" applyAlignment="1">
      <alignment vertical="center"/>
    </xf>
    <xf numFmtId="44" fontId="4" fillId="0" borderId="22" xfId="1" applyFont="1" applyBorder="1" applyAlignment="1">
      <alignment vertical="center"/>
    </xf>
    <xf numFmtId="0" fontId="4" fillId="0" borderId="27" xfId="0" applyFont="1" applyBorder="1" applyAlignment="1">
      <alignment vertical="center" wrapText="1"/>
    </xf>
    <xf numFmtId="2" fontId="4" fillId="0" borderId="1" xfId="5" applyNumberFormat="1" applyFont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67" fontId="3" fillId="2" borderId="11" xfId="0" applyNumberFormat="1" applyFont="1" applyFill="1" applyBorder="1" applyAlignment="1">
      <alignment horizontal="left" vertical="center" wrapText="1"/>
    </xf>
    <xf numFmtId="10" fontId="4" fillId="0" borderId="1" xfId="5" applyNumberFormat="1" applyFont="1" applyAlignment="1">
      <alignment vertical="center"/>
    </xf>
    <xf numFmtId="8" fontId="4" fillId="0" borderId="1" xfId="1" applyNumberFormat="1" applyFont="1" applyAlignment="1">
      <alignment horizontal="center" vertical="center"/>
    </xf>
    <xf numFmtId="176" fontId="4" fillId="0" borderId="1" xfId="0" applyNumberFormat="1" applyFont="1" applyAlignment="1">
      <alignment vertical="center" wrapText="1"/>
    </xf>
    <xf numFmtId="0" fontId="4" fillId="0" borderId="1" xfId="0" applyFont="1" applyAlignment="1">
      <alignment vertical="center" wrapText="1"/>
    </xf>
    <xf numFmtId="164" fontId="4" fillId="0" borderId="1" xfId="0" applyNumberFormat="1" applyFont="1" applyAlignment="1">
      <alignment horizontal="right" vertical="center"/>
    </xf>
    <xf numFmtId="0" fontId="14" fillId="0" borderId="1" xfId="0" applyFont="1" applyAlignment="1">
      <alignment horizontal="center" vertical="center"/>
    </xf>
    <xf numFmtId="0" fontId="16" fillId="0" borderId="1" xfId="0" applyFont="1"/>
    <xf numFmtId="0" fontId="15" fillId="10" borderId="24" xfId="0" applyFont="1" applyFill="1" applyBorder="1" applyAlignment="1">
      <alignment horizontal="center" vertical="center"/>
    </xf>
    <xf numFmtId="0" fontId="15" fillId="10" borderId="25" xfId="0" applyFont="1" applyFill="1" applyBorder="1" applyAlignment="1">
      <alignment horizontal="center" vertical="center"/>
    </xf>
    <xf numFmtId="0" fontId="15" fillId="10" borderId="23" xfId="0" applyFont="1" applyFill="1" applyBorder="1" applyAlignment="1">
      <alignment horizontal="center" vertical="center"/>
    </xf>
    <xf numFmtId="0" fontId="15" fillId="10" borderId="11" xfId="0" applyFont="1" applyFill="1" applyBorder="1" applyAlignment="1">
      <alignment horizontal="center" vertical="center"/>
    </xf>
    <xf numFmtId="0" fontId="16" fillId="0" borderId="1" xfId="0" applyFont="1" applyAlignment="1">
      <alignment horizontal="center" vertical="center"/>
    </xf>
    <xf numFmtId="17" fontId="15" fillId="10" borderId="21" xfId="0" applyNumberFormat="1" applyFont="1" applyFill="1" applyBorder="1" applyAlignment="1">
      <alignment horizontal="center" vertical="center"/>
    </xf>
    <xf numFmtId="17" fontId="15" fillId="10" borderId="22" xfId="0" applyNumberFormat="1" applyFont="1" applyFill="1" applyBorder="1" applyAlignment="1">
      <alignment horizontal="center" vertical="center"/>
    </xf>
    <xf numFmtId="17" fontId="15" fillId="10" borderId="20" xfId="0" applyNumberFormat="1" applyFont="1" applyFill="1" applyBorder="1" applyAlignment="1">
      <alignment horizontal="center" vertical="center"/>
    </xf>
    <xf numFmtId="0" fontId="15" fillId="10" borderId="26" xfId="0" applyFont="1" applyFill="1" applyBorder="1" applyAlignment="1">
      <alignment horizontal="center" vertical="center"/>
    </xf>
    <xf numFmtId="2" fontId="15" fillId="10" borderId="1" xfId="0" applyNumberFormat="1" applyFont="1" applyFill="1" applyAlignment="1">
      <alignment horizontal="center" vertical="center"/>
    </xf>
    <xf numFmtId="2" fontId="15" fillId="10" borderId="3" xfId="0" applyNumberFormat="1" applyFont="1" applyFill="1" applyBorder="1" applyAlignment="1">
      <alignment horizontal="center" vertical="center"/>
    </xf>
    <xf numFmtId="2" fontId="15" fillId="10" borderId="4" xfId="0" applyNumberFormat="1" applyFont="1" applyFill="1" applyBorder="1" applyAlignment="1">
      <alignment horizontal="center" vertical="center"/>
    </xf>
    <xf numFmtId="0" fontId="3" fillId="0" borderId="1" xfId="0" applyFont="1"/>
    <xf numFmtId="0" fontId="8" fillId="11" borderId="27" xfId="0" applyFont="1" applyFill="1" applyBorder="1" applyAlignment="1">
      <alignment horizontal="left" vertical="center"/>
    </xf>
    <xf numFmtId="2" fontId="8" fillId="11" borderId="27" xfId="5" applyNumberFormat="1" applyFont="1" applyFill="1" applyBorder="1" applyAlignment="1">
      <alignment horizontal="center" vertical="center"/>
    </xf>
    <xf numFmtId="10" fontId="8" fillId="11" borderId="28" xfId="5" applyNumberFormat="1" applyFont="1" applyFill="1" applyBorder="1" applyAlignment="1">
      <alignment horizontal="center" vertical="center"/>
    </xf>
    <xf numFmtId="44" fontId="8" fillId="11" borderId="29" xfId="1" applyFont="1" applyFill="1" applyBorder="1" applyAlignment="1">
      <alignment horizontal="center" vertical="center"/>
    </xf>
    <xf numFmtId="1" fontId="8" fillId="11" borderId="28" xfId="0" applyNumberFormat="1" applyFont="1" applyFill="1" applyBorder="1" applyAlignment="1">
      <alignment horizontal="center" vertical="center"/>
    </xf>
    <xf numFmtId="1" fontId="8" fillId="11" borderId="29" xfId="0" applyNumberFormat="1" applyFont="1" applyFill="1" applyBorder="1" applyAlignment="1">
      <alignment horizontal="center" vertical="center"/>
    </xf>
    <xf numFmtId="1" fontId="8" fillId="11" borderId="27" xfId="0" applyNumberFormat="1" applyFont="1" applyFill="1" applyBorder="1" applyAlignment="1">
      <alignment horizontal="center" vertical="center"/>
    </xf>
    <xf numFmtId="1" fontId="8" fillId="11" borderId="30" xfId="0" applyNumberFormat="1" applyFont="1" applyFill="1" applyBorder="1" applyAlignment="1">
      <alignment horizontal="center" vertical="center"/>
    </xf>
    <xf numFmtId="10" fontId="3" fillId="0" borderId="1" xfId="5" applyNumberFormat="1" applyFont="1"/>
    <xf numFmtId="10" fontId="3" fillId="0" borderId="4" xfId="5" applyNumberFormat="1" applyFont="1" applyBorder="1" applyAlignment="1">
      <alignment horizontal="left" vertical="center"/>
    </xf>
    <xf numFmtId="2" fontId="3" fillId="0" borderId="4" xfId="1" applyNumberFormat="1" applyFont="1" applyBorder="1" applyAlignment="1">
      <alignment horizontal="center" vertical="center"/>
    </xf>
    <xf numFmtId="44" fontId="3" fillId="0" borderId="1" xfId="1" applyFont="1" applyAlignment="1">
      <alignment horizontal="center" vertical="center"/>
    </xf>
    <xf numFmtId="10" fontId="3" fillId="0" borderId="3" xfId="5" applyNumberFormat="1" applyFont="1" applyBorder="1" applyAlignment="1">
      <alignment horizontal="center" vertical="center"/>
    </xf>
    <xf numFmtId="10" fontId="3" fillId="0" borderId="23" xfId="5" applyNumberFormat="1" applyFont="1" applyBorder="1" applyAlignment="1">
      <alignment horizontal="center" vertical="center"/>
    </xf>
    <xf numFmtId="10" fontId="3" fillId="0" borderId="25" xfId="5" applyNumberFormat="1" applyFont="1" applyBorder="1" applyAlignment="1">
      <alignment horizontal="center" vertical="center"/>
    </xf>
    <xf numFmtId="10" fontId="3" fillId="0" borderId="1" xfId="5" applyNumberFormat="1" applyFont="1" applyAlignment="1">
      <alignment horizontal="center" vertical="center"/>
    </xf>
    <xf numFmtId="44" fontId="3" fillId="0" borderId="3" xfId="5" applyNumberFormat="1" applyFont="1" applyBorder="1" applyAlignment="1">
      <alignment horizontal="center" vertical="center"/>
    </xf>
    <xf numFmtId="44" fontId="3" fillId="0" borderId="6" xfId="5" applyNumberFormat="1" applyFont="1" applyBorder="1" applyAlignment="1">
      <alignment horizontal="center" vertical="center"/>
    </xf>
    <xf numFmtId="10" fontId="4" fillId="0" borderId="1" xfId="5" applyNumberFormat="1" applyFont="1"/>
    <xf numFmtId="10" fontId="4" fillId="0" borderId="4" xfId="5" applyNumberFormat="1" applyFont="1" applyBorder="1" applyAlignment="1">
      <alignment horizontal="left" vertical="center"/>
    </xf>
    <xf numFmtId="10" fontId="4" fillId="0" borderId="3" xfId="5" applyNumberFormat="1" applyFont="1" applyBorder="1" applyAlignment="1">
      <alignment horizontal="center" vertical="center"/>
    </xf>
    <xf numFmtId="10" fontId="4" fillId="0" borderId="1" xfId="5" applyNumberFormat="1" applyFont="1" applyAlignment="1">
      <alignment horizontal="center" vertical="center"/>
    </xf>
    <xf numFmtId="44" fontId="4" fillId="0" borderId="6" xfId="5" applyNumberFormat="1" applyFont="1" applyBorder="1" applyAlignment="1">
      <alignment horizontal="center" vertical="center"/>
    </xf>
    <xf numFmtId="175" fontId="4" fillId="0" borderId="4" xfId="1" applyNumberFormat="1" applyFont="1" applyBorder="1" applyAlignment="1">
      <alignment vertical="center"/>
    </xf>
    <xf numFmtId="171" fontId="4" fillId="0" borderId="1" xfId="1" applyNumberFormat="1" applyFont="1" applyAlignment="1">
      <alignment vertical="center"/>
    </xf>
    <xf numFmtId="175" fontId="4" fillId="4" borderId="1" xfId="1" applyNumberFormat="1" applyFont="1" applyFill="1" applyAlignment="1">
      <alignment horizontal="center" vertical="center"/>
    </xf>
    <xf numFmtId="10" fontId="8" fillId="12" borderId="4" xfId="5" applyNumberFormat="1" applyFont="1" applyFill="1" applyBorder="1" applyAlignment="1">
      <alignment horizontal="center" vertical="center"/>
    </xf>
    <xf numFmtId="10" fontId="8" fillId="12" borderId="3" xfId="5" applyNumberFormat="1" applyFont="1" applyFill="1" applyBorder="1" applyAlignment="1">
      <alignment horizontal="center" vertical="center"/>
    </xf>
    <xf numFmtId="10" fontId="8" fillId="13" borderId="4" xfId="5" applyNumberFormat="1" applyFont="1" applyFill="1" applyBorder="1" applyAlignment="1">
      <alignment horizontal="center" vertical="center"/>
    </xf>
    <xf numFmtId="10" fontId="8" fillId="13" borderId="3" xfId="5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44" fontId="4" fillId="0" borderId="1" xfId="5" applyNumberFormat="1" applyFont="1" applyAlignment="1">
      <alignment horizontal="center" vertical="center"/>
    </xf>
    <xf numFmtId="44" fontId="4" fillId="0" borderId="3" xfId="5" applyNumberFormat="1" applyFont="1" applyBorder="1" applyAlignment="1">
      <alignment horizontal="center" vertical="center"/>
    </xf>
    <xf numFmtId="44" fontId="4" fillId="0" borderId="4" xfId="5" applyNumberFormat="1" applyFont="1" applyBorder="1" applyAlignment="1">
      <alignment horizontal="center" vertical="center"/>
    </xf>
    <xf numFmtId="10" fontId="4" fillId="0" borderId="4" xfId="5" applyNumberFormat="1" applyFont="1" applyBorder="1" applyAlignment="1">
      <alignment vertical="center"/>
    </xf>
    <xf numFmtId="10" fontId="4" fillId="0" borderId="6" xfId="5" applyNumberFormat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0" borderId="4" xfId="1" applyFont="1" applyBorder="1" applyAlignment="1">
      <alignment horizontal="center" vertical="center"/>
    </xf>
    <xf numFmtId="10" fontId="3" fillId="0" borderId="4" xfId="5" applyNumberFormat="1" applyFont="1" applyBorder="1" applyAlignment="1">
      <alignment vertical="center"/>
    </xf>
    <xf numFmtId="44" fontId="3" fillId="0" borderId="1" xfId="5" applyNumberFormat="1" applyFont="1" applyAlignment="1">
      <alignment horizontal="center" vertical="center"/>
    </xf>
    <xf numFmtId="44" fontId="3" fillId="0" borderId="4" xfId="5" applyNumberFormat="1" applyFont="1" applyBorder="1" applyAlignment="1">
      <alignment horizontal="center" vertical="center"/>
    </xf>
    <xf numFmtId="44" fontId="3" fillId="0" borderId="3" xfId="1" applyFont="1" applyBorder="1" applyAlignment="1">
      <alignment horizontal="center" vertical="center"/>
    </xf>
    <xf numFmtId="44" fontId="3" fillId="0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/>
    <xf numFmtId="171" fontId="4" fillId="0" borderId="4" xfId="5" applyNumberFormat="1" applyFont="1" applyBorder="1" applyAlignment="1">
      <alignment horizontal="center" vertical="center"/>
    </xf>
    <xf numFmtId="171" fontId="4" fillId="0" borderId="1" xfId="5" applyNumberFormat="1" applyFont="1" applyAlignment="1">
      <alignment horizontal="center" vertical="center"/>
    </xf>
    <xf numFmtId="171" fontId="4" fillId="4" borderId="1" xfId="5" applyNumberFormat="1" applyFont="1" applyFill="1" applyAlignment="1">
      <alignment horizontal="center" vertical="center"/>
    </xf>
    <xf numFmtId="44" fontId="4" fillId="0" borderId="3" xfId="0" applyNumberFormat="1" applyFont="1" applyBorder="1" applyAlignment="1">
      <alignment horizontal="center" vertical="center"/>
    </xf>
    <xf numFmtId="44" fontId="4" fillId="0" borderId="4" xfId="0" applyNumberFormat="1" applyFont="1" applyBorder="1" applyAlignment="1">
      <alignment horizontal="center" vertical="center"/>
    </xf>
    <xf numFmtId="10" fontId="3" fillId="9" borderId="3" xfId="5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4" fontId="4" fillId="0" borderId="4" xfId="5" applyNumberFormat="1" applyFont="1" applyBorder="1" applyAlignment="1">
      <alignment vertical="center"/>
    </xf>
    <xf numFmtId="44" fontId="4" fillId="0" borderId="1" xfId="5" applyNumberFormat="1" applyFont="1" applyAlignment="1">
      <alignment vertical="center"/>
    </xf>
    <xf numFmtId="10" fontId="4" fillId="0" borderId="11" xfId="5" applyNumberFormat="1" applyFont="1" applyBorder="1" applyAlignment="1">
      <alignment horizontal="center" vertical="center"/>
    </xf>
    <xf numFmtId="44" fontId="4" fillId="0" borderId="4" xfId="5" applyNumberFormat="1" applyFont="1" applyBorder="1" applyAlignment="1">
      <alignment horizontal="left" vertical="center"/>
    </xf>
    <xf numFmtId="174" fontId="3" fillId="0" borderId="1" xfId="5" applyNumberFormat="1" applyFont="1" applyAlignment="1">
      <alignment horizontal="center" vertical="center"/>
    </xf>
    <xf numFmtId="44" fontId="3" fillId="0" borderId="1" xfId="0" applyNumberFormat="1" applyFont="1"/>
    <xf numFmtId="44" fontId="4" fillId="0" borderId="1" xfId="0" applyNumberFormat="1" applyFont="1" applyAlignment="1">
      <alignment horizontal="center" vertical="center"/>
    </xf>
    <xf numFmtId="10" fontId="4" fillId="15" borderId="4" xfId="5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4" fontId="3" fillId="0" borderId="1" xfId="0" applyNumberFormat="1" applyFont="1" applyAlignment="1">
      <alignment horizontal="center" vertical="center"/>
    </xf>
    <xf numFmtId="44" fontId="3" fillId="0" borderId="3" xfId="0" applyNumberFormat="1" applyFont="1" applyBorder="1" applyAlignment="1">
      <alignment horizontal="center" vertical="center"/>
    </xf>
    <xf numFmtId="44" fontId="3" fillId="0" borderId="4" xfId="0" applyNumberFormat="1" applyFont="1" applyBorder="1" applyAlignment="1">
      <alignment horizontal="center" vertical="center"/>
    </xf>
    <xf numFmtId="0" fontId="17" fillId="0" borderId="1" xfId="0" applyFont="1"/>
    <xf numFmtId="0" fontId="37" fillId="0" borderId="1" xfId="0" applyFont="1"/>
    <xf numFmtId="44" fontId="4" fillId="4" borderId="3" xfId="1" applyFont="1" applyFill="1" applyBorder="1" applyAlignment="1">
      <alignment vertical="center"/>
    </xf>
    <xf numFmtId="10" fontId="4" fillId="0" borderId="20" xfId="5" applyNumberFormat="1" applyFont="1" applyBorder="1" applyAlignment="1">
      <alignment horizontal="left" vertical="center"/>
    </xf>
    <xf numFmtId="44" fontId="4" fillId="0" borderId="21" xfId="5" applyNumberFormat="1" applyFont="1" applyBorder="1" applyAlignment="1">
      <alignment horizontal="center" vertical="center"/>
    </xf>
    <xf numFmtId="44" fontId="4" fillId="0" borderId="22" xfId="1" applyFont="1" applyBorder="1" applyAlignment="1">
      <alignment horizontal="center" vertical="center"/>
    </xf>
    <xf numFmtId="44" fontId="4" fillId="0" borderId="21" xfId="0" applyNumberFormat="1" applyFont="1" applyBorder="1" applyAlignment="1">
      <alignment horizontal="center" vertical="center"/>
    </xf>
    <xf numFmtId="44" fontId="4" fillId="0" borderId="22" xfId="0" applyNumberFormat="1" applyFont="1" applyBorder="1" applyAlignment="1">
      <alignment horizontal="center" vertical="center"/>
    </xf>
    <xf numFmtId="44" fontId="4" fillId="0" borderId="20" xfId="0" applyNumberFormat="1" applyFont="1" applyBorder="1" applyAlignment="1">
      <alignment horizontal="center" vertical="center"/>
    </xf>
    <xf numFmtId="44" fontId="4" fillId="0" borderId="26" xfId="5" applyNumberFormat="1" applyFont="1" applyBorder="1" applyAlignment="1">
      <alignment horizontal="center" vertical="center"/>
    </xf>
    <xf numFmtId="0" fontId="14" fillId="0" borderId="1" xfId="0" applyFont="1" applyAlignment="1">
      <alignment vertical="center"/>
    </xf>
    <xf numFmtId="2" fontId="14" fillId="0" borderId="1" xfId="0" applyNumberFormat="1" applyFont="1" applyAlignment="1">
      <alignment horizontal="center" vertical="center"/>
    </xf>
    <xf numFmtId="44" fontId="14" fillId="0" borderId="1" xfId="1" applyFont="1" applyAlignment="1">
      <alignment horizontal="center" vertical="center"/>
    </xf>
    <xf numFmtId="0" fontId="14" fillId="0" borderId="1" xfId="0" applyFont="1"/>
    <xf numFmtId="0" fontId="36" fillId="0" borderId="1" xfId="0" applyFont="1" applyAlignment="1">
      <alignment horizontal="left" vertical="center"/>
    </xf>
    <xf numFmtId="0" fontId="21" fillId="0" borderId="1" xfId="0" applyFont="1" applyAlignment="1">
      <alignment vertical="center"/>
    </xf>
    <xf numFmtId="0" fontId="21" fillId="0" borderId="1" xfId="0" applyFont="1" applyAlignment="1">
      <alignment horizontal="center" vertical="center"/>
    </xf>
    <xf numFmtId="0" fontId="22" fillId="0" borderId="1" xfId="0" applyFont="1" applyAlignment="1">
      <alignment vertical="center"/>
    </xf>
    <xf numFmtId="0" fontId="22" fillId="0" borderId="1" xfId="0" applyFont="1" applyAlignment="1">
      <alignment horizontal="center" vertical="center"/>
    </xf>
    <xf numFmtId="44" fontId="30" fillId="0" borderId="33" xfId="1" applyFont="1" applyBorder="1" applyAlignment="1">
      <alignment horizontal="left" vertical="center" shrinkToFit="1"/>
    </xf>
    <xf numFmtId="0" fontId="21" fillId="0" borderId="1" xfId="0" applyFont="1" applyAlignment="1">
      <alignment vertical="center" wrapText="1"/>
    </xf>
    <xf numFmtId="0" fontId="22" fillId="0" borderId="33" xfId="0" applyFont="1" applyBorder="1" applyAlignment="1">
      <alignment horizontal="right" vertical="center"/>
    </xf>
    <xf numFmtId="10" fontId="30" fillId="0" borderId="33" xfId="5" applyNumberFormat="1" applyFont="1" applyBorder="1" applyAlignment="1">
      <alignment horizontal="right" vertical="center" shrinkToFit="1"/>
    </xf>
    <xf numFmtId="1" fontId="23" fillId="0" borderId="33" xfId="0" applyNumberFormat="1" applyFont="1" applyBorder="1" applyAlignment="1">
      <alignment horizontal="right" vertical="center" shrinkToFit="1"/>
    </xf>
    <xf numFmtId="44" fontId="30" fillId="16" borderId="33" xfId="1" applyFont="1" applyFill="1" applyBorder="1" applyAlignment="1">
      <alignment horizontal="left" vertical="center" shrinkToFit="1"/>
    </xf>
    <xf numFmtId="0" fontId="24" fillId="16" borderId="33" xfId="0" applyFont="1" applyFill="1" applyBorder="1" applyAlignment="1">
      <alignment horizontal="left" vertical="center"/>
    </xf>
    <xf numFmtId="0" fontId="29" fillId="0" borderId="33" xfId="0" applyFont="1" applyBorder="1" applyAlignment="1">
      <alignment horizontal="left" vertical="center"/>
    </xf>
    <xf numFmtId="0" fontId="30" fillId="0" borderId="1" xfId="0" applyFont="1" applyAlignment="1">
      <alignment vertical="center"/>
    </xf>
    <xf numFmtId="0" fontId="0" fillId="0" borderId="1" xfId="0" applyAlignment="1">
      <alignment vertical="center"/>
    </xf>
    <xf numFmtId="0" fontId="20" fillId="0" borderId="1" xfId="0" applyFont="1" applyAlignment="1">
      <alignment vertical="center"/>
    </xf>
    <xf numFmtId="0" fontId="25" fillId="0" borderId="1" xfId="0" applyFont="1" applyAlignment="1">
      <alignment vertical="center"/>
    </xf>
    <xf numFmtId="0" fontId="25" fillId="0" borderId="1" xfId="0" applyFont="1" applyAlignment="1">
      <alignment horizontal="center" vertical="center"/>
    </xf>
    <xf numFmtId="0" fontId="30" fillId="0" borderId="1" xfId="0" applyFont="1" applyAlignment="1">
      <alignment horizontal="center" vertical="center"/>
    </xf>
    <xf numFmtId="0" fontId="33" fillId="0" borderId="1" xfId="0" applyFont="1" applyAlignment="1">
      <alignment horizontal="left" vertical="center"/>
    </xf>
    <xf numFmtId="0" fontId="33" fillId="0" borderId="1" xfId="0" applyFont="1" applyAlignment="1">
      <alignment vertical="center"/>
    </xf>
    <xf numFmtId="0" fontId="33" fillId="0" borderId="1" xfId="0" applyFont="1" applyAlignment="1">
      <alignment horizontal="center" vertical="center"/>
    </xf>
    <xf numFmtId="0" fontId="29" fillId="0" borderId="9" xfId="0" applyFont="1" applyBorder="1" applyAlignment="1">
      <alignment horizontal="left" vertical="center"/>
    </xf>
    <xf numFmtId="0" fontId="30" fillId="0" borderId="33" xfId="0" applyFont="1" applyBorder="1" applyAlignment="1">
      <alignment horizontal="left" vertical="center"/>
    </xf>
    <xf numFmtId="0" fontId="29" fillId="0" borderId="1" xfId="0" applyFont="1" applyAlignment="1">
      <alignment horizontal="left" vertical="center"/>
    </xf>
    <xf numFmtId="0" fontId="30" fillId="0" borderId="1" xfId="0" applyFont="1" applyAlignment="1">
      <alignment vertical="center" wrapText="1"/>
    </xf>
    <xf numFmtId="44" fontId="30" fillId="0" borderId="34" xfId="1" applyFont="1" applyBorder="1" applyAlignment="1">
      <alignment vertical="center" shrinkToFit="1"/>
    </xf>
    <xf numFmtId="44" fontId="29" fillId="0" borderId="1" xfId="0" applyNumberFormat="1" applyFont="1" applyAlignment="1">
      <alignment horizontal="left" vertical="center"/>
    </xf>
    <xf numFmtId="44" fontId="30" fillId="0" borderId="34" xfId="1" applyFont="1" applyBorder="1" applyAlignment="1">
      <alignment horizontal="left" vertical="center" shrinkToFit="1"/>
    </xf>
    <xf numFmtId="0" fontId="26" fillId="0" borderId="1" xfId="0" applyFont="1" applyAlignment="1">
      <alignment vertical="center"/>
    </xf>
    <xf numFmtId="0" fontId="26" fillId="0" borderId="1" xfId="0" applyFont="1" applyAlignment="1">
      <alignment horizontal="center" vertical="center"/>
    </xf>
    <xf numFmtId="10" fontId="30" fillId="17" borderId="33" xfId="5" applyNumberFormat="1" applyFont="1" applyFill="1" applyBorder="1" applyAlignment="1">
      <alignment horizontal="right" vertical="center" shrinkToFit="1"/>
    </xf>
    <xf numFmtId="44" fontId="22" fillId="0" borderId="33" xfId="1" applyFont="1" applyBorder="1" applyAlignment="1">
      <alignment horizontal="left" vertical="center" shrinkToFit="1"/>
    </xf>
    <xf numFmtId="0" fontId="0" fillId="0" borderId="1" xfId="0" applyAlignment="1">
      <alignment horizontal="left" vertical="center"/>
    </xf>
    <xf numFmtId="44" fontId="30" fillId="17" borderId="33" xfId="1" applyFont="1" applyFill="1" applyBorder="1" applyAlignment="1">
      <alignment horizontal="left" vertical="center" shrinkToFit="1"/>
    </xf>
    <xf numFmtId="44" fontId="30" fillId="5" borderId="33" xfId="1" applyFont="1" applyFill="1" applyBorder="1" applyAlignment="1">
      <alignment horizontal="left" vertical="center" shrinkToFit="1"/>
    </xf>
    <xf numFmtId="44" fontId="30" fillId="18" borderId="33" xfId="1" applyFont="1" applyFill="1" applyBorder="1" applyAlignment="1">
      <alignment horizontal="left" vertical="center" shrinkToFit="1"/>
    </xf>
    <xf numFmtId="0" fontId="31" fillId="18" borderId="33" xfId="0" applyFont="1" applyFill="1" applyBorder="1" applyAlignment="1">
      <alignment horizontal="left" vertical="center"/>
    </xf>
    <xf numFmtId="44" fontId="30" fillId="19" borderId="33" xfId="1" applyFont="1" applyFill="1" applyBorder="1" applyAlignment="1">
      <alignment horizontal="left" vertical="center" shrinkToFit="1"/>
    </xf>
    <xf numFmtId="0" fontId="34" fillId="0" borderId="1" xfId="0" applyFont="1" applyAlignment="1">
      <alignment vertical="center" wrapText="1"/>
    </xf>
    <xf numFmtId="0" fontId="34" fillId="0" borderId="1" xfId="0" applyFont="1" applyAlignment="1">
      <alignment horizontal="center" vertical="center" wrapText="1"/>
    </xf>
    <xf numFmtId="0" fontId="29" fillId="0" borderId="1" xfId="0" applyFont="1" applyAlignment="1">
      <alignment vertical="center"/>
    </xf>
    <xf numFmtId="0" fontId="35" fillId="0" borderId="1" xfId="0" applyFont="1" applyAlignment="1">
      <alignment horizontal="left" vertical="center"/>
    </xf>
    <xf numFmtId="0" fontId="35" fillId="0" borderId="1" xfId="0" applyFont="1" applyAlignment="1">
      <alignment horizontal="center" vertical="center"/>
    </xf>
    <xf numFmtId="0" fontId="32" fillId="0" borderId="1" xfId="0" applyFont="1" applyAlignment="1">
      <alignment horizontal="left" vertical="center"/>
    </xf>
    <xf numFmtId="0" fontId="35" fillId="5" borderId="1" xfId="0" applyFont="1" applyFill="1" applyAlignment="1">
      <alignment horizontal="center" vertical="center"/>
    </xf>
    <xf numFmtId="0" fontId="23" fillId="0" borderId="1" xfId="0" applyFont="1" applyAlignment="1">
      <alignment horizontal="left" vertical="center"/>
    </xf>
    <xf numFmtId="0" fontId="35" fillId="18" borderId="1" xfId="0" applyFont="1" applyFill="1" applyAlignment="1">
      <alignment horizontal="center" vertical="center"/>
    </xf>
    <xf numFmtId="0" fontId="35" fillId="14" borderId="1" xfId="0" applyFont="1" applyFill="1" applyAlignment="1">
      <alignment horizontal="center" vertical="center"/>
    </xf>
    <xf numFmtId="0" fontId="27" fillId="0" borderId="1" xfId="0" applyFont="1" applyAlignment="1">
      <alignment horizontal="left" vertical="center"/>
    </xf>
    <xf numFmtId="0" fontId="28" fillId="0" borderId="1" xfId="0" applyFont="1" applyAlignment="1">
      <alignment horizontal="center" vertical="center"/>
    </xf>
    <xf numFmtId="0" fontId="0" fillId="0" borderId="1" xfId="0" applyAlignment="1">
      <alignment horizontal="center" vertical="center"/>
    </xf>
    <xf numFmtId="0" fontId="20" fillId="0" borderId="1" xfId="0" applyFont="1" applyAlignment="1">
      <alignment horizontal="left" vertical="center"/>
    </xf>
    <xf numFmtId="0" fontId="41" fillId="10" borderId="23" xfId="0" applyFont="1" applyFill="1" applyBorder="1" applyAlignment="1">
      <alignment horizontal="center"/>
    </xf>
    <xf numFmtId="0" fontId="41" fillId="10" borderId="11" xfId="0" applyFont="1" applyFill="1" applyBorder="1" applyAlignment="1">
      <alignment horizontal="center"/>
    </xf>
    <xf numFmtId="0" fontId="41" fillId="10" borderId="25" xfId="0" applyFont="1" applyFill="1" applyBorder="1" applyAlignment="1">
      <alignment horizontal="center" wrapText="1"/>
    </xf>
    <xf numFmtId="0" fontId="0" fillId="0" borderId="4" xfId="0" applyBorder="1"/>
    <xf numFmtId="0" fontId="33" fillId="0" borderId="6" xfId="0" applyFont="1" applyBorder="1" applyAlignment="1">
      <alignment horizontal="center"/>
    </xf>
    <xf numFmtId="0" fontId="33" fillId="0" borderId="3" xfId="0" applyFont="1" applyBorder="1" applyAlignment="1">
      <alignment wrapText="1"/>
    </xf>
    <xf numFmtId="44" fontId="44" fillId="0" borderId="6" xfId="0" applyNumberFormat="1" applyFont="1" applyBorder="1" applyAlignment="1">
      <alignment horizontal="center"/>
    </xf>
    <xf numFmtId="6" fontId="33" fillId="0" borderId="3" xfId="0" applyNumberFormat="1" applyFont="1" applyBorder="1" applyAlignment="1">
      <alignment wrapText="1"/>
    </xf>
    <xf numFmtId="0" fontId="42" fillId="0" borderId="4" xfId="0" applyFont="1" applyBorder="1" applyAlignment="1">
      <alignment horizontal="center"/>
    </xf>
    <xf numFmtId="44" fontId="43" fillId="0" borderId="6" xfId="0" applyNumberFormat="1" applyFont="1" applyBorder="1" applyAlignment="1">
      <alignment horizontal="center"/>
    </xf>
    <xf numFmtId="0" fontId="43" fillId="0" borderId="3" xfId="0" applyFont="1" applyBorder="1" applyAlignment="1">
      <alignment wrapText="1"/>
    </xf>
    <xf numFmtId="0" fontId="40" fillId="0" borderId="1" xfId="0" applyFont="1"/>
    <xf numFmtId="0" fontId="40" fillId="0" borderId="4" xfId="0" applyFont="1" applyBorder="1"/>
    <xf numFmtId="0" fontId="44" fillId="0" borderId="3" xfId="0" applyFont="1" applyBorder="1" applyAlignment="1">
      <alignment wrapText="1"/>
    </xf>
    <xf numFmtId="0" fontId="38" fillId="0" borderId="1" xfId="0" applyFont="1"/>
    <xf numFmtId="0" fontId="38" fillId="0" borderId="4" xfId="0" applyFont="1" applyBorder="1"/>
    <xf numFmtId="44" fontId="33" fillId="0" borderId="6" xfId="0" applyNumberFormat="1" applyFont="1" applyBorder="1" applyAlignment="1">
      <alignment horizontal="center"/>
    </xf>
    <xf numFmtId="0" fontId="42" fillId="0" borderId="27" xfId="0" applyFont="1" applyBorder="1" applyAlignment="1">
      <alignment horizontal="center"/>
    </xf>
    <xf numFmtId="44" fontId="45" fillId="0" borderId="30" xfId="0" applyNumberFormat="1" applyFont="1" applyBorder="1" applyAlignment="1">
      <alignment horizontal="center"/>
    </xf>
    <xf numFmtId="0" fontId="45" fillId="0" borderId="29" xfId="0" applyFont="1" applyBorder="1" applyAlignment="1">
      <alignment wrapText="1"/>
    </xf>
    <xf numFmtId="0" fontId="44" fillId="0" borderId="3" xfId="0" quotePrefix="1" applyFont="1" applyBorder="1" applyAlignment="1">
      <alignment wrapText="1"/>
    </xf>
    <xf numFmtId="0" fontId="33" fillId="0" borderId="6" xfId="0" applyFont="1" applyBorder="1" applyAlignment="1">
      <alignment horizontal="left"/>
    </xf>
    <xf numFmtId="179" fontId="43" fillId="0" borderId="3" xfId="0" applyNumberFormat="1" applyFont="1" applyBorder="1" applyAlignment="1">
      <alignment horizontal="left" wrapText="1"/>
    </xf>
    <xf numFmtId="6" fontId="43" fillId="0" borderId="6" xfId="0" applyNumberFormat="1" applyFont="1" applyBorder="1" applyAlignment="1">
      <alignment horizontal="center"/>
    </xf>
    <xf numFmtId="0" fontId="39" fillId="0" borderId="1" xfId="0" applyFont="1"/>
    <xf numFmtId="0" fontId="39" fillId="0" borderId="4" xfId="0" applyFont="1" applyBorder="1"/>
    <xf numFmtId="44" fontId="46" fillId="0" borderId="30" xfId="0" applyNumberFormat="1" applyFont="1" applyBorder="1" applyAlignment="1">
      <alignment horizontal="center"/>
    </xf>
    <xf numFmtId="0" fontId="46" fillId="0" borderId="29" xfId="0" applyFont="1" applyBorder="1" applyAlignment="1">
      <alignment wrapText="1"/>
    </xf>
    <xf numFmtId="180" fontId="33" fillId="0" borderId="3" xfId="0" applyNumberFormat="1" applyFont="1" applyBorder="1" applyAlignment="1">
      <alignment horizontal="left" wrapText="1"/>
    </xf>
    <xf numFmtId="0" fontId="39" fillId="0" borderId="27" xfId="0" applyFont="1" applyBorder="1" applyAlignment="1">
      <alignment horizontal="center"/>
    </xf>
    <xf numFmtId="44" fontId="43" fillId="0" borderId="30" xfId="0" applyNumberFormat="1" applyFont="1" applyBorder="1" applyAlignment="1">
      <alignment horizontal="center"/>
    </xf>
    <xf numFmtId="0" fontId="43" fillId="0" borderId="29" xfId="0" applyFont="1" applyBorder="1" applyAlignment="1">
      <alignment wrapText="1"/>
    </xf>
    <xf numFmtId="178" fontId="0" fillId="0" borderId="4" xfId="5" applyNumberFormat="1" applyFont="1" applyBorder="1"/>
    <xf numFmtId="178" fontId="39" fillId="0" borderId="27" xfId="5" applyNumberFormat="1" applyFont="1" applyBorder="1"/>
    <xf numFmtId="0" fontId="0" fillId="0" borderId="20" xfId="0" applyBorder="1"/>
    <xf numFmtId="0" fontId="33" fillId="0" borderId="26" xfId="0" applyFont="1" applyBorder="1" applyAlignment="1">
      <alignment horizontal="center"/>
    </xf>
    <xf numFmtId="0" fontId="33" fillId="0" borderId="22" xfId="0" applyFont="1" applyBorder="1" applyAlignment="1">
      <alignment wrapText="1"/>
    </xf>
    <xf numFmtId="0" fontId="33" fillId="0" borderId="1" xfId="0" applyFont="1" applyAlignment="1">
      <alignment horizontal="center"/>
    </xf>
    <xf numFmtId="0" fontId="33" fillId="0" borderId="1" xfId="0" applyFont="1" applyAlignment="1">
      <alignment wrapText="1"/>
    </xf>
    <xf numFmtId="184" fontId="48" fillId="0" borderId="0" xfId="0" applyNumberFormat="1" applyFont="1" applyBorder="1" applyAlignment="1">
      <alignment horizontal="center" vertical="top"/>
    </xf>
    <xf numFmtId="10" fontId="48" fillId="0" borderId="0" xfId="0" applyNumberFormat="1" applyFont="1" applyBorder="1" applyAlignment="1">
      <alignment horizontal="center" vertical="top"/>
    </xf>
    <xf numFmtId="49" fontId="48" fillId="0" borderId="0" xfId="0" applyNumberFormat="1" applyFont="1" applyBorder="1" applyAlignment="1">
      <alignment horizontal="center" vertical="top"/>
    </xf>
    <xf numFmtId="184" fontId="48" fillId="0" borderId="1" xfId="0" applyNumberFormat="1" applyFont="1" applyAlignment="1">
      <alignment horizontal="center" vertical="top"/>
    </xf>
    <xf numFmtId="10" fontId="48" fillId="0" borderId="1" xfId="0" applyNumberFormat="1" applyFont="1" applyAlignment="1">
      <alignment horizontal="center" vertical="top"/>
    </xf>
    <xf numFmtId="1" fontId="8" fillId="11" borderId="44" xfId="0" applyNumberFormat="1" applyFont="1" applyFill="1" applyBorder="1" applyAlignment="1">
      <alignment horizontal="center" vertical="center"/>
    </xf>
    <xf numFmtId="10" fontId="3" fillId="0" borderId="1" xfId="5" applyNumberFormat="1" applyFont="1" applyBorder="1" applyAlignment="1">
      <alignment horizontal="center" vertical="center"/>
    </xf>
    <xf numFmtId="10" fontId="4" fillId="0" borderId="1" xfId="5" applyNumberFormat="1" applyFont="1" applyBorder="1" applyAlignment="1">
      <alignment horizontal="center" vertical="center"/>
    </xf>
    <xf numFmtId="10" fontId="8" fillId="13" borderId="1" xfId="5" applyNumberFormat="1" applyFont="1" applyFill="1" applyBorder="1" applyAlignment="1">
      <alignment horizontal="center" vertical="center"/>
    </xf>
    <xf numFmtId="44" fontId="4" fillId="0" borderId="1" xfId="5" applyNumberFormat="1" applyFont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44" fontId="3" fillId="0" borderId="1" xfId="0" applyNumberFormat="1" applyFont="1" applyAlignment="1">
      <alignment vertical="center"/>
    </xf>
    <xf numFmtId="44" fontId="4" fillId="25" borderId="4" xfId="1" applyFont="1" applyFill="1" applyBorder="1" applyAlignment="1">
      <alignment vertical="center"/>
    </xf>
    <xf numFmtId="44" fontId="4" fillId="25" borderId="4" xfId="1" applyFont="1" applyFill="1" applyBorder="1" applyAlignment="1">
      <alignment vertical="center" wrapText="1"/>
    </xf>
    <xf numFmtId="9" fontId="3" fillId="0" borderId="1" xfId="0" applyNumberFormat="1" applyFont="1" applyAlignment="1">
      <alignment vertical="center"/>
    </xf>
    <xf numFmtId="9" fontId="4" fillId="0" borderId="1" xfId="0" applyNumberFormat="1" applyFont="1" applyAlignment="1">
      <alignment vertical="center"/>
    </xf>
    <xf numFmtId="8" fontId="14" fillId="0" borderId="1" xfId="0" applyNumberFormat="1" applyFont="1" applyAlignment="1">
      <alignment horizontal="center" vertical="center"/>
    </xf>
    <xf numFmtId="44" fontId="68" fillId="0" borderId="1" xfId="1" applyFont="1" applyAlignment="1">
      <alignment vertical="center"/>
    </xf>
    <xf numFmtId="44" fontId="69" fillId="0" borderId="1" xfId="0" applyNumberFormat="1" applyFont="1" applyAlignment="1">
      <alignment vertical="center"/>
    </xf>
    <xf numFmtId="44" fontId="0" fillId="0" borderId="1" xfId="0" applyNumberFormat="1"/>
    <xf numFmtId="184" fontId="70" fillId="0" borderId="0" xfId="0" applyNumberFormat="1" applyFont="1" applyBorder="1" applyAlignment="1">
      <alignment horizontal="center" vertical="top"/>
    </xf>
    <xf numFmtId="10" fontId="71" fillId="0" borderId="4" xfId="5" applyNumberFormat="1" applyFont="1" applyBorder="1" applyAlignment="1">
      <alignment horizontal="left" vertical="center"/>
    </xf>
    <xf numFmtId="168" fontId="3" fillId="2" borderId="49" xfId="0" applyNumberFormat="1" applyFont="1" applyFill="1" applyBorder="1" applyAlignment="1">
      <alignment horizontal="left" vertical="center" wrapText="1"/>
    </xf>
    <xf numFmtId="0" fontId="5" fillId="0" borderId="50" xfId="0" applyFont="1" applyBorder="1" applyAlignment="1">
      <alignment vertical="center" wrapText="1"/>
    </xf>
    <xf numFmtId="0" fontId="3" fillId="0" borderId="50" xfId="0" applyFont="1" applyBorder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4" fillId="0" borderId="51" xfId="0" applyFont="1" applyBorder="1" applyAlignment="1">
      <alignment vertical="center" wrapText="1"/>
    </xf>
    <xf numFmtId="44" fontId="5" fillId="0" borderId="1" xfId="1" applyFont="1" applyBorder="1" applyAlignment="1">
      <alignment vertical="center"/>
    </xf>
    <xf numFmtId="44" fontId="4" fillId="0" borderId="1" xfId="1" applyFont="1" applyBorder="1" applyAlignment="1">
      <alignment vertical="center"/>
    </xf>
    <xf numFmtId="0" fontId="5" fillId="0" borderId="1" xfId="0" applyFont="1" applyAlignment="1">
      <alignment horizontal="center" vertical="center"/>
    </xf>
    <xf numFmtId="0" fontId="7" fillId="0" borderId="1" xfId="0" applyFont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2" fontId="5" fillId="0" borderId="50" xfId="5" applyNumberFormat="1" applyFont="1" applyBorder="1" applyAlignment="1">
      <alignment horizontal="center" vertical="center"/>
    </xf>
    <xf numFmtId="2" fontId="7" fillId="0" borderId="50" xfId="5" applyNumberFormat="1" applyFont="1" applyBorder="1" applyAlignment="1">
      <alignment horizontal="center" vertical="center"/>
    </xf>
    <xf numFmtId="10" fontId="4" fillId="0" borderId="50" xfId="5" applyNumberFormat="1" applyFont="1" applyBorder="1" applyAlignment="1">
      <alignment horizontal="center" vertical="center"/>
    </xf>
    <xf numFmtId="10" fontId="4" fillId="0" borderId="51" xfId="5" applyNumberFormat="1" applyFont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44" fontId="3" fillId="0" borderId="1" xfId="1" applyFont="1" applyBorder="1" applyAlignment="1">
      <alignment vertical="center"/>
    </xf>
    <xf numFmtId="44" fontId="7" fillId="0" borderId="1" xfId="1" applyFont="1" applyBorder="1" applyAlignment="1">
      <alignment vertical="center"/>
    </xf>
    <xf numFmtId="164" fontId="3" fillId="2" borderId="49" xfId="0" applyNumberFormat="1" applyFont="1" applyFill="1" applyBorder="1" applyAlignment="1">
      <alignment vertical="center"/>
    </xf>
    <xf numFmtId="164" fontId="4" fillId="2" borderId="55" xfId="0" applyNumberFormat="1" applyFont="1" applyFill="1" applyBorder="1" applyAlignment="1">
      <alignment vertical="center"/>
    </xf>
    <xf numFmtId="10" fontId="6" fillId="2" borderId="55" xfId="5" applyNumberFormat="1" applyFont="1" applyFill="1" applyBorder="1" applyAlignment="1">
      <alignment vertical="center"/>
    </xf>
    <xf numFmtId="8" fontId="4" fillId="2" borderId="52" xfId="5" applyNumberFormat="1" applyFont="1" applyFill="1" applyBorder="1" applyAlignment="1">
      <alignment vertical="center"/>
    </xf>
    <xf numFmtId="44" fontId="5" fillId="0" borderId="50" xfId="1" applyFont="1" applyBorder="1" applyAlignment="1">
      <alignment vertical="center"/>
    </xf>
    <xf numFmtId="44" fontId="3" fillId="0" borderId="53" xfId="1" applyFont="1" applyBorder="1" applyAlignment="1">
      <alignment vertical="center"/>
    </xf>
    <xf numFmtId="44" fontId="7" fillId="0" borderId="50" xfId="1" applyFont="1" applyBorder="1" applyAlignment="1">
      <alignment vertical="center"/>
    </xf>
    <xf numFmtId="44" fontId="4" fillId="0" borderId="50" xfId="1" applyFont="1" applyBorder="1" applyAlignment="1">
      <alignment vertical="center"/>
    </xf>
    <xf numFmtId="44" fontId="4" fillId="0" borderId="53" xfId="1" applyFont="1" applyBorder="1" applyAlignment="1">
      <alignment vertical="center"/>
    </xf>
    <xf numFmtId="44" fontId="4" fillId="0" borderId="51" xfId="1" applyFont="1" applyBorder="1" applyAlignment="1">
      <alignment vertical="center"/>
    </xf>
    <xf numFmtId="44" fontId="4" fillId="0" borderId="56" xfId="1" applyFont="1" applyBorder="1" applyAlignment="1">
      <alignment vertical="center"/>
    </xf>
    <xf numFmtId="44" fontId="4" fillId="0" borderId="54" xfId="1" applyFont="1" applyBorder="1" applyAlignment="1">
      <alignment vertical="center"/>
    </xf>
    <xf numFmtId="0" fontId="8" fillId="0" borderId="23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166" fontId="3" fillId="2" borderId="49" xfId="0" applyNumberFormat="1" applyFont="1" applyFill="1" applyBorder="1" applyAlignment="1">
      <alignment horizontal="left" vertical="center" wrapText="1"/>
    </xf>
    <xf numFmtId="0" fontId="3" fillId="0" borderId="51" xfId="0" applyFont="1" applyBorder="1" applyAlignment="1">
      <alignment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10" fontId="7" fillId="0" borderId="51" xfId="5" applyNumberFormat="1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44" fontId="7" fillId="0" borderId="51" xfId="1" applyFont="1" applyBorder="1" applyAlignment="1">
      <alignment vertical="center"/>
    </xf>
    <xf numFmtId="44" fontId="7" fillId="0" borderId="56" xfId="1" applyFont="1" applyBorder="1" applyAlignment="1">
      <alignment vertical="center"/>
    </xf>
    <xf numFmtId="44" fontId="3" fillId="0" borderId="56" xfId="1" applyFont="1" applyBorder="1" applyAlignment="1">
      <alignment vertical="center"/>
    </xf>
    <xf numFmtId="44" fontId="3" fillId="0" borderId="54" xfId="1" applyFont="1" applyBorder="1" applyAlignment="1">
      <alignment vertical="center"/>
    </xf>
    <xf numFmtId="0" fontId="3" fillId="20" borderId="57" xfId="0" applyFont="1" applyFill="1" applyBorder="1" applyAlignment="1">
      <alignment vertical="center" wrapText="1"/>
    </xf>
    <xf numFmtId="2" fontId="3" fillId="20" borderId="58" xfId="1" applyNumberFormat="1" applyFont="1" applyFill="1" applyBorder="1" applyAlignment="1">
      <alignment horizontal="center" vertical="center" wrapText="1"/>
    </xf>
    <xf numFmtId="0" fontId="3" fillId="20" borderId="55" xfId="0" applyFont="1" applyFill="1" applyBorder="1" applyAlignment="1">
      <alignment horizontal="center" vertical="center" wrapText="1"/>
    </xf>
    <xf numFmtId="44" fontId="3" fillId="20" borderId="58" xfId="1" applyFont="1" applyFill="1" applyBorder="1" applyAlignment="1">
      <alignment vertical="center" wrapText="1"/>
    </xf>
    <xf numFmtId="44" fontId="3" fillId="20" borderId="55" xfId="1" applyFont="1" applyFill="1" applyBorder="1" applyAlignment="1">
      <alignment vertical="center"/>
    </xf>
    <xf numFmtId="44" fontId="3" fillId="20" borderId="52" xfId="1" applyFont="1" applyFill="1" applyBorder="1" applyAlignment="1">
      <alignment vertical="center"/>
    </xf>
    <xf numFmtId="0" fontId="5" fillId="0" borderId="59" xfId="0" applyFont="1" applyBorder="1" applyAlignment="1">
      <alignment vertical="center" wrapText="1"/>
    </xf>
    <xf numFmtId="44" fontId="10" fillId="0" borderId="1" xfId="1" applyFont="1" applyBorder="1" applyAlignment="1">
      <alignment vertical="center"/>
    </xf>
    <xf numFmtId="44" fontId="7" fillId="0" borderId="53" xfId="1" applyFont="1" applyBorder="1" applyAlignment="1">
      <alignment vertical="center"/>
    </xf>
    <xf numFmtId="0" fontId="5" fillId="0" borderId="60" xfId="0" applyFont="1" applyBorder="1" applyAlignment="1">
      <alignment vertical="center" wrapText="1"/>
    </xf>
    <xf numFmtId="2" fontId="5" fillId="4" borderId="61" xfId="5" applyNumberFormat="1" applyFont="1" applyFill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44" fontId="7" fillId="0" borderId="61" xfId="1" applyFont="1" applyBorder="1" applyAlignment="1">
      <alignment vertical="center"/>
    </xf>
    <xf numFmtId="44" fontId="10" fillId="0" borderId="56" xfId="1" applyFont="1" applyBorder="1" applyAlignment="1">
      <alignment vertical="center"/>
    </xf>
    <xf numFmtId="44" fontId="7" fillId="0" borderId="54" xfId="1" applyFont="1" applyBorder="1" applyAlignment="1">
      <alignment vertical="center"/>
    </xf>
    <xf numFmtId="2" fontId="69" fillId="0" borderId="4" xfId="5" applyNumberFormat="1" applyFont="1" applyBorder="1" applyAlignment="1">
      <alignment horizontal="center" vertical="center"/>
    </xf>
    <xf numFmtId="0" fontId="69" fillId="0" borderId="1" xfId="0" applyFont="1" applyAlignment="1">
      <alignment horizontal="center" vertical="center"/>
    </xf>
    <xf numFmtId="44" fontId="69" fillId="0" borderId="4" xfId="1" applyFont="1" applyBorder="1" applyAlignment="1">
      <alignment vertical="center"/>
    </xf>
    <xf numFmtId="44" fontId="69" fillId="0" borderId="1" xfId="1" applyFont="1" applyAlignment="1">
      <alignment vertical="center"/>
    </xf>
    <xf numFmtId="0" fontId="69" fillId="0" borderId="1" xfId="0" applyFont="1" applyAlignment="1">
      <alignment vertical="center"/>
    </xf>
    <xf numFmtId="0" fontId="67" fillId="0" borderId="1" xfId="0" applyFont="1"/>
    <xf numFmtId="0" fontId="69" fillId="0" borderId="6" xfId="0" applyFont="1" applyBorder="1" applyAlignment="1">
      <alignment vertical="center" wrapText="1"/>
    </xf>
    <xf numFmtId="44" fontId="69" fillId="0" borderId="1" xfId="1" applyFont="1" applyBorder="1" applyAlignment="1">
      <alignment vertical="center"/>
    </xf>
    <xf numFmtId="44" fontId="69" fillId="0" borderId="3" xfId="1" applyFont="1" applyBorder="1" applyAlignment="1">
      <alignment vertical="center"/>
    </xf>
    <xf numFmtId="0" fontId="69" fillId="2" borderId="62" xfId="0" applyFont="1" applyFill="1" applyBorder="1" applyAlignment="1">
      <alignment vertical="center" wrapText="1"/>
    </xf>
    <xf numFmtId="10" fontId="3" fillId="2" borderId="63" xfId="0" applyNumberFormat="1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44" fontId="3" fillId="2" borderId="63" xfId="1" applyFont="1" applyFill="1" applyBorder="1" applyAlignment="1">
      <alignment vertical="center"/>
    </xf>
    <xf numFmtId="44" fontId="3" fillId="2" borderId="64" xfId="1" applyFont="1" applyFill="1" applyBorder="1" applyAlignment="1">
      <alignment vertical="center"/>
    </xf>
    <xf numFmtId="44" fontId="3" fillId="2" borderId="65" xfId="1" applyFont="1" applyFill="1" applyBorder="1" applyAlignment="1">
      <alignment vertical="center"/>
    </xf>
    <xf numFmtId="0" fontId="71" fillId="0" borderId="59" xfId="0" applyFont="1" applyBorder="1" applyAlignment="1">
      <alignment vertical="center" wrapText="1"/>
    </xf>
    <xf numFmtId="0" fontId="69" fillId="0" borderId="60" xfId="0" applyFont="1" applyBorder="1" applyAlignment="1">
      <alignment vertical="center" wrapText="1"/>
    </xf>
    <xf numFmtId="2" fontId="69" fillId="0" borderId="61" xfId="5" applyNumberFormat="1" applyFont="1" applyBorder="1" applyAlignment="1">
      <alignment horizontal="center" vertical="center"/>
    </xf>
    <xf numFmtId="0" fontId="69" fillId="0" borderId="56" xfId="0" applyFont="1" applyBorder="1" applyAlignment="1">
      <alignment horizontal="center" vertical="center"/>
    </xf>
    <xf numFmtId="44" fontId="69" fillId="0" borderId="61" xfId="1" applyFont="1" applyBorder="1" applyAlignment="1">
      <alignment vertical="center"/>
    </xf>
    <xf numFmtId="44" fontId="69" fillId="0" borderId="56" xfId="1" applyFont="1" applyBorder="1" applyAlignment="1">
      <alignment vertical="center"/>
    </xf>
    <xf numFmtId="44" fontId="69" fillId="0" borderId="54" xfId="1" applyFont="1" applyBorder="1" applyAlignment="1">
      <alignment vertical="center"/>
    </xf>
    <xf numFmtId="44" fontId="72" fillId="0" borderId="6" xfId="0" applyNumberFormat="1" applyFont="1" applyBorder="1" applyAlignment="1">
      <alignment horizontal="center"/>
    </xf>
    <xf numFmtId="0" fontId="73" fillId="0" borderId="3" xfId="0" applyFont="1" applyBorder="1" applyAlignment="1">
      <alignment wrapText="1"/>
    </xf>
    <xf numFmtId="0" fontId="3" fillId="2" borderId="57" xfId="0" applyFont="1" applyFill="1" applyBorder="1" applyAlignment="1">
      <alignment vertical="center" wrapText="1"/>
    </xf>
    <xf numFmtId="2" fontId="3" fillId="2" borderId="58" xfId="5" applyNumberFormat="1" applyFont="1" applyFill="1" applyBorder="1" applyAlignment="1">
      <alignment horizontal="center" vertical="center"/>
    </xf>
    <xf numFmtId="44" fontId="3" fillId="2" borderId="58" xfId="1" applyFont="1" applyFill="1" applyBorder="1" applyAlignment="1">
      <alignment vertical="center"/>
    </xf>
    <xf numFmtId="44" fontId="3" fillId="2" borderId="55" xfId="1" applyFont="1" applyFill="1" applyBorder="1" applyAlignment="1">
      <alignment vertical="center"/>
    </xf>
    <xf numFmtId="44" fontId="4" fillId="2" borderId="55" xfId="1" applyFont="1" applyFill="1" applyBorder="1" applyAlignment="1">
      <alignment vertical="center"/>
    </xf>
    <xf numFmtId="44" fontId="4" fillId="2" borderId="52" xfId="1" applyFont="1" applyFill="1" applyBorder="1" applyAlignment="1">
      <alignment vertical="center"/>
    </xf>
    <xf numFmtId="0" fontId="4" fillId="0" borderId="59" xfId="0" applyFont="1" applyBorder="1" applyAlignment="1">
      <alignment vertical="center" wrapText="1"/>
    </xf>
    <xf numFmtId="0" fontId="3" fillId="0" borderId="60" xfId="0" applyFont="1" applyBorder="1" applyAlignment="1">
      <alignment vertical="center" wrapText="1"/>
    </xf>
    <xf numFmtId="2" fontId="3" fillId="0" borderId="61" xfId="5" applyNumberFormat="1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44" fontId="3" fillId="0" borderId="61" xfId="1" applyFont="1" applyBorder="1" applyAlignment="1">
      <alignment vertical="center"/>
    </xf>
    <xf numFmtId="49" fontId="52" fillId="0" borderId="1" xfId="0" applyNumberFormat="1" applyFont="1" applyAlignment="1">
      <alignment horizontal="left" vertical="top"/>
    </xf>
    <xf numFmtId="49" fontId="51" fillId="23" borderId="40" xfId="0" applyNumberFormat="1" applyFont="1" applyFill="1" applyBorder="1" applyAlignment="1">
      <alignment horizontal="left" vertical="top"/>
    </xf>
    <xf numFmtId="0" fontId="51" fillId="23" borderId="40" xfId="0" applyFont="1" applyFill="1" applyBorder="1" applyAlignment="1">
      <alignment horizontal="left" vertical="top"/>
    </xf>
    <xf numFmtId="49" fontId="52" fillId="0" borderId="0" xfId="0" applyNumberFormat="1" applyFont="1" applyBorder="1" applyAlignment="1">
      <alignment horizontal="left" vertical="top"/>
    </xf>
    <xf numFmtId="49" fontId="51" fillId="23" borderId="47" xfId="0" applyNumberFormat="1" applyFont="1" applyFill="1" applyBorder="1" applyAlignment="1">
      <alignment horizontal="left" vertical="top"/>
    </xf>
    <xf numFmtId="49" fontId="51" fillId="23" borderId="14" xfId="0" applyNumberFormat="1" applyFont="1" applyFill="1" applyBorder="1" applyAlignment="1">
      <alignment horizontal="left" vertical="top"/>
    </xf>
    <xf numFmtId="49" fontId="51" fillId="23" borderId="48" xfId="0" applyNumberFormat="1" applyFont="1" applyFill="1" applyBorder="1" applyAlignment="1">
      <alignment horizontal="left" vertical="top"/>
    </xf>
    <xf numFmtId="181" fontId="8" fillId="21" borderId="28" xfId="1" applyNumberFormat="1" applyFont="1" applyFill="1" applyBorder="1" applyAlignment="1">
      <alignment horizontal="center" vertical="center"/>
    </xf>
    <xf numFmtId="181" fontId="8" fillId="21" borderId="29" xfId="1" applyNumberFormat="1" applyFont="1" applyFill="1" applyBorder="1" applyAlignment="1">
      <alignment horizontal="center" vertical="center"/>
    </xf>
    <xf numFmtId="10" fontId="3" fillId="22" borderId="4" xfId="5" applyNumberFormat="1" applyFont="1" applyFill="1" applyBorder="1" applyAlignment="1">
      <alignment horizontal="center" vertical="center"/>
    </xf>
    <xf numFmtId="10" fontId="3" fillId="22" borderId="3" xfId="5" applyNumberFormat="1" applyFont="1" applyFill="1" applyBorder="1" applyAlignment="1">
      <alignment horizontal="center" vertical="center"/>
    </xf>
    <xf numFmtId="182" fontId="8" fillId="21" borderId="1" xfId="0" applyNumberFormat="1" applyFont="1" applyFill="1" applyAlignment="1">
      <alignment horizontal="center" vertical="center"/>
    </xf>
    <xf numFmtId="182" fontId="8" fillId="21" borderId="3" xfId="0" applyNumberFormat="1" applyFont="1" applyFill="1" applyBorder="1" applyAlignment="1">
      <alignment horizontal="center" vertical="center"/>
    </xf>
    <xf numFmtId="0" fontId="15" fillId="10" borderId="23" xfId="0" applyFont="1" applyFill="1" applyBorder="1" applyAlignment="1">
      <alignment horizontal="center"/>
    </xf>
    <xf numFmtId="0" fontId="15" fillId="10" borderId="4" xfId="0" applyFont="1" applyFill="1" applyBorder="1" applyAlignment="1">
      <alignment horizontal="center"/>
    </xf>
    <xf numFmtId="2" fontId="15" fillId="10" borderId="23" xfId="5" applyNumberFormat="1" applyFont="1" applyFill="1" applyBorder="1" applyAlignment="1">
      <alignment horizontal="center"/>
    </xf>
    <xf numFmtId="2" fontId="15" fillId="10" borderId="4" xfId="5" applyNumberFormat="1" applyFont="1" applyFill="1" applyBorder="1" applyAlignment="1">
      <alignment horizontal="center"/>
    </xf>
    <xf numFmtId="2" fontId="15" fillId="10" borderId="20" xfId="5" applyNumberFormat="1" applyFont="1" applyFill="1" applyBorder="1" applyAlignment="1">
      <alignment horizontal="center"/>
    </xf>
    <xf numFmtId="2" fontId="15" fillId="10" borderId="11" xfId="5" applyNumberFormat="1" applyFont="1" applyFill="1" applyBorder="1" applyAlignment="1">
      <alignment horizontal="center"/>
    </xf>
    <xf numFmtId="2" fontId="15" fillId="10" borderId="6" xfId="5" applyNumberFormat="1" applyFont="1" applyFill="1" applyBorder="1" applyAlignment="1">
      <alignment horizontal="center"/>
    </xf>
    <xf numFmtId="2" fontId="15" fillId="10" borderId="26" xfId="5" applyNumberFormat="1" applyFont="1" applyFill="1" applyBorder="1" applyAlignment="1">
      <alignment horizontal="center"/>
    </xf>
    <xf numFmtId="2" fontId="11" fillId="4" borderId="4" xfId="5" applyNumberFormat="1" applyFont="1" applyFill="1" applyBorder="1" applyAlignment="1">
      <alignment horizontal="center" vertical="center"/>
    </xf>
  </cellXfs>
  <cellStyles count="7">
    <cellStyle name="Currency" xfId="1" builtinId="4"/>
    <cellStyle name="Currency 2" xfId="2" xr:uid="{00000000-0005-0000-0000-000002000000}"/>
    <cellStyle name="Normal" xfId="0" builtinId="0"/>
    <cellStyle name="Normal 2" xfId="3" xr:uid="{00000000-0005-0000-0000-000003000000}"/>
    <cellStyle name="Normal 3" xfId="4" xr:uid="{00000000-0005-0000-0000-000004000000}"/>
    <cellStyle name="Percent" xfId="5" builtinId="5"/>
    <cellStyle name="Percent 2" xfId="6" xr:uid="{00000000-0005-0000-0000-000006000000}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10492</xdr:colOff>
      <xdr:row>26</xdr:row>
      <xdr:rowOff>478711</xdr:rowOff>
    </xdr:from>
    <xdr:to>
      <xdr:col>0</xdr:col>
      <xdr:colOff>10492</xdr:colOff>
      <xdr:row>30</xdr:row>
      <xdr:rowOff>29845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>
        <a:xfrm>
          <a:off x="10492" y="5833382"/>
          <a:ext cx="0" cy="646249"/>
        </a:xfrm>
        <a:noFill/>
        <a:ln w="28670" cmpd="sng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1725198</xdr:colOff>
      <xdr:row>7</xdr:row>
      <xdr:rowOff>146233</xdr:rowOff>
    </xdr:from>
    <xdr:to>
      <xdr:col>8</xdr:col>
      <xdr:colOff>19685</xdr:colOff>
      <xdr:row>7</xdr:row>
      <xdr:rowOff>146233</xdr:rowOff>
    </xdr:to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>
        <a:xfrm>
          <a:off x="9720943" y="1643019"/>
          <a:ext cx="27849" cy="0"/>
        </a:xfrm>
        <a:noFill/>
        <a:ln w="12764" cmpd="sng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1725198</xdr:colOff>
      <xdr:row>31</xdr:row>
      <xdr:rowOff>146233</xdr:rowOff>
    </xdr:from>
    <xdr:to>
      <xdr:col>8</xdr:col>
      <xdr:colOff>19685</xdr:colOff>
      <xdr:row>31</xdr:row>
      <xdr:rowOff>146233</xdr:rowOff>
    </xdr:to>
    <xdr:sp macro="" textlink="">
      <xdr:nvSpPr>
        <xdr:cNvPr id="4" name="Shape 12_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>
        <a:xfrm>
          <a:off x="9720943" y="6800126"/>
          <a:ext cx="27849" cy="0"/>
        </a:xfrm>
        <a:noFill/>
        <a:ln w="12764" cmpd="sng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1725198</xdr:colOff>
      <xdr:row>30</xdr:row>
      <xdr:rowOff>146233</xdr:rowOff>
    </xdr:from>
    <xdr:to>
      <xdr:col>8</xdr:col>
      <xdr:colOff>19685</xdr:colOff>
      <xdr:row>30</xdr:row>
      <xdr:rowOff>146233</xdr:rowOff>
    </xdr:to>
    <xdr:sp macro="" textlink="">
      <xdr:nvSpPr>
        <xdr:cNvPr id="5" name="Shape 12_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>
        <a:xfrm>
          <a:off x="9720943" y="6596019"/>
          <a:ext cx="27849" cy="0"/>
        </a:xfrm>
        <a:noFill/>
        <a:ln w="12764" cmpd="sng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2</xdr:row>
      <xdr:rowOff>115425</xdr:rowOff>
    </xdr:from>
    <xdr:to>
      <xdr:col>0</xdr:col>
      <xdr:colOff>1511301</xdr:colOff>
      <xdr:row>8</xdr:row>
      <xdr:rowOff>150471</xdr:rowOff>
    </xdr:to>
    <xdr:pic>
      <xdr:nvPicPr>
        <xdr:cNvPr id="4" name="Graphic 3" descr="House with solid fill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304801" y="648825"/>
          <a:ext cx="1206500" cy="1235196"/>
        </a:xfrm>
        <a:prstGeom prst="rect">
          <a:avLst/>
        </a:prstGeom>
        <a:noFill/>
        <a:ln cmpd="sng">
          <a:noFill/>
        </a:ln>
      </xdr:spPr>
    </xdr:pic>
    <xdr:clientData/>
  </xdr:twoCellAnchor>
  <xdr:twoCellAnchor editAs="oneCell">
    <xdr:from>
      <xdr:col>0</xdr:col>
      <xdr:colOff>259657</xdr:colOff>
      <xdr:row>11</xdr:row>
      <xdr:rowOff>165368</xdr:rowOff>
    </xdr:from>
    <xdr:to>
      <xdr:col>0</xdr:col>
      <xdr:colOff>1515477</xdr:colOff>
      <xdr:row>18</xdr:row>
      <xdr:rowOff>38101</xdr:rowOff>
    </xdr:to>
    <xdr:pic>
      <xdr:nvPicPr>
        <xdr:cNvPr id="6" name="Graphic 5" descr="Head with gears with solid fill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/>
      </xdr:blipFill>
      <xdr:spPr>
        <a:xfrm>
          <a:off x="259657" y="2098943"/>
          <a:ext cx="1255820" cy="1282432"/>
        </a:xfrm>
        <a:prstGeom prst="rect">
          <a:avLst/>
        </a:prstGeom>
        <a:noFill/>
        <a:ln cmpd="sng">
          <a:noFill/>
        </a:ln>
      </xdr:spPr>
    </xdr:pic>
    <xdr:clientData/>
  </xdr:twoCellAnchor>
  <xdr:twoCellAnchor editAs="oneCell">
    <xdr:from>
      <xdr:col>0</xdr:col>
      <xdr:colOff>243489</xdr:colOff>
      <xdr:row>23</xdr:row>
      <xdr:rowOff>97971</xdr:rowOff>
    </xdr:from>
    <xdr:to>
      <xdr:col>0</xdr:col>
      <xdr:colOff>1587501</xdr:colOff>
      <xdr:row>29</xdr:row>
      <xdr:rowOff>158365</xdr:rowOff>
    </xdr:to>
    <xdr:pic>
      <xdr:nvPicPr>
        <xdr:cNvPr id="8" name="Graphic 7" descr="Loan with solid fill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/>
      </xdr:blipFill>
      <xdr:spPr>
        <a:xfrm>
          <a:off x="243489" y="4450896"/>
          <a:ext cx="1344012" cy="1260543"/>
        </a:xfrm>
        <a:prstGeom prst="rect">
          <a:avLst/>
        </a:prstGeom>
        <a:noFill/>
        <a:ln cmpd="sng">
          <a:noFill/>
        </a:ln>
      </xdr:spPr>
    </xdr:pic>
    <xdr:clientData/>
  </xdr:twoCellAnchor>
  <xdr:twoCellAnchor editAs="oneCell">
    <xdr:from>
      <xdr:col>0</xdr:col>
      <xdr:colOff>174145</xdr:colOff>
      <xdr:row>32</xdr:row>
      <xdr:rowOff>165101</xdr:rowOff>
    </xdr:from>
    <xdr:to>
      <xdr:col>0</xdr:col>
      <xdr:colOff>1638301</xdr:colOff>
      <xdr:row>40</xdr:row>
      <xdr:rowOff>26394</xdr:rowOff>
    </xdr:to>
    <xdr:pic>
      <xdr:nvPicPr>
        <xdr:cNvPr id="10" name="Graphic 9" descr="Construction worker male with solid fill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/>
      </xdr:blipFill>
      <xdr:spPr>
        <a:xfrm>
          <a:off x="174145" y="6727826"/>
          <a:ext cx="1464156" cy="1475100"/>
        </a:xfrm>
        <a:prstGeom prst="rect">
          <a:avLst/>
        </a:prstGeom>
        <a:noFill/>
        <a:ln cmpd="sng">
          <a:noFill/>
        </a:ln>
      </xdr:spPr>
    </xdr:pic>
    <xdr:clientData/>
  </xdr:twoCellAnchor>
  <xdr:twoCellAnchor editAs="oneCell">
    <xdr:from>
      <xdr:col>0</xdr:col>
      <xdr:colOff>288629</xdr:colOff>
      <xdr:row>42</xdr:row>
      <xdr:rowOff>124335</xdr:rowOff>
    </xdr:from>
    <xdr:to>
      <xdr:col>0</xdr:col>
      <xdr:colOff>1498983</xdr:colOff>
      <xdr:row>48</xdr:row>
      <xdr:rowOff>146050</xdr:rowOff>
    </xdr:to>
    <xdr:pic>
      <xdr:nvPicPr>
        <xdr:cNvPr id="12" name="Graphic 11" descr="Register with solid fill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/>
      </xdr:blipFill>
      <xdr:spPr>
        <a:xfrm>
          <a:off x="288629" y="8306310"/>
          <a:ext cx="1210354" cy="1240915"/>
        </a:xfrm>
        <a:prstGeom prst="rect">
          <a:avLst/>
        </a:prstGeom>
        <a:noFill/>
        <a:ln cmpd="sng">
          <a:noFill/>
        </a:ln>
      </xdr:spPr>
    </xdr:pic>
    <xdr:clientData/>
  </xdr:twoCellAnchor>
  <xdr:twoCellAnchor editAs="oneCell">
    <xdr:from>
      <xdr:col>0</xdr:col>
      <xdr:colOff>297329</xdr:colOff>
      <xdr:row>51</xdr:row>
      <xdr:rowOff>1</xdr:rowOff>
    </xdr:from>
    <xdr:to>
      <xdr:col>0</xdr:col>
      <xdr:colOff>1485900</xdr:colOff>
      <xdr:row>57</xdr:row>
      <xdr:rowOff>198139</xdr:rowOff>
    </xdr:to>
    <xdr:pic>
      <xdr:nvPicPr>
        <xdr:cNvPr id="14" name="Graphic 13" descr="Coins with solid fill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/>
      </xdr:blipFill>
      <xdr:spPr>
        <a:xfrm>
          <a:off x="297329" y="10010776"/>
          <a:ext cx="1188571" cy="1398288"/>
        </a:xfrm>
        <a:prstGeom prst="rect">
          <a:avLst/>
        </a:prstGeom>
        <a:noFill/>
        <a:ln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11F8-C228-C1C8-961D-B3190094C748}">
  <dimension ref="B2:G49"/>
  <sheetViews>
    <sheetView showGridLines="0" workbookViewId="0">
      <selection activeCell="G18" sqref="G18"/>
    </sheetView>
  </sheetViews>
  <sheetFormatPr defaultColWidth="8.84375" defaultRowHeight="15" customHeight="1" x14ac:dyDescent="0.4"/>
  <cols>
    <col min="1" max="1" width="3.53515625" customWidth="1"/>
    <col min="2" max="2" width="15.53515625" customWidth="1"/>
    <col min="3" max="4" width="21.53515625" customWidth="1"/>
    <col min="5" max="5" width="14.3828125" customWidth="1"/>
    <col min="6" max="6" width="12.84375" customWidth="1"/>
    <col min="7" max="7" width="18.69140625" customWidth="1"/>
    <col min="8" max="8" width="14.3046875" customWidth="1"/>
  </cols>
  <sheetData>
    <row r="2" spans="2:7" ht="21" customHeight="1" x14ac:dyDescent="0.4">
      <c r="B2" s="1" t="s">
        <v>0</v>
      </c>
      <c r="C2" s="2"/>
      <c r="D2" s="3"/>
      <c r="E2" s="2"/>
      <c r="F2" s="2"/>
      <c r="G2" s="2"/>
    </row>
    <row r="3" spans="2:7" ht="15.75" customHeight="1" x14ac:dyDescent="0.4">
      <c r="B3" s="4" t="s">
        <v>1</v>
      </c>
      <c r="C3" s="5"/>
      <c r="E3" s="5"/>
      <c r="F3" s="5"/>
      <c r="G3" s="5"/>
    </row>
    <row r="4" spans="2:7" ht="13.5" customHeight="1" x14ac:dyDescent="0.4">
      <c r="B4" s="6">
        <f ca="1">TODAY()</f>
        <v>45913</v>
      </c>
      <c r="C4" s="7"/>
      <c r="E4" s="7"/>
      <c r="F4" s="7"/>
      <c r="G4" s="7"/>
    </row>
    <row r="6" spans="2:7" ht="15" customHeight="1" x14ac:dyDescent="0.4">
      <c r="B6" s="8" t="s">
        <v>2</v>
      </c>
      <c r="C6" s="9"/>
      <c r="E6" s="8" t="s">
        <v>3</v>
      </c>
      <c r="F6" s="8"/>
      <c r="G6" s="9"/>
    </row>
    <row r="7" spans="2:7" ht="15.75" customHeight="1" x14ac:dyDescent="0.4">
      <c r="B7" s="10" t="s">
        <v>4</v>
      </c>
      <c r="C7" s="457" cm="1">
        <f t="array" ref="C7">'PROPOSED LOAN'!C4</f>
        <v>8727273</v>
      </c>
      <c r="E7" s="572" t="s">
        <v>5</v>
      </c>
      <c r="F7" s="572" t="s">
        <v>5</v>
      </c>
      <c r="G7" s="460" cm="1">
        <f t="array" ref="G7">'PROPOSED LOAN'!C35</f>
        <v>11772727.272727273</v>
      </c>
    </row>
    <row r="8" spans="2:7" ht="15.75" customHeight="1" x14ac:dyDescent="0.4">
      <c r="B8" s="10" t="s">
        <v>6</v>
      </c>
      <c r="C8" s="458" t="s">
        <v>7</v>
      </c>
      <c r="E8" s="11" t="s">
        <v>8</v>
      </c>
      <c r="F8" s="12" t="s">
        <v>8</v>
      </c>
      <c r="G8" s="460" cm="1">
        <f t="array" ref="G8">'PROPOSED LOAN'!C36</f>
        <v>4000000</v>
      </c>
    </row>
    <row r="9" spans="2:7" ht="15.75" customHeight="1" x14ac:dyDescent="0.4">
      <c r="B9" s="10" t="s">
        <v>9</v>
      </c>
      <c r="C9" s="459" t="s">
        <v>10</v>
      </c>
      <c r="E9" s="11" t="s">
        <v>11</v>
      </c>
      <c r="F9" s="12" t="s">
        <v>11</v>
      </c>
      <c r="G9" s="461" cm="1">
        <f t="array" ref="G9">'PROPOSED LOAN'!C40</f>
        <v>0.45833331901041713</v>
      </c>
    </row>
    <row r="10" spans="2:7" ht="15.75" customHeight="1" x14ac:dyDescent="0.4">
      <c r="B10" s="10" t="s">
        <v>12</v>
      </c>
      <c r="C10" s="478" t="s">
        <v>485</v>
      </c>
      <c r="E10" s="11" t="s">
        <v>13</v>
      </c>
      <c r="F10" s="12" t="s">
        <v>13</v>
      </c>
      <c r="G10" s="461" cm="1">
        <f t="array" ref="G10">'PROPOSED LOAN'!C41</f>
        <v>0.74131276447876449</v>
      </c>
    </row>
    <row r="11" spans="2:7" ht="15.75" customHeight="1" x14ac:dyDescent="0.4">
      <c r="B11" s="10" t="s">
        <v>14</v>
      </c>
      <c r="C11" s="457">
        <f>SUM('INTEREST STUDY'!E32:E33)</f>
        <v>593036.75510075479</v>
      </c>
      <c r="E11" s="11" t="s">
        <v>15</v>
      </c>
      <c r="F11" s="12" t="s">
        <v>15</v>
      </c>
      <c r="G11" s="461" cm="1">
        <f t="array" ref="G11">'PROPOSED LOAN'!C42</f>
        <v>0.80001102490158893</v>
      </c>
    </row>
    <row r="13" spans="2:7" ht="15" customHeight="1" x14ac:dyDescent="0.4">
      <c r="B13" s="8" t="s">
        <v>16</v>
      </c>
      <c r="C13" s="9"/>
      <c r="E13" s="8" t="s">
        <v>17</v>
      </c>
      <c r="F13" s="8"/>
      <c r="G13" s="9"/>
    </row>
    <row r="14" spans="2:7" ht="15.75" customHeight="1" x14ac:dyDescent="0.4">
      <c r="B14" s="10" t="s">
        <v>18</v>
      </c>
      <c r="C14" s="459" t="s">
        <v>19</v>
      </c>
      <c r="E14" s="575" t="s">
        <v>20</v>
      </c>
      <c r="F14" s="575" t="s">
        <v>20</v>
      </c>
      <c r="G14" s="459" t="s">
        <v>21</v>
      </c>
    </row>
    <row r="15" spans="2:7" ht="15.75" customHeight="1" x14ac:dyDescent="0.4">
      <c r="B15" s="10" t="s">
        <v>22</v>
      </c>
      <c r="C15" s="459" t="s">
        <v>23</v>
      </c>
      <c r="E15" s="13" t="s">
        <v>24</v>
      </c>
      <c r="F15" s="10"/>
      <c r="G15" s="457" cm="1">
        <f t="array" ref="G15">'FEASABILITY STUDY'!E198</f>
        <v>14445401.25</v>
      </c>
    </row>
    <row r="16" spans="2:7" ht="15.75" customHeight="1" x14ac:dyDescent="0.4">
      <c r="B16" s="10" t="s">
        <v>25</v>
      </c>
      <c r="C16" s="459" t="s">
        <v>26</v>
      </c>
      <c r="E16" s="13" t="s">
        <v>27</v>
      </c>
      <c r="F16" s="10"/>
      <c r="G16" s="457" cm="1">
        <f t="array" ref="G16">'FEASABILITY STUDY'!D198</f>
        <v>23798.025123558484</v>
      </c>
    </row>
    <row r="17" spans="2:7" ht="15.75" customHeight="1" x14ac:dyDescent="0.4">
      <c r="B17" s="10" t="s">
        <v>28</v>
      </c>
      <c r="C17" s="457">
        <f>'FEASABILITY STUDY'!E163-C18</f>
        <v>5018581.8725000005</v>
      </c>
      <c r="E17" s="13" t="s">
        <v>29</v>
      </c>
      <c r="F17" s="10"/>
      <c r="G17" s="457" cm="1">
        <f t="array" ref="G17">'FEASABILITY STUDY'!E212</f>
        <v>643823.61513824388</v>
      </c>
    </row>
    <row r="18" spans="2:7" ht="15.75" customHeight="1" x14ac:dyDescent="0.4">
      <c r="B18" s="10" t="s">
        <v>30</v>
      </c>
      <c r="C18" s="457" cm="1">
        <f t="array" ref="C18">'FEASABILITY STUDY'!E155</f>
        <v>472058.18724999996</v>
      </c>
      <c r="E18" s="13" t="s">
        <v>31</v>
      </c>
      <c r="F18" s="10"/>
      <c r="G18" s="458" cm="1">
        <f t="array" ref="G18">'FEASABILITY STUDY'!B210</f>
        <v>0.50231654845003038</v>
      </c>
    </row>
    <row r="20" spans="2:7" ht="15" customHeight="1" x14ac:dyDescent="0.4">
      <c r="B20" s="8" t="s">
        <v>32</v>
      </c>
      <c r="C20" s="9"/>
      <c r="D20" s="9"/>
      <c r="E20" s="9"/>
      <c r="F20" s="9"/>
      <c r="G20" s="9"/>
    </row>
    <row r="21" spans="2:7" ht="12.75" customHeight="1" x14ac:dyDescent="0.4">
      <c r="B21" s="14" t="s">
        <v>33</v>
      </c>
      <c r="C21" s="14" t="s">
        <v>34</v>
      </c>
      <c r="D21" s="14" t="s">
        <v>35</v>
      </c>
      <c r="E21" s="14" t="s">
        <v>36</v>
      </c>
      <c r="F21" s="14" t="s">
        <v>37</v>
      </c>
      <c r="G21" s="14" t="s">
        <v>38</v>
      </c>
    </row>
    <row r="22" spans="2:7" ht="12.75" customHeight="1" x14ac:dyDescent="0.4">
      <c r="B22" s="15">
        <v>1</v>
      </c>
      <c r="C22" s="15" t="s">
        <v>39</v>
      </c>
      <c r="D22" s="16" t="s">
        <v>40</v>
      </c>
      <c r="E22" s="17">
        <v>300000</v>
      </c>
      <c r="F22" s="17">
        <v>23268</v>
      </c>
      <c r="G22" s="17">
        <v>300000</v>
      </c>
    </row>
    <row r="23" spans="2:7" ht="12.75" customHeight="1" x14ac:dyDescent="0.4">
      <c r="B23" s="15">
        <v>2</v>
      </c>
      <c r="C23" s="15" t="s">
        <v>41</v>
      </c>
      <c r="D23" s="16" t="s">
        <v>42</v>
      </c>
      <c r="E23" s="17">
        <v>420000</v>
      </c>
      <c r="F23" s="17">
        <v>28079</v>
      </c>
      <c r="G23" s="17">
        <v>720000</v>
      </c>
    </row>
    <row r="24" spans="2:7" ht="12.75" customHeight="1" x14ac:dyDescent="0.4">
      <c r="B24" s="15">
        <v>3</v>
      </c>
      <c r="C24" s="15" t="s">
        <v>43</v>
      </c>
      <c r="D24" s="16" t="s">
        <v>44</v>
      </c>
      <c r="E24" s="17">
        <v>420000</v>
      </c>
      <c r="F24" s="17">
        <v>33164</v>
      </c>
      <c r="G24" s="17">
        <v>1140000</v>
      </c>
    </row>
    <row r="25" spans="2:7" ht="12.75" customHeight="1" x14ac:dyDescent="0.4">
      <c r="B25" s="15">
        <v>4</v>
      </c>
      <c r="C25" s="15" t="s">
        <v>45</v>
      </c>
      <c r="D25" s="16" t="s">
        <v>46</v>
      </c>
      <c r="E25" s="17">
        <v>420000</v>
      </c>
      <c r="F25" s="17">
        <v>36785</v>
      </c>
      <c r="G25" s="17">
        <v>1560000</v>
      </c>
    </row>
    <row r="26" spans="2:7" ht="12.75" customHeight="1" x14ac:dyDescent="0.4">
      <c r="B26" s="15">
        <v>5</v>
      </c>
      <c r="C26" s="15" t="s">
        <v>47</v>
      </c>
      <c r="D26" s="16" t="s">
        <v>48</v>
      </c>
      <c r="E26" s="17">
        <v>420000</v>
      </c>
      <c r="F26" s="17">
        <v>42293</v>
      </c>
      <c r="G26" s="17">
        <v>1980000</v>
      </c>
    </row>
    <row r="27" spans="2:7" ht="12.75" customHeight="1" x14ac:dyDescent="0.4">
      <c r="B27" s="18">
        <v>6</v>
      </c>
      <c r="C27" s="18" t="s">
        <v>49</v>
      </c>
      <c r="D27" s="16" t="s">
        <v>50</v>
      </c>
      <c r="E27" s="19">
        <v>420000</v>
      </c>
      <c r="F27" s="19">
        <v>46442</v>
      </c>
      <c r="G27" s="19">
        <v>2400000</v>
      </c>
    </row>
    <row r="28" spans="2:7" ht="12.75" customHeight="1" x14ac:dyDescent="0.4">
      <c r="B28" s="18">
        <v>7</v>
      </c>
      <c r="C28" s="18" t="s">
        <v>51</v>
      </c>
      <c r="D28" s="16" t="s">
        <v>52</v>
      </c>
      <c r="E28" s="19">
        <v>379000</v>
      </c>
      <c r="F28" s="19">
        <v>44696</v>
      </c>
      <c r="G28" s="19">
        <v>2779000</v>
      </c>
    </row>
    <row r="29" spans="2:7" ht="12.75" customHeight="1" x14ac:dyDescent="0.4">
      <c r="B29" s="18">
        <v>8</v>
      </c>
      <c r="C29" s="18" t="s">
        <v>53</v>
      </c>
      <c r="D29" s="16" t="s">
        <v>54</v>
      </c>
      <c r="E29" s="19">
        <v>420000</v>
      </c>
      <c r="F29" s="19">
        <v>53912</v>
      </c>
      <c r="G29" s="19">
        <v>3199000</v>
      </c>
    </row>
    <row r="30" spans="2:7" ht="12.75" customHeight="1" x14ac:dyDescent="0.4">
      <c r="B30" s="18">
        <v>9</v>
      </c>
      <c r="C30" s="18" t="s">
        <v>55</v>
      </c>
      <c r="D30" s="16" t="s">
        <v>56</v>
      </c>
      <c r="E30" s="19">
        <v>406000</v>
      </c>
      <c r="F30" s="19">
        <v>55385</v>
      </c>
      <c r="G30" s="19">
        <v>3605000</v>
      </c>
    </row>
    <row r="31" spans="2:7" ht="12.75" customHeight="1" x14ac:dyDescent="0.4">
      <c r="B31" s="18">
        <v>10</v>
      </c>
      <c r="C31" s="18" t="s">
        <v>57</v>
      </c>
      <c r="D31" s="16" t="s">
        <v>58</v>
      </c>
      <c r="E31" s="19">
        <v>420000</v>
      </c>
      <c r="F31" s="19">
        <v>60801</v>
      </c>
      <c r="G31" s="19">
        <v>4025000</v>
      </c>
    </row>
    <row r="32" spans="2:7" ht="12.75" customHeight="1" x14ac:dyDescent="0.4">
      <c r="B32" s="18">
        <v>11</v>
      </c>
      <c r="C32" s="18" t="s">
        <v>59</v>
      </c>
      <c r="D32" s="16" t="s">
        <v>60</v>
      </c>
      <c r="E32" s="19">
        <v>406000</v>
      </c>
      <c r="F32" s="19">
        <v>61409</v>
      </c>
      <c r="G32" s="19">
        <v>4431000</v>
      </c>
    </row>
    <row r="33" spans="2:7" ht="12.75" customHeight="1" x14ac:dyDescent="0.4">
      <c r="B33" s="18">
        <v>12</v>
      </c>
      <c r="C33" s="18" t="s">
        <v>61</v>
      </c>
      <c r="D33" s="16" t="s">
        <v>62</v>
      </c>
      <c r="E33" s="19">
        <v>420000</v>
      </c>
      <c r="F33" s="19">
        <v>65521</v>
      </c>
      <c r="G33" s="19">
        <v>4851000</v>
      </c>
    </row>
    <row r="34" spans="2:7" ht="12.75" customHeight="1" x14ac:dyDescent="0.4">
      <c r="B34" s="18">
        <v>13</v>
      </c>
      <c r="C34" s="18" t="s">
        <v>63</v>
      </c>
      <c r="D34" s="16" t="s">
        <v>64</v>
      </c>
      <c r="E34" s="19">
        <v>406000</v>
      </c>
      <c r="F34" s="19">
        <v>63417</v>
      </c>
      <c r="G34" s="19">
        <v>5257000</v>
      </c>
    </row>
    <row r="35" spans="2:7" ht="13.5" customHeight="1" x14ac:dyDescent="0.4">
      <c r="B35" s="20">
        <v>0</v>
      </c>
      <c r="C35" s="20" t="s">
        <v>65</v>
      </c>
      <c r="D35" s="21" t="s">
        <v>66</v>
      </c>
      <c r="E35" s="22">
        <f t="shared" ref="E35:F35" si="0">SUM(E22:E34)</f>
        <v>5257000</v>
      </c>
      <c r="F35" s="22">
        <f t="shared" si="0"/>
        <v>615172</v>
      </c>
      <c r="G35" s="22" cm="1">
        <f t="array" ref="G35">G34</f>
        <v>5257000</v>
      </c>
    </row>
    <row r="37" spans="2:7" ht="15" customHeight="1" x14ac:dyDescent="0.4">
      <c r="B37">
        <v>0</v>
      </c>
    </row>
    <row r="38" spans="2:7" ht="15" customHeight="1" x14ac:dyDescent="0.4">
      <c r="B38" s="573" t="s">
        <v>67</v>
      </c>
      <c r="C38" s="574"/>
      <c r="D38" s="574"/>
      <c r="E38" s="576" t="s">
        <v>68</v>
      </c>
      <c r="F38" s="577"/>
      <c r="G38" s="578"/>
    </row>
    <row r="39" spans="2:7" ht="13.5" customHeight="1" x14ac:dyDescent="0.4">
      <c r="B39" s="23" t="s">
        <v>69</v>
      </c>
      <c r="C39" s="24"/>
      <c r="D39" s="24"/>
      <c r="E39" s="23" t="s">
        <v>70</v>
      </c>
      <c r="F39" s="24"/>
      <c r="G39" s="24"/>
    </row>
    <row r="40" spans="2:7" ht="13.5" customHeight="1" x14ac:dyDescent="0.4">
      <c r="B40" s="23" t="s">
        <v>71</v>
      </c>
      <c r="C40" s="24"/>
      <c r="D40" s="24"/>
      <c r="E40" s="23" t="s">
        <v>72</v>
      </c>
      <c r="F40" s="24"/>
      <c r="G40" s="24"/>
    </row>
    <row r="41" spans="2:7" ht="13.5" customHeight="1" x14ac:dyDescent="0.4">
      <c r="B41" s="23" t="s">
        <v>73</v>
      </c>
      <c r="C41" s="24"/>
      <c r="D41" s="24"/>
      <c r="E41" s="23" t="s">
        <v>74</v>
      </c>
      <c r="F41" s="24"/>
      <c r="G41" s="24"/>
    </row>
    <row r="42" spans="2:7" ht="13.5" customHeight="1" x14ac:dyDescent="0.4">
      <c r="B42" s="23" t="s">
        <v>75</v>
      </c>
      <c r="C42" s="24"/>
      <c r="D42" s="24"/>
      <c r="E42" s="23" t="s">
        <v>76</v>
      </c>
      <c r="F42" s="24"/>
      <c r="G42" s="24"/>
    </row>
    <row r="43" spans="2:7" ht="13.5" customHeight="1" x14ac:dyDescent="0.4">
      <c r="B43" s="23" t="s">
        <v>77</v>
      </c>
      <c r="C43" s="24"/>
      <c r="D43" s="24"/>
      <c r="E43" s="23" t="s">
        <v>78</v>
      </c>
      <c r="F43" s="24"/>
      <c r="G43" s="24"/>
    </row>
    <row r="44" spans="2:7" ht="15" customHeight="1" x14ac:dyDescent="0.4">
      <c r="B44">
        <v>0</v>
      </c>
    </row>
    <row r="45" spans="2:7" ht="15" customHeight="1" x14ac:dyDescent="0.4">
      <c r="B45" s="25" t="s">
        <v>79</v>
      </c>
      <c r="C45" s="26"/>
      <c r="D45" s="26"/>
      <c r="E45" s="26"/>
      <c r="F45" s="26"/>
      <c r="G45" s="26"/>
    </row>
    <row r="46" spans="2:7" ht="13.5" customHeight="1" x14ac:dyDescent="0.4">
      <c r="B46" s="10" t="s">
        <v>80</v>
      </c>
      <c r="C46" s="27" t="s">
        <v>81</v>
      </c>
      <c r="E46" s="10" t="s">
        <v>82</v>
      </c>
      <c r="F46" s="27" t="s">
        <v>83</v>
      </c>
    </row>
    <row r="47" spans="2:7" ht="13.5" customHeight="1" x14ac:dyDescent="0.4">
      <c r="B47" s="10" t="s">
        <v>84</v>
      </c>
      <c r="C47" s="27" t="s">
        <v>85</v>
      </c>
      <c r="E47" s="10" t="s">
        <v>86</v>
      </c>
      <c r="F47" s="27" t="s">
        <v>87</v>
      </c>
    </row>
    <row r="49" spans="2:7" ht="12.75" customHeight="1" x14ac:dyDescent="0.4">
      <c r="B49" s="28" t="s">
        <v>88</v>
      </c>
      <c r="C49" s="29"/>
      <c r="D49" s="29"/>
      <c r="E49" s="29"/>
      <c r="F49" s="29"/>
      <c r="G49" s="29"/>
    </row>
  </sheetData>
  <mergeCells count="4">
    <mergeCell ref="E7:F7"/>
    <mergeCell ref="B38:D38"/>
    <mergeCell ref="E14:F14"/>
    <mergeCell ref="E38:G38"/>
  </mergeCells>
  <pageMargins left="0.7" right="0.7" top="0.75" bottom="0.75" header="0.3" footer="0.3"/>
  <pageSetup orientation="portrait"/>
  <headerFooter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3DE8-E858-7AB5-DE18-500C939243C8}">
  <sheetPr>
    <pageSetUpPr fitToPage="1"/>
  </sheetPr>
  <dimension ref="A1:P287"/>
  <sheetViews>
    <sheetView showGridLines="0" tabSelected="1" zoomScaleNormal="100" workbookViewId="0">
      <selection activeCell="G223" sqref="G223"/>
    </sheetView>
  </sheetViews>
  <sheetFormatPr defaultColWidth="9" defaultRowHeight="11.6" customHeight="1" outlineLevelRow="1" x14ac:dyDescent="0.4"/>
  <cols>
    <col min="1" max="1" width="65.84375" style="268" customWidth="1"/>
    <col min="2" max="2" width="11.3046875" style="40" customWidth="1"/>
    <col min="3" max="3" width="6.3046875" style="40" customWidth="1"/>
    <col min="4" max="4" width="14.53515625" style="269" customWidth="1"/>
    <col min="5" max="5" width="14.3046875" style="187" customWidth="1"/>
    <col min="6" max="6" width="13.53515625" style="269" customWidth="1"/>
    <col min="7" max="7" width="13.69140625" style="266" customWidth="1"/>
    <col min="8" max="8" width="14.84375" style="58" customWidth="1"/>
    <col min="9" max="9" width="16.3046875" style="96" customWidth="1"/>
    <col min="10" max="10" width="12.3828125" style="96" customWidth="1"/>
    <col min="11" max="12" width="11" style="96" bestFit="1" customWidth="1"/>
    <col min="13" max="13" width="13.61328125" bestFit="1" customWidth="1"/>
    <col min="14" max="14" width="12.3828125" bestFit="1" customWidth="1"/>
    <col min="16" max="16" width="11" bestFit="1" customWidth="1"/>
  </cols>
  <sheetData>
    <row r="1" spans="1:8" ht="25.5" customHeight="1" x14ac:dyDescent="0.4">
      <c r="A1" s="30" t="s">
        <v>89</v>
      </c>
      <c r="B1" s="31"/>
      <c r="C1" s="31"/>
      <c r="D1" s="32"/>
      <c r="E1" s="33"/>
      <c r="F1" s="34">
        <v>45912</v>
      </c>
      <c r="G1" s="35">
        <v>25</v>
      </c>
    </row>
    <row r="2" spans="1:8" ht="20.25" customHeight="1" thickBot="1" x14ac:dyDescent="0.45">
      <c r="A2" s="36"/>
      <c r="B2" s="37"/>
      <c r="C2" s="37"/>
      <c r="D2" s="38"/>
      <c r="E2" s="39"/>
    </row>
    <row r="3" spans="1:8" s="40" customFormat="1" ht="24.75" customHeight="1" thickBot="1" x14ac:dyDescent="0.45">
      <c r="A3" s="41" t="s">
        <v>90</v>
      </c>
      <c r="B3" s="42" t="s">
        <v>91</v>
      </c>
      <c r="C3" s="43" t="s">
        <v>92</v>
      </c>
      <c r="D3" s="44" t="s">
        <v>93</v>
      </c>
      <c r="E3" s="45" t="s">
        <v>94</v>
      </c>
      <c r="F3" s="45" t="s">
        <v>95</v>
      </c>
      <c r="G3" s="46" t="s">
        <v>96</v>
      </c>
      <c r="H3" s="47"/>
    </row>
    <row r="4" spans="1:8" ht="11.6" customHeight="1" x14ac:dyDescent="0.4">
      <c r="A4" s="48" t="s">
        <v>97</v>
      </c>
      <c r="B4" s="49"/>
      <c r="C4" s="50"/>
      <c r="D4" s="51"/>
      <c r="E4" s="52"/>
      <c r="F4" s="53"/>
      <c r="G4" s="54"/>
    </row>
    <row r="5" spans="1:8" ht="12" customHeight="1" outlineLevel="1" x14ac:dyDescent="0.4">
      <c r="A5" s="55" t="s">
        <v>98</v>
      </c>
      <c r="B5" s="56">
        <v>258</v>
      </c>
      <c r="C5" s="57" t="s">
        <v>99</v>
      </c>
      <c r="D5" s="58">
        <f t="shared" ref="D5:D228" si="0">E5/$B5</f>
        <v>16531.007751937985</v>
      </c>
      <c r="E5" s="59">
        <v>4265000</v>
      </c>
      <c r="F5" s="60"/>
      <c r="G5" s="61">
        <f t="shared" ref="G5:G56" si="1">IF(E5&gt;0,E5,0)</f>
        <v>4265000</v>
      </c>
    </row>
    <row r="6" spans="1:8" ht="12" customHeight="1" outlineLevel="1" x14ac:dyDescent="0.4">
      <c r="A6" s="55" t="s">
        <v>100</v>
      </c>
      <c r="B6" s="56">
        <v>258</v>
      </c>
      <c r="C6" s="57" t="s">
        <v>99</v>
      </c>
      <c r="D6" s="58">
        <f t="shared" si="0"/>
        <v>17151.162790697676</v>
      </c>
      <c r="E6" s="59">
        <v>4425000</v>
      </c>
      <c r="F6" s="60"/>
      <c r="G6" s="61">
        <f t="shared" si="1"/>
        <v>4425000</v>
      </c>
    </row>
    <row r="7" spans="1:8" ht="12" customHeight="1" outlineLevel="1" x14ac:dyDescent="0.4">
      <c r="A7" s="55" t="s">
        <v>101</v>
      </c>
      <c r="B7" s="56">
        <v>255</v>
      </c>
      <c r="C7" s="57" t="s">
        <v>99</v>
      </c>
      <c r="D7" s="58">
        <f t="shared" si="0"/>
        <v>18529.411764705881</v>
      </c>
      <c r="E7" s="59">
        <v>4725000</v>
      </c>
      <c r="F7" s="60"/>
      <c r="G7" s="61">
        <f t="shared" si="1"/>
        <v>4725000</v>
      </c>
    </row>
    <row r="8" spans="1:8" ht="12" customHeight="1" outlineLevel="1" x14ac:dyDescent="0.4">
      <c r="A8" s="55" t="s">
        <v>102</v>
      </c>
      <c r="B8" s="56">
        <v>242</v>
      </c>
      <c r="C8" s="57" t="s">
        <v>99</v>
      </c>
      <c r="D8" s="58">
        <f t="shared" ref="D8:D248" si="2">E8/B8</f>
        <v>19628.099173553717</v>
      </c>
      <c r="E8" s="59">
        <v>4750000</v>
      </c>
      <c r="F8" s="60"/>
      <c r="G8" s="61">
        <f t="shared" si="1"/>
        <v>4750000</v>
      </c>
    </row>
    <row r="9" spans="1:8" ht="12" customHeight="1" outlineLevel="1" x14ac:dyDescent="0.4">
      <c r="A9" s="55" t="s">
        <v>103</v>
      </c>
      <c r="B9" s="56">
        <v>285</v>
      </c>
      <c r="C9" s="57" t="s">
        <v>99</v>
      </c>
      <c r="D9" s="58">
        <f t="shared" si="2"/>
        <v>20701.754385964912</v>
      </c>
      <c r="E9" s="59">
        <v>5900000</v>
      </c>
      <c r="F9" s="60"/>
      <c r="G9" s="61">
        <f t="shared" si="1"/>
        <v>5900000</v>
      </c>
    </row>
    <row r="10" spans="1:8" ht="12" customHeight="1" outlineLevel="1" thickBot="1" x14ac:dyDescent="0.45">
      <c r="A10" s="55" t="s">
        <v>104</v>
      </c>
      <c r="B10" s="56">
        <v>285</v>
      </c>
      <c r="C10" s="57" t="s">
        <v>99</v>
      </c>
      <c r="D10" s="58">
        <f t="shared" si="2"/>
        <v>28771.929824561405</v>
      </c>
      <c r="E10" s="59">
        <v>8200000</v>
      </c>
      <c r="F10" s="60"/>
      <c r="G10" s="61">
        <f t="shared" si="1"/>
        <v>8200000</v>
      </c>
    </row>
    <row r="11" spans="1:8" s="62" customFormat="1" ht="14.25" customHeight="1" x14ac:dyDescent="0.4">
      <c r="A11" s="63" t="s">
        <v>105</v>
      </c>
      <c r="B11" s="64">
        <v>319</v>
      </c>
      <c r="C11" s="65" t="s">
        <v>99</v>
      </c>
      <c r="D11" s="66">
        <f t="shared" si="0"/>
        <v>14890.282131661443</v>
      </c>
      <c r="E11" s="67">
        <v>4750000</v>
      </c>
      <c r="F11" s="68"/>
      <c r="G11" s="69">
        <f t="shared" si="1"/>
        <v>4750000</v>
      </c>
      <c r="H11" s="70"/>
    </row>
    <row r="12" spans="1:8" s="62" customFormat="1" ht="14.25" customHeight="1" outlineLevel="1" x14ac:dyDescent="0.4">
      <c r="A12" s="55" t="s">
        <v>106</v>
      </c>
      <c r="B12" s="56">
        <v>1</v>
      </c>
      <c r="C12" s="57" t="s">
        <v>107</v>
      </c>
      <c r="D12" s="58">
        <v>1920000</v>
      </c>
      <c r="E12" s="58">
        <f t="shared" ref="E12:E200" si="3">$B12*D12</f>
        <v>1920000</v>
      </c>
      <c r="F12" s="60"/>
      <c r="G12" s="61">
        <f t="shared" ref="G12:G275" si="4">E12</f>
        <v>1920000</v>
      </c>
      <c r="H12" s="70"/>
    </row>
    <row r="13" spans="1:8" s="62" customFormat="1" ht="14.25" customHeight="1" outlineLevel="1" x14ac:dyDescent="0.4">
      <c r="A13" s="55" t="s">
        <v>108</v>
      </c>
      <c r="B13" s="56">
        <v>1</v>
      </c>
      <c r="C13" s="57" t="s">
        <v>107</v>
      </c>
      <c r="D13" s="58">
        <f t="shared" ref="D13:D34" si="5">E11-E12</f>
        <v>2830000</v>
      </c>
      <c r="E13" s="58">
        <f t="shared" si="3"/>
        <v>2830000</v>
      </c>
      <c r="F13" s="60"/>
      <c r="G13" s="61">
        <f t="shared" si="4"/>
        <v>2830000</v>
      </c>
      <c r="H13" s="70"/>
    </row>
    <row r="14" spans="1:8" ht="14.25" customHeight="1" outlineLevel="1" x14ac:dyDescent="0.4">
      <c r="A14" s="55" t="s">
        <v>109</v>
      </c>
      <c r="B14" s="56">
        <v>1</v>
      </c>
      <c r="C14" s="57" t="s">
        <v>107</v>
      </c>
      <c r="D14" s="59">
        <v>250000</v>
      </c>
      <c r="E14" s="58">
        <f t="shared" si="3"/>
        <v>250000</v>
      </c>
      <c r="F14" s="60"/>
      <c r="G14" s="61">
        <f t="shared" si="4"/>
        <v>250000</v>
      </c>
    </row>
    <row r="15" spans="1:8" ht="14.25" customHeight="1" outlineLevel="1" x14ac:dyDescent="0.4">
      <c r="A15" s="55" t="s">
        <v>110</v>
      </c>
      <c r="B15" s="56">
        <v>1</v>
      </c>
      <c r="C15" s="57" t="s">
        <v>107</v>
      </c>
      <c r="D15" s="59">
        <v>300000</v>
      </c>
      <c r="E15" s="58">
        <f t="shared" si="3"/>
        <v>300000</v>
      </c>
      <c r="F15" s="60"/>
      <c r="G15" s="61">
        <f t="shared" si="4"/>
        <v>300000</v>
      </c>
    </row>
    <row r="16" spans="1:8" ht="14.25" customHeight="1" outlineLevel="1" x14ac:dyDescent="0.4">
      <c r="A16" s="55" t="s">
        <v>111</v>
      </c>
      <c r="B16" s="56">
        <v>1</v>
      </c>
      <c r="C16" s="57" t="s">
        <v>107</v>
      </c>
      <c r="D16" s="59">
        <v>250000</v>
      </c>
      <c r="E16" s="58">
        <f t="shared" si="3"/>
        <v>250000</v>
      </c>
      <c r="F16" s="60"/>
      <c r="G16" s="61">
        <f t="shared" si="4"/>
        <v>250000</v>
      </c>
    </row>
    <row r="17" spans="1:7" ht="14.25" customHeight="1" outlineLevel="1" x14ac:dyDescent="0.4">
      <c r="A17" s="55" t="s">
        <v>112</v>
      </c>
      <c r="B17" s="56">
        <v>1</v>
      </c>
      <c r="C17" s="57" t="s">
        <v>107</v>
      </c>
      <c r="D17" s="59">
        <v>200000</v>
      </c>
      <c r="E17" s="58">
        <v>250000</v>
      </c>
      <c r="F17" s="60">
        <f t="shared" ref="F17:F241" si="6">-E17</f>
        <v>-250000</v>
      </c>
      <c r="G17" s="61"/>
    </row>
    <row r="18" spans="1:7" ht="14.25" customHeight="1" outlineLevel="1" x14ac:dyDescent="0.4">
      <c r="A18" s="55" t="s">
        <v>113</v>
      </c>
      <c r="B18" s="71">
        <f>(AVERAGE($B$55:$B$56)-B8)/B8</f>
        <v>0.36268595041322305</v>
      </c>
      <c r="C18" s="57" t="s">
        <v>114</v>
      </c>
      <c r="D18" s="59">
        <f>SUM(F13:G17)</f>
        <v>3380000</v>
      </c>
      <c r="E18" s="58">
        <f t="shared" ref="E18:E275" si="7">B18*D18</f>
        <v>1225878.5123966939</v>
      </c>
      <c r="F18" s="60"/>
      <c r="G18" s="61">
        <f t="shared" si="1"/>
        <v>1225878.5123966939</v>
      </c>
    </row>
    <row r="19" spans="1:7" ht="14.25" customHeight="1" outlineLevel="1" x14ac:dyDescent="0.4">
      <c r="A19" s="55" t="s">
        <v>115</v>
      </c>
      <c r="B19" s="71">
        <f>(B21-B22)/B22</f>
        <v>4.2483660130718956E-2</v>
      </c>
      <c r="C19" s="57" t="s">
        <v>114</v>
      </c>
      <c r="D19" s="59">
        <f>G12</f>
        <v>1920000</v>
      </c>
      <c r="E19" s="58">
        <f t="shared" si="7"/>
        <v>81568.627450980392</v>
      </c>
      <c r="F19" s="60"/>
      <c r="G19" s="61">
        <f t="shared" si="1"/>
        <v>81568.627450980392</v>
      </c>
    </row>
    <row r="20" spans="1:7" ht="14.25" customHeight="1" outlineLevel="1" x14ac:dyDescent="0.4">
      <c r="A20" s="55" t="s">
        <v>116</v>
      </c>
      <c r="B20" s="71">
        <v>0.03</v>
      </c>
      <c r="C20" s="57" t="s">
        <v>114</v>
      </c>
      <c r="D20" s="59">
        <f>SUM(G12:G19)</f>
        <v>6857447.1398476744</v>
      </c>
      <c r="E20" s="58">
        <f>D20*B20</f>
        <v>205723.41419543023</v>
      </c>
      <c r="F20" s="60"/>
      <c r="G20" s="61">
        <f t="shared" si="4"/>
        <v>205723.41419543023</v>
      </c>
    </row>
    <row r="21" spans="1:7" ht="14.25" customHeight="1" outlineLevel="1" x14ac:dyDescent="0.4">
      <c r="A21" s="55" t="s">
        <v>117</v>
      </c>
      <c r="B21" s="56">
        <f>B11</f>
        <v>319</v>
      </c>
      <c r="C21" s="57" t="s">
        <v>99</v>
      </c>
      <c r="D21" s="58">
        <f t="shared" si="0"/>
        <v>21496.699497955091</v>
      </c>
      <c r="E21" s="58">
        <f t="shared" ref="E21:E277" si="8">G21</f>
        <v>6857447.1398476744</v>
      </c>
      <c r="F21" s="60"/>
      <c r="G21" s="61">
        <f>SUBTOTAL(9,G12:G19)</f>
        <v>6857447.1398476744</v>
      </c>
    </row>
    <row r="22" spans="1:7" s="62" customFormat="1" ht="14.25" customHeight="1" thickBot="1" x14ac:dyDescent="0.45">
      <c r="A22" s="72" t="s">
        <v>118</v>
      </c>
      <c r="B22" s="73">
        <f t="shared" ref="B22:B41" si="9">306</f>
        <v>306</v>
      </c>
      <c r="C22" s="74" t="s">
        <v>99</v>
      </c>
      <c r="D22" s="75">
        <f t="shared" ref="D22:D155" si="10">D21</f>
        <v>21496.699497955091</v>
      </c>
      <c r="E22" s="75">
        <f t="shared" ref="E22:E238" si="11">SUM(F22:G22)</f>
        <v>13670617.69389078</v>
      </c>
      <c r="F22" s="76">
        <f t="shared" ref="F22:G22" si="12">SUM(F12:F21)</f>
        <v>-250000</v>
      </c>
      <c r="G22" s="77">
        <f t="shared" si="12"/>
        <v>13920617.69389078</v>
      </c>
    </row>
    <row r="23" spans="1:7" s="62" customFormat="1" ht="14.25" customHeight="1" x14ac:dyDescent="0.4">
      <c r="A23" s="78" t="s">
        <v>119</v>
      </c>
      <c r="B23" s="79">
        <v>339</v>
      </c>
      <c r="C23" s="80" t="s">
        <v>99</v>
      </c>
      <c r="D23" s="81">
        <f t="shared" si="0"/>
        <v>17404.129793510325</v>
      </c>
      <c r="E23" s="82">
        <v>5900000</v>
      </c>
      <c r="F23" s="83"/>
      <c r="G23" s="84">
        <f t="shared" si="1"/>
        <v>5900000</v>
      </c>
    </row>
    <row r="24" spans="1:7" s="62" customFormat="1" ht="14.25" customHeight="1" outlineLevel="1" x14ac:dyDescent="0.4">
      <c r="A24" s="55" t="s">
        <v>106</v>
      </c>
      <c r="B24" s="56">
        <v>1</v>
      </c>
      <c r="C24" s="57" t="s">
        <v>107</v>
      </c>
      <c r="D24" s="58">
        <v>2770000</v>
      </c>
      <c r="E24" s="58">
        <f t="shared" si="3"/>
        <v>2770000</v>
      </c>
      <c r="F24" s="60"/>
      <c r="G24" s="61">
        <f t="shared" si="1"/>
        <v>2770000</v>
      </c>
    </row>
    <row r="25" spans="1:7" s="62" customFormat="1" ht="14.25" customHeight="1" outlineLevel="1" x14ac:dyDescent="0.4">
      <c r="A25" s="55" t="s">
        <v>108</v>
      </c>
      <c r="B25" s="56">
        <v>1</v>
      </c>
      <c r="C25" s="57" t="s">
        <v>107</v>
      </c>
      <c r="D25" s="58">
        <f t="shared" si="5"/>
        <v>3130000</v>
      </c>
      <c r="E25" s="58">
        <f t="shared" si="3"/>
        <v>3130000</v>
      </c>
      <c r="F25" s="60"/>
      <c r="G25" s="61">
        <f t="shared" si="1"/>
        <v>3130000</v>
      </c>
    </row>
    <row r="26" spans="1:7" s="62" customFormat="1" ht="14.25" customHeight="1" outlineLevel="1" x14ac:dyDescent="0.4">
      <c r="A26" s="55" t="s">
        <v>120</v>
      </c>
      <c r="B26" s="56">
        <v>1</v>
      </c>
      <c r="C26" s="57" t="s">
        <v>107</v>
      </c>
      <c r="D26" s="59">
        <v>250000</v>
      </c>
      <c r="E26" s="58">
        <v>300000</v>
      </c>
      <c r="F26" s="60"/>
      <c r="G26" s="61">
        <v>350000</v>
      </c>
    </row>
    <row r="27" spans="1:7" s="62" customFormat="1" ht="14.25" customHeight="1" outlineLevel="1" x14ac:dyDescent="0.4">
      <c r="A27" s="55" t="s">
        <v>121</v>
      </c>
      <c r="B27" s="56">
        <v>1</v>
      </c>
      <c r="C27" s="57" t="s">
        <v>107</v>
      </c>
      <c r="D27" s="59">
        <v>250000</v>
      </c>
      <c r="E27" s="58">
        <f t="shared" si="3"/>
        <v>250000</v>
      </c>
      <c r="F27" s="60"/>
      <c r="G27" s="61">
        <f t="shared" si="1"/>
        <v>250000</v>
      </c>
    </row>
    <row r="28" spans="1:7" ht="14.25" customHeight="1" outlineLevel="1" x14ac:dyDescent="0.4">
      <c r="A28" s="55" t="s">
        <v>113</v>
      </c>
      <c r="B28" s="71">
        <f>(AVERAGE($B$55:$B$56)-B9)/B9</f>
        <v>0.15708771929824555</v>
      </c>
      <c r="C28" s="57" t="s">
        <v>114</v>
      </c>
      <c r="D28" s="59">
        <f>G25</f>
        <v>3130000</v>
      </c>
      <c r="E28" s="58">
        <f t="shared" si="7"/>
        <v>491684.56140350859</v>
      </c>
      <c r="F28" s="60"/>
      <c r="G28" s="61">
        <f t="shared" si="1"/>
        <v>491684.56140350859</v>
      </c>
    </row>
    <row r="29" spans="1:7" ht="14.25" customHeight="1" outlineLevel="1" x14ac:dyDescent="0.4">
      <c r="A29" s="55" t="s">
        <v>115</v>
      </c>
      <c r="B29" s="71">
        <f t="shared" ref="B29:B39" si="13">(B30-B31)/B31</f>
        <v>0.10784313725490197</v>
      </c>
      <c r="C29" s="57" t="s">
        <v>122</v>
      </c>
      <c r="D29" s="59">
        <f t="shared" ref="D29:D39" si="14">G24</f>
        <v>2770000</v>
      </c>
      <c r="E29" s="58">
        <f t="shared" si="7"/>
        <v>298725.49019607843</v>
      </c>
      <c r="F29" s="60"/>
      <c r="G29" s="61">
        <f t="shared" si="1"/>
        <v>298725.49019607843</v>
      </c>
    </row>
    <row r="30" spans="1:7" ht="14.25" customHeight="1" outlineLevel="1" x14ac:dyDescent="0.4">
      <c r="A30" s="55" t="s">
        <v>117</v>
      </c>
      <c r="B30" s="56">
        <f t="shared" ref="B30:E227" si="15">B23</f>
        <v>339</v>
      </c>
      <c r="C30" s="57" t="s">
        <v>99</v>
      </c>
      <c r="D30" s="58">
        <f t="shared" si="0"/>
        <v>21505.634370500255</v>
      </c>
      <c r="E30" s="58">
        <f t="shared" si="8"/>
        <v>7290410.0515995864</v>
      </c>
      <c r="F30" s="60"/>
      <c r="G30" s="61">
        <f>SUBTOTAL(9,G24:G29)</f>
        <v>7290410.0515995864</v>
      </c>
    </row>
    <row r="31" spans="1:7" ht="14.25" customHeight="1" thickBot="1" x14ac:dyDescent="0.45">
      <c r="A31" s="72" t="s">
        <v>118</v>
      </c>
      <c r="B31" s="73">
        <f t="shared" si="9"/>
        <v>306</v>
      </c>
      <c r="C31" s="74" t="s">
        <v>99</v>
      </c>
      <c r="D31" s="75">
        <f t="shared" si="10"/>
        <v>21505.634370500255</v>
      </c>
      <c r="E31" s="75">
        <f t="shared" si="7"/>
        <v>6580724.1173730781</v>
      </c>
      <c r="F31" s="76">
        <f t="shared" ref="F31:G31" si="16">SUBTOTAL(9,F24:F30)</f>
        <v>0</v>
      </c>
      <c r="G31" s="77">
        <f t="shared" si="16"/>
        <v>7290410.0515995864</v>
      </c>
    </row>
    <row r="32" spans="1:7" ht="14.25" customHeight="1" x14ac:dyDescent="0.4">
      <c r="A32" s="85" t="s">
        <v>123</v>
      </c>
      <c r="B32" s="64">
        <v>323</v>
      </c>
      <c r="C32" s="86" t="s">
        <v>99</v>
      </c>
      <c r="D32" s="87">
        <f t="shared" si="2"/>
        <v>23839.009287925695</v>
      </c>
      <c r="E32" s="67">
        <v>7700000</v>
      </c>
      <c r="F32" s="88"/>
      <c r="G32" s="89">
        <f t="shared" si="4"/>
        <v>7700000</v>
      </c>
    </row>
    <row r="33" spans="1:9" ht="14.25" customHeight="1" outlineLevel="1" x14ac:dyDescent="0.4">
      <c r="A33" s="55" t="s">
        <v>106</v>
      </c>
      <c r="B33" s="56">
        <v>1</v>
      </c>
      <c r="C33" s="57" t="s">
        <v>107</v>
      </c>
      <c r="D33" s="58">
        <v>2075000</v>
      </c>
      <c r="E33" s="58">
        <f t="shared" si="3"/>
        <v>2075000</v>
      </c>
      <c r="F33" s="60"/>
      <c r="G33" s="61">
        <f t="shared" si="4"/>
        <v>2075000</v>
      </c>
    </row>
    <row r="34" spans="1:9" ht="14.25" customHeight="1" outlineLevel="1" x14ac:dyDescent="0.4">
      <c r="A34" s="55" t="s">
        <v>108</v>
      </c>
      <c r="B34" s="56">
        <v>1</v>
      </c>
      <c r="C34" s="57" t="s">
        <v>107</v>
      </c>
      <c r="D34" s="58">
        <f t="shared" si="5"/>
        <v>5625000</v>
      </c>
      <c r="E34" s="58">
        <f t="shared" si="3"/>
        <v>5625000</v>
      </c>
      <c r="F34" s="60"/>
      <c r="G34" s="61">
        <f t="shared" si="4"/>
        <v>5625000</v>
      </c>
    </row>
    <row r="35" spans="1:9" ht="14.25" customHeight="1" outlineLevel="1" x14ac:dyDescent="0.4">
      <c r="A35" s="55" t="s">
        <v>124</v>
      </c>
      <c r="B35" s="56">
        <v>1</v>
      </c>
      <c r="C35" s="57" t="s">
        <v>107</v>
      </c>
      <c r="D35" s="59">
        <v>900000</v>
      </c>
      <c r="E35" s="58">
        <v>750000</v>
      </c>
      <c r="F35" s="90">
        <f t="shared" si="6"/>
        <v>-750000</v>
      </c>
      <c r="G35" s="61"/>
    </row>
    <row r="36" spans="1:9" ht="14.25" customHeight="1" outlineLevel="1" x14ac:dyDescent="0.4">
      <c r="A36" s="55" t="s">
        <v>125</v>
      </c>
      <c r="B36" s="56">
        <v>1</v>
      </c>
      <c r="C36" s="57" t="s">
        <v>107</v>
      </c>
      <c r="D36" s="59">
        <v>200000</v>
      </c>
      <c r="E36" s="58">
        <v>250000</v>
      </c>
      <c r="F36" s="90">
        <f t="shared" si="6"/>
        <v>-250000</v>
      </c>
      <c r="G36" s="61"/>
    </row>
    <row r="37" spans="1:9" ht="14.25" customHeight="1" outlineLevel="1" x14ac:dyDescent="0.4">
      <c r="A37" s="55" t="s">
        <v>126</v>
      </c>
      <c r="B37" s="56">
        <v>1</v>
      </c>
      <c r="C37" s="57" t="s">
        <v>107</v>
      </c>
      <c r="D37" s="59">
        <v>400000</v>
      </c>
      <c r="E37" s="58">
        <v>450000</v>
      </c>
      <c r="F37" s="90">
        <f t="shared" si="6"/>
        <v>-450000</v>
      </c>
      <c r="G37" s="61"/>
    </row>
    <row r="38" spans="1:9" ht="14.25" customHeight="1" outlineLevel="1" x14ac:dyDescent="0.4">
      <c r="A38" s="55" t="s">
        <v>113</v>
      </c>
      <c r="B38" s="71">
        <f>(AVERAGE($B$55:$B$56)-B10)/B10</f>
        <v>0.15708771929824555</v>
      </c>
      <c r="C38" s="57" t="s">
        <v>114</v>
      </c>
      <c r="D38" s="59">
        <f>SUM(F34:G37)</f>
        <v>4175000</v>
      </c>
      <c r="E38" s="58">
        <f t="shared" si="7"/>
        <v>655841.22807017516</v>
      </c>
      <c r="F38" s="60"/>
      <c r="G38" s="61">
        <f t="shared" si="4"/>
        <v>655841.22807017516</v>
      </c>
    </row>
    <row r="39" spans="1:9" ht="14.25" customHeight="1" outlineLevel="1" x14ac:dyDescent="0.4">
      <c r="A39" s="55" t="s">
        <v>115</v>
      </c>
      <c r="B39" s="71">
        <f t="shared" si="13"/>
        <v>5.5555555555555552E-2</v>
      </c>
      <c r="C39" s="57" t="s">
        <v>122</v>
      </c>
      <c r="D39" s="59">
        <f t="shared" si="14"/>
        <v>5625000</v>
      </c>
      <c r="E39" s="58">
        <f t="shared" si="7"/>
        <v>312500</v>
      </c>
      <c r="F39" s="60"/>
      <c r="G39" s="61">
        <f t="shared" si="4"/>
        <v>312500</v>
      </c>
    </row>
    <row r="40" spans="1:9" ht="14.25" customHeight="1" outlineLevel="1" x14ac:dyDescent="0.4">
      <c r="A40" s="55" t="s">
        <v>117</v>
      </c>
      <c r="B40" s="56">
        <f>B32</f>
        <v>323</v>
      </c>
      <c r="C40" s="57" t="s">
        <v>99</v>
      </c>
      <c r="D40" s="58">
        <f t="shared" si="0"/>
        <v>22347.805659659985</v>
      </c>
      <c r="E40" s="58">
        <f>SUBTOTAL(9,F33:G39)</f>
        <v>7218341.2280701753</v>
      </c>
      <c r="F40" s="60"/>
      <c r="G40" s="61">
        <f t="shared" si="4"/>
        <v>7218341.2280701753</v>
      </c>
    </row>
    <row r="41" spans="1:9" ht="14.25" customHeight="1" thickBot="1" x14ac:dyDescent="0.45">
      <c r="A41" s="72" t="s">
        <v>118</v>
      </c>
      <c r="B41" s="73">
        <f t="shared" si="9"/>
        <v>306</v>
      </c>
      <c r="C41" s="74" t="s">
        <v>99</v>
      </c>
      <c r="D41" s="75">
        <f t="shared" si="10"/>
        <v>22347.805659659985</v>
      </c>
      <c r="E41" s="75">
        <f t="shared" si="7"/>
        <v>6838428.5318559557</v>
      </c>
      <c r="F41" s="91">
        <f t="shared" ref="F41:G147" si="17">SUBTOTAL(9,F33:F40)</f>
        <v>-1450000</v>
      </c>
      <c r="G41" s="77">
        <f t="shared" si="17"/>
        <v>15886682.456140351</v>
      </c>
    </row>
    <row r="42" spans="1:9" ht="14.25" customHeight="1" x14ac:dyDescent="0.4">
      <c r="A42" s="85" t="s">
        <v>127</v>
      </c>
      <c r="B42" s="64">
        <v>607</v>
      </c>
      <c r="C42" s="86" t="s">
        <v>99</v>
      </c>
      <c r="D42" s="87">
        <f t="shared" si="2"/>
        <v>21334.431630971994</v>
      </c>
      <c r="E42" s="67">
        <v>12950000</v>
      </c>
      <c r="F42" s="88"/>
      <c r="G42" s="89">
        <f t="shared" si="4"/>
        <v>12950000</v>
      </c>
    </row>
    <row r="43" spans="1:9" ht="14.25" customHeight="1" outlineLevel="1" x14ac:dyDescent="0.4">
      <c r="A43" s="55" t="s">
        <v>106</v>
      </c>
      <c r="B43" s="92">
        <v>1</v>
      </c>
      <c r="C43" s="57" t="s">
        <v>107</v>
      </c>
      <c r="D43" s="59">
        <v>4000000</v>
      </c>
      <c r="E43" s="58">
        <f t="shared" si="3"/>
        <v>4000000</v>
      </c>
      <c r="F43" s="60"/>
      <c r="G43" s="61">
        <f t="shared" si="4"/>
        <v>4000000</v>
      </c>
    </row>
    <row r="44" spans="1:9" ht="14.25" customHeight="1" outlineLevel="1" x14ac:dyDescent="0.4">
      <c r="A44" s="55" t="s">
        <v>128</v>
      </c>
      <c r="B44" s="92">
        <v>2</v>
      </c>
      <c r="C44" s="57" t="s">
        <v>107</v>
      </c>
      <c r="D44" s="58">
        <f>(G42-G43)/2</f>
        <v>4475000</v>
      </c>
      <c r="E44" s="58">
        <f t="shared" si="3"/>
        <v>8950000</v>
      </c>
      <c r="F44" s="60"/>
      <c r="G44" s="61">
        <f t="shared" si="4"/>
        <v>8950000</v>
      </c>
    </row>
    <row r="45" spans="1:9" ht="14.25" customHeight="1" outlineLevel="1" x14ac:dyDescent="0.4">
      <c r="A45" s="55" t="s">
        <v>129</v>
      </c>
      <c r="B45" s="93">
        <v>4.2500000000000003E-2</v>
      </c>
      <c r="C45" s="57" t="s">
        <v>114</v>
      </c>
      <c r="D45" s="58">
        <f>E42*(1+B45)</f>
        <v>13500375</v>
      </c>
      <c r="E45" s="58">
        <f>E42*B45</f>
        <v>550375</v>
      </c>
      <c r="F45" s="90"/>
      <c r="G45" s="61">
        <f t="shared" si="4"/>
        <v>550375</v>
      </c>
      <c r="I45" s="94"/>
    </row>
    <row r="46" spans="1:9" ht="14.25" customHeight="1" outlineLevel="1" x14ac:dyDescent="0.4">
      <c r="A46" s="55" t="s">
        <v>130</v>
      </c>
      <c r="B46" s="93">
        <v>7.0000000000000007E-2</v>
      </c>
      <c r="C46" s="57" t="s">
        <v>114</v>
      </c>
      <c r="D46" s="58">
        <f>SUM(G43:G45)</f>
        <v>13500375</v>
      </c>
      <c r="E46" s="58">
        <f t="shared" si="7"/>
        <v>945026.25000000012</v>
      </c>
      <c r="F46" s="90"/>
      <c r="G46" s="61">
        <f t="shared" si="4"/>
        <v>945026.25000000012</v>
      </c>
      <c r="I46" s="94"/>
    </row>
    <row r="47" spans="1:9" s="62" customFormat="1" ht="14.25" customHeight="1" thickBot="1" x14ac:dyDescent="0.45">
      <c r="A47" s="72" t="s">
        <v>131</v>
      </c>
      <c r="B47" s="95">
        <f t="shared" ref="B47:E57" si="18">B42</f>
        <v>607</v>
      </c>
      <c r="C47" s="74" t="s">
        <v>99</v>
      </c>
      <c r="D47" s="75">
        <f t="shared" si="2"/>
        <v>23798.025123558484</v>
      </c>
      <c r="E47" s="75">
        <f t="shared" si="8"/>
        <v>14445401.25</v>
      </c>
      <c r="F47" s="91">
        <f t="shared" ref="F47:G47" si="19">SUBTOTAL(9,F43:F46)</f>
        <v>0</v>
      </c>
      <c r="G47" s="77">
        <f t="shared" si="19"/>
        <v>14445401.25</v>
      </c>
    </row>
    <row r="48" spans="1:9" s="96" customFormat="1" ht="14.25" customHeight="1" thickBot="1" x14ac:dyDescent="0.45">
      <c r="A48" s="97"/>
      <c r="B48" s="56"/>
      <c r="C48" s="40"/>
      <c r="D48" s="98"/>
      <c r="E48" s="58"/>
      <c r="F48" s="60"/>
      <c r="G48" s="61"/>
    </row>
    <row r="49" spans="1:7" s="96" customFormat="1" ht="14.25" customHeight="1" x14ac:dyDescent="0.4">
      <c r="A49" s="99">
        <f>B46</f>
        <v>7.0000000000000007E-2</v>
      </c>
      <c r="B49" s="100"/>
      <c r="C49" s="101"/>
      <c r="D49" s="102"/>
      <c r="E49" s="103"/>
      <c r="F49" s="104"/>
      <c r="G49" s="105"/>
    </row>
    <row r="50" spans="1:7" s="106" customFormat="1" ht="14.25" customHeight="1" outlineLevel="1" x14ac:dyDescent="0.4">
      <c r="A50" s="107" t="s">
        <v>132</v>
      </c>
      <c r="B50" s="108">
        <v>306</v>
      </c>
      <c r="C50" s="109" t="s">
        <v>99</v>
      </c>
      <c r="D50" s="110">
        <f t="shared" ref="D50:D109" si="20">D47</f>
        <v>23798.025123558484</v>
      </c>
      <c r="E50" s="110">
        <f t="shared" si="3"/>
        <v>7282195.6878088964</v>
      </c>
      <c r="F50" s="70"/>
      <c r="G50" s="111">
        <f t="shared" si="1"/>
        <v>7282195.6878088964</v>
      </c>
    </row>
    <row r="51" spans="1:7" s="106" customFormat="1" ht="14.25" customHeight="1" outlineLevel="1" x14ac:dyDescent="0.4">
      <c r="A51" s="107" t="s">
        <v>133</v>
      </c>
      <c r="B51" s="108">
        <v>301</v>
      </c>
      <c r="C51" s="109" t="s">
        <v>99</v>
      </c>
      <c r="D51" s="110">
        <f t="shared" si="10"/>
        <v>23798.025123558484</v>
      </c>
      <c r="E51" s="110">
        <f t="shared" si="3"/>
        <v>7163205.5621911036</v>
      </c>
      <c r="F51" s="70"/>
      <c r="G51" s="111">
        <f t="shared" si="1"/>
        <v>7163205.5621911036</v>
      </c>
    </row>
    <row r="52" spans="1:7" s="106" customFormat="1" ht="14.25" customHeight="1" thickBot="1" x14ac:dyDescent="0.45">
      <c r="A52" s="72" t="s">
        <v>134</v>
      </c>
      <c r="B52" s="95">
        <v>607</v>
      </c>
      <c r="C52" s="74" t="s">
        <v>99</v>
      </c>
      <c r="D52" s="75">
        <f t="shared" si="0"/>
        <v>23798.025123558484</v>
      </c>
      <c r="E52" s="75">
        <f t="shared" si="8"/>
        <v>14445401.25</v>
      </c>
      <c r="F52" s="75">
        <f t="shared" ref="F52:G130" si="21">SUBTOTAL(9,F50:F51)</f>
        <v>0</v>
      </c>
      <c r="G52" s="77">
        <f t="shared" si="21"/>
        <v>14445401.25</v>
      </c>
    </row>
    <row r="53" spans="1:7" ht="12" customHeight="1" outlineLevel="1" thickBot="1" x14ac:dyDescent="0.45">
      <c r="A53" s="112"/>
      <c r="B53" s="113" t="s">
        <v>135</v>
      </c>
      <c r="C53" s="114"/>
      <c r="D53" s="115"/>
      <c r="E53" s="116"/>
      <c r="F53" s="116"/>
      <c r="G53" s="117"/>
    </row>
    <row r="54" spans="1:7" s="96" customFormat="1" ht="14.25" customHeight="1" outlineLevel="1" x14ac:dyDescent="0.4">
      <c r="A54" s="118">
        <f t="shared" ref="A54:D220" si="22">B46</f>
        <v>7.0000000000000007E-2</v>
      </c>
      <c r="B54" s="49"/>
      <c r="C54" s="50"/>
      <c r="D54" s="119"/>
      <c r="E54" s="120"/>
      <c r="F54" s="121"/>
      <c r="G54" s="122"/>
    </row>
    <row r="55" spans="1:7" s="106" customFormat="1" ht="14.25" customHeight="1" outlineLevel="1" x14ac:dyDescent="0.4">
      <c r="A55" s="107" t="s">
        <v>132</v>
      </c>
      <c r="B55" s="108">
        <f>350.34-7.58-8.92</f>
        <v>333.84</v>
      </c>
      <c r="C55" s="109" t="s">
        <v>99</v>
      </c>
      <c r="D55" s="110">
        <f t="shared" ref="D55:D246" si="23">D57</f>
        <v>21902.236786244961</v>
      </c>
      <c r="E55" s="110">
        <f t="shared" si="7"/>
        <v>7311842.7287200168</v>
      </c>
      <c r="F55" s="70"/>
      <c r="G55" s="111">
        <f t="shared" si="1"/>
        <v>7311842.7287200168</v>
      </c>
    </row>
    <row r="56" spans="1:7" s="106" customFormat="1" ht="14.25" customHeight="1" outlineLevel="1" x14ac:dyDescent="0.4">
      <c r="A56" s="107" t="s">
        <v>133</v>
      </c>
      <c r="B56" s="108">
        <f>340.26-8.92-5.64</f>
        <v>325.7</v>
      </c>
      <c r="C56" s="109" t="s">
        <v>99</v>
      </c>
      <c r="D56" s="110">
        <f t="shared" ref="D56:D247" si="24">D57</f>
        <v>21902.236786244961</v>
      </c>
      <c r="E56" s="110">
        <f t="shared" si="7"/>
        <v>7133558.5212799832</v>
      </c>
      <c r="F56" s="70"/>
      <c r="G56" s="111">
        <f t="shared" si="1"/>
        <v>7133558.5212799832</v>
      </c>
    </row>
    <row r="57" spans="1:7" s="106" customFormat="1" ht="14.25" customHeight="1" outlineLevel="1" thickBot="1" x14ac:dyDescent="0.45">
      <c r="A57" s="72" t="s">
        <v>134</v>
      </c>
      <c r="B57" s="95">
        <f t="shared" ref="B57:G278" si="25">SUM(B55:B56)</f>
        <v>659.54</v>
      </c>
      <c r="C57" s="74" t="s">
        <v>99</v>
      </c>
      <c r="D57" s="75">
        <f t="shared" si="0"/>
        <v>21902.236786244961</v>
      </c>
      <c r="E57" s="75">
        <f t="shared" si="18"/>
        <v>14445401.25</v>
      </c>
      <c r="F57" s="75">
        <f t="shared" si="21"/>
        <v>0</v>
      </c>
      <c r="G57" s="77">
        <f t="shared" si="21"/>
        <v>14445401.25</v>
      </c>
    </row>
    <row r="58" spans="1:7" ht="12" customHeight="1" thickBot="1" x14ac:dyDescent="0.45">
      <c r="A58" s="97"/>
      <c r="B58" s="56" t="s">
        <v>135</v>
      </c>
      <c r="D58" s="98"/>
      <c r="E58" s="58"/>
      <c r="F58" s="58"/>
      <c r="G58" s="61"/>
    </row>
    <row r="59" spans="1:7" ht="12" customHeight="1" x14ac:dyDescent="0.4">
      <c r="A59" s="546" t="s">
        <v>506</v>
      </c>
      <c r="B59" s="547"/>
      <c r="C59" s="548"/>
      <c r="D59" s="549"/>
      <c r="E59" s="550"/>
      <c r="F59" s="550"/>
      <c r="G59" s="551"/>
    </row>
    <row r="60" spans="1:7" ht="12" customHeight="1" outlineLevel="1" x14ac:dyDescent="0.4">
      <c r="A60" s="552" t="s">
        <v>489</v>
      </c>
      <c r="B60" s="168">
        <v>0.15</v>
      </c>
      <c r="C60" s="40" t="s">
        <v>114</v>
      </c>
      <c r="D60" s="129">
        <f>B219/4.33*3300</f>
        <v>89168.591224018484</v>
      </c>
      <c r="E60" s="486">
        <f t="shared" ref="E60" si="26">$B60*D60</f>
        <v>13375.288683602772</v>
      </c>
      <c r="F60" s="486">
        <f>IF(E60=0,0,-E60)</f>
        <v>-13375.288683602772</v>
      </c>
      <c r="G60" s="506"/>
    </row>
    <row r="61" spans="1:7" ht="12" customHeight="1" outlineLevel="1" x14ac:dyDescent="0.4">
      <c r="A61" s="552" t="s">
        <v>493</v>
      </c>
      <c r="B61" s="168">
        <v>0.15</v>
      </c>
      <c r="C61" s="40" t="s">
        <v>114</v>
      </c>
      <c r="D61" s="129">
        <v>10000</v>
      </c>
      <c r="E61" s="486">
        <f>B61*D61</f>
        <v>1500</v>
      </c>
      <c r="F61" s="486">
        <f t="shared" ref="F61:F78" si="27">IF(E61=0,0,-E61)</f>
        <v>-1500</v>
      </c>
      <c r="G61" s="506"/>
    </row>
    <row r="62" spans="1:7" ht="12" customHeight="1" outlineLevel="1" x14ac:dyDescent="0.4">
      <c r="A62" s="552" t="s">
        <v>494</v>
      </c>
      <c r="B62" s="168">
        <v>0.15</v>
      </c>
      <c r="C62" s="40" t="s">
        <v>114</v>
      </c>
      <c r="D62" s="129">
        <v>2000</v>
      </c>
      <c r="E62" s="486">
        <f t="shared" ref="E62:E78" si="28">B62*D62</f>
        <v>300</v>
      </c>
      <c r="F62" s="486">
        <f t="shared" si="27"/>
        <v>-300</v>
      </c>
      <c r="G62" s="506"/>
    </row>
    <row r="63" spans="1:7" ht="12" customHeight="1" outlineLevel="1" x14ac:dyDescent="0.4">
      <c r="A63" s="552" t="s">
        <v>495</v>
      </c>
      <c r="B63" s="168">
        <v>0.15</v>
      </c>
      <c r="C63" s="40" t="s">
        <v>114</v>
      </c>
      <c r="D63" s="129">
        <v>2000</v>
      </c>
      <c r="E63" s="486">
        <f t="shared" si="28"/>
        <v>300</v>
      </c>
      <c r="F63" s="486">
        <f t="shared" si="27"/>
        <v>-300</v>
      </c>
      <c r="G63" s="506"/>
    </row>
    <row r="64" spans="1:7" ht="12" customHeight="1" outlineLevel="1" x14ac:dyDescent="0.4">
      <c r="A64" s="552" t="s">
        <v>487</v>
      </c>
      <c r="B64" s="168">
        <v>0.8</v>
      </c>
      <c r="C64" s="40" t="s">
        <v>114</v>
      </c>
      <c r="D64" s="129">
        <f>100*B219/4.33</f>
        <v>2702.0785219399536</v>
      </c>
      <c r="E64" s="486">
        <f t="shared" si="28"/>
        <v>2161.6628175519631</v>
      </c>
      <c r="F64" s="486">
        <f t="shared" si="27"/>
        <v>-2161.6628175519631</v>
      </c>
      <c r="G64" s="506"/>
    </row>
    <row r="65" spans="1:12" ht="12" customHeight="1" outlineLevel="1" x14ac:dyDescent="0.4">
      <c r="A65" s="552" t="s">
        <v>503</v>
      </c>
      <c r="B65" s="168">
        <v>0.8</v>
      </c>
      <c r="C65" s="40" t="s">
        <v>114</v>
      </c>
      <c r="D65" s="129">
        <f>300*B219/4.33+5000</f>
        <v>13106.235565819861</v>
      </c>
      <c r="E65" s="486">
        <f t="shared" si="28"/>
        <v>10484.988452655889</v>
      </c>
      <c r="F65" s="486">
        <f t="shared" si="27"/>
        <v>-10484.988452655889</v>
      </c>
      <c r="G65" s="506"/>
    </row>
    <row r="66" spans="1:12" ht="12" customHeight="1" outlineLevel="1" x14ac:dyDescent="0.4">
      <c r="A66" s="552" t="s">
        <v>490</v>
      </c>
      <c r="B66" s="168">
        <v>0.8</v>
      </c>
      <c r="C66" s="40" t="s">
        <v>114</v>
      </c>
      <c r="D66" s="129">
        <v>120000</v>
      </c>
      <c r="E66" s="486">
        <f t="shared" si="28"/>
        <v>96000</v>
      </c>
      <c r="F66" s="486">
        <f t="shared" si="27"/>
        <v>-96000</v>
      </c>
      <c r="G66" s="506"/>
    </row>
    <row r="67" spans="1:12" ht="12" customHeight="1" outlineLevel="1" x14ac:dyDescent="0.4">
      <c r="A67" s="552" t="s">
        <v>492</v>
      </c>
      <c r="B67" s="168">
        <v>0.8</v>
      </c>
      <c r="C67" s="40" t="s">
        <v>114</v>
      </c>
      <c r="D67" s="129">
        <v>2000</v>
      </c>
      <c r="E67" s="486">
        <f t="shared" si="28"/>
        <v>1600</v>
      </c>
      <c r="F67" s="486">
        <f t="shared" si="27"/>
        <v>-1600</v>
      </c>
      <c r="G67" s="506"/>
    </row>
    <row r="68" spans="1:12" ht="12" customHeight="1" outlineLevel="1" x14ac:dyDescent="0.4">
      <c r="A68" s="552" t="s">
        <v>488</v>
      </c>
      <c r="B68" s="168">
        <v>1</v>
      </c>
      <c r="C68" s="40" t="s">
        <v>114</v>
      </c>
      <c r="D68" s="129">
        <v>4000</v>
      </c>
      <c r="E68" s="486">
        <f t="shared" si="28"/>
        <v>4000</v>
      </c>
      <c r="F68" s="486">
        <f t="shared" si="27"/>
        <v>-4000</v>
      </c>
      <c r="G68" s="506"/>
    </row>
    <row r="69" spans="1:12" ht="12" customHeight="1" outlineLevel="1" x14ac:dyDescent="0.4">
      <c r="A69" s="552" t="s">
        <v>504</v>
      </c>
      <c r="B69" s="168">
        <v>1</v>
      </c>
      <c r="C69" s="40" t="s">
        <v>114</v>
      </c>
      <c r="D69" s="129">
        <f>750*B219/4.33</f>
        <v>20265.588914549655</v>
      </c>
      <c r="E69" s="486">
        <f t="shared" si="28"/>
        <v>20265.588914549655</v>
      </c>
      <c r="F69" s="486">
        <f t="shared" si="27"/>
        <v>-20265.588914549655</v>
      </c>
      <c r="G69" s="506"/>
    </row>
    <row r="70" spans="1:12" ht="12" customHeight="1" outlineLevel="1" x14ac:dyDescent="0.4">
      <c r="A70" s="552" t="s">
        <v>491</v>
      </c>
      <c r="B70" s="168">
        <v>1</v>
      </c>
      <c r="C70" s="40" t="s">
        <v>114</v>
      </c>
      <c r="D70" s="129">
        <v>20000</v>
      </c>
      <c r="E70" s="486">
        <f t="shared" si="28"/>
        <v>20000</v>
      </c>
      <c r="F70" s="486">
        <f t="shared" si="27"/>
        <v>-20000</v>
      </c>
      <c r="G70" s="506"/>
    </row>
    <row r="71" spans="1:12" ht="12" customHeight="1" outlineLevel="1" x14ac:dyDescent="0.4">
      <c r="A71" s="552" t="s">
        <v>486</v>
      </c>
      <c r="B71" s="168">
        <v>1</v>
      </c>
      <c r="C71" s="40" t="s">
        <v>114</v>
      </c>
      <c r="D71" s="129">
        <v>500</v>
      </c>
      <c r="E71" s="486">
        <f t="shared" si="28"/>
        <v>500</v>
      </c>
      <c r="F71" s="486">
        <f t="shared" si="27"/>
        <v>-500</v>
      </c>
      <c r="G71" s="506"/>
    </row>
    <row r="72" spans="1:12" ht="11.6" customHeight="1" outlineLevel="1" x14ac:dyDescent="0.4">
      <c r="A72" s="552" t="s">
        <v>502</v>
      </c>
      <c r="B72" s="168">
        <v>0.8</v>
      </c>
      <c r="C72" s="40" t="s">
        <v>114</v>
      </c>
      <c r="D72" s="129">
        <v>7200</v>
      </c>
      <c r="E72" s="486">
        <f t="shared" si="28"/>
        <v>5760</v>
      </c>
      <c r="F72" s="486">
        <f t="shared" si="27"/>
        <v>-5760</v>
      </c>
      <c r="G72" s="506"/>
    </row>
    <row r="73" spans="1:12" ht="12" customHeight="1" outlineLevel="1" x14ac:dyDescent="0.4">
      <c r="A73" s="552" t="s">
        <v>501</v>
      </c>
      <c r="B73" s="168">
        <v>1</v>
      </c>
      <c r="C73" s="40" t="s">
        <v>114</v>
      </c>
      <c r="D73" s="129">
        <v>240</v>
      </c>
      <c r="E73" s="486">
        <f t="shared" si="28"/>
        <v>240</v>
      </c>
      <c r="F73" s="486">
        <f t="shared" si="27"/>
        <v>-240</v>
      </c>
      <c r="G73" s="506"/>
    </row>
    <row r="74" spans="1:12" ht="12" customHeight="1" outlineLevel="1" x14ac:dyDescent="0.4">
      <c r="A74" s="552" t="s">
        <v>500</v>
      </c>
      <c r="B74" s="168">
        <v>1</v>
      </c>
      <c r="C74" s="40" t="s">
        <v>114</v>
      </c>
      <c r="D74" s="129">
        <v>1440</v>
      </c>
      <c r="E74" s="486">
        <f t="shared" si="28"/>
        <v>1440</v>
      </c>
      <c r="F74" s="486">
        <f t="shared" si="27"/>
        <v>-1440</v>
      </c>
      <c r="G74" s="506"/>
    </row>
    <row r="75" spans="1:12" ht="12" customHeight="1" outlineLevel="1" x14ac:dyDescent="0.4">
      <c r="A75" s="552" t="s">
        <v>499</v>
      </c>
      <c r="B75" s="168">
        <v>1</v>
      </c>
      <c r="C75" s="40" t="s">
        <v>114</v>
      </c>
      <c r="D75" s="129">
        <v>1100</v>
      </c>
      <c r="E75" s="486">
        <f t="shared" si="28"/>
        <v>1100</v>
      </c>
      <c r="F75" s="486">
        <f t="shared" si="27"/>
        <v>-1100</v>
      </c>
      <c r="G75" s="506"/>
    </row>
    <row r="76" spans="1:12" ht="12" customHeight="1" outlineLevel="1" x14ac:dyDescent="0.4">
      <c r="A76" s="552" t="s">
        <v>498</v>
      </c>
      <c r="B76" s="168">
        <v>1</v>
      </c>
      <c r="C76" s="40" t="s">
        <v>114</v>
      </c>
      <c r="D76" s="129">
        <v>900</v>
      </c>
      <c r="E76" s="486">
        <f t="shared" si="28"/>
        <v>900</v>
      </c>
      <c r="F76" s="486">
        <f t="shared" si="27"/>
        <v>-900</v>
      </c>
      <c r="G76" s="506"/>
    </row>
    <row r="77" spans="1:12" ht="12" customHeight="1" outlineLevel="1" x14ac:dyDescent="0.4">
      <c r="A77" s="552" t="s">
        <v>497</v>
      </c>
      <c r="B77" s="168">
        <v>1</v>
      </c>
      <c r="C77" s="40" t="s">
        <v>114</v>
      </c>
      <c r="D77" s="129">
        <v>750</v>
      </c>
      <c r="E77" s="486">
        <f t="shared" si="28"/>
        <v>750</v>
      </c>
      <c r="F77" s="486">
        <f t="shared" si="27"/>
        <v>-750</v>
      </c>
      <c r="G77" s="506"/>
    </row>
    <row r="78" spans="1:12" ht="12" customHeight="1" outlineLevel="1" x14ac:dyDescent="0.4">
      <c r="A78" s="552" t="s">
        <v>496</v>
      </c>
      <c r="B78" s="168">
        <v>1</v>
      </c>
      <c r="C78" s="40" t="s">
        <v>114</v>
      </c>
      <c r="D78" s="129">
        <v>1000</v>
      </c>
      <c r="E78" s="486">
        <f t="shared" si="28"/>
        <v>1000</v>
      </c>
      <c r="F78" s="486">
        <f t="shared" si="27"/>
        <v>-1000</v>
      </c>
      <c r="G78" s="506"/>
    </row>
    <row r="79" spans="1:12" s="542" customFormat="1" ht="12" customHeight="1" thickBot="1" x14ac:dyDescent="0.45">
      <c r="A79" s="553" t="s">
        <v>134</v>
      </c>
      <c r="B79" s="554">
        <v>27</v>
      </c>
      <c r="C79" s="555" t="s">
        <v>505</v>
      </c>
      <c r="D79" s="556">
        <f>E79/B79</f>
        <v>6166.7496364725002</v>
      </c>
      <c r="E79" s="557">
        <f t="shared" ref="E79" si="29">-SUM(F79:G79)</f>
        <v>166502.24018475751</v>
      </c>
      <c r="F79" s="557">
        <f>SUBTOTAL(9,F63:G78)</f>
        <v>-166502.24018475751</v>
      </c>
      <c r="G79" s="558">
        <f>SUBTOTAL(9,G63:H78)</f>
        <v>0</v>
      </c>
      <c r="H79" s="540"/>
      <c r="I79" s="541"/>
      <c r="J79" s="541"/>
      <c r="K79" s="541"/>
      <c r="L79" s="541"/>
    </row>
    <row r="80" spans="1:12" s="542" customFormat="1" ht="12" customHeight="1" thickBot="1" x14ac:dyDescent="0.45">
      <c r="A80" s="543"/>
      <c r="B80" s="537"/>
      <c r="C80" s="538"/>
      <c r="D80" s="539"/>
      <c r="E80" s="544"/>
      <c r="F80" s="544"/>
      <c r="G80" s="545"/>
      <c r="H80" s="540"/>
      <c r="I80" s="541"/>
      <c r="J80" s="541"/>
      <c r="K80" s="541"/>
      <c r="L80" s="541"/>
    </row>
    <row r="81" spans="1:7" s="62" customFormat="1" ht="11.6" customHeight="1" x14ac:dyDescent="0.4">
      <c r="A81" s="123" t="s">
        <v>136</v>
      </c>
      <c r="B81" s="124"/>
      <c r="C81" s="125"/>
      <c r="D81" s="126"/>
      <c r="E81" s="102"/>
      <c r="F81" s="102"/>
      <c r="G81" s="127"/>
    </row>
    <row r="82" spans="1:7" ht="12" customHeight="1" outlineLevel="1" x14ac:dyDescent="0.4">
      <c r="A82" s="97" t="s">
        <v>137</v>
      </c>
      <c r="B82" s="128">
        <v>1</v>
      </c>
      <c r="C82" s="40" t="s">
        <v>107</v>
      </c>
      <c r="D82" s="129">
        <v>3000</v>
      </c>
      <c r="E82" s="58">
        <f t="shared" si="3"/>
        <v>3000</v>
      </c>
      <c r="F82" s="58">
        <f t="shared" si="6"/>
        <v>-3000</v>
      </c>
      <c r="G82" s="61"/>
    </row>
    <row r="83" spans="1:7" ht="12" customHeight="1" outlineLevel="1" x14ac:dyDescent="0.4">
      <c r="A83" s="97" t="s">
        <v>138</v>
      </c>
      <c r="B83" s="128">
        <v>1</v>
      </c>
      <c r="C83" s="40" t="s">
        <v>107</v>
      </c>
      <c r="D83" s="129">
        <v>60000</v>
      </c>
      <c r="E83" s="58">
        <f t="shared" si="3"/>
        <v>60000</v>
      </c>
      <c r="F83" s="58">
        <f t="shared" si="6"/>
        <v>-60000</v>
      </c>
      <c r="G83" s="61"/>
    </row>
    <row r="84" spans="1:7" ht="12" customHeight="1" outlineLevel="1" x14ac:dyDescent="0.4">
      <c r="A84" s="97" t="s">
        <v>139</v>
      </c>
      <c r="B84" s="128">
        <v>1</v>
      </c>
      <c r="C84" s="40" t="s">
        <v>107</v>
      </c>
      <c r="D84" s="129">
        <v>15000</v>
      </c>
      <c r="E84" s="58">
        <f t="shared" si="3"/>
        <v>15000</v>
      </c>
      <c r="F84" s="58">
        <f t="shared" si="6"/>
        <v>-15000</v>
      </c>
      <c r="G84" s="61"/>
    </row>
    <row r="85" spans="1:7" ht="12" customHeight="1" outlineLevel="1" x14ac:dyDescent="0.4">
      <c r="A85" s="97" t="s">
        <v>140</v>
      </c>
      <c r="B85" s="56">
        <v>1</v>
      </c>
      <c r="C85" s="40" t="s">
        <v>107</v>
      </c>
      <c r="D85" s="129">
        <v>7500</v>
      </c>
      <c r="E85" s="58">
        <f t="shared" si="3"/>
        <v>7500</v>
      </c>
      <c r="F85" s="58">
        <f t="shared" si="6"/>
        <v>-7500</v>
      </c>
      <c r="G85" s="61"/>
    </row>
    <row r="86" spans="1:7" ht="12" customHeight="1" outlineLevel="1" x14ac:dyDescent="0.4">
      <c r="A86" s="97" t="s">
        <v>141</v>
      </c>
      <c r="B86" s="56">
        <v>1</v>
      </c>
      <c r="C86" s="40" t="s">
        <v>107</v>
      </c>
      <c r="D86" s="129">
        <v>3750</v>
      </c>
      <c r="E86" s="58">
        <f t="shared" si="3"/>
        <v>3750</v>
      </c>
      <c r="F86" s="58">
        <f t="shared" si="6"/>
        <v>-3750</v>
      </c>
      <c r="G86" s="61"/>
    </row>
    <row r="87" spans="1:7" ht="12" customHeight="1" outlineLevel="1" x14ac:dyDescent="0.4">
      <c r="A87" s="97" t="s">
        <v>142</v>
      </c>
      <c r="B87" s="56">
        <v>1</v>
      </c>
      <c r="C87" s="40" t="s">
        <v>107</v>
      </c>
      <c r="D87" s="129">
        <v>2000</v>
      </c>
      <c r="E87" s="58">
        <f t="shared" si="3"/>
        <v>2000</v>
      </c>
      <c r="F87" s="58">
        <f t="shared" si="6"/>
        <v>-2000</v>
      </c>
      <c r="G87" s="61"/>
    </row>
    <row r="88" spans="1:7" ht="12" customHeight="1" outlineLevel="1" x14ac:dyDescent="0.4">
      <c r="A88" s="97" t="s">
        <v>143</v>
      </c>
      <c r="B88" s="56">
        <v>1</v>
      </c>
      <c r="C88" s="40" t="s">
        <v>107</v>
      </c>
      <c r="D88" s="129">
        <v>5000</v>
      </c>
      <c r="E88" s="58">
        <f t="shared" si="3"/>
        <v>5000</v>
      </c>
      <c r="F88" s="58">
        <f t="shared" si="6"/>
        <v>-5000</v>
      </c>
      <c r="G88" s="61"/>
    </row>
    <row r="89" spans="1:7" ht="12" customHeight="1" outlineLevel="1" x14ac:dyDescent="0.4">
      <c r="A89" s="97" t="s">
        <v>144</v>
      </c>
      <c r="B89" s="56">
        <v>1</v>
      </c>
      <c r="C89" s="40" t="s">
        <v>107</v>
      </c>
      <c r="D89" s="129">
        <v>151.30000000000001</v>
      </c>
      <c r="E89" s="58">
        <f t="shared" si="3"/>
        <v>151.30000000000001</v>
      </c>
      <c r="F89" s="58">
        <f t="shared" si="6"/>
        <v>-151.30000000000001</v>
      </c>
      <c r="G89" s="61"/>
    </row>
    <row r="90" spans="1:7" ht="12" customHeight="1" outlineLevel="1" x14ac:dyDescent="0.4">
      <c r="A90" s="97" t="s">
        <v>145</v>
      </c>
      <c r="B90" s="56">
        <v>1</v>
      </c>
      <c r="C90" s="40" t="s">
        <v>107</v>
      </c>
      <c r="D90" s="129">
        <v>1254</v>
      </c>
      <c r="E90" s="58">
        <f t="shared" si="3"/>
        <v>1254</v>
      </c>
      <c r="F90" s="58">
        <f t="shared" si="6"/>
        <v>-1254</v>
      </c>
      <c r="G90" s="61"/>
    </row>
    <row r="91" spans="1:7" ht="12" customHeight="1" outlineLevel="1" x14ac:dyDescent="0.4">
      <c r="A91" s="97" t="s">
        <v>146</v>
      </c>
      <c r="B91" s="56">
        <v>1</v>
      </c>
      <c r="C91" s="40" t="s">
        <v>107</v>
      </c>
      <c r="D91" s="129">
        <v>1430</v>
      </c>
      <c r="E91" s="58">
        <f t="shared" si="3"/>
        <v>1430</v>
      </c>
      <c r="F91" s="58">
        <f t="shared" si="6"/>
        <v>-1430</v>
      </c>
      <c r="G91" s="61"/>
    </row>
    <row r="92" spans="1:7" ht="12" customHeight="1" outlineLevel="1" x14ac:dyDescent="0.4">
      <c r="A92" s="97" t="s">
        <v>147</v>
      </c>
      <c r="B92" s="56">
        <v>1</v>
      </c>
      <c r="C92" s="40" t="s">
        <v>107</v>
      </c>
      <c r="D92" s="129">
        <v>5000</v>
      </c>
      <c r="E92" s="58">
        <f t="shared" si="3"/>
        <v>5000</v>
      </c>
      <c r="F92" s="58">
        <f t="shared" si="6"/>
        <v>-5000</v>
      </c>
      <c r="G92" s="61"/>
    </row>
    <row r="93" spans="1:7" ht="12" customHeight="1" outlineLevel="1" x14ac:dyDescent="0.4">
      <c r="A93" s="97" t="s">
        <v>148</v>
      </c>
      <c r="B93" s="56">
        <v>1</v>
      </c>
      <c r="C93" s="40" t="s">
        <v>107</v>
      </c>
      <c r="D93" s="129">
        <v>13850</v>
      </c>
      <c r="E93" s="58">
        <f t="shared" si="3"/>
        <v>13850</v>
      </c>
      <c r="F93" s="58">
        <f t="shared" si="6"/>
        <v>-13850</v>
      </c>
      <c r="G93" s="61"/>
    </row>
    <row r="94" spans="1:7" ht="12" customHeight="1" outlineLevel="1" x14ac:dyDescent="0.4">
      <c r="A94" s="97" t="s">
        <v>149</v>
      </c>
      <c r="B94" s="56">
        <v>1</v>
      </c>
      <c r="C94" s="40" t="s">
        <v>107</v>
      </c>
      <c r="D94" s="129">
        <v>2000</v>
      </c>
      <c r="E94" s="58">
        <f t="shared" si="3"/>
        <v>2000</v>
      </c>
      <c r="F94" s="58">
        <f t="shared" si="6"/>
        <v>-2000</v>
      </c>
      <c r="G94" s="61"/>
    </row>
    <row r="95" spans="1:7" ht="12" customHeight="1" outlineLevel="1" x14ac:dyDescent="0.4">
      <c r="A95" s="97" t="s">
        <v>150</v>
      </c>
      <c r="B95" s="56">
        <v>1</v>
      </c>
      <c r="C95" s="40" t="s">
        <v>107</v>
      </c>
      <c r="D95" s="129">
        <v>1400</v>
      </c>
      <c r="E95" s="58">
        <f t="shared" si="3"/>
        <v>1400</v>
      </c>
      <c r="F95" s="58">
        <f t="shared" si="6"/>
        <v>-1400</v>
      </c>
      <c r="G95" s="61"/>
    </row>
    <row r="96" spans="1:7" ht="12" customHeight="1" outlineLevel="1" x14ac:dyDescent="0.4">
      <c r="A96" s="97" t="s">
        <v>151</v>
      </c>
      <c r="B96" s="56">
        <v>1</v>
      </c>
      <c r="C96" s="40" t="s">
        <v>107</v>
      </c>
      <c r="D96" s="129">
        <v>500</v>
      </c>
      <c r="E96" s="58">
        <f t="shared" si="3"/>
        <v>500</v>
      </c>
      <c r="F96" s="58">
        <f t="shared" si="6"/>
        <v>-500</v>
      </c>
      <c r="G96" s="61"/>
    </row>
    <row r="97" spans="1:8" ht="12" customHeight="1" outlineLevel="1" x14ac:dyDescent="0.4">
      <c r="A97" s="97" t="s">
        <v>152</v>
      </c>
      <c r="B97" s="56">
        <v>1</v>
      </c>
      <c r="C97" s="40" t="s">
        <v>107</v>
      </c>
      <c r="D97" s="129">
        <v>9350</v>
      </c>
      <c r="E97" s="58">
        <f t="shared" si="3"/>
        <v>9350</v>
      </c>
      <c r="F97" s="58">
        <f t="shared" si="6"/>
        <v>-9350</v>
      </c>
      <c r="G97" s="61"/>
    </row>
    <row r="98" spans="1:8" ht="12" customHeight="1" outlineLevel="1" x14ac:dyDescent="0.4">
      <c r="A98" s="97" t="s">
        <v>153</v>
      </c>
      <c r="B98" s="56">
        <v>1</v>
      </c>
      <c r="C98" s="40" t="s">
        <v>107</v>
      </c>
      <c r="D98" s="129">
        <v>1045</v>
      </c>
      <c r="E98" s="58">
        <f t="shared" si="3"/>
        <v>1045</v>
      </c>
      <c r="F98" s="58">
        <f t="shared" si="6"/>
        <v>-1045</v>
      </c>
      <c r="G98" s="61"/>
    </row>
    <row r="99" spans="1:8" ht="12" customHeight="1" outlineLevel="1" x14ac:dyDescent="0.4">
      <c r="A99" s="97" t="s">
        <v>154</v>
      </c>
      <c r="B99" s="56">
        <v>1</v>
      </c>
      <c r="C99" s="40" t="s">
        <v>107</v>
      </c>
      <c r="D99" s="129">
        <v>4015</v>
      </c>
      <c r="E99" s="58">
        <f t="shared" si="3"/>
        <v>4015</v>
      </c>
      <c r="F99" s="58">
        <f t="shared" si="6"/>
        <v>-4015</v>
      </c>
      <c r="G99" s="61"/>
    </row>
    <row r="100" spans="1:8" ht="12" customHeight="1" outlineLevel="1" x14ac:dyDescent="0.4">
      <c r="A100" s="97" t="s">
        <v>155</v>
      </c>
      <c r="B100" s="56">
        <v>1</v>
      </c>
      <c r="C100" s="40" t="s">
        <v>107</v>
      </c>
      <c r="D100" s="129">
        <v>13000</v>
      </c>
      <c r="E100" s="58">
        <f t="shared" si="3"/>
        <v>13000</v>
      </c>
      <c r="F100" s="58">
        <f t="shared" si="6"/>
        <v>-13000</v>
      </c>
      <c r="G100" s="61"/>
    </row>
    <row r="101" spans="1:8" ht="12" customHeight="1" outlineLevel="1" x14ac:dyDescent="0.4">
      <c r="A101" s="97" t="s">
        <v>156</v>
      </c>
      <c r="B101" s="71">
        <v>2.5000000000000001E-3</v>
      </c>
      <c r="C101" s="40" t="s">
        <v>107</v>
      </c>
      <c r="D101" s="129">
        <v>1701800</v>
      </c>
      <c r="E101" s="58">
        <f t="shared" si="3"/>
        <v>4254.5</v>
      </c>
      <c r="F101" s="58">
        <f t="shared" si="6"/>
        <v>-4254.5</v>
      </c>
      <c r="G101" s="61"/>
    </row>
    <row r="102" spans="1:8" ht="12" customHeight="1" outlineLevel="1" x14ac:dyDescent="0.4">
      <c r="A102" s="97" t="s">
        <v>157</v>
      </c>
      <c r="B102" s="56">
        <v>2</v>
      </c>
      <c r="C102" s="40" t="s">
        <v>107</v>
      </c>
      <c r="D102" s="129">
        <v>2500</v>
      </c>
      <c r="E102" s="58">
        <f t="shared" si="3"/>
        <v>5000</v>
      </c>
      <c r="F102" s="58">
        <f t="shared" si="6"/>
        <v>-5000</v>
      </c>
      <c r="G102" s="61"/>
    </row>
    <row r="103" spans="1:8" s="62" customFormat="1" ht="12" customHeight="1" thickBot="1" x14ac:dyDescent="0.45">
      <c r="A103" s="130" t="s">
        <v>134</v>
      </c>
      <c r="B103" s="95">
        <f>B57</f>
        <v>659.54</v>
      </c>
      <c r="C103" s="131" t="s">
        <v>99</v>
      </c>
      <c r="D103" s="132">
        <f t="shared" si="0"/>
        <v>240.31870697759044</v>
      </c>
      <c r="E103" s="75">
        <f t="shared" ref="E103:E175" si="30">-SUM(F103:G103)</f>
        <v>158499.79999999999</v>
      </c>
      <c r="F103" s="75">
        <f t="shared" ref="F103:G103" si="31">SUBTOTAL(9,F82:G102)</f>
        <v>-158499.79999999999</v>
      </c>
      <c r="G103" s="77">
        <f t="shared" si="31"/>
        <v>0</v>
      </c>
    </row>
    <row r="104" spans="1:8" ht="12" customHeight="1" thickBot="1" x14ac:dyDescent="0.45">
      <c r="A104" s="97"/>
      <c r="B104" s="71"/>
      <c r="D104" s="98"/>
      <c r="E104" s="58"/>
      <c r="F104" s="58"/>
      <c r="G104" s="61"/>
    </row>
    <row r="105" spans="1:8" ht="13.5" customHeight="1" x14ac:dyDescent="0.4">
      <c r="A105" s="123" t="s">
        <v>158</v>
      </c>
      <c r="B105" s="124"/>
      <c r="C105" s="125"/>
      <c r="D105" s="126"/>
      <c r="E105" s="102"/>
      <c r="F105" s="102"/>
      <c r="G105" s="127"/>
    </row>
    <row r="106" spans="1:8" ht="13.5" customHeight="1" outlineLevel="1" x14ac:dyDescent="0.4">
      <c r="A106" s="97" t="s">
        <v>159</v>
      </c>
      <c r="B106" s="71">
        <f t="shared" ref="B106:B279" si="32">E106/D106</f>
        <v>0</v>
      </c>
      <c r="C106" s="40" t="s">
        <v>114</v>
      </c>
      <c r="D106" s="98">
        <v>2530000</v>
      </c>
      <c r="E106" s="59">
        <v>0</v>
      </c>
      <c r="F106" s="58"/>
      <c r="G106" s="61"/>
      <c r="H106" s="96"/>
    </row>
    <row r="107" spans="1:8" ht="13.5" customHeight="1" outlineLevel="1" x14ac:dyDescent="0.4">
      <c r="A107" s="97" t="s">
        <v>160</v>
      </c>
      <c r="B107" s="71">
        <v>1.6E-2</v>
      </c>
      <c r="C107" s="40" t="s">
        <v>114</v>
      </c>
      <c r="D107" s="98">
        <f>D106-E106</f>
        <v>2530000</v>
      </c>
      <c r="E107" s="58">
        <f>(B107*D107+100)</f>
        <v>40580</v>
      </c>
      <c r="F107" s="58">
        <f t="shared" si="6"/>
        <v>-40580</v>
      </c>
      <c r="G107" s="61"/>
      <c r="H107" s="96"/>
    </row>
    <row r="108" spans="1:8" ht="13.5" customHeight="1" outlineLevel="1" x14ac:dyDescent="0.4">
      <c r="A108" s="97" t="s">
        <v>161</v>
      </c>
      <c r="B108" s="71">
        <v>1.6E-2</v>
      </c>
      <c r="C108" s="40" t="s">
        <v>114</v>
      </c>
      <c r="D108" s="98">
        <f t="shared" si="10"/>
        <v>2530000</v>
      </c>
      <c r="E108" s="58">
        <f>B108*D108+100</f>
        <v>40580</v>
      </c>
      <c r="F108" s="58">
        <f t="shared" si="6"/>
        <v>-40580</v>
      </c>
      <c r="G108" s="61"/>
      <c r="H108" s="96"/>
    </row>
    <row r="109" spans="1:8" ht="13.5" customHeight="1" thickBot="1" x14ac:dyDescent="0.45">
      <c r="A109" s="130" t="s">
        <v>134</v>
      </c>
      <c r="B109" s="133">
        <f t="shared" si="32"/>
        <v>3.2079051383399212E-2</v>
      </c>
      <c r="C109" s="131" t="s">
        <v>114</v>
      </c>
      <c r="D109" s="132">
        <f t="shared" si="20"/>
        <v>2530000</v>
      </c>
      <c r="E109" s="75">
        <f t="shared" si="30"/>
        <v>81160</v>
      </c>
      <c r="F109" s="75">
        <f t="shared" si="25"/>
        <v>-81160</v>
      </c>
      <c r="G109" s="77">
        <f t="shared" si="25"/>
        <v>0</v>
      </c>
      <c r="H109" s="96"/>
    </row>
    <row r="110" spans="1:8" ht="12" customHeight="1" thickBot="1" x14ac:dyDescent="0.45">
      <c r="A110" s="97"/>
      <c r="B110" s="71"/>
      <c r="D110" s="98"/>
      <c r="E110" s="58"/>
      <c r="F110" s="58"/>
      <c r="G110" s="61"/>
      <c r="H110" s="96"/>
    </row>
    <row r="111" spans="1:8" ht="11.6" customHeight="1" x14ac:dyDescent="0.4">
      <c r="A111" s="123" t="s">
        <v>162</v>
      </c>
      <c r="B111" s="124"/>
      <c r="C111" s="125"/>
      <c r="D111" s="126"/>
      <c r="E111" s="102"/>
      <c r="F111" s="102"/>
      <c r="G111" s="127"/>
      <c r="H111" s="96"/>
    </row>
    <row r="112" spans="1:8" ht="12" customHeight="1" thickBot="1" x14ac:dyDescent="0.45">
      <c r="A112" s="130" t="s">
        <v>134</v>
      </c>
      <c r="B112" s="133">
        <f t="shared" si="32"/>
        <v>6.239600665557404E-3</v>
      </c>
      <c r="C112" s="131" t="s">
        <v>114</v>
      </c>
      <c r="D112" s="132">
        <f>E138</f>
        <v>4808000</v>
      </c>
      <c r="E112" s="134">
        <v>30000</v>
      </c>
      <c r="F112" s="75">
        <f t="shared" si="6"/>
        <v>-30000</v>
      </c>
      <c r="G112" s="77">
        <v>0</v>
      </c>
      <c r="H112" s="96"/>
    </row>
    <row r="113" spans="1:8" ht="12" customHeight="1" thickBot="1" x14ac:dyDescent="0.45">
      <c r="A113" s="97"/>
      <c r="B113" s="71"/>
      <c r="C113" s="57"/>
      <c r="D113" s="98"/>
      <c r="E113" s="58"/>
      <c r="F113" s="58"/>
      <c r="G113" s="61"/>
      <c r="H113" s="96"/>
    </row>
    <row r="114" spans="1:8" s="62" customFormat="1" ht="11.6" customHeight="1" x14ac:dyDescent="0.4">
      <c r="A114" s="123" t="s">
        <v>163</v>
      </c>
      <c r="B114" s="124"/>
      <c r="C114" s="125"/>
      <c r="D114" s="126"/>
      <c r="E114" s="102"/>
      <c r="F114" s="102"/>
      <c r="G114" s="127"/>
    </row>
    <row r="115" spans="1:8" ht="12" customHeight="1" outlineLevel="1" x14ac:dyDescent="0.4">
      <c r="A115" s="97" t="s">
        <v>164</v>
      </c>
      <c r="B115" s="139">
        <v>2</v>
      </c>
      <c r="C115" s="140" t="s">
        <v>92</v>
      </c>
      <c r="D115" s="141">
        <v>20000</v>
      </c>
      <c r="E115" s="58">
        <f t="shared" si="3"/>
        <v>40000</v>
      </c>
      <c r="F115" s="58">
        <f t="shared" si="6"/>
        <v>-40000</v>
      </c>
      <c r="G115" s="61"/>
      <c r="H115" s="96"/>
    </row>
    <row r="116" spans="1:8" s="62" customFormat="1" ht="12" customHeight="1" thickBot="1" x14ac:dyDescent="0.45">
      <c r="A116" s="130" t="s">
        <v>134</v>
      </c>
      <c r="B116" s="95">
        <v>2</v>
      </c>
      <c r="C116" s="74" t="s">
        <v>92</v>
      </c>
      <c r="D116" s="132">
        <f t="shared" si="0"/>
        <v>20000</v>
      </c>
      <c r="E116" s="75">
        <f t="shared" si="30"/>
        <v>40000</v>
      </c>
      <c r="F116" s="75">
        <f>SUBTOTAL(9,F115:G115)</f>
        <v>-40000</v>
      </c>
      <c r="G116" s="77">
        <f>SUBTOTAL(9,G115)</f>
        <v>0</v>
      </c>
    </row>
    <row r="117" spans="1:8" s="62" customFormat="1" ht="12" customHeight="1" thickBot="1" x14ac:dyDescent="0.45">
      <c r="A117" s="142"/>
      <c r="B117" s="143"/>
      <c r="C117" s="37"/>
      <c r="D117" s="144"/>
      <c r="E117" s="70"/>
      <c r="F117" s="70"/>
      <c r="G117" s="111"/>
    </row>
    <row r="118" spans="1:8" s="62" customFormat="1" ht="13.5" customHeight="1" x14ac:dyDescent="0.4">
      <c r="A118" s="145" t="s">
        <v>165</v>
      </c>
      <c r="B118" s="146"/>
      <c r="C118" s="147"/>
      <c r="D118" s="148"/>
      <c r="E118" s="119"/>
      <c r="F118" s="119"/>
      <c r="G118" s="149"/>
    </row>
    <row r="119" spans="1:8" ht="13.5" customHeight="1" outlineLevel="1" x14ac:dyDescent="0.4">
      <c r="A119" s="97" t="s">
        <v>166</v>
      </c>
      <c r="B119" s="71">
        <v>0.7</v>
      </c>
      <c r="C119" s="40" t="s">
        <v>114</v>
      </c>
      <c r="D119" s="129">
        <v>4808000</v>
      </c>
      <c r="E119" s="58">
        <f t="shared" si="3"/>
        <v>3365600</v>
      </c>
      <c r="F119" s="58"/>
      <c r="G119" s="61"/>
      <c r="H119" s="96"/>
    </row>
    <row r="120" spans="1:8" ht="12" customHeight="1" outlineLevel="1" x14ac:dyDescent="0.4">
      <c r="A120" s="97" t="s">
        <v>167</v>
      </c>
      <c r="B120" s="71">
        <v>1.2500000000000001E-2</v>
      </c>
      <c r="C120" s="40" t="s">
        <v>114</v>
      </c>
      <c r="D120" s="98">
        <f t="shared" ref="D120:D125" si="33">D$119*$B$119</f>
        <v>3365600</v>
      </c>
      <c r="E120" s="58">
        <f t="shared" si="3"/>
        <v>42070</v>
      </c>
      <c r="F120" s="58">
        <f t="shared" si="6"/>
        <v>-42070</v>
      </c>
      <c r="G120" s="61"/>
      <c r="H120" s="96"/>
    </row>
    <row r="121" spans="1:8" ht="12" customHeight="1" outlineLevel="1" x14ac:dyDescent="0.4">
      <c r="A121" s="97" t="s">
        <v>168</v>
      </c>
      <c r="B121" s="71">
        <v>1.7999999999999999E-2</v>
      </c>
      <c r="C121" s="40" t="s">
        <v>114</v>
      </c>
      <c r="D121" s="98">
        <f t="shared" si="33"/>
        <v>3365600</v>
      </c>
      <c r="E121" s="58">
        <f t="shared" si="3"/>
        <v>60580.799999999996</v>
      </c>
      <c r="F121" s="58">
        <f t="shared" si="6"/>
        <v>-60580.799999999996</v>
      </c>
      <c r="G121" s="61"/>
      <c r="H121" s="96"/>
    </row>
    <row r="122" spans="1:8" ht="12" customHeight="1" outlineLevel="1" x14ac:dyDescent="0.4">
      <c r="A122" s="97" t="s">
        <v>169</v>
      </c>
      <c r="B122" s="150">
        <f t="shared" si="32"/>
        <v>0.10095616438356163</v>
      </c>
      <c r="C122" s="40" t="s">
        <v>114</v>
      </c>
      <c r="D122" s="98">
        <f t="shared" si="33"/>
        <v>3365600</v>
      </c>
      <c r="E122" s="58">
        <f>'INTEREST STUDY'!E15</f>
        <v>339778.06684931502</v>
      </c>
      <c r="F122" s="58">
        <f t="shared" si="6"/>
        <v>-339778.06684931502</v>
      </c>
      <c r="G122" s="61"/>
      <c r="H122" s="96"/>
    </row>
    <row r="123" spans="1:8" s="96" customFormat="1" ht="12" customHeight="1" outlineLevel="1" x14ac:dyDescent="0.4">
      <c r="A123" s="97" t="s">
        <v>170</v>
      </c>
      <c r="B123" s="71">
        <f t="shared" si="32"/>
        <v>3.5654860946042309E-4</v>
      </c>
      <c r="C123" s="40" t="s">
        <v>114</v>
      </c>
      <c r="D123" s="98">
        <f t="shared" si="33"/>
        <v>3365600</v>
      </c>
      <c r="E123" s="58">
        <v>1200</v>
      </c>
      <c r="F123" s="58">
        <f t="shared" si="6"/>
        <v>-1200</v>
      </c>
      <c r="G123" s="61"/>
    </row>
    <row r="124" spans="1:8" ht="12" customHeight="1" outlineLevel="1" x14ac:dyDescent="0.4">
      <c r="A124" s="97" t="s">
        <v>171</v>
      </c>
      <c r="B124" s="71">
        <f t="shared" si="32"/>
        <v>1.0781049441407177E-3</v>
      </c>
      <c r="C124" s="40" t="s">
        <v>114</v>
      </c>
      <c r="D124" s="98">
        <f t="shared" si="33"/>
        <v>3365600</v>
      </c>
      <c r="E124" s="58">
        <v>3628.47</v>
      </c>
      <c r="F124" s="58">
        <f t="shared" si="6"/>
        <v>-3628.47</v>
      </c>
      <c r="G124" s="61"/>
      <c r="H124" s="96"/>
    </row>
    <row r="125" spans="1:8" s="62" customFormat="1" ht="12" customHeight="1" thickBot="1" x14ac:dyDescent="0.45">
      <c r="A125" s="130" t="s">
        <v>134</v>
      </c>
      <c r="B125" s="151">
        <f t="shared" si="32"/>
        <v>0.13289081793716276</v>
      </c>
      <c r="C125" s="131" t="s">
        <v>114</v>
      </c>
      <c r="D125" s="132">
        <f t="shared" si="33"/>
        <v>3365600</v>
      </c>
      <c r="E125" s="75">
        <f t="shared" si="30"/>
        <v>447257.33684931498</v>
      </c>
      <c r="F125" s="75">
        <f>SUBTOTAL(9,F119:G124)</f>
        <v>-447257.33684931498</v>
      </c>
      <c r="G125" s="77">
        <f>SUBTOTAL(9,G120:G124)</f>
        <v>0</v>
      </c>
    </row>
    <row r="126" spans="1:8" ht="12" customHeight="1" thickBot="1" x14ac:dyDescent="0.45">
      <c r="A126" s="97"/>
      <c r="B126" s="71"/>
      <c r="D126" s="98"/>
      <c r="E126" s="58"/>
      <c r="F126" s="58"/>
      <c r="G126" s="61"/>
      <c r="H126" s="96"/>
    </row>
    <row r="127" spans="1:8" ht="11.6" customHeight="1" x14ac:dyDescent="0.4">
      <c r="A127" s="145" t="s">
        <v>172</v>
      </c>
      <c r="B127" s="152"/>
      <c r="C127" s="147"/>
      <c r="D127" s="153"/>
      <c r="E127" s="119"/>
      <c r="F127" s="119"/>
      <c r="G127" s="149"/>
      <c r="H127" s="96"/>
    </row>
    <row r="128" spans="1:8" ht="11.6" customHeight="1" outlineLevel="1" x14ac:dyDescent="0.4">
      <c r="A128" s="97" t="s">
        <v>173</v>
      </c>
      <c r="B128" s="154">
        <v>49</v>
      </c>
      <c r="C128" s="140" t="s">
        <v>174</v>
      </c>
      <c r="D128" s="141">
        <v>2450</v>
      </c>
      <c r="E128" s="58">
        <f t="shared" si="3"/>
        <v>120050</v>
      </c>
      <c r="F128" s="58"/>
      <c r="G128" s="61">
        <f t="shared" si="4"/>
        <v>120050</v>
      </c>
      <c r="H128" s="96"/>
    </row>
    <row r="129" spans="1:8" ht="11.6" customHeight="1" outlineLevel="1" x14ac:dyDescent="0.4">
      <c r="A129" s="97" t="s">
        <v>175</v>
      </c>
      <c r="B129" s="93">
        <v>0.15</v>
      </c>
      <c r="C129" s="140" t="s">
        <v>114</v>
      </c>
      <c r="D129" s="155">
        <f t="shared" ref="D129:D199" si="34">G128</f>
        <v>120050</v>
      </c>
      <c r="E129" s="58">
        <f t="shared" si="7"/>
        <v>18007.5</v>
      </c>
      <c r="F129" s="58">
        <f t="shared" si="6"/>
        <v>-18007.5</v>
      </c>
      <c r="G129" s="61"/>
      <c r="H129" s="96"/>
    </row>
    <row r="130" spans="1:8" s="62" customFormat="1" ht="12.75" customHeight="1" thickBot="1" x14ac:dyDescent="0.45">
      <c r="A130" s="130" t="s">
        <v>134</v>
      </c>
      <c r="B130" s="156">
        <f>B$128</f>
        <v>49</v>
      </c>
      <c r="C130" s="157" t="str">
        <f t="shared" ref="C130" si="35">C128</f>
        <v>Wks</v>
      </c>
      <c r="D130" s="158">
        <f t="shared" si="0"/>
        <v>2082.5</v>
      </c>
      <c r="E130" s="75">
        <f t="shared" si="11"/>
        <v>102042.5</v>
      </c>
      <c r="F130" s="75">
        <f t="shared" si="21"/>
        <v>-18007.5</v>
      </c>
      <c r="G130" s="77">
        <f t="shared" si="21"/>
        <v>120050</v>
      </c>
    </row>
    <row r="131" spans="1:8" ht="11.6" customHeight="1" thickBot="1" x14ac:dyDescent="0.45">
      <c r="A131" s="97"/>
      <c r="B131" s="56"/>
      <c r="D131" s="98"/>
      <c r="E131" s="58"/>
      <c r="F131" s="58"/>
      <c r="G131" s="61"/>
      <c r="H131" s="96"/>
    </row>
    <row r="132" spans="1:8" ht="11.6" customHeight="1" outlineLevel="1" x14ac:dyDescent="0.4">
      <c r="A132" s="561" t="s">
        <v>176</v>
      </c>
      <c r="B132" s="562"/>
      <c r="C132" s="494"/>
      <c r="D132" s="563"/>
      <c r="E132" s="564"/>
      <c r="F132" s="565"/>
      <c r="G132" s="566"/>
      <c r="H132" s="96"/>
    </row>
    <row r="133" spans="1:8" ht="12" customHeight="1" outlineLevel="1" x14ac:dyDescent="0.4">
      <c r="A133" s="567" t="s">
        <v>177</v>
      </c>
      <c r="B133" s="56">
        <v>601</v>
      </c>
      <c r="C133" s="40" t="s">
        <v>99</v>
      </c>
      <c r="D133" s="98">
        <f t="shared" si="0"/>
        <v>6239.6006655574047</v>
      </c>
      <c r="E133" s="486">
        <v>3750000</v>
      </c>
      <c r="F133" s="486"/>
      <c r="G133" s="506"/>
      <c r="H133" s="96"/>
    </row>
    <row r="134" spans="1:8" ht="12" customHeight="1" outlineLevel="1" x14ac:dyDescent="0.4">
      <c r="A134" s="567" t="s">
        <v>178</v>
      </c>
      <c r="B134" s="56">
        <v>418</v>
      </c>
      <c r="C134" s="40" t="s">
        <v>99</v>
      </c>
      <c r="D134" s="98">
        <f t="shared" si="0"/>
        <v>9569.3779904306211</v>
      </c>
      <c r="E134" s="486">
        <v>4000000</v>
      </c>
      <c r="F134" s="486"/>
      <c r="G134" s="506"/>
      <c r="H134" s="96"/>
    </row>
    <row r="135" spans="1:8" s="62" customFormat="1" ht="11.6" customHeight="1" outlineLevel="1" thickBot="1" x14ac:dyDescent="0.45">
      <c r="A135" s="568" t="s">
        <v>179</v>
      </c>
      <c r="B135" s="569">
        <f>B138</f>
        <v>607</v>
      </c>
      <c r="C135" s="570" t="s">
        <v>99</v>
      </c>
      <c r="D135" s="571">
        <f>AVERAGE(D133:D134)</f>
        <v>7904.4893279940134</v>
      </c>
      <c r="E135" s="520">
        <f t="shared" si="3"/>
        <v>4798025.0220923657</v>
      </c>
      <c r="F135" s="520"/>
      <c r="G135" s="521"/>
    </row>
    <row r="136" spans="1:8" ht="12" customHeight="1" outlineLevel="1" thickBot="1" x14ac:dyDescent="0.45">
      <c r="A136" s="97"/>
      <c r="B136" s="56"/>
      <c r="D136" s="98"/>
      <c r="E136" s="486"/>
      <c r="F136" s="486"/>
      <c r="G136" s="61"/>
      <c r="H136" s="96"/>
    </row>
    <row r="137" spans="1:8" ht="11.6" customHeight="1" x14ac:dyDescent="0.4">
      <c r="A137" s="145" t="s">
        <v>180</v>
      </c>
      <c r="B137" s="152"/>
      <c r="C137" s="147"/>
      <c r="D137" s="153"/>
      <c r="E137" s="119"/>
      <c r="F137" s="119"/>
      <c r="G137" s="149"/>
      <c r="H137" s="96"/>
    </row>
    <row r="138" spans="1:8" ht="11.6" customHeight="1" outlineLevel="1" x14ac:dyDescent="0.4">
      <c r="A138" s="161" t="s">
        <v>181</v>
      </c>
      <c r="B138" s="162">
        <v>607</v>
      </c>
      <c r="C138" s="163" t="s">
        <v>99</v>
      </c>
      <c r="D138" s="164">
        <f t="shared" si="0"/>
        <v>7920.9225700164743</v>
      </c>
      <c r="E138" s="165">
        <v>4808000</v>
      </c>
      <c r="F138" s="165"/>
      <c r="G138" s="166"/>
      <c r="H138" s="96"/>
    </row>
    <row r="139" spans="1:8" ht="12" customHeight="1" outlineLevel="1" x14ac:dyDescent="0.4">
      <c r="A139" s="97" t="s">
        <v>182</v>
      </c>
      <c r="B139" s="71">
        <v>0.1</v>
      </c>
      <c r="C139" s="40" t="s">
        <v>114</v>
      </c>
      <c r="D139" s="98">
        <f t="shared" ref="D139:D141" si="36">E$138</f>
        <v>4808000</v>
      </c>
      <c r="E139" s="58">
        <f t="shared" si="3"/>
        <v>480800</v>
      </c>
      <c r="F139" s="58">
        <f t="shared" si="6"/>
        <v>-480800</v>
      </c>
      <c r="G139" s="61"/>
      <c r="H139" s="96"/>
    </row>
    <row r="140" spans="1:8" ht="12" customHeight="1" outlineLevel="1" x14ac:dyDescent="0.4">
      <c r="A140" s="97" t="s">
        <v>183</v>
      </c>
      <c r="B140" s="71">
        <v>0.2</v>
      </c>
      <c r="C140" s="40" t="s">
        <v>114</v>
      </c>
      <c r="D140" s="98">
        <f t="shared" si="36"/>
        <v>4808000</v>
      </c>
      <c r="E140" s="58">
        <f t="shared" si="3"/>
        <v>961600</v>
      </c>
      <c r="F140" s="58">
        <f t="shared" si="6"/>
        <v>-961600</v>
      </c>
      <c r="G140" s="61"/>
      <c r="H140" s="96"/>
    </row>
    <row r="141" spans="1:8" ht="12" customHeight="1" outlineLevel="1" x14ac:dyDescent="0.4">
      <c r="A141" s="97" t="s">
        <v>184</v>
      </c>
      <c r="B141" s="71">
        <v>0.7</v>
      </c>
      <c r="C141" s="40" t="s">
        <v>114</v>
      </c>
      <c r="D141" s="98">
        <f t="shared" si="36"/>
        <v>4808000</v>
      </c>
      <c r="E141" s="58">
        <f t="shared" si="3"/>
        <v>3365600</v>
      </c>
      <c r="F141" s="58">
        <f t="shared" si="6"/>
        <v>-3365600</v>
      </c>
      <c r="G141" s="61"/>
      <c r="H141" s="96"/>
    </row>
    <row r="142" spans="1:8" ht="12" customHeight="1" outlineLevel="1" x14ac:dyDescent="0.4">
      <c r="A142" s="97" t="s">
        <v>185</v>
      </c>
      <c r="B142" s="167">
        <f t="shared" si="15"/>
        <v>607</v>
      </c>
      <c r="C142" s="140" t="s">
        <v>99</v>
      </c>
      <c r="D142" s="98">
        <f t="shared" si="0"/>
        <v>436.19835255354207</v>
      </c>
      <c r="E142" s="58">
        <f>182389+(D139-3636000)/100*7+171.7+171.7</f>
        <v>264772.40000000002</v>
      </c>
      <c r="F142" s="58">
        <f t="shared" si="6"/>
        <v>-264772.40000000002</v>
      </c>
      <c r="G142" s="61"/>
      <c r="H142" s="96"/>
    </row>
    <row r="143" spans="1:8" ht="12" customHeight="1" outlineLevel="1" x14ac:dyDescent="0.4">
      <c r="A143" s="97" t="s">
        <v>186</v>
      </c>
      <c r="B143" s="56">
        <v>1</v>
      </c>
      <c r="C143" s="40" t="s">
        <v>107</v>
      </c>
      <c r="D143" s="129">
        <v>515</v>
      </c>
      <c r="E143" s="58">
        <f t="shared" si="3"/>
        <v>515</v>
      </c>
      <c r="F143" s="58">
        <f t="shared" si="6"/>
        <v>-515</v>
      </c>
      <c r="G143" s="61"/>
      <c r="H143" s="96"/>
    </row>
    <row r="144" spans="1:8" ht="12" customHeight="1" outlineLevel="1" x14ac:dyDescent="0.4">
      <c r="A144" s="97" t="s">
        <v>187</v>
      </c>
      <c r="B144" s="56">
        <v>1</v>
      </c>
      <c r="C144" s="40" t="s">
        <v>107</v>
      </c>
      <c r="D144" s="129">
        <v>137.38999999999999</v>
      </c>
      <c r="E144" s="58">
        <f t="shared" si="3"/>
        <v>137.38999999999999</v>
      </c>
      <c r="F144" s="58">
        <f t="shared" si="6"/>
        <v>-137.38999999999999</v>
      </c>
      <c r="G144" s="61"/>
      <c r="H144" s="96"/>
    </row>
    <row r="145" spans="1:9" ht="12" customHeight="1" outlineLevel="1" x14ac:dyDescent="0.4">
      <c r="A145" s="97" t="s">
        <v>188</v>
      </c>
      <c r="B145" s="56">
        <v>1</v>
      </c>
      <c r="C145" s="40" t="s">
        <v>107</v>
      </c>
      <c r="D145" s="129">
        <v>3628.47</v>
      </c>
      <c r="E145" s="58">
        <f t="shared" si="3"/>
        <v>3628.47</v>
      </c>
      <c r="F145" s="58">
        <f t="shared" si="6"/>
        <v>-3628.47</v>
      </c>
      <c r="G145" s="61"/>
      <c r="H145" s="96"/>
    </row>
    <row r="146" spans="1:9" ht="12" customHeight="1" outlineLevel="1" x14ac:dyDescent="0.4">
      <c r="A146" s="97" t="s">
        <v>189</v>
      </c>
      <c r="B146" s="56">
        <v>1</v>
      </c>
      <c r="C146" s="40" t="s">
        <v>107</v>
      </c>
      <c r="D146" s="129">
        <v>3204.37</v>
      </c>
      <c r="E146" s="58">
        <f t="shared" si="3"/>
        <v>3204.37</v>
      </c>
      <c r="F146" s="58">
        <f t="shared" si="6"/>
        <v>-3204.37</v>
      </c>
      <c r="G146" s="61"/>
      <c r="H146" s="96"/>
    </row>
    <row r="147" spans="1:9" s="62" customFormat="1" ht="12" customHeight="1" thickBot="1" x14ac:dyDescent="0.45">
      <c r="A147" s="130" t="s">
        <v>134</v>
      </c>
      <c r="B147" s="95">
        <f>B138</f>
        <v>607</v>
      </c>
      <c r="C147" s="131" t="s">
        <v>99</v>
      </c>
      <c r="D147" s="132">
        <f t="shared" si="0"/>
        <v>8369.4524382207583</v>
      </c>
      <c r="E147" s="75">
        <f t="shared" si="30"/>
        <v>5080257.63</v>
      </c>
      <c r="F147" s="75">
        <f t="shared" si="17"/>
        <v>-5080257.63</v>
      </c>
      <c r="G147" s="77">
        <f t="shared" si="17"/>
        <v>0</v>
      </c>
    </row>
    <row r="148" spans="1:9" ht="12" customHeight="1" thickBot="1" x14ac:dyDescent="0.45">
      <c r="A148" s="97"/>
      <c r="B148" s="168"/>
      <c r="D148" s="98"/>
      <c r="E148" s="58"/>
      <c r="F148" s="58"/>
      <c r="G148" s="61"/>
      <c r="H148" s="96"/>
    </row>
    <row r="149" spans="1:9" s="62" customFormat="1" ht="11.6" customHeight="1" x14ac:dyDescent="0.4">
      <c r="A149" s="522" t="s">
        <v>465</v>
      </c>
      <c r="B149" s="523"/>
      <c r="C149" s="524"/>
      <c r="D149" s="525"/>
      <c r="E149" s="526"/>
      <c r="F149" s="526"/>
      <c r="G149" s="527"/>
    </row>
    <row r="150" spans="1:9" s="106" customFormat="1" ht="14.25" customHeight="1" outlineLevel="1" x14ac:dyDescent="0.4">
      <c r="A150" s="528" t="s">
        <v>190</v>
      </c>
      <c r="B150" s="108">
        <v>399.95</v>
      </c>
      <c r="C150" s="487" t="s">
        <v>99</v>
      </c>
      <c r="D150" s="169"/>
      <c r="E150" s="497"/>
      <c r="F150" s="529"/>
      <c r="G150" s="530"/>
    </row>
    <row r="151" spans="1:9" s="106" customFormat="1" ht="14.25" customHeight="1" outlineLevel="1" thickBot="1" x14ac:dyDescent="0.45">
      <c r="A151" s="531" t="s">
        <v>191</v>
      </c>
      <c r="B151" s="532">
        <v>388.16</v>
      </c>
      <c r="C151" s="533" t="s">
        <v>99</v>
      </c>
      <c r="D151" s="534"/>
      <c r="E151" s="519"/>
      <c r="F151" s="535"/>
      <c r="G151" s="536"/>
    </row>
    <row r="152" spans="1:9" ht="12" customHeight="1" outlineLevel="1" x14ac:dyDescent="0.4">
      <c r="A152" s="97" t="s">
        <v>192</v>
      </c>
      <c r="B152" s="167">
        <f t="shared" ref="B152:G228" si="37">SUBTOTAL(9,B150:B151)</f>
        <v>788.11</v>
      </c>
      <c r="C152" s="140" t="s">
        <v>99</v>
      </c>
      <c r="D152" s="141">
        <v>6305</v>
      </c>
      <c r="E152" s="58">
        <f t="shared" si="7"/>
        <v>4969033.55</v>
      </c>
      <c r="F152" s="58">
        <f t="shared" si="6"/>
        <v>-4969033.55</v>
      </c>
      <c r="G152" s="61"/>
      <c r="H152" s="96"/>
    </row>
    <row r="153" spans="1:9" ht="12" customHeight="1" outlineLevel="1" x14ac:dyDescent="0.4">
      <c r="A153" s="97" t="s">
        <v>193</v>
      </c>
      <c r="B153" s="170">
        <v>0.05</v>
      </c>
      <c r="C153" s="140" t="s">
        <v>114</v>
      </c>
      <c r="D153" s="171">
        <f t="shared" ref="D153:D237" si="38">E152</f>
        <v>4969033.55</v>
      </c>
      <c r="E153" s="58">
        <f t="shared" si="7"/>
        <v>248451.67749999999</v>
      </c>
      <c r="F153" s="58"/>
      <c r="G153" s="61">
        <f t="shared" si="4"/>
        <v>248451.67749999999</v>
      </c>
      <c r="H153" s="96"/>
    </row>
    <row r="154" spans="1:9" ht="12" customHeight="1" outlineLevel="1" x14ac:dyDescent="0.4">
      <c r="A154" s="97" t="s">
        <v>474</v>
      </c>
      <c r="B154" s="170">
        <v>0</v>
      </c>
      <c r="C154" s="140" t="s">
        <v>114</v>
      </c>
      <c r="D154" s="171">
        <f>-SUM(F152:G153)</f>
        <v>4720581.8724999996</v>
      </c>
      <c r="E154" s="58">
        <f t="shared" si="7"/>
        <v>0</v>
      </c>
      <c r="F154" s="58">
        <f t="shared" si="6"/>
        <v>0</v>
      </c>
      <c r="G154" s="61"/>
      <c r="H154" s="96"/>
    </row>
    <row r="155" spans="1:9" ht="12" customHeight="1" outlineLevel="1" x14ac:dyDescent="0.4">
      <c r="A155" s="97" t="s">
        <v>194</v>
      </c>
      <c r="B155" s="170">
        <v>0.1</v>
      </c>
      <c r="C155" s="140"/>
      <c r="D155" s="171">
        <f t="shared" si="10"/>
        <v>4720581.8724999996</v>
      </c>
      <c r="E155" s="58">
        <f t="shared" si="7"/>
        <v>472058.18724999996</v>
      </c>
      <c r="F155" s="58">
        <f t="shared" si="6"/>
        <v>-472058.18724999996</v>
      </c>
      <c r="G155" s="61"/>
      <c r="H155" s="96"/>
      <c r="I155" s="94"/>
    </row>
    <row r="156" spans="1:9" ht="12" customHeight="1" outlineLevel="1" x14ac:dyDescent="0.4">
      <c r="A156" s="97" t="s">
        <v>467</v>
      </c>
      <c r="B156" s="92">
        <v>1</v>
      </c>
      <c r="C156" s="40" t="s">
        <v>107</v>
      </c>
      <c r="D156" s="470">
        <v>90000</v>
      </c>
      <c r="E156" s="58">
        <f t="shared" ref="E156:E161" si="39">B156*D156</f>
        <v>90000</v>
      </c>
      <c r="F156" s="90">
        <f t="shared" ref="F156" si="40">-E156</f>
        <v>-90000</v>
      </c>
      <c r="G156" s="61"/>
      <c r="H156" s="96"/>
    </row>
    <row r="157" spans="1:9" ht="12.9" customHeight="1" outlineLevel="1" x14ac:dyDescent="0.4">
      <c r="A157" s="97" t="s">
        <v>468</v>
      </c>
      <c r="B157" s="92">
        <v>6</v>
      </c>
      <c r="C157" s="140" t="s">
        <v>107</v>
      </c>
      <c r="D157" s="471">
        <v>5000</v>
      </c>
      <c r="E157" s="58">
        <f t="shared" si="39"/>
        <v>30000</v>
      </c>
      <c r="F157" s="58">
        <f t="shared" ref="F157:F162" si="41">-E157</f>
        <v>-30000</v>
      </c>
      <c r="G157" s="61"/>
      <c r="H157" s="96"/>
    </row>
    <row r="158" spans="1:9" ht="12" customHeight="1" outlineLevel="1" x14ac:dyDescent="0.4">
      <c r="A158" s="97" t="s">
        <v>469</v>
      </c>
      <c r="B158" s="92">
        <v>2</v>
      </c>
      <c r="C158" s="140" t="s">
        <v>107</v>
      </c>
      <c r="D158" s="471">
        <v>25000</v>
      </c>
      <c r="E158" s="58">
        <f t="shared" si="39"/>
        <v>50000</v>
      </c>
      <c r="F158" s="58">
        <f t="shared" si="41"/>
        <v>-50000</v>
      </c>
      <c r="G158" s="61"/>
      <c r="H158" s="96"/>
    </row>
    <row r="159" spans="1:9" ht="12" customHeight="1" outlineLevel="1" x14ac:dyDescent="0.4">
      <c r="A159" s="97" t="s">
        <v>470</v>
      </c>
      <c r="B159" s="92">
        <v>2</v>
      </c>
      <c r="C159" s="140" t="s">
        <v>107</v>
      </c>
      <c r="D159" s="471">
        <v>15000</v>
      </c>
      <c r="E159" s="58">
        <f t="shared" si="39"/>
        <v>30000</v>
      </c>
      <c r="F159" s="58">
        <f t="shared" si="41"/>
        <v>-30000</v>
      </c>
      <c r="G159" s="61"/>
      <c r="H159" s="96"/>
    </row>
    <row r="160" spans="1:9" ht="12" customHeight="1" outlineLevel="1" x14ac:dyDescent="0.4">
      <c r="A160" s="97" t="s">
        <v>471</v>
      </c>
      <c r="B160" s="92">
        <v>2</v>
      </c>
      <c r="C160" s="140" t="s">
        <v>107</v>
      </c>
      <c r="D160" s="471">
        <v>10000</v>
      </c>
      <c r="E160" s="58">
        <f t="shared" si="39"/>
        <v>20000</v>
      </c>
      <c r="F160" s="58">
        <f t="shared" si="41"/>
        <v>-20000</v>
      </c>
      <c r="G160" s="61"/>
      <c r="H160" s="96"/>
    </row>
    <row r="161" spans="1:9" ht="12" customHeight="1" outlineLevel="1" x14ac:dyDescent="0.4">
      <c r="A161" s="97" t="s">
        <v>472</v>
      </c>
      <c r="B161" s="92">
        <v>6</v>
      </c>
      <c r="C161" s="140" t="s">
        <v>107</v>
      </c>
      <c r="D161" s="471">
        <v>3000</v>
      </c>
      <c r="E161" s="58">
        <f t="shared" si="39"/>
        <v>18000</v>
      </c>
      <c r="F161" s="58">
        <f t="shared" si="41"/>
        <v>-18000</v>
      </c>
      <c r="G161" s="61"/>
      <c r="H161" s="96"/>
    </row>
    <row r="162" spans="1:9" ht="12" customHeight="1" outlineLevel="1" x14ac:dyDescent="0.4">
      <c r="A162" s="97" t="s">
        <v>473</v>
      </c>
      <c r="B162" s="92">
        <v>2</v>
      </c>
      <c r="C162" s="140" t="s">
        <v>107</v>
      </c>
      <c r="D162" s="171">
        <v>30000</v>
      </c>
      <c r="E162" s="58">
        <f>B162*D162</f>
        <v>60000</v>
      </c>
      <c r="F162" s="58">
        <f t="shared" si="41"/>
        <v>-60000</v>
      </c>
      <c r="G162" s="61"/>
      <c r="H162" s="96"/>
    </row>
    <row r="163" spans="1:9" s="62" customFormat="1" ht="12" customHeight="1" thickBot="1" x14ac:dyDescent="0.45">
      <c r="A163" s="130" t="s">
        <v>134</v>
      </c>
      <c r="B163" s="95">
        <f>B152</f>
        <v>788.11</v>
      </c>
      <c r="C163" s="131" t="s">
        <v>99</v>
      </c>
      <c r="D163" s="132">
        <f t="shared" si="0"/>
        <v>6966.8448056108919</v>
      </c>
      <c r="E163" s="75">
        <f>-SUM(F163:G163)</f>
        <v>5490640.05975</v>
      </c>
      <c r="F163" s="75">
        <f>SUBTOTAL(9,F152:F162)</f>
        <v>-5739091.7372500002</v>
      </c>
      <c r="G163" s="77">
        <f>SUBTOTAL(9,G152:G162)</f>
        <v>248451.67749999999</v>
      </c>
      <c r="I163" s="70"/>
    </row>
    <row r="164" spans="1:9" s="62" customFormat="1" ht="12" customHeight="1" thickBot="1" x14ac:dyDescent="0.45">
      <c r="A164" s="142"/>
      <c r="B164" s="143"/>
      <c r="C164" s="37"/>
      <c r="D164" s="144"/>
      <c r="E164" s="70"/>
      <c r="F164" s="70"/>
      <c r="G164" s="111"/>
    </row>
    <row r="165" spans="1:9" s="62" customFormat="1" ht="11.6" customHeight="1" x14ac:dyDescent="0.4">
      <c r="A165" s="172">
        <f>B167</f>
        <v>0.75</v>
      </c>
      <c r="B165" s="159"/>
      <c r="C165" s="136"/>
      <c r="D165" s="137"/>
      <c r="E165" s="138"/>
      <c r="F165" s="138"/>
      <c r="G165" s="160"/>
      <c r="I165" s="469"/>
    </row>
    <row r="166" spans="1:9" s="62" customFormat="1" ht="12" customHeight="1" outlineLevel="1" x14ac:dyDescent="0.4">
      <c r="A166" s="55" t="s">
        <v>195</v>
      </c>
      <c r="B166" s="56">
        <v>607</v>
      </c>
      <c r="C166" s="40" t="s">
        <v>99</v>
      </c>
      <c r="D166" s="98">
        <f t="shared" si="2"/>
        <v>19170.286056612247</v>
      </c>
      <c r="E166" s="59">
        <v>11636363.636363635</v>
      </c>
      <c r="F166" s="58"/>
      <c r="G166" s="61"/>
    </row>
    <row r="167" spans="1:9" s="62" customFormat="1" ht="12" customHeight="1" outlineLevel="1" x14ac:dyDescent="0.4">
      <c r="A167" s="97" t="s">
        <v>196</v>
      </c>
      <c r="B167" s="93">
        <v>0.75</v>
      </c>
      <c r="C167" s="40" t="s">
        <v>114</v>
      </c>
      <c r="D167" s="98">
        <f t="shared" si="38"/>
        <v>11636363.636363635</v>
      </c>
      <c r="E167" s="58">
        <f t="shared" si="3"/>
        <v>8727272.7272727266</v>
      </c>
      <c r="F167" s="58"/>
      <c r="G167" s="61"/>
    </row>
    <row r="168" spans="1:9" s="62" customFormat="1" ht="12" customHeight="1" outlineLevel="1" x14ac:dyDescent="0.4">
      <c r="A168" s="55" t="s">
        <v>197</v>
      </c>
      <c r="B168" s="71">
        <f t="shared" si="32"/>
        <v>0.75</v>
      </c>
      <c r="C168" s="40" t="s">
        <v>114</v>
      </c>
      <c r="D168" s="98">
        <f>E166</f>
        <v>11636363.636363635</v>
      </c>
      <c r="E168" s="58">
        <f>'INTEREST STUDY'!E21</f>
        <v>8727272.7272727266</v>
      </c>
      <c r="F168" s="58"/>
      <c r="G168" s="61"/>
    </row>
    <row r="169" spans="1:9" ht="12" customHeight="1" outlineLevel="1" x14ac:dyDescent="0.4">
      <c r="A169" s="55" t="s">
        <v>198</v>
      </c>
      <c r="B169" s="71">
        <v>1.2500000000000001E-2</v>
      </c>
      <c r="C169" s="40" t="s">
        <v>114</v>
      </c>
      <c r="D169" s="98">
        <f t="shared" si="38"/>
        <v>8727272.7272727266</v>
      </c>
      <c r="E169" s="58">
        <f t="shared" si="3"/>
        <v>109090.90909090909</v>
      </c>
      <c r="F169" s="58">
        <f t="shared" si="6"/>
        <v>-109090.90909090909</v>
      </c>
      <c r="G169" s="61"/>
      <c r="H169" s="96"/>
    </row>
    <row r="170" spans="1:9" ht="12" customHeight="1" outlineLevel="1" x14ac:dyDescent="0.4">
      <c r="A170" s="97" t="s">
        <v>199</v>
      </c>
      <c r="B170" s="71">
        <f t="shared" si="32"/>
        <v>2.1134895833333335E-4</v>
      </c>
      <c r="C170" s="40" t="s">
        <v>114</v>
      </c>
      <c r="D170" s="98">
        <f t="shared" ref="D170:D173" si="42">$D$169</f>
        <v>8727272.7272727266</v>
      </c>
      <c r="E170" s="58">
        <f>'INTEREST STUDY'!E24</f>
        <v>1844.5</v>
      </c>
      <c r="F170" s="58">
        <f t="shared" si="6"/>
        <v>-1844.5</v>
      </c>
      <c r="G170" s="61"/>
      <c r="H170" s="96"/>
    </row>
    <row r="171" spans="1:9" ht="12" customHeight="1" outlineLevel="1" x14ac:dyDescent="0.4">
      <c r="A171" s="55" t="s">
        <v>200</v>
      </c>
      <c r="B171" s="71">
        <v>5.0000000000000001E-3</v>
      </c>
      <c r="C171" s="40" t="s">
        <v>114</v>
      </c>
      <c r="D171" s="98">
        <f t="shared" si="42"/>
        <v>8727272.7272727266</v>
      </c>
      <c r="E171" s="58">
        <f t="shared" si="3"/>
        <v>43636.363636363632</v>
      </c>
      <c r="F171" s="58">
        <f t="shared" si="6"/>
        <v>-43636.363636363632</v>
      </c>
      <c r="G171" s="61"/>
      <c r="H171" s="96"/>
    </row>
    <row r="172" spans="1:9" ht="12" customHeight="1" outlineLevel="1" x14ac:dyDescent="0.4">
      <c r="A172" s="97" t="s">
        <v>201</v>
      </c>
      <c r="B172" s="71">
        <f t="shared" si="32"/>
        <v>2.0625000000000001E-3</v>
      </c>
      <c r="C172" s="40" t="s">
        <v>114</v>
      </c>
      <c r="D172" s="98">
        <f t="shared" si="42"/>
        <v>8727272.7272727266</v>
      </c>
      <c r="E172" s="58">
        <v>18000</v>
      </c>
      <c r="F172" s="58">
        <f t="shared" si="6"/>
        <v>-18000</v>
      </c>
      <c r="G172" s="61"/>
      <c r="H172" s="96"/>
    </row>
    <row r="173" spans="1:9" ht="12" customHeight="1" outlineLevel="1" x14ac:dyDescent="0.4">
      <c r="A173" s="97" t="s">
        <v>202</v>
      </c>
      <c r="B173" s="173">
        <f t="shared" si="32"/>
        <v>6.7952128188628155E-2</v>
      </c>
      <c r="C173" s="40" t="s">
        <v>114</v>
      </c>
      <c r="D173" s="98">
        <f t="shared" si="42"/>
        <v>8727272.7272727266</v>
      </c>
      <c r="E173" s="58">
        <f>SUM('INTEREST STUDY'!E32:E33)</f>
        <v>593036.75510075479</v>
      </c>
      <c r="F173" s="58">
        <f t="shared" si="6"/>
        <v>-593036.75510075479</v>
      </c>
      <c r="G173" s="61"/>
      <c r="H173" s="96"/>
    </row>
    <row r="174" spans="1:9" ht="12" customHeight="1" outlineLevel="1" x14ac:dyDescent="0.4">
      <c r="A174" s="97" t="s">
        <v>508</v>
      </c>
      <c r="B174" s="593">
        <v>13</v>
      </c>
      <c r="C174" s="40" t="s">
        <v>505</v>
      </c>
      <c r="D174" s="98">
        <v>500</v>
      </c>
      <c r="E174" s="58">
        <f>B174*D174</f>
        <v>6500</v>
      </c>
      <c r="F174" s="58">
        <f>-E174</f>
        <v>-6500</v>
      </c>
      <c r="G174" s="61"/>
      <c r="H174" s="96"/>
    </row>
    <row r="175" spans="1:9" s="62" customFormat="1" ht="12" customHeight="1" thickBot="1" x14ac:dyDescent="0.45">
      <c r="A175" s="130" t="s">
        <v>134</v>
      </c>
      <c r="B175" s="151">
        <f t="shared" si="32"/>
        <v>8.8470768813628156E-2</v>
      </c>
      <c r="C175" s="131" t="s">
        <v>114</v>
      </c>
      <c r="D175" s="132">
        <f>$D$173</f>
        <v>8727272.7272727266</v>
      </c>
      <c r="E175" s="75">
        <f t="shared" si="30"/>
        <v>772108.52782802749</v>
      </c>
      <c r="F175" s="75">
        <f>SUBTOTAL(9,F167:F174)</f>
        <v>-772108.52782802749</v>
      </c>
      <c r="G175" s="77">
        <f>SUBTOTAL(9,G167:G173)</f>
        <v>0</v>
      </c>
    </row>
    <row r="176" spans="1:9" s="62" customFormat="1" ht="12" customHeight="1" thickBot="1" x14ac:dyDescent="0.45">
      <c r="A176" s="142"/>
      <c r="B176" s="174"/>
      <c r="C176" s="37"/>
      <c r="D176" s="144"/>
      <c r="E176" s="70"/>
      <c r="F176" s="70"/>
      <c r="G176" s="111"/>
    </row>
    <row r="177" spans="1:16" ht="14.25" customHeight="1" thickBot="1" x14ac:dyDescent="0.45">
      <c r="A177" s="135" t="s">
        <v>203</v>
      </c>
      <c r="B177" s="159"/>
      <c r="C177" s="136"/>
      <c r="D177" s="137" t="s">
        <v>476</v>
      </c>
      <c r="E177" s="138"/>
      <c r="F177" s="175"/>
      <c r="G177" s="176" t="s">
        <v>204</v>
      </c>
      <c r="H177" s="96"/>
    </row>
    <row r="178" spans="1:16" ht="14.25" customHeight="1" outlineLevel="1" x14ac:dyDescent="0.4">
      <c r="A178" s="97" t="str">
        <f>A59</f>
        <v>OFFICES &amp; EXPENSES</v>
      </c>
      <c r="B178" s="56">
        <f>B79</f>
        <v>27</v>
      </c>
      <c r="C178" s="40" t="str">
        <f>C79</f>
        <v>Mths</v>
      </c>
      <c r="D178" s="98">
        <f t="shared" ref="D178" si="43">E178/$B178</f>
        <v>6166.7496364725002</v>
      </c>
      <c r="E178" s="58">
        <f>E79</f>
        <v>166502.24018475751</v>
      </c>
      <c r="F178" s="58">
        <f t="shared" ref="F178" si="44">-E178</f>
        <v>-166502.24018475751</v>
      </c>
      <c r="G178" s="61"/>
      <c r="H178" s="96"/>
    </row>
    <row r="179" spans="1:16" s="62" customFormat="1" ht="12.75" customHeight="1" outlineLevel="1" x14ac:dyDescent="0.4">
      <c r="A179" s="97" t="s">
        <v>205</v>
      </c>
      <c r="B179" s="56">
        <f>B138</f>
        <v>607</v>
      </c>
      <c r="C179" s="40" t="s">
        <v>99</v>
      </c>
      <c r="D179" s="98">
        <f t="shared" si="0"/>
        <v>8369.4524382207583</v>
      </c>
      <c r="E179" s="58">
        <f>E147</f>
        <v>5080257.63</v>
      </c>
      <c r="F179" s="58">
        <f t="shared" si="6"/>
        <v>-5080257.63</v>
      </c>
      <c r="G179" s="61"/>
    </row>
    <row r="180" spans="1:16" ht="11.25" customHeight="1" outlineLevel="1" x14ac:dyDescent="0.4">
      <c r="A180" s="97" t="s">
        <v>206</v>
      </c>
      <c r="B180" s="177">
        <f t="shared" si="32"/>
        <v>0.7</v>
      </c>
      <c r="C180" s="40" t="s">
        <v>114</v>
      </c>
      <c r="D180" s="98">
        <f>E138</f>
        <v>4808000</v>
      </c>
      <c r="E180" s="58">
        <f>E119</f>
        <v>3365600</v>
      </c>
      <c r="F180" s="58"/>
      <c r="G180" s="61">
        <f t="shared" si="4"/>
        <v>3365600</v>
      </c>
      <c r="H180" s="96"/>
    </row>
    <row r="181" spans="1:16" ht="12" customHeight="1" outlineLevel="1" x14ac:dyDescent="0.4">
      <c r="A181" s="97" t="s">
        <v>207</v>
      </c>
      <c r="B181" s="71">
        <f t="shared" si="32"/>
        <v>4.752491680532446E-2</v>
      </c>
      <c r="C181" s="40" t="s">
        <v>114</v>
      </c>
      <c r="D181" s="98">
        <f>E138</f>
        <v>4808000</v>
      </c>
      <c r="E181" s="58">
        <f>SUM(E103,E112,E116)</f>
        <v>228499.8</v>
      </c>
      <c r="F181" s="58">
        <f t="shared" si="6"/>
        <v>-228499.8</v>
      </c>
      <c r="G181" s="61"/>
      <c r="H181" s="96"/>
    </row>
    <row r="182" spans="1:16" ht="11.25" customHeight="1" outlineLevel="1" x14ac:dyDescent="0.4">
      <c r="A182" s="97" t="s">
        <v>208</v>
      </c>
      <c r="B182" s="71">
        <f t="shared" si="32"/>
        <v>0.13295024270540617</v>
      </c>
      <c r="C182" s="40" t="s">
        <v>114</v>
      </c>
      <c r="D182" s="98">
        <f>E119</f>
        <v>3365600</v>
      </c>
      <c r="E182" s="58">
        <f t="shared" ref="E182:E243" si="45">-F182</f>
        <v>447457.33684931503</v>
      </c>
      <c r="F182" s="58">
        <f>'INTEREST STUDY'!E16</f>
        <v>-447457.33684931503</v>
      </c>
      <c r="G182" s="61"/>
      <c r="H182" s="96"/>
    </row>
    <row r="183" spans="1:16" ht="12.75" customHeight="1" outlineLevel="1" x14ac:dyDescent="0.4">
      <c r="A183" s="97" t="s">
        <v>173</v>
      </c>
      <c r="B183" s="56">
        <f>B128</f>
        <v>49</v>
      </c>
      <c r="C183" s="40" t="str">
        <f>C128</f>
        <v>Wks</v>
      </c>
      <c r="D183" s="98">
        <f t="shared" si="0"/>
        <v>2082.5</v>
      </c>
      <c r="E183" s="58">
        <f>E130</f>
        <v>102042.5</v>
      </c>
      <c r="F183" s="58"/>
      <c r="G183" s="61">
        <f t="shared" si="4"/>
        <v>102042.5</v>
      </c>
      <c r="H183" s="96"/>
    </row>
    <row r="184" spans="1:16" s="62" customFormat="1" ht="12.75" customHeight="1" x14ac:dyDescent="0.4">
      <c r="A184" s="178" t="s">
        <v>209</v>
      </c>
      <c r="B184" s="179">
        <f t="shared" ref="B184:B209" si="46">-E184/D184</f>
        <v>0.43420582026272758</v>
      </c>
      <c r="C184" s="180" t="s">
        <v>114</v>
      </c>
      <c r="D184" s="181">
        <f>-SUM(F179:G179,F181:G183)</f>
        <v>5654172.2668493148</v>
      </c>
      <c r="E184" s="182">
        <f>SUM(F184:G184)</f>
        <v>-2455074.5070340727</v>
      </c>
      <c r="F184" s="182">
        <f>SUBTOTAL(9,F178:F183)</f>
        <v>-5922717.0070340727</v>
      </c>
      <c r="G184" s="183">
        <f>SUBTOTAL(9,G178:G183)</f>
        <v>3467642.5</v>
      </c>
      <c r="I184" s="469"/>
      <c r="J184" s="472"/>
      <c r="K184" s="469"/>
      <c r="N184" s="469"/>
      <c r="O184" s="472"/>
      <c r="P184" s="469"/>
    </row>
    <row r="185" spans="1:16" ht="12" customHeight="1" outlineLevel="1" x14ac:dyDescent="0.4">
      <c r="A185" s="97" t="s">
        <v>475</v>
      </c>
      <c r="B185" s="177">
        <f t="shared" si="32"/>
        <v>0.75</v>
      </c>
      <c r="C185" s="40" t="s">
        <v>114</v>
      </c>
      <c r="D185" s="98">
        <f>D168</f>
        <v>11636363.636363635</v>
      </c>
      <c r="E185" s="58">
        <f>$E$167</f>
        <v>8727272.7272727266</v>
      </c>
      <c r="F185" s="58"/>
      <c r="G185" s="61">
        <f t="shared" si="4"/>
        <v>8727272.7272727266</v>
      </c>
      <c r="H185" s="96"/>
    </row>
    <row r="186" spans="1:16" ht="12" customHeight="1" outlineLevel="1" x14ac:dyDescent="0.4">
      <c r="A186" s="97" t="s">
        <v>210</v>
      </c>
      <c r="B186" s="177">
        <f t="shared" si="32"/>
        <v>1.2711348958333334E-2</v>
      </c>
      <c r="C186" s="40" t="s">
        <v>114</v>
      </c>
      <c r="D186" s="98">
        <f t="shared" ref="D186:D202" si="47">$E$167</f>
        <v>8727272.7272727266</v>
      </c>
      <c r="E186" s="58">
        <f>-SUM(F169:G169,F170:G170)</f>
        <v>110935.40909090909</v>
      </c>
      <c r="F186" s="58">
        <f t="shared" si="6"/>
        <v>-110935.40909090909</v>
      </c>
      <c r="G186" s="61"/>
      <c r="H186" s="96"/>
    </row>
    <row r="187" spans="1:16" ht="12" customHeight="1" outlineLevel="1" x14ac:dyDescent="0.4">
      <c r="A187" s="97" t="s">
        <v>211</v>
      </c>
      <c r="B187" s="71">
        <f t="shared" si="32"/>
        <v>0</v>
      </c>
      <c r="C187" s="40" t="s">
        <v>114</v>
      </c>
      <c r="D187" s="98">
        <f t="shared" si="47"/>
        <v>8727272.7272727266</v>
      </c>
      <c r="E187" s="58">
        <f>IF(G177="No",0,E175-E186)</f>
        <v>0</v>
      </c>
      <c r="F187" s="475">
        <f>-E187</f>
        <v>0</v>
      </c>
      <c r="G187" s="61"/>
      <c r="H187" s="96"/>
    </row>
    <row r="188" spans="1:16" ht="11.25" customHeight="1" outlineLevel="1" x14ac:dyDescent="0.4">
      <c r="A188" s="97" t="s">
        <v>212</v>
      </c>
      <c r="B188" s="177">
        <f t="shared" si="32"/>
        <v>0.7</v>
      </c>
      <c r="C188" s="40" t="s">
        <v>114</v>
      </c>
      <c r="D188" s="98">
        <f>E138</f>
        <v>4808000</v>
      </c>
      <c r="E188" s="58">
        <f>E119</f>
        <v>3365600</v>
      </c>
      <c r="F188" s="58">
        <f t="shared" si="6"/>
        <v>-3365600</v>
      </c>
      <c r="G188" s="61"/>
      <c r="H188" s="96"/>
    </row>
    <row r="189" spans="1:16" ht="12" customHeight="1" outlineLevel="1" x14ac:dyDescent="0.4">
      <c r="A189" s="97" t="s">
        <v>213</v>
      </c>
      <c r="B189" s="56">
        <f>$B$163</f>
        <v>788.11</v>
      </c>
      <c r="C189" s="40" t="s">
        <v>99</v>
      </c>
      <c r="D189" s="98">
        <f t="shared" si="2"/>
        <v>6966.8448056108919</v>
      </c>
      <c r="E189" s="58">
        <f>E163</f>
        <v>5490640.05975</v>
      </c>
      <c r="F189" s="58">
        <f t="shared" si="6"/>
        <v>-5490640.05975</v>
      </c>
      <c r="G189" s="61"/>
      <c r="H189" s="96"/>
    </row>
    <row r="190" spans="1:16" ht="12" customHeight="1" outlineLevel="1" x14ac:dyDescent="0.4">
      <c r="A190" s="97" t="s">
        <v>214</v>
      </c>
      <c r="B190" s="71">
        <f t="shared" si="32"/>
        <v>8.59375E-2</v>
      </c>
      <c r="C190" s="40" t="s">
        <v>114</v>
      </c>
      <c r="D190" s="98">
        <f t="shared" si="47"/>
        <v>8727272.7272727266</v>
      </c>
      <c r="E190" s="58">
        <f>750000</f>
        <v>750000</v>
      </c>
      <c r="F190" s="58"/>
      <c r="G190" s="61">
        <f t="shared" si="4"/>
        <v>750000</v>
      </c>
      <c r="H190" s="96"/>
      <c r="K190" s="94"/>
      <c r="L190" s="473"/>
      <c r="M190" s="477"/>
    </row>
    <row r="191" spans="1:16" ht="12" customHeight="1" outlineLevel="1" x14ac:dyDescent="0.4">
      <c r="A191" s="97" t="s">
        <v>215</v>
      </c>
      <c r="B191" s="71">
        <f t="shared" si="32"/>
        <v>0</v>
      </c>
      <c r="C191" s="40" t="s">
        <v>114</v>
      </c>
      <c r="D191" s="98">
        <f t="shared" si="47"/>
        <v>8727272.7272727266</v>
      </c>
      <c r="E191" s="58">
        <f>IF(G177="Yes",-'INTEREST STUDY'!E57,0)</f>
        <v>0</v>
      </c>
      <c r="F191" s="58"/>
      <c r="G191" s="61">
        <f>E191</f>
        <v>0</v>
      </c>
      <c r="H191" s="96"/>
    </row>
    <row r="192" spans="1:16" s="62" customFormat="1" ht="12" customHeight="1" x14ac:dyDescent="0.4">
      <c r="A192" s="178" t="s">
        <v>216</v>
      </c>
      <c r="B192" s="179">
        <f t="shared" si="32"/>
        <v>5.6884942221137692E-2</v>
      </c>
      <c r="C192" s="180" t="s">
        <v>114</v>
      </c>
      <c r="D192" s="181">
        <f>-SUM(F186:G189,F191:G191)</f>
        <v>8967175.4688409083</v>
      </c>
      <c r="E192" s="182">
        <f>SUM(F192:G192)</f>
        <v>510097.25843181834</v>
      </c>
      <c r="F192" s="182">
        <f>SUBTOTAL(9,F185:F191)</f>
        <v>-8967175.4688409083</v>
      </c>
      <c r="G192" s="183">
        <f>SUBTOTAL(9,G185:G191)</f>
        <v>9477272.7272727266</v>
      </c>
      <c r="I192" s="469"/>
    </row>
    <row r="193" spans="1:16" ht="12" customHeight="1" outlineLevel="1" x14ac:dyDescent="0.4">
      <c r="A193" s="97" t="s">
        <v>217</v>
      </c>
      <c r="B193" s="71">
        <f t="shared" si="32"/>
        <v>7.5759419855294829E-2</v>
      </c>
      <c r="C193" s="40" t="s">
        <v>114</v>
      </c>
      <c r="D193" s="98">
        <f>D169</f>
        <v>8727272.7272727266</v>
      </c>
      <c r="E193" s="58">
        <f>IF(G177="Yes",0,E175-E186)</f>
        <v>661173.11873711844</v>
      </c>
      <c r="F193" s="58">
        <f t="shared" si="6"/>
        <v>-661173.11873711844</v>
      </c>
      <c r="G193" s="61"/>
      <c r="H193" s="96"/>
    </row>
    <row r="194" spans="1:16" ht="12" customHeight="1" outlineLevel="1" x14ac:dyDescent="0.4">
      <c r="A194" s="97" t="s">
        <v>218</v>
      </c>
      <c r="B194" s="71">
        <f t="shared" si="32"/>
        <v>0.13717303299218753</v>
      </c>
      <c r="C194" s="40" t="s">
        <v>114</v>
      </c>
      <c r="D194" s="98">
        <f>D169</f>
        <v>8727272.7272727266</v>
      </c>
      <c r="E194" s="58">
        <f>'INTEREST STUDY'!E49</f>
        <v>1197146.4697500002</v>
      </c>
      <c r="F194" s="58"/>
      <c r="G194" s="61">
        <f t="shared" si="4"/>
        <v>1197146.4697500002</v>
      </c>
      <c r="H194" s="96"/>
    </row>
    <row r="195" spans="1:16" ht="12" customHeight="1" outlineLevel="1" x14ac:dyDescent="0.4">
      <c r="A195" s="97" t="s">
        <v>463</v>
      </c>
      <c r="B195" s="71">
        <f t="shared" si="32"/>
        <v>3.2079051383399212E-2</v>
      </c>
      <c r="C195" s="40" t="s">
        <v>114</v>
      </c>
      <c r="D195" s="98">
        <f>D109</f>
        <v>2530000</v>
      </c>
      <c r="E195" s="58">
        <f>E109</f>
        <v>81160</v>
      </c>
      <c r="F195" s="58">
        <f t="shared" si="6"/>
        <v>-81160</v>
      </c>
      <c r="G195" s="61"/>
      <c r="H195" s="96"/>
    </row>
    <row r="196" spans="1:16" ht="12" customHeight="1" outlineLevel="1" x14ac:dyDescent="0.4">
      <c r="A196" s="97" t="s">
        <v>466</v>
      </c>
      <c r="B196" s="71">
        <f t="shared" ref="B196:B200" si="48">1/11</f>
        <v>9.0909090909090912E-2</v>
      </c>
      <c r="C196" s="40" t="s">
        <v>114</v>
      </c>
      <c r="D196" s="98">
        <f>SUM(E169:E172,E199)</f>
        <v>461479.79772727273</v>
      </c>
      <c r="E196" s="58">
        <f>B196*D196</f>
        <v>41952.708884297521</v>
      </c>
      <c r="F196" s="58"/>
      <c r="G196" s="61">
        <f>E196</f>
        <v>41952.708884297521</v>
      </c>
      <c r="H196" s="96"/>
      <c r="I196" s="94"/>
      <c r="J196" s="473"/>
      <c r="K196" s="469"/>
    </row>
    <row r="197" spans="1:16" s="62" customFormat="1" ht="12" customHeight="1" x14ac:dyDescent="0.4">
      <c r="A197" s="178" t="s">
        <v>464</v>
      </c>
      <c r="B197" s="179">
        <f t="shared" si="32"/>
        <v>5.6921111029885112E-2</v>
      </c>
      <c r="C197" s="180" t="s">
        <v>114</v>
      </c>
      <c r="D197" s="181">
        <f>D169</f>
        <v>8727272.7272727266</v>
      </c>
      <c r="E197" s="182">
        <f>SUM(F197:G197)</f>
        <v>496766.05989717913</v>
      </c>
      <c r="F197" s="182">
        <f>SUBTOTAL(9,F193:F196)</f>
        <v>-742333.11873711844</v>
      </c>
      <c r="G197" s="183">
        <f>SUBTOTAL(9,G193:G196)</f>
        <v>1239099.1786342976</v>
      </c>
      <c r="I197" s="469"/>
      <c r="J197" s="476"/>
      <c r="K197" s="472"/>
      <c r="L197" s="469"/>
      <c r="N197" s="469"/>
      <c r="O197" s="472"/>
      <c r="P197" s="469"/>
    </row>
    <row r="198" spans="1:16" ht="12.75" customHeight="1" x14ac:dyDescent="0.4">
      <c r="A198" s="178" t="s">
        <v>219</v>
      </c>
      <c r="B198" s="184">
        <f>B42</f>
        <v>607</v>
      </c>
      <c r="C198" s="180" t="s">
        <v>99</v>
      </c>
      <c r="D198" s="181">
        <f>D47</f>
        <v>23798.025123558484</v>
      </c>
      <c r="E198" s="182">
        <f>G52</f>
        <v>14445401.25</v>
      </c>
      <c r="F198" s="182">
        <v>0</v>
      </c>
      <c r="G198" s="183">
        <f t="shared" si="4"/>
        <v>14445401.25</v>
      </c>
      <c r="H198" s="96"/>
      <c r="I198" s="94"/>
      <c r="K198" s="469"/>
    </row>
    <row r="199" spans="1:16" ht="12" customHeight="1" outlineLevel="1" x14ac:dyDescent="0.4">
      <c r="A199" s="97" t="s">
        <v>220</v>
      </c>
      <c r="B199" s="185">
        <v>0.02</v>
      </c>
      <c r="C199" s="40" t="s">
        <v>114</v>
      </c>
      <c r="D199" s="98">
        <f t="shared" si="34"/>
        <v>14445401.25</v>
      </c>
      <c r="E199" s="58">
        <f t="shared" si="3"/>
        <v>288908.02500000002</v>
      </c>
      <c r="F199" s="58">
        <f t="shared" si="6"/>
        <v>-288908.02500000002</v>
      </c>
      <c r="G199" s="61"/>
      <c r="H199" s="96"/>
      <c r="I199" s="94"/>
      <c r="J199" s="473"/>
      <c r="K199" s="469"/>
    </row>
    <row r="200" spans="1:16" ht="12" customHeight="1" outlineLevel="1" x14ac:dyDescent="0.4">
      <c r="A200" s="97" t="s">
        <v>221</v>
      </c>
      <c r="B200" s="71">
        <f t="shared" si="48"/>
        <v>9.0909090909090912E-2</v>
      </c>
      <c r="C200" s="40" t="s">
        <v>114</v>
      </c>
      <c r="D200" s="98">
        <f>G52-E138</f>
        <v>9637401.25</v>
      </c>
      <c r="E200" s="58">
        <f t="shared" si="3"/>
        <v>876127.38636363635</v>
      </c>
      <c r="F200" s="58">
        <f t="shared" si="6"/>
        <v>-876127.38636363635</v>
      </c>
      <c r="G200" s="61"/>
      <c r="H200" s="96"/>
      <c r="J200" s="94"/>
    </row>
    <row r="201" spans="1:16" s="62" customFormat="1" ht="12" customHeight="1" x14ac:dyDescent="0.4">
      <c r="A201" s="178" t="s">
        <v>222</v>
      </c>
      <c r="B201" s="179">
        <f t="shared" si="46"/>
        <v>8.0650955359487603E-2</v>
      </c>
      <c r="C201" s="180" t="s">
        <v>114</v>
      </c>
      <c r="D201" s="181">
        <f>E198</f>
        <v>14445401.25</v>
      </c>
      <c r="E201" s="182">
        <f>SUM(F199:G200)</f>
        <v>-1165035.4113636364</v>
      </c>
      <c r="F201" s="182">
        <f>SUBTOTAL(9,F199:F200)</f>
        <v>-1165035.4113636364</v>
      </c>
      <c r="G201" s="183">
        <f>SUBTOTAL(9,G199:G200)</f>
        <v>0</v>
      </c>
      <c r="I201" s="469"/>
    </row>
    <row r="202" spans="1:16" s="62" customFormat="1" ht="12" customHeight="1" outlineLevel="1" x14ac:dyDescent="0.4">
      <c r="A202" s="97" t="s">
        <v>223</v>
      </c>
      <c r="B202" s="71">
        <f t="shared" si="32"/>
        <v>0</v>
      </c>
      <c r="C202" s="40" t="s">
        <v>114</v>
      </c>
      <c r="D202" s="98">
        <f t="shared" si="47"/>
        <v>8727272.7272727266</v>
      </c>
      <c r="E202" s="58">
        <f>E191</f>
        <v>0</v>
      </c>
      <c r="F202" s="475">
        <f>-E202</f>
        <v>0</v>
      </c>
      <c r="G202" s="61"/>
    </row>
    <row r="203" spans="1:16" s="62" customFormat="1" ht="12" customHeight="1" outlineLevel="1" x14ac:dyDescent="0.4">
      <c r="A203" s="97" t="s">
        <v>224</v>
      </c>
      <c r="B203" s="93">
        <v>0.1</v>
      </c>
      <c r="C203" s="40" t="s">
        <v>114</v>
      </c>
      <c r="D203" s="98">
        <f t="shared" si="38"/>
        <v>0</v>
      </c>
      <c r="E203" s="58">
        <f t="shared" si="7"/>
        <v>0</v>
      </c>
      <c r="F203" s="475">
        <f>-E203</f>
        <v>0</v>
      </c>
      <c r="G203" s="61"/>
      <c r="I203" s="469"/>
    </row>
    <row r="204" spans="1:16" ht="12" customHeight="1" outlineLevel="1" x14ac:dyDescent="0.4">
      <c r="A204" s="97" t="s">
        <v>225</v>
      </c>
      <c r="B204" s="71">
        <f t="shared" si="32"/>
        <v>0.1111111111111111</v>
      </c>
      <c r="D204" s="98">
        <f>'INTEREST STUDY'!E44</f>
        <v>3864144.2310000001</v>
      </c>
      <c r="E204" s="58">
        <f>'INTEREST STUDY'!D46/10</f>
        <v>429349.359</v>
      </c>
      <c r="F204" s="58">
        <f t="shared" si="6"/>
        <v>-429349.359</v>
      </c>
      <c r="G204" s="61"/>
      <c r="H204" s="96"/>
    </row>
    <row r="205" spans="1:16" ht="12" customHeight="1" outlineLevel="1" x14ac:dyDescent="0.4">
      <c r="A205" s="97" t="s">
        <v>226</v>
      </c>
      <c r="B205" s="71">
        <f t="shared" si="32"/>
        <v>0.61121962402479202</v>
      </c>
      <c r="C205" s="40" t="s">
        <v>114</v>
      </c>
      <c r="D205" s="98">
        <f>SUM(E204:E205)</f>
        <v>1104349.3589999999</v>
      </c>
      <c r="E205" s="58">
        <f>E190*0.9</f>
        <v>675000</v>
      </c>
      <c r="F205" s="58">
        <f t="shared" si="6"/>
        <v>-675000</v>
      </c>
      <c r="G205" s="61"/>
      <c r="H205" s="96"/>
    </row>
    <row r="206" spans="1:16" ht="12" customHeight="1" outlineLevel="1" x14ac:dyDescent="0.4">
      <c r="A206" s="97" t="s">
        <v>227</v>
      </c>
      <c r="B206" s="93">
        <v>0.1</v>
      </c>
      <c r="C206" s="40" t="s">
        <v>114</v>
      </c>
      <c r="D206" s="98">
        <f>E190</f>
        <v>750000</v>
      </c>
      <c r="E206" s="58">
        <f t="shared" si="7"/>
        <v>75000</v>
      </c>
      <c r="F206" s="58">
        <f t="shared" si="6"/>
        <v>-75000</v>
      </c>
      <c r="G206" s="61"/>
      <c r="H206" s="96"/>
      <c r="I206" s="94"/>
    </row>
    <row r="207" spans="1:16" ht="12" customHeight="1" outlineLevel="1" x14ac:dyDescent="0.4">
      <c r="A207" s="97" t="s">
        <v>228</v>
      </c>
      <c r="B207" s="71">
        <f t="shared" si="32"/>
        <v>1</v>
      </c>
      <c r="C207" s="40" t="s">
        <v>114</v>
      </c>
      <c r="D207" s="98">
        <f>-SUBTOTAL(9,F179:G197)</f>
        <v>1281708.9485203181</v>
      </c>
      <c r="E207" s="58">
        <f>SUM(F191:G191)-(SUBTOTAL(9,F179:G197))</f>
        <v>1281708.9485203181</v>
      </c>
      <c r="F207" s="58">
        <f t="shared" si="6"/>
        <v>-1281708.9485203181</v>
      </c>
      <c r="G207" s="61"/>
      <c r="H207" s="96"/>
      <c r="I207" s="94"/>
      <c r="J207" s="94"/>
    </row>
    <row r="208" spans="1:16" ht="12" customHeight="1" outlineLevel="1" x14ac:dyDescent="0.4">
      <c r="A208" s="97" t="s">
        <v>229</v>
      </c>
      <c r="B208" s="71">
        <f t="shared" si="32"/>
        <v>0.75</v>
      </c>
      <c r="C208" s="40" t="s">
        <v>114</v>
      </c>
      <c r="D208" s="98">
        <f>D168</f>
        <v>11636363.636363635</v>
      </c>
      <c r="E208" s="58">
        <f>E185</f>
        <v>8727272.7272727266</v>
      </c>
      <c r="F208" s="58">
        <f t="shared" si="6"/>
        <v>-8727272.7272727266</v>
      </c>
      <c r="G208" s="61"/>
      <c r="H208" s="96"/>
      <c r="I208" s="94"/>
    </row>
    <row r="209" spans="1:11" s="62" customFormat="1" ht="12" customHeight="1" x14ac:dyDescent="0.4">
      <c r="A209" s="178" t="s">
        <v>230</v>
      </c>
      <c r="B209" s="179">
        <f t="shared" si="46"/>
        <v>0.77452545908290682</v>
      </c>
      <c r="C209" s="180" t="s">
        <v>114</v>
      </c>
      <c r="D209" s="181">
        <f>E198</f>
        <v>14445401.25</v>
      </c>
      <c r="E209" s="182">
        <f>SUM(F202:G208)</f>
        <v>-11188331.034793045</v>
      </c>
      <c r="F209" s="182">
        <f>SUBTOTAL(9,F202:F208)</f>
        <v>-11188331.034793045</v>
      </c>
      <c r="G209" s="183">
        <f>SUBTOTAL(9,G202:G208)</f>
        <v>0</v>
      </c>
      <c r="I209" s="469"/>
    </row>
    <row r="210" spans="1:11" s="62" customFormat="1" ht="12" customHeight="1" thickBot="1" x14ac:dyDescent="0.45">
      <c r="A210" s="130" t="s">
        <v>231</v>
      </c>
      <c r="B210" s="151">
        <f t="shared" si="32"/>
        <v>0.50231654845003038</v>
      </c>
      <c r="C210" s="131" t="s">
        <v>114</v>
      </c>
      <c r="D210" s="132">
        <f>-SUBTOTAL(9,F179:G197)</f>
        <v>1281708.9485203181</v>
      </c>
      <c r="E210" s="75">
        <f>SUM(F210:G210)</f>
        <v>643823.61513824388</v>
      </c>
      <c r="F210" s="75">
        <f>SUBTOTAL(9,F178:F209)</f>
        <v>-27985592.04076878</v>
      </c>
      <c r="G210" s="77">
        <f>SUBTOTAL(9,G178:G209)</f>
        <v>28629415.655907024</v>
      </c>
    </row>
    <row r="211" spans="1:11" s="96" customFormat="1" ht="11.6" customHeight="1" x14ac:dyDescent="0.4">
      <c r="A211" s="97"/>
      <c r="B211" s="186"/>
      <c r="C211" s="40"/>
      <c r="E211" s="187"/>
      <c r="F211" s="187"/>
      <c r="G211" s="188"/>
    </row>
    <row r="212" spans="1:11" s="96" customFormat="1" ht="11.6" customHeight="1" x14ac:dyDescent="0.4">
      <c r="A212" s="189" t="s">
        <v>232</v>
      </c>
      <c r="B212" s="190" t="s">
        <v>233</v>
      </c>
      <c r="C212" s="191" t="s">
        <v>114</v>
      </c>
      <c r="D212" s="192">
        <f>-SUBTOTAL(9,F178:G197)</f>
        <v>1448211.188705076</v>
      </c>
      <c r="E212" s="193">
        <f>E210</f>
        <v>643823.61513824388</v>
      </c>
      <c r="F212" s="194">
        <f t="shared" ref="F212:F230" si="49">E212/D212</f>
        <v>0.44456472934304658</v>
      </c>
      <c r="G212" s="195">
        <f>F212/2</f>
        <v>0.22228236467152329</v>
      </c>
      <c r="I212" s="94"/>
      <c r="J212" s="94"/>
      <c r="K212" s="94"/>
    </row>
    <row r="213" spans="1:11" ht="11.6" customHeight="1" x14ac:dyDescent="0.4">
      <c r="A213" s="97"/>
      <c r="B213" s="186"/>
      <c r="D213" s="98"/>
      <c r="E213" s="58"/>
      <c r="G213" s="196"/>
      <c r="H213" s="96"/>
    </row>
    <row r="214" spans="1:11" ht="11.6" customHeight="1" x14ac:dyDescent="0.4">
      <c r="A214" s="197" t="s">
        <v>234</v>
      </c>
      <c r="B214" s="198" t="s">
        <v>233</v>
      </c>
      <c r="C214" s="199" t="s">
        <v>114</v>
      </c>
      <c r="D214" s="200">
        <f>SUM(E204:E206)</f>
        <v>1179349.3589999999</v>
      </c>
      <c r="E214" s="201">
        <f>SUM(E204,E206)</f>
        <v>504349.359</v>
      </c>
      <c r="F214" s="202">
        <f t="shared" si="49"/>
        <v>0.42765051352353345</v>
      </c>
      <c r="G214" s="203">
        <f t="shared" ref="G214:G230" si="50">F214</f>
        <v>0.42765051352353345</v>
      </c>
      <c r="H214" s="96"/>
      <c r="K214" s="94"/>
    </row>
    <row r="215" spans="1:11" ht="11.6" customHeight="1" x14ac:dyDescent="0.4">
      <c r="A215" s="97"/>
      <c r="B215" s="186"/>
      <c r="D215" s="204"/>
      <c r="G215" s="196"/>
      <c r="H215" s="96"/>
    </row>
    <row r="216" spans="1:11" ht="12.75" customHeight="1" x14ac:dyDescent="0.4">
      <c r="A216" s="205" t="s">
        <v>235</v>
      </c>
      <c r="B216" s="206" t="s">
        <v>233</v>
      </c>
      <c r="C216" s="207" t="s">
        <v>114</v>
      </c>
      <c r="D216" s="208">
        <f>G191</f>
        <v>0</v>
      </c>
      <c r="E216" s="209">
        <f>D216*0.1</f>
        <v>0</v>
      </c>
      <c r="F216" s="210" t="str">
        <f>IF(D216=0,"N/A",E216/D216)</f>
        <v>N/A</v>
      </c>
      <c r="G216" s="211" t="str">
        <f>IF(F216="N/A","N/A",F216)</f>
        <v>N/A</v>
      </c>
      <c r="H216" s="96"/>
    </row>
    <row r="217" spans="1:11" ht="12" customHeight="1" thickBot="1" x14ac:dyDescent="0.45">
      <c r="A217" s="97"/>
      <c r="B217" s="186"/>
      <c r="D217" s="204"/>
      <c r="G217" s="196"/>
      <c r="H217" s="96"/>
    </row>
    <row r="218" spans="1:11" ht="11.6" customHeight="1" x14ac:dyDescent="0.4">
      <c r="A218" s="145" t="s">
        <v>236</v>
      </c>
      <c r="B218" s="152"/>
      <c r="C218" s="147"/>
      <c r="D218" s="153"/>
      <c r="E218" s="119"/>
      <c r="F218" s="119"/>
      <c r="G218" s="149"/>
      <c r="H218" s="96"/>
    </row>
    <row r="219" spans="1:11" ht="11.6" customHeight="1" outlineLevel="1" x14ac:dyDescent="0.4">
      <c r="A219" s="97" t="s">
        <v>237</v>
      </c>
      <c r="B219" s="154">
        <v>117</v>
      </c>
      <c r="C219" s="140" t="s">
        <v>174</v>
      </c>
      <c r="D219" s="171">
        <f t="shared" si="0"/>
        <v>5502.7659413525116</v>
      </c>
      <c r="E219" s="212">
        <f t="shared" si="15"/>
        <v>643823.61513824388</v>
      </c>
      <c r="F219" s="58"/>
      <c r="G219" s="61">
        <f t="shared" si="4"/>
        <v>643823.61513824388</v>
      </c>
      <c r="H219" s="96"/>
      <c r="I219" s="94"/>
    </row>
    <row r="220" spans="1:11" ht="11.6" customHeight="1" outlineLevel="1" x14ac:dyDescent="0.4">
      <c r="A220" s="97" t="s">
        <v>238</v>
      </c>
      <c r="B220" s="71">
        <v>0.25</v>
      </c>
      <c r="C220" s="140" t="s">
        <v>114</v>
      </c>
      <c r="D220" s="213">
        <f t="shared" si="22"/>
        <v>643823.61513824388</v>
      </c>
      <c r="E220" s="58">
        <f t="shared" si="7"/>
        <v>160955.90378456097</v>
      </c>
      <c r="F220" s="58">
        <f t="shared" si="6"/>
        <v>-160955.90378456097</v>
      </c>
      <c r="G220" s="61"/>
      <c r="H220" s="96"/>
      <c r="I220" s="94"/>
    </row>
    <row r="221" spans="1:11" s="62" customFormat="1" ht="12" customHeight="1" thickBot="1" x14ac:dyDescent="0.45">
      <c r="A221" s="130" t="s">
        <v>239</v>
      </c>
      <c r="B221" s="95">
        <f t="shared" ref="B221:E275" si="51">B219</f>
        <v>117</v>
      </c>
      <c r="C221" s="131" t="s">
        <v>174</v>
      </c>
      <c r="D221" s="158">
        <f t="shared" si="0"/>
        <v>4127.0744560143839</v>
      </c>
      <c r="E221" s="214">
        <f t="shared" si="11"/>
        <v>482867.71135368291</v>
      </c>
      <c r="F221" s="75">
        <f t="shared" si="37"/>
        <v>-160955.90378456097</v>
      </c>
      <c r="G221" s="77">
        <f t="shared" si="37"/>
        <v>643823.61513824388</v>
      </c>
    </row>
    <row r="222" spans="1:11" ht="11.6" customHeight="1" x14ac:dyDescent="0.4">
      <c r="A222" s="97"/>
      <c r="B222" s="128"/>
      <c r="C222" s="140"/>
      <c r="D222" s="215"/>
      <c r="E222" s="212"/>
      <c r="F222" s="212"/>
      <c r="G222" s="188"/>
      <c r="H222" s="96"/>
    </row>
    <row r="223" spans="1:11" ht="11.6" customHeight="1" x14ac:dyDescent="0.4">
      <c r="A223" s="216" t="s">
        <v>240</v>
      </c>
      <c r="B223" s="217" t="s">
        <v>241</v>
      </c>
      <c r="C223" s="218" t="s">
        <v>114</v>
      </c>
      <c r="D223" s="219">
        <f>D212</f>
        <v>1448211.188705076</v>
      </c>
      <c r="E223" s="220">
        <f t="shared" si="51"/>
        <v>482867.71135368291</v>
      </c>
      <c r="F223" s="221">
        <f t="shared" si="49"/>
        <v>0.33342354700728494</v>
      </c>
      <c r="G223" s="222">
        <f t="shared" ref="G223" si="52">F223/2</f>
        <v>0.16671177350364247</v>
      </c>
      <c r="H223" s="96"/>
    </row>
    <row r="224" spans="1:11" ht="12" customHeight="1" thickBot="1" x14ac:dyDescent="0.45">
      <c r="A224" s="223"/>
      <c r="B224" s="224"/>
      <c r="C224" s="225"/>
      <c r="D224" s="226"/>
      <c r="E224" s="227"/>
      <c r="F224" s="227"/>
      <c r="G224" s="228"/>
      <c r="H224" s="96"/>
    </row>
    <row r="225" spans="1:8" ht="11.6" customHeight="1" x14ac:dyDescent="0.4">
      <c r="A225" s="229" t="s">
        <v>242</v>
      </c>
      <c r="B225" s="230"/>
      <c r="C225" s="231"/>
      <c r="D225" s="232"/>
      <c r="E225" s="233"/>
      <c r="F225" s="233"/>
      <c r="G225" s="234"/>
      <c r="H225" s="96"/>
    </row>
    <row r="226" spans="1:8" ht="11.6" customHeight="1" outlineLevel="1" x14ac:dyDescent="0.4">
      <c r="A226" s="97" t="s">
        <v>243</v>
      </c>
      <c r="B226" s="154">
        <f>ROUNDUP(425/7,0)</f>
        <v>61</v>
      </c>
      <c r="C226" s="140" t="s">
        <v>174</v>
      </c>
      <c r="D226" s="171">
        <f t="shared" si="0"/>
        <v>8268.0222786885242</v>
      </c>
      <c r="E226" s="58">
        <f t="shared" ref="E226" si="53">E214</f>
        <v>504349.359</v>
      </c>
      <c r="F226" s="58"/>
      <c r="G226" s="61">
        <f t="shared" si="4"/>
        <v>504349.359</v>
      </c>
      <c r="H226" s="96"/>
    </row>
    <row r="227" spans="1:8" ht="11.6" customHeight="1" outlineLevel="1" x14ac:dyDescent="0.4">
      <c r="A227" s="97" t="s">
        <v>244</v>
      </c>
      <c r="B227" s="71">
        <f t="shared" si="15"/>
        <v>0.25</v>
      </c>
      <c r="C227" s="140" t="s">
        <v>114</v>
      </c>
      <c r="D227" s="235">
        <f t="shared" si="38"/>
        <v>504349.359</v>
      </c>
      <c r="E227" s="58">
        <f t="shared" si="7"/>
        <v>126087.33975</v>
      </c>
      <c r="F227" s="58">
        <f t="shared" si="6"/>
        <v>-126087.33975</v>
      </c>
      <c r="G227" s="61"/>
      <c r="H227" s="96"/>
    </row>
    <row r="228" spans="1:8" s="62" customFormat="1" ht="12" customHeight="1" thickBot="1" x14ac:dyDescent="0.45">
      <c r="A228" s="130" t="s">
        <v>239</v>
      </c>
      <c r="B228" s="95">
        <f t="shared" si="51"/>
        <v>61</v>
      </c>
      <c r="C228" s="131" t="s">
        <v>174</v>
      </c>
      <c r="D228" s="158">
        <f t="shared" si="0"/>
        <v>6201.0167090163941</v>
      </c>
      <c r="E228" s="214">
        <f t="shared" si="11"/>
        <v>378262.01925000001</v>
      </c>
      <c r="F228" s="75">
        <f t="shared" si="37"/>
        <v>-126087.33975</v>
      </c>
      <c r="G228" s="77">
        <f t="shared" si="37"/>
        <v>504349.359</v>
      </c>
    </row>
    <row r="229" spans="1:8" ht="11.6" customHeight="1" x14ac:dyDescent="0.4">
      <c r="A229" s="97"/>
      <c r="B229" s="128"/>
      <c r="C229" s="140"/>
      <c r="D229" s="215"/>
      <c r="E229" s="212"/>
      <c r="F229" s="212"/>
      <c r="G229" s="188"/>
      <c r="H229" s="96"/>
    </row>
    <row r="230" spans="1:8" ht="11.6" customHeight="1" x14ac:dyDescent="0.4">
      <c r="A230" s="197" t="s">
        <v>245</v>
      </c>
      <c r="B230" s="236" t="s">
        <v>246</v>
      </c>
      <c r="C230" s="199" t="s">
        <v>114</v>
      </c>
      <c r="D230" s="237">
        <f>D214</f>
        <v>1179349.3589999999</v>
      </c>
      <c r="E230" s="201">
        <f>SUBTOTAL(9,F226:G227)</f>
        <v>378262.01925000001</v>
      </c>
      <c r="F230" s="238">
        <f t="shared" si="49"/>
        <v>0.32073788514265011</v>
      </c>
      <c r="G230" s="239">
        <f t="shared" si="50"/>
        <v>0.32073788514265011</v>
      </c>
      <c r="H230" s="96"/>
    </row>
    <row r="231" spans="1:8" ht="12" customHeight="1" thickBot="1" x14ac:dyDescent="0.45">
      <c r="A231" s="240"/>
      <c r="B231" s="241"/>
      <c r="C231" s="242"/>
      <c r="D231" s="243"/>
      <c r="E231" s="244"/>
      <c r="F231" s="244"/>
      <c r="G231" s="245"/>
      <c r="H231" s="96"/>
    </row>
    <row r="232" spans="1:8" ht="13.5" customHeight="1" x14ac:dyDescent="0.4">
      <c r="A232" s="246" t="s">
        <v>247</v>
      </c>
      <c r="B232" s="49"/>
      <c r="C232" s="147"/>
      <c r="D232" s="247"/>
      <c r="E232" s="248"/>
      <c r="F232" s="249"/>
      <c r="G232" s="250"/>
      <c r="H232" s="96"/>
    </row>
    <row r="233" spans="1:8" ht="12" customHeight="1" outlineLevel="1" x14ac:dyDescent="0.4">
      <c r="A233" s="97" t="s">
        <v>248</v>
      </c>
      <c r="B233" s="93">
        <v>0.15</v>
      </c>
      <c r="C233" s="40" t="s">
        <v>114</v>
      </c>
      <c r="D233" s="98">
        <f>-SUBTOTAL(9,F179:G182)</f>
        <v>2390614.7668493148</v>
      </c>
      <c r="E233" s="58">
        <f t="shared" si="7"/>
        <v>358592.21502739721</v>
      </c>
      <c r="F233" s="58">
        <f t="shared" si="6"/>
        <v>-358592.21502739721</v>
      </c>
      <c r="G233" s="61"/>
      <c r="H233" s="96"/>
    </row>
    <row r="234" spans="1:8" ht="12" customHeight="1" outlineLevel="1" x14ac:dyDescent="0.4">
      <c r="A234" s="97" t="s">
        <v>249</v>
      </c>
      <c r="B234" s="71">
        <v>0.15</v>
      </c>
      <c r="C234" s="40" t="s">
        <v>114</v>
      </c>
      <c r="D234" s="98">
        <f>D214</f>
        <v>1179349.3589999999</v>
      </c>
      <c r="E234" s="58">
        <f t="shared" si="7"/>
        <v>176902.40384999997</v>
      </c>
      <c r="F234" s="58">
        <f t="shared" si="6"/>
        <v>-176902.40384999997</v>
      </c>
      <c r="G234" s="61"/>
      <c r="H234" s="96"/>
    </row>
    <row r="235" spans="1:8" ht="12" customHeight="1" outlineLevel="1" x14ac:dyDescent="0.4">
      <c r="A235" s="97" t="s">
        <v>250</v>
      </c>
      <c r="B235" s="71">
        <f>E235/D235</f>
        <v>0.40676500415449968</v>
      </c>
      <c r="C235" s="40" t="s">
        <v>114</v>
      </c>
      <c r="D235" s="98">
        <f>SUM(E233:E234)</f>
        <v>535494.61887739715</v>
      </c>
      <c r="E235" s="58">
        <f>IF(D235&lt;=18200,0,IF(D235&lt;=45000,(D235-18200)*0.16,IF(D235&lt;=135000,(45000-18200)*0.16+(D235-45000)*0.3,IF(D235&lt;=190000,(45000-18200)*0.16+(135000-45000)*0.3+(D235-135000)*0.37,(45000-18200)*0.16+(135000-45000)*0.3+(190000-135000)*0.37+(D235-190000)*0.45))))+IF(D235&gt;23365,D235*0.02,0)</f>
        <v>217820.47087237667</v>
      </c>
      <c r="F235" s="58"/>
      <c r="G235" s="61">
        <f t="shared" si="4"/>
        <v>217820.47087237667</v>
      </c>
      <c r="H235" s="96"/>
    </row>
    <row r="236" spans="1:8" ht="11.25" customHeight="1" outlineLevel="1" x14ac:dyDescent="0.4">
      <c r="A236" s="97" t="s">
        <v>251</v>
      </c>
      <c r="B236" s="71">
        <f t="shared" si="32"/>
        <v>0.44456472934304658</v>
      </c>
      <c r="C236" s="40" t="s">
        <v>114</v>
      </c>
      <c r="D236" s="251">
        <f>D223</f>
        <v>1448211.188705076</v>
      </c>
      <c r="E236" s="58">
        <f t="shared" ref="E236" si="54">E212</f>
        <v>643823.61513824388</v>
      </c>
      <c r="F236" s="58"/>
      <c r="G236" s="61">
        <f t="shared" si="4"/>
        <v>643823.61513824388</v>
      </c>
      <c r="H236" s="96"/>
    </row>
    <row r="237" spans="1:8" ht="12" customHeight="1" outlineLevel="1" x14ac:dyDescent="0.4">
      <c r="A237" s="97" t="s">
        <v>252</v>
      </c>
      <c r="B237" s="71">
        <f t="shared" si="32"/>
        <v>0.25</v>
      </c>
      <c r="C237" s="40" t="s">
        <v>114</v>
      </c>
      <c r="D237" s="98">
        <f t="shared" si="38"/>
        <v>643823.61513824388</v>
      </c>
      <c r="E237" s="58">
        <f>-F221</f>
        <v>160955.90378456097</v>
      </c>
      <c r="F237" s="58">
        <f t="shared" si="6"/>
        <v>-160955.90378456097</v>
      </c>
      <c r="G237" s="61"/>
      <c r="H237" s="96"/>
    </row>
    <row r="238" spans="1:8" s="62" customFormat="1" ht="12" customHeight="1" thickBot="1" x14ac:dyDescent="0.45">
      <c r="A238" s="130" t="s">
        <v>134</v>
      </c>
      <c r="B238" s="252">
        <f t="shared" si="32"/>
        <v>0.11406731603584071</v>
      </c>
      <c r="C238" s="253" t="s">
        <v>114</v>
      </c>
      <c r="D238" s="254">
        <f t="shared" si="51"/>
        <v>1448211.188705076</v>
      </c>
      <c r="E238" s="75">
        <f t="shared" si="11"/>
        <v>165193.56334866246</v>
      </c>
      <c r="F238" s="75">
        <f t="shared" ref="F238:G238" si="55">SUBTOTAL(9,F233:F237)</f>
        <v>-696450.52266195812</v>
      </c>
      <c r="G238" s="77">
        <f t="shared" si="55"/>
        <v>861644.08601062058</v>
      </c>
    </row>
    <row r="239" spans="1:8" ht="12" customHeight="1" thickBot="1" x14ac:dyDescent="0.45">
      <c r="A239" s="510"/>
      <c r="B239" s="256"/>
      <c r="C239" s="514"/>
      <c r="D239" s="258"/>
      <c r="E239" s="259"/>
      <c r="F239" s="259"/>
      <c r="G239" s="61"/>
      <c r="H239" s="96"/>
    </row>
    <row r="240" spans="1:8" ht="11.6" customHeight="1" x14ac:dyDescent="0.4">
      <c r="A240" s="512" t="s">
        <v>253</v>
      </c>
      <c r="B240" s="489"/>
      <c r="C240" s="494"/>
      <c r="D240" s="498"/>
      <c r="E240" s="499"/>
      <c r="F240" s="500"/>
      <c r="G240" s="501"/>
      <c r="H240" s="96"/>
    </row>
    <row r="241" spans="1:8" ht="14.25" customHeight="1" outlineLevel="1" x14ac:dyDescent="0.4">
      <c r="A241" s="481" t="s">
        <v>254</v>
      </c>
      <c r="B241" s="490">
        <f t="shared" ref="B241:B275" si="56">$B$42</f>
        <v>607</v>
      </c>
      <c r="C241" s="487" t="s">
        <v>99</v>
      </c>
      <c r="D241" s="502">
        <f t="shared" si="2"/>
        <v>9314.9460738868456</v>
      </c>
      <c r="E241" s="485">
        <f>-SUM(F179:G183)+G180</f>
        <v>5654172.2668493148</v>
      </c>
      <c r="F241" s="496">
        <f t="shared" si="6"/>
        <v>-5654172.2668493148</v>
      </c>
      <c r="G241" s="503"/>
      <c r="H241" s="96"/>
    </row>
    <row r="242" spans="1:8" ht="14.25" customHeight="1" outlineLevel="1" x14ac:dyDescent="0.4">
      <c r="A242" s="481" t="s">
        <v>255</v>
      </c>
      <c r="B242" s="490">
        <f t="shared" si="56"/>
        <v>607</v>
      </c>
      <c r="C242" s="487" t="s">
        <v>99</v>
      </c>
      <c r="D242" s="502">
        <f t="shared" si="2"/>
        <v>8319.604612850082</v>
      </c>
      <c r="E242" s="485">
        <v>5050000</v>
      </c>
      <c r="F242" s="496"/>
      <c r="G242" s="503">
        <f t="shared" si="4"/>
        <v>5050000</v>
      </c>
      <c r="H242" s="96"/>
    </row>
    <row r="243" spans="1:8" ht="12" customHeight="1" thickBot="1" x14ac:dyDescent="0.45">
      <c r="A243" s="513" t="s">
        <v>256</v>
      </c>
      <c r="B243" s="516">
        <f t="shared" si="32"/>
        <v>0.10685423760284171</v>
      </c>
      <c r="C243" s="517" t="s">
        <v>114</v>
      </c>
      <c r="D243" s="518">
        <f>-SUM(F179:F183,G183)</f>
        <v>5654172.2668493148</v>
      </c>
      <c r="E243" s="519">
        <f t="shared" si="45"/>
        <v>604172.26684931479</v>
      </c>
      <c r="F243" s="520">
        <f>SUM(F241:G242)</f>
        <v>-604172.26684931479</v>
      </c>
      <c r="G243" s="521"/>
      <c r="H243" s="96"/>
    </row>
    <row r="244" spans="1:8" ht="12" customHeight="1" thickBot="1" x14ac:dyDescent="0.45">
      <c r="A244" s="511"/>
      <c r="B244" s="256"/>
      <c r="C244" s="515"/>
      <c r="D244" s="258"/>
      <c r="E244" s="259"/>
      <c r="F244" s="259"/>
      <c r="G244" s="260"/>
      <c r="H244" s="96"/>
    </row>
    <row r="245" spans="1:8" ht="11.6" customHeight="1" x14ac:dyDescent="0.4">
      <c r="A245" s="145" t="s">
        <v>257</v>
      </c>
      <c r="B245" s="49"/>
      <c r="C245" s="147"/>
      <c r="D245" s="247"/>
      <c r="E245" s="248"/>
      <c r="F245" s="249"/>
      <c r="G245" s="250"/>
      <c r="H245" s="96"/>
    </row>
    <row r="246" spans="1:8" ht="14.25" customHeight="1" outlineLevel="1" x14ac:dyDescent="0.4">
      <c r="A246" s="481" t="str">
        <f t="shared" ref="A246:A273" si="57">$A$50</f>
        <v>TOWNHOUSE A - MAR 2024 - Estimate  - Internal Area</v>
      </c>
      <c r="B246" s="490">
        <f t="shared" ref="B246:B273" si="58">$B$50</f>
        <v>306</v>
      </c>
      <c r="C246" s="487" t="s">
        <v>99</v>
      </c>
      <c r="D246" s="502">
        <f t="shared" si="23"/>
        <v>21906.471624154459</v>
      </c>
      <c r="E246" s="485">
        <f t="shared" si="7"/>
        <v>6703380.3169912649</v>
      </c>
      <c r="F246" s="496"/>
      <c r="G246" s="503">
        <f t="shared" si="4"/>
        <v>6703380.3169912649</v>
      </c>
      <c r="H246" s="96"/>
    </row>
    <row r="247" spans="1:8" ht="14.25" customHeight="1" outlineLevel="1" x14ac:dyDescent="0.4">
      <c r="A247" s="481" t="str">
        <f t="shared" ref="A247:A274" si="59">$A$51</f>
        <v>TOWNHOUSE B - MAR 2024 - Estimate - Internal Area</v>
      </c>
      <c r="B247" s="490">
        <f t="shared" ref="B247:B274" si="60">$B$51</f>
        <v>301</v>
      </c>
      <c r="C247" s="487" t="s">
        <v>99</v>
      </c>
      <c r="D247" s="502">
        <f t="shared" si="24"/>
        <v>21906.471624154459</v>
      </c>
      <c r="E247" s="485">
        <f t="shared" si="7"/>
        <v>6593847.9588704919</v>
      </c>
      <c r="F247" s="496"/>
      <c r="G247" s="503">
        <f t="shared" si="4"/>
        <v>6593847.9588704919</v>
      </c>
      <c r="H247" s="96"/>
    </row>
    <row r="248" spans="1:8" ht="11.6" customHeight="1" x14ac:dyDescent="0.4">
      <c r="A248" s="482" t="str">
        <f t="shared" ref="A248:A275" si="61">$A$52</f>
        <v>SUBTOTAL</v>
      </c>
      <c r="B248" s="491">
        <f t="shared" si="56"/>
        <v>607</v>
      </c>
      <c r="C248" s="488" t="s">
        <v>99</v>
      </c>
      <c r="D248" s="504">
        <f t="shared" si="2"/>
        <v>21906.471624154459</v>
      </c>
      <c r="E248" s="497">
        <f>E257-E212-E214</f>
        <v>13297228.275861757</v>
      </c>
      <c r="F248" s="496"/>
      <c r="G248" s="503">
        <f t="shared" si="4"/>
        <v>13297228.275861757</v>
      </c>
      <c r="H248" s="96"/>
    </row>
    <row r="249" spans="1:8" ht="11.6" customHeight="1" x14ac:dyDescent="0.4">
      <c r="A249" s="483" t="s">
        <v>258</v>
      </c>
      <c r="B249" s="492">
        <f t="shared" si="32"/>
        <v>0</v>
      </c>
      <c r="C249" s="40" t="s">
        <v>114</v>
      </c>
      <c r="D249" s="505">
        <f t="shared" ref="D249:D276" si="62">$D$212</f>
        <v>1448211.188705076</v>
      </c>
      <c r="E249" s="486">
        <v>0</v>
      </c>
      <c r="F249" s="486"/>
      <c r="G249" s="506">
        <f t="shared" si="4"/>
        <v>0</v>
      </c>
      <c r="H249" s="96"/>
    </row>
    <row r="250" spans="1:8" ht="11.6" customHeight="1" x14ac:dyDescent="0.4">
      <c r="A250" s="483" t="s">
        <v>259</v>
      </c>
      <c r="B250" s="492">
        <f t="shared" si="32"/>
        <v>0</v>
      </c>
      <c r="C250" s="40" t="s">
        <v>114</v>
      </c>
      <c r="D250" s="505">
        <f t="shared" ref="D250:D277" si="63">$D$214</f>
        <v>1179349.3589999999</v>
      </c>
      <c r="E250" s="486">
        <v>0</v>
      </c>
      <c r="F250" s="486"/>
      <c r="G250" s="506">
        <f t="shared" si="4"/>
        <v>0</v>
      </c>
      <c r="H250" s="96"/>
    </row>
    <row r="251" spans="1:8" ht="11.6" customHeight="1" x14ac:dyDescent="0.4">
      <c r="A251" s="483" t="s">
        <v>260</v>
      </c>
      <c r="B251" s="492">
        <f t="shared" si="32"/>
        <v>0</v>
      </c>
      <c r="C251" s="40" t="s">
        <v>114</v>
      </c>
      <c r="D251" s="505">
        <f t="shared" si="25"/>
        <v>2627560.5477050757</v>
      </c>
      <c r="E251" s="486">
        <f t="shared" si="25"/>
        <v>0</v>
      </c>
      <c r="F251" s="486"/>
      <c r="G251" s="506">
        <f t="shared" si="25"/>
        <v>0</v>
      </c>
      <c r="H251" s="96"/>
    </row>
    <row r="252" spans="1:8" ht="12" customHeight="1" thickBot="1" x14ac:dyDescent="0.45">
      <c r="A252" s="484" t="s">
        <v>261</v>
      </c>
      <c r="B252" s="493">
        <f t="shared" si="32"/>
        <v>0</v>
      </c>
      <c r="C252" s="495" t="s">
        <v>114</v>
      </c>
      <c r="D252" s="507">
        <f t="shared" ref="D252:E279" si="64">SUM(D249:D250)</f>
        <v>2627560.5477050757</v>
      </c>
      <c r="E252" s="508">
        <f t="shared" si="64"/>
        <v>0</v>
      </c>
      <c r="F252" s="508">
        <f>G249-G260</f>
        <v>-1148172.9741382438</v>
      </c>
      <c r="G252" s="509"/>
      <c r="H252" s="96"/>
    </row>
    <row r="253" spans="1:8" ht="12" customHeight="1" thickBot="1" x14ac:dyDescent="0.45">
      <c r="A253" s="261"/>
      <c r="B253" s="262"/>
      <c r="C253" s="263"/>
      <c r="D253" s="212"/>
      <c r="E253" s="212"/>
      <c r="F253" s="212"/>
      <c r="G253" s="188"/>
      <c r="H253" s="96"/>
    </row>
    <row r="254" spans="1:8" ht="11.6" customHeight="1" x14ac:dyDescent="0.4">
      <c r="A254" s="246">
        <f>A49</f>
        <v>7.0000000000000007E-2</v>
      </c>
      <c r="B254" s="49"/>
      <c r="C254" s="147"/>
      <c r="D254" s="247"/>
      <c r="E254" s="248"/>
      <c r="F254" s="249"/>
      <c r="G254" s="250"/>
      <c r="H254" s="96"/>
    </row>
    <row r="255" spans="1:8" ht="14.25" customHeight="1" outlineLevel="1" x14ac:dyDescent="0.4">
      <c r="A255" s="481" t="str">
        <f>A50</f>
        <v>TOWNHOUSE A - MAR 2024 - Estimate  - Internal Area</v>
      </c>
      <c r="B255" s="490">
        <f>B50</f>
        <v>306</v>
      </c>
      <c r="C255" s="487" t="s">
        <v>99</v>
      </c>
      <c r="D255" s="502">
        <f t="shared" ref="D255:E257" si="65">D50</f>
        <v>23798.025123558484</v>
      </c>
      <c r="E255" s="485">
        <f t="shared" si="65"/>
        <v>7282195.6878088964</v>
      </c>
      <c r="F255" s="496"/>
      <c r="G255" s="503">
        <f>G50</f>
        <v>7282195.6878088964</v>
      </c>
      <c r="H255" s="96"/>
    </row>
    <row r="256" spans="1:8" ht="14.25" customHeight="1" outlineLevel="1" x14ac:dyDescent="0.4">
      <c r="A256" s="481" t="str">
        <f>A51</f>
        <v>TOWNHOUSE B - MAR 2024 - Estimate - Internal Area</v>
      </c>
      <c r="B256" s="490">
        <f>B51</f>
        <v>301</v>
      </c>
      <c r="C256" s="487" t="s">
        <v>99</v>
      </c>
      <c r="D256" s="502">
        <f t="shared" si="65"/>
        <v>23798.025123558484</v>
      </c>
      <c r="E256" s="485">
        <f t="shared" si="65"/>
        <v>7163205.5621911036</v>
      </c>
      <c r="F256" s="496"/>
      <c r="G256" s="503">
        <f>G51</f>
        <v>7163205.5621911036</v>
      </c>
      <c r="H256" s="96"/>
    </row>
    <row r="257" spans="1:12" ht="11.6" customHeight="1" x14ac:dyDescent="0.4">
      <c r="A257" s="482" t="str">
        <f t="shared" si="61"/>
        <v>SUBTOTAL</v>
      </c>
      <c r="B257" s="491">
        <f t="shared" si="56"/>
        <v>607</v>
      </c>
      <c r="C257" s="488" t="s">
        <v>99</v>
      </c>
      <c r="D257" s="504">
        <f t="shared" si="65"/>
        <v>23798.025123558484</v>
      </c>
      <c r="E257" s="497">
        <f t="shared" si="65"/>
        <v>14445401.25</v>
      </c>
      <c r="F257" s="496"/>
      <c r="G257" s="503">
        <f>G198</f>
        <v>14445401.25</v>
      </c>
      <c r="H257" s="96"/>
    </row>
    <row r="258" spans="1:12" ht="11.6" customHeight="1" x14ac:dyDescent="0.4">
      <c r="A258" s="483" t="s">
        <v>258</v>
      </c>
      <c r="B258" s="492">
        <f t="shared" si="32"/>
        <v>0.44456472934304658</v>
      </c>
      <c r="C258" s="40" t="s">
        <v>114</v>
      </c>
      <c r="D258" s="505">
        <f t="shared" si="62"/>
        <v>1448211.188705076</v>
      </c>
      <c r="E258" s="486">
        <f t="shared" si="8"/>
        <v>643823.61513824388</v>
      </c>
      <c r="F258" s="486"/>
      <c r="G258" s="506">
        <f>E212</f>
        <v>643823.61513824388</v>
      </c>
      <c r="H258" s="94"/>
      <c r="I258" s="94"/>
    </row>
    <row r="259" spans="1:12" ht="11.6" customHeight="1" x14ac:dyDescent="0.4">
      <c r="A259" s="483" t="s">
        <v>259</v>
      </c>
      <c r="B259" s="492">
        <f t="shared" si="32"/>
        <v>0.42765051352353345</v>
      </c>
      <c r="C259" s="40" t="s">
        <v>114</v>
      </c>
      <c r="D259" s="505">
        <f t="shared" si="63"/>
        <v>1179349.3589999999</v>
      </c>
      <c r="E259" s="486">
        <f t="shared" si="8"/>
        <v>504349.359</v>
      </c>
      <c r="F259" s="486"/>
      <c r="G259" s="506">
        <f>E214</f>
        <v>504349.359</v>
      </c>
      <c r="H259" s="94"/>
      <c r="I259" s="94"/>
    </row>
    <row r="260" spans="1:12" ht="11.6" customHeight="1" x14ac:dyDescent="0.4">
      <c r="A260" s="483" t="s">
        <v>260</v>
      </c>
      <c r="B260" s="492">
        <f t="shared" si="32"/>
        <v>0.43697298436797727</v>
      </c>
      <c r="C260" s="40" t="s">
        <v>114</v>
      </c>
      <c r="D260" s="505">
        <f t="shared" si="25"/>
        <v>2627560.5477050757</v>
      </c>
      <c r="E260" s="486">
        <f t="shared" si="25"/>
        <v>1148172.9741382438</v>
      </c>
      <c r="F260" s="486"/>
      <c r="G260" s="506">
        <f t="shared" si="4"/>
        <v>1148172.9741382438</v>
      </c>
      <c r="H260" s="96"/>
    </row>
    <row r="261" spans="1:12" ht="12" customHeight="1" thickBot="1" x14ac:dyDescent="0.45">
      <c r="A261" s="484" t="s">
        <v>261</v>
      </c>
      <c r="B261" s="493">
        <f t="shared" si="32"/>
        <v>0</v>
      </c>
      <c r="C261" s="495" t="s">
        <v>114</v>
      </c>
      <c r="D261" s="507">
        <f t="shared" si="64"/>
        <v>2627560.5477050757</v>
      </c>
      <c r="E261" s="508">
        <f>E260-E260</f>
        <v>0</v>
      </c>
      <c r="F261" s="508"/>
      <c r="G261" s="509">
        <f t="shared" si="4"/>
        <v>0</v>
      </c>
      <c r="H261" s="96"/>
    </row>
    <row r="262" spans="1:12" ht="12" customHeight="1" thickBot="1" x14ac:dyDescent="0.45">
      <c r="A262" s="255"/>
      <c r="B262" s="256"/>
      <c r="C262" s="257"/>
      <c r="D262" s="258"/>
      <c r="E262" s="259"/>
      <c r="F262" s="259"/>
      <c r="G262" s="260"/>
      <c r="H262" s="96"/>
    </row>
    <row r="263" spans="1:12" ht="11.6" customHeight="1" x14ac:dyDescent="0.4">
      <c r="A263" s="264">
        <f>B46</f>
        <v>7.0000000000000007E-2</v>
      </c>
      <c r="B263" s="49"/>
      <c r="C263" s="147"/>
      <c r="D263" s="247"/>
      <c r="E263" s="248"/>
      <c r="F263" s="249"/>
      <c r="G263" s="250"/>
      <c r="I263" s="58"/>
    </row>
    <row r="264" spans="1:12" ht="14.25" customHeight="1" outlineLevel="1" x14ac:dyDescent="0.4">
      <c r="A264" s="481" t="str">
        <f t="shared" si="57"/>
        <v>TOWNHOUSE A - MAR 2024 - Estimate  - Internal Area</v>
      </c>
      <c r="B264" s="490">
        <f t="shared" si="58"/>
        <v>306</v>
      </c>
      <c r="C264" s="487" t="s">
        <v>99</v>
      </c>
      <c r="D264" s="502">
        <f>D40*(1+B46)</f>
        <v>23912.152055836184</v>
      </c>
      <c r="E264" s="485">
        <f t="shared" si="7"/>
        <v>7317118.5290858727</v>
      </c>
      <c r="F264" s="496"/>
      <c r="G264" s="503">
        <f t="shared" si="4"/>
        <v>7317118.5290858727</v>
      </c>
      <c r="I264" s="58"/>
    </row>
    <row r="265" spans="1:12" ht="14.25" customHeight="1" outlineLevel="1" x14ac:dyDescent="0.4">
      <c r="A265" s="481" t="str">
        <f t="shared" si="59"/>
        <v>TOWNHOUSE B - MAR 2024 - Estimate - Internal Area</v>
      </c>
      <c r="B265" s="490">
        <f t="shared" si="60"/>
        <v>301</v>
      </c>
      <c r="C265" s="487" t="s">
        <v>99</v>
      </c>
      <c r="D265" s="502">
        <f>D40*(1+B46)</f>
        <v>23912.152055836184</v>
      </c>
      <c r="E265" s="485">
        <f t="shared" si="7"/>
        <v>7197557.7688066913</v>
      </c>
      <c r="F265" s="496"/>
      <c r="G265" s="503">
        <f t="shared" si="4"/>
        <v>7197557.7688066913</v>
      </c>
      <c r="I265" s="58"/>
    </row>
    <row r="266" spans="1:12" ht="11.6" customHeight="1" x14ac:dyDescent="0.4">
      <c r="A266" s="482" t="str">
        <f t="shared" si="61"/>
        <v>SUBTOTAL</v>
      </c>
      <c r="B266" s="491">
        <f t="shared" si="56"/>
        <v>607</v>
      </c>
      <c r="C266" s="488" t="s">
        <v>99</v>
      </c>
      <c r="D266" s="504">
        <f>D40*(1+B46)</f>
        <v>23912.152055836184</v>
      </c>
      <c r="E266" s="497">
        <f t="shared" si="7"/>
        <v>14514676.297892563</v>
      </c>
      <c r="F266" s="496"/>
      <c r="G266" s="503">
        <f t="shared" si="4"/>
        <v>14514676.297892563</v>
      </c>
      <c r="I266" s="58"/>
    </row>
    <row r="267" spans="1:12" ht="11.6" customHeight="1" x14ac:dyDescent="0.4">
      <c r="A267" s="483" t="s">
        <v>258</v>
      </c>
      <c r="B267" s="492">
        <f t="shared" si="32"/>
        <v>0.46808220352529373</v>
      </c>
      <c r="C267" s="40" t="s">
        <v>114</v>
      </c>
      <c r="D267" s="505">
        <f t="shared" si="62"/>
        <v>1448211.188705076</v>
      </c>
      <c r="E267" s="486">
        <f t="shared" si="8"/>
        <v>677881.88437905698</v>
      </c>
      <c r="F267" s="486"/>
      <c r="G267" s="506">
        <f t="shared" ref="G267:G268" si="66">G258*1.0529</f>
        <v>677881.88437905698</v>
      </c>
      <c r="I267" s="58"/>
      <c r="J267" s="94"/>
      <c r="K267" s="94"/>
      <c r="L267" s="265"/>
    </row>
    <row r="268" spans="1:12" ht="11.6" customHeight="1" x14ac:dyDescent="0.4">
      <c r="A268" s="483" t="s">
        <v>259</v>
      </c>
      <c r="B268" s="492">
        <f t="shared" si="32"/>
        <v>0.45027322568892836</v>
      </c>
      <c r="C268" s="40" t="s">
        <v>114</v>
      </c>
      <c r="D268" s="505">
        <f t="shared" si="63"/>
        <v>1179349.3589999999</v>
      </c>
      <c r="E268" s="486">
        <f t="shared" si="8"/>
        <v>531029.44009109994</v>
      </c>
      <c r="F268" s="486"/>
      <c r="G268" s="506">
        <f t="shared" si="66"/>
        <v>531029.44009109994</v>
      </c>
      <c r="I268" s="58"/>
      <c r="J268" s="94"/>
      <c r="K268" s="94"/>
      <c r="L268" s="265"/>
    </row>
    <row r="269" spans="1:12" ht="11.6" customHeight="1" x14ac:dyDescent="0.4">
      <c r="A269" s="483" t="s">
        <v>260</v>
      </c>
      <c r="B269" s="492">
        <f t="shared" si="32"/>
        <v>0.4600888552410432</v>
      </c>
      <c r="C269" s="40" t="s">
        <v>114</v>
      </c>
      <c r="D269" s="505">
        <f t="shared" si="25"/>
        <v>2627560.5477050757</v>
      </c>
      <c r="E269" s="486">
        <f t="shared" si="25"/>
        <v>1208911.3244701568</v>
      </c>
      <c r="F269" s="486"/>
      <c r="G269" s="506">
        <f t="shared" si="25"/>
        <v>1208911.3244701568</v>
      </c>
      <c r="I269" s="58"/>
    </row>
    <row r="270" spans="1:12" ht="12" customHeight="1" thickBot="1" x14ac:dyDescent="0.45">
      <c r="A270" s="484" t="s">
        <v>261</v>
      </c>
      <c r="B270" s="493">
        <f t="shared" si="32"/>
        <v>2.3115870873065953E-2</v>
      </c>
      <c r="C270" s="495" t="s">
        <v>114</v>
      </c>
      <c r="D270" s="507">
        <f t="shared" si="64"/>
        <v>2627560.5477050757</v>
      </c>
      <c r="E270" s="508">
        <f t="shared" ref="E270:G270" si="67">E269-E260</f>
        <v>60738.350331912981</v>
      </c>
      <c r="F270" s="508"/>
      <c r="G270" s="509">
        <f t="shared" si="67"/>
        <v>60738.350331912981</v>
      </c>
      <c r="H270" s="96"/>
    </row>
    <row r="271" spans="1:12" ht="12" customHeight="1" thickBot="1" x14ac:dyDescent="0.45">
      <c r="A271" s="55"/>
      <c r="G271" s="196"/>
    </row>
    <row r="272" spans="1:12" ht="11.6" customHeight="1" x14ac:dyDescent="0.4">
      <c r="A272" s="480">
        <f>B46</f>
        <v>7.0000000000000007E-2</v>
      </c>
      <c r="B272" s="489"/>
      <c r="C272" s="494"/>
      <c r="D272" s="498"/>
      <c r="E272" s="499"/>
      <c r="F272" s="500"/>
      <c r="G272" s="501"/>
      <c r="H272" s="96"/>
    </row>
    <row r="273" spans="1:12" ht="14.25" customHeight="1" outlineLevel="1" x14ac:dyDescent="0.4">
      <c r="A273" s="481" t="str">
        <f t="shared" si="57"/>
        <v>TOWNHOUSE A - MAR 2024 - Estimate  - Internal Area</v>
      </c>
      <c r="B273" s="490">
        <f t="shared" si="58"/>
        <v>306</v>
      </c>
      <c r="C273" s="487" t="s">
        <v>99</v>
      </c>
      <c r="D273" s="502">
        <f t="shared" ref="D273:D274" si="68">AVERAGE(D255,D264)</f>
        <v>23855.088589697334</v>
      </c>
      <c r="E273" s="485">
        <f t="shared" si="7"/>
        <v>7299657.1084473841</v>
      </c>
      <c r="F273" s="496"/>
      <c r="G273" s="503">
        <f t="shared" si="4"/>
        <v>7299657.1084473841</v>
      </c>
      <c r="H273" s="96"/>
    </row>
    <row r="274" spans="1:12" ht="14.25" customHeight="1" outlineLevel="1" x14ac:dyDescent="0.4">
      <c r="A274" s="481" t="str">
        <f t="shared" si="59"/>
        <v>TOWNHOUSE B - MAR 2024 - Estimate - Internal Area</v>
      </c>
      <c r="B274" s="490">
        <f t="shared" si="60"/>
        <v>301</v>
      </c>
      <c r="C274" s="487" t="s">
        <v>99</v>
      </c>
      <c r="D274" s="502">
        <f t="shared" si="68"/>
        <v>23855.088589697334</v>
      </c>
      <c r="E274" s="485">
        <f t="shared" si="7"/>
        <v>7180381.6654988974</v>
      </c>
      <c r="F274" s="496"/>
      <c r="G274" s="503">
        <f t="shared" si="4"/>
        <v>7180381.6654988974</v>
      </c>
      <c r="H274" s="96"/>
    </row>
    <row r="275" spans="1:12" ht="11.6" customHeight="1" x14ac:dyDescent="0.4">
      <c r="A275" s="482" t="str">
        <f t="shared" si="61"/>
        <v>SUBTOTAL</v>
      </c>
      <c r="B275" s="491">
        <f t="shared" si="56"/>
        <v>607</v>
      </c>
      <c r="C275" s="488" t="s">
        <v>99</v>
      </c>
      <c r="D275" s="504">
        <f t="shared" si="51"/>
        <v>23855.088589697334</v>
      </c>
      <c r="E275" s="497">
        <f t="shared" si="7"/>
        <v>14480038.773946282</v>
      </c>
      <c r="F275" s="496"/>
      <c r="G275" s="503">
        <f t="shared" si="4"/>
        <v>14480038.773946282</v>
      </c>
      <c r="H275" s="96"/>
    </row>
    <row r="276" spans="1:12" ht="11.6" customHeight="1" x14ac:dyDescent="0.4">
      <c r="A276" s="483" t="s">
        <v>258</v>
      </c>
      <c r="B276" s="492">
        <f t="shared" si="32"/>
        <v>0.45630123819770302</v>
      </c>
      <c r="C276" s="40" t="s">
        <v>114</v>
      </c>
      <c r="D276" s="505">
        <f t="shared" si="62"/>
        <v>1448211.188705076</v>
      </c>
      <c r="E276" s="486">
        <f t="shared" si="8"/>
        <v>660820.55857789353</v>
      </c>
      <c r="F276" s="486"/>
      <c r="G276" s="506">
        <f t="shared" ref="G276:G277" si="69">G258*1.0264</f>
        <v>660820.55857789353</v>
      </c>
      <c r="I276" s="58"/>
      <c r="J276" s="94"/>
      <c r="K276" s="94"/>
      <c r="L276" s="265"/>
    </row>
    <row r="277" spans="1:12" ht="11.6" customHeight="1" x14ac:dyDescent="0.4">
      <c r="A277" s="483" t="s">
        <v>259</v>
      </c>
      <c r="B277" s="492">
        <f t="shared" si="32"/>
        <v>0.43894048708055472</v>
      </c>
      <c r="C277" s="40" t="s">
        <v>114</v>
      </c>
      <c r="D277" s="505">
        <f t="shared" si="63"/>
        <v>1179349.3589999999</v>
      </c>
      <c r="E277" s="486">
        <f t="shared" si="8"/>
        <v>517664.18207759998</v>
      </c>
      <c r="F277" s="486"/>
      <c r="G277" s="506">
        <f t="shared" si="69"/>
        <v>517664.18207759998</v>
      </c>
      <c r="I277" s="58"/>
      <c r="J277" s="94"/>
      <c r="K277" s="94"/>
      <c r="L277" s="265"/>
    </row>
    <row r="278" spans="1:12" ht="11.6" customHeight="1" x14ac:dyDescent="0.4">
      <c r="A278" s="483" t="s">
        <v>260</v>
      </c>
      <c r="B278" s="492">
        <f t="shared" si="32"/>
        <v>0.44850907115529187</v>
      </c>
      <c r="C278" s="40" t="s">
        <v>114</v>
      </c>
      <c r="D278" s="505">
        <f t="shared" si="25"/>
        <v>2627560.5477050757</v>
      </c>
      <c r="E278" s="486">
        <f t="shared" si="25"/>
        <v>1178484.7406554935</v>
      </c>
      <c r="F278" s="486"/>
      <c r="G278" s="506">
        <f t="shared" si="25"/>
        <v>1178484.7406554935</v>
      </c>
      <c r="I278" s="58"/>
    </row>
    <row r="279" spans="1:12" ht="12" customHeight="1" thickBot="1" x14ac:dyDescent="0.45">
      <c r="A279" s="484" t="s">
        <v>261</v>
      </c>
      <c r="B279" s="493">
        <f t="shared" si="32"/>
        <v>1.1536086787314598E-2</v>
      </c>
      <c r="C279" s="495" t="s">
        <v>114</v>
      </c>
      <c r="D279" s="507">
        <f t="shared" si="64"/>
        <v>2627560.5477050757</v>
      </c>
      <c r="E279" s="508">
        <f t="shared" ref="E279:G279" si="70">E278-E260</f>
        <v>30311.766517249634</v>
      </c>
      <c r="F279" s="508"/>
      <c r="G279" s="509">
        <f t="shared" si="70"/>
        <v>30311.766517249634</v>
      </c>
      <c r="I279" s="58"/>
    </row>
    <row r="280" spans="1:12" ht="11.6" customHeight="1" x14ac:dyDescent="0.4">
      <c r="A280" s="55"/>
      <c r="I280" s="58"/>
    </row>
    <row r="281" spans="1:12" ht="11.6" customHeight="1" x14ac:dyDescent="0.4">
      <c r="H281" s="96"/>
    </row>
    <row r="287" spans="1:12" ht="11.6" customHeight="1" x14ac:dyDescent="0.4">
      <c r="A287" s="267"/>
    </row>
  </sheetData>
  <autoFilter ref="A3:G280" xr:uid="{00000000-0009-0000-0000-000001000000}"/>
  <conditionalFormatting sqref="E211:G211 F212:G215 D212:E245 F217:G245 D246:G279 D1:G210">
    <cfRule type="cellIs" dxfId="3" priority="4" operator="lessThan">
      <formula>0</formula>
    </cfRule>
  </conditionalFormatting>
  <pageMargins left="0.71" right="0.71" top="0.75" bottom="0.75" header="0.31" footer="0.31"/>
  <pageSetup paperSize="8" scale="92" fitToHeight="3" orientation="portrait" useFirstPageNumber="1"/>
  <headerFooter>
    <oddHeader>&amp;L&amp;C&amp;R</oddHeader>
    <oddFooter>&amp;L&amp;C&amp;R</oddFooter>
  </headerFooter>
  <rowBreaks count="2" manualBreakCount="2">
    <brk id="109" max="1048576" man="1"/>
    <brk id="226" max="104857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A377-5628-6185-6F18-E53188410BC8}">
  <sheetPr>
    <pageSetUpPr fitToPage="1"/>
  </sheetPr>
  <dimension ref="A1:AJ189"/>
  <sheetViews>
    <sheetView showGridLines="0" topLeftCell="A27" workbookViewId="0">
      <selection activeCell="E56" sqref="E56"/>
    </sheetView>
  </sheetViews>
  <sheetFormatPr defaultColWidth="9" defaultRowHeight="12.45" customHeight="1" outlineLevelRow="1" outlineLevelCol="2" x14ac:dyDescent="0.4"/>
  <cols>
    <col min="1" max="1" width="45.84375" style="361" customWidth="1"/>
    <col min="2" max="2" width="10.84375" style="362" customWidth="1"/>
    <col min="3" max="3" width="7.84375" style="270" customWidth="1"/>
    <col min="4" max="4" width="13.69140625" style="270" customWidth="1"/>
    <col min="5" max="5" width="13.84375" style="363" customWidth="1"/>
    <col min="6" max="6" width="11" style="270" customWidth="1" outlineLevel="2"/>
    <col min="7" max="16" width="10.15234375" style="270" customWidth="1" outlineLevel="2"/>
    <col min="17" max="19" width="11.3828125" style="270" customWidth="1" outlineLevel="2"/>
    <col min="20" max="29" width="12.3828125" style="270" customWidth="1" outlineLevel="1"/>
    <col min="30" max="32" width="11" style="270" customWidth="1" outlineLevel="1"/>
    <col min="33" max="33" width="11.69140625" style="270" customWidth="1" outlineLevel="1"/>
    <col min="34" max="34" width="14.3828125" style="270" customWidth="1" outlineLevel="1"/>
    <col min="35" max="35" width="11" style="364" customWidth="1" outlineLevel="1"/>
    <col min="36" max="36" width="11" style="364" customWidth="1"/>
  </cols>
  <sheetData>
    <row r="1" spans="1:35" ht="25.5" customHeight="1" x14ac:dyDescent="0.4">
      <c r="A1" s="30" t="s">
        <v>262</v>
      </c>
      <c r="AG1" s="34">
        <v>45842</v>
      </c>
      <c r="AH1" s="35">
        <v>13</v>
      </c>
      <c r="AI1" s="270"/>
    </row>
    <row r="2" spans="1:35" ht="12.75" customHeight="1" x14ac:dyDescent="0.4"/>
    <row r="3" spans="1:35" s="271" customFormat="1" ht="15.75" customHeight="1" x14ac:dyDescent="0.4">
      <c r="A3" s="585" t="s">
        <v>90</v>
      </c>
      <c r="B3" s="587" t="s">
        <v>263</v>
      </c>
      <c r="C3" s="587" t="s">
        <v>92</v>
      </c>
      <c r="D3" s="587" t="s">
        <v>93</v>
      </c>
      <c r="E3" s="590" t="s">
        <v>134</v>
      </c>
      <c r="F3" s="272">
        <v>1</v>
      </c>
      <c r="G3" s="272">
        <f t="shared" ref="G3:AG3" si="0">F3+1</f>
        <v>2</v>
      </c>
      <c r="H3" s="272">
        <f t="shared" si="0"/>
        <v>3</v>
      </c>
      <c r="I3" s="272">
        <f t="shared" si="0"/>
        <v>4</v>
      </c>
      <c r="J3" s="272">
        <f t="shared" si="0"/>
        <v>5</v>
      </c>
      <c r="K3" s="272">
        <f t="shared" si="0"/>
        <v>6</v>
      </c>
      <c r="L3" s="273">
        <f t="shared" si="0"/>
        <v>7</v>
      </c>
      <c r="M3" s="274">
        <f t="shared" si="0"/>
        <v>8</v>
      </c>
      <c r="N3" s="273">
        <f t="shared" si="0"/>
        <v>9</v>
      </c>
      <c r="O3" s="274">
        <f t="shared" si="0"/>
        <v>10</v>
      </c>
      <c r="P3" s="272">
        <f t="shared" si="0"/>
        <v>11</v>
      </c>
      <c r="Q3" s="272">
        <f t="shared" si="0"/>
        <v>12</v>
      </c>
      <c r="R3" s="272">
        <f>Q3+1</f>
        <v>13</v>
      </c>
      <c r="S3" s="272">
        <f>R3+1</f>
        <v>14</v>
      </c>
      <c r="T3" s="272">
        <v>1</v>
      </c>
      <c r="U3" s="272">
        <f t="shared" si="0"/>
        <v>2</v>
      </c>
      <c r="V3" s="272">
        <f t="shared" si="0"/>
        <v>3</v>
      </c>
      <c r="W3" s="272">
        <f t="shared" si="0"/>
        <v>4</v>
      </c>
      <c r="X3" s="272">
        <f t="shared" si="0"/>
        <v>5</v>
      </c>
      <c r="Y3" s="272">
        <f t="shared" si="0"/>
        <v>6</v>
      </c>
      <c r="Z3" s="272">
        <f t="shared" si="0"/>
        <v>7</v>
      </c>
      <c r="AA3" s="272">
        <f t="shared" si="0"/>
        <v>8</v>
      </c>
      <c r="AB3" s="272">
        <f t="shared" si="0"/>
        <v>9</v>
      </c>
      <c r="AC3" s="273">
        <f t="shared" si="0"/>
        <v>10</v>
      </c>
      <c r="AD3" s="273">
        <f t="shared" si="0"/>
        <v>11</v>
      </c>
      <c r="AE3" s="273">
        <f t="shared" si="0"/>
        <v>12</v>
      </c>
      <c r="AF3" s="273">
        <f t="shared" si="0"/>
        <v>13</v>
      </c>
      <c r="AG3" s="273">
        <f t="shared" si="0"/>
        <v>14</v>
      </c>
      <c r="AH3" s="275"/>
      <c r="AI3" s="276"/>
    </row>
    <row r="4" spans="1:35" s="271" customFormat="1" ht="15" customHeight="1" x14ac:dyDescent="0.4">
      <c r="A4" s="586"/>
      <c r="B4" s="588"/>
      <c r="C4" s="588"/>
      <c r="D4" s="588"/>
      <c r="E4" s="591"/>
      <c r="F4" s="277">
        <v>45505</v>
      </c>
      <c r="G4" s="277">
        <f t="shared" ref="G4:AG4" si="1">F4+32</f>
        <v>45537</v>
      </c>
      <c r="H4" s="277">
        <f t="shared" si="1"/>
        <v>45569</v>
      </c>
      <c r="I4" s="277">
        <f t="shared" si="1"/>
        <v>45601</v>
      </c>
      <c r="J4" s="277">
        <f t="shared" si="1"/>
        <v>45633</v>
      </c>
      <c r="K4" s="277">
        <f t="shared" si="1"/>
        <v>45665</v>
      </c>
      <c r="L4" s="278">
        <f t="shared" si="1"/>
        <v>45697</v>
      </c>
      <c r="M4" s="279">
        <f t="shared" si="1"/>
        <v>45729</v>
      </c>
      <c r="N4" s="278">
        <f t="shared" si="1"/>
        <v>45761</v>
      </c>
      <c r="O4" s="279">
        <f t="shared" si="1"/>
        <v>45793</v>
      </c>
      <c r="P4" s="277">
        <f t="shared" si="1"/>
        <v>45825</v>
      </c>
      <c r="Q4" s="277">
        <f t="shared" si="1"/>
        <v>45857</v>
      </c>
      <c r="R4" s="277">
        <f>Q4+32</f>
        <v>45889</v>
      </c>
      <c r="S4" s="277">
        <f>R4+32</f>
        <v>45921</v>
      </c>
      <c r="T4" s="277">
        <f>S4+32</f>
        <v>45953</v>
      </c>
      <c r="U4" s="277">
        <f t="shared" si="1"/>
        <v>45985</v>
      </c>
      <c r="V4" s="277">
        <f t="shared" si="1"/>
        <v>46017</v>
      </c>
      <c r="W4" s="277">
        <f t="shared" si="1"/>
        <v>46049</v>
      </c>
      <c r="X4" s="277">
        <f t="shared" si="1"/>
        <v>46081</v>
      </c>
      <c r="Y4" s="277">
        <f t="shared" si="1"/>
        <v>46113</v>
      </c>
      <c r="Z4" s="277">
        <f>Y4+28</f>
        <v>46141</v>
      </c>
      <c r="AA4" s="277">
        <f t="shared" si="1"/>
        <v>46173</v>
      </c>
      <c r="AB4" s="277">
        <f t="shared" si="1"/>
        <v>46205</v>
      </c>
      <c r="AC4" s="277">
        <f t="shared" si="1"/>
        <v>46237</v>
      </c>
      <c r="AD4" s="277">
        <f t="shared" si="1"/>
        <v>46269</v>
      </c>
      <c r="AE4" s="277">
        <f t="shared" si="1"/>
        <v>46301</v>
      </c>
      <c r="AF4" s="277">
        <f t="shared" si="1"/>
        <v>46333</v>
      </c>
      <c r="AG4" s="277">
        <f t="shared" si="1"/>
        <v>46365</v>
      </c>
      <c r="AH4" s="280"/>
      <c r="AI4" s="276"/>
    </row>
    <row r="5" spans="1:35" s="271" customFormat="1" ht="15" customHeight="1" x14ac:dyDescent="0.4">
      <c r="A5" s="586"/>
      <c r="B5" s="589"/>
      <c r="C5" s="589" t="s">
        <v>92</v>
      </c>
      <c r="D5" s="589" t="s">
        <v>93</v>
      </c>
      <c r="E5" s="592" t="s">
        <v>134</v>
      </c>
      <c r="F5" s="281">
        <v>31</v>
      </c>
      <c r="G5" s="281">
        <v>30</v>
      </c>
      <c r="H5" s="281">
        <v>31</v>
      </c>
      <c r="I5" s="281">
        <v>30</v>
      </c>
      <c r="J5" s="281">
        <v>31</v>
      </c>
      <c r="K5" s="281">
        <v>31</v>
      </c>
      <c r="L5" s="282">
        <v>28</v>
      </c>
      <c r="M5" s="283">
        <v>31</v>
      </c>
      <c r="N5" s="282">
        <v>30</v>
      </c>
      <c r="O5" s="283">
        <v>31</v>
      </c>
      <c r="P5" s="281">
        <v>30</v>
      </c>
      <c r="Q5" s="281">
        <v>31</v>
      </c>
      <c r="R5" s="281">
        <v>31</v>
      </c>
      <c r="S5" s="281">
        <v>30</v>
      </c>
      <c r="T5" s="281">
        <v>31</v>
      </c>
      <c r="U5" s="281">
        <v>30</v>
      </c>
      <c r="V5" s="281">
        <v>31</v>
      </c>
      <c r="W5" s="281">
        <v>31</v>
      </c>
      <c r="X5" s="281">
        <v>28</v>
      </c>
      <c r="Y5" s="281">
        <v>31</v>
      </c>
      <c r="Z5" s="281">
        <v>30</v>
      </c>
      <c r="AA5" s="281">
        <v>31</v>
      </c>
      <c r="AB5" s="282">
        <v>30</v>
      </c>
      <c r="AC5" s="282">
        <v>31</v>
      </c>
      <c r="AD5" s="282">
        <v>30</v>
      </c>
      <c r="AE5" s="282">
        <v>31</v>
      </c>
      <c r="AF5" s="282">
        <v>30</v>
      </c>
      <c r="AG5" s="282">
        <v>31</v>
      </c>
      <c r="AH5" s="275" t="s">
        <v>264</v>
      </c>
      <c r="AI5" s="276"/>
    </row>
    <row r="6" spans="1:35" s="284" customFormat="1" ht="12" customHeight="1" x14ac:dyDescent="0.3">
      <c r="A6" s="285" t="s">
        <v>265</v>
      </c>
      <c r="B6" s="286"/>
      <c r="C6" s="287"/>
      <c r="D6" s="287"/>
      <c r="E6" s="288"/>
      <c r="F6" s="289"/>
      <c r="G6" s="289"/>
      <c r="H6" s="289"/>
      <c r="I6" s="289"/>
      <c r="J6" s="289"/>
      <c r="K6" s="289"/>
      <c r="L6" s="290"/>
      <c r="M6" s="291"/>
      <c r="N6" s="290"/>
      <c r="O6" s="291"/>
      <c r="P6" s="290"/>
      <c r="Q6" s="289"/>
      <c r="R6" s="462"/>
      <c r="S6" s="290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92"/>
      <c r="AI6" s="37"/>
    </row>
    <row r="7" spans="1:35" s="293" customFormat="1" ht="11.25" customHeight="1" x14ac:dyDescent="0.3">
      <c r="A7" s="294" t="s">
        <v>266</v>
      </c>
      <c r="B7" s="295"/>
      <c r="C7" s="296"/>
      <c r="D7" s="70"/>
      <c r="E7" s="111"/>
      <c r="F7" s="70"/>
      <c r="G7" s="70"/>
      <c r="H7" s="70"/>
      <c r="I7" s="70"/>
      <c r="J7" s="70"/>
      <c r="K7" s="70"/>
      <c r="L7" s="111"/>
      <c r="M7" s="174"/>
      <c r="N7" s="297"/>
      <c r="O7" s="298"/>
      <c r="P7" s="299"/>
      <c r="Q7" s="298"/>
      <c r="R7" s="463"/>
      <c r="S7" s="297"/>
      <c r="T7" s="300"/>
      <c r="U7" s="300"/>
      <c r="V7" s="300"/>
      <c r="W7" s="300"/>
      <c r="X7" s="300"/>
      <c r="Y7" s="300"/>
      <c r="Z7" s="300"/>
      <c r="AA7" s="300"/>
      <c r="AB7" s="300"/>
      <c r="AC7" s="300"/>
      <c r="AD7" s="300"/>
      <c r="AE7" s="300"/>
      <c r="AF7" s="301"/>
      <c r="AG7" s="301"/>
      <c r="AH7" s="302"/>
      <c r="AI7" s="300"/>
    </row>
    <row r="8" spans="1:35" s="303" customFormat="1" ht="12" customHeight="1" outlineLevel="1" x14ac:dyDescent="0.3">
      <c r="A8" s="304" t="s">
        <v>267</v>
      </c>
      <c r="B8" s="71">
        <f t="shared" ref="B8:B57" si="2">E8/D8</f>
        <v>0.7</v>
      </c>
      <c r="C8" s="47" t="s">
        <v>114</v>
      </c>
      <c r="D8" s="58">
        <f>'FEASABILITY STUDY'!D119</f>
        <v>4808000</v>
      </c>
      <c r="E8" s="61">
        <f>'FEASABILITY STUDY'!E119</f>
        <v>3365600</v>
      </c>
      <c r="F8" s="58"/>
      <c r="G8" s="58"/>
      <c r="H8" s="58"/>
      <c r="I8" s="58"/>
      <c r="J8" s="58"/>
      <c r="K8" s="58"/>
      <c r="L8" s="61"/>
      <c r="M8" s="71"/>
      <c r="N8" s="305"/>
      <c r="O8" s="71"/>
      <c r="P8" s="305"/>
      <c r="Q8" s="71"/>
      <c r="R8" s="464"/>
      <c r="S8" s="305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1"/>
      <c r="AG8" s="301"/>
      <c r="AH8" s="307"/>
      <c r="AI8" s="306"/>
    </row>
    <row r="9" spans="1:35" s="303" customFormat="1" ht="12" customHeight="1" outlineLevel="1" x14ac:dyDescent="0.3">
      <c r="A9" s="304" t="s">
        <v>268</v>
      </c>
      <c r="B9" s="308"/>
      <c r="C9" s="309"/>
      <c r="D9" s="310">
        <v>13</v>
      </c>
      <c r="E9" s="61"/>
      <c r="F9" s="579">
        <v>7</v>
      </c>
      <c r="G9" s="579"/>
      <c r="H9" s="579"/>
      <c r="I9" s="579"/>
      <c r="J9" s="579"/>
      <c r="K9" s="579"/>
      <c r="L9" s="580"/>
      <c r="M9" s="581" t="s">
        <v>269</v>
      </c>
      <c r="N9" s="582"/>
      <c r="O9" s="311" t="s">
        <v>270</v>
      </c>
      <c r="P9" s="312" t="s">
        <v>270</v>
      </c>
      <c r="Q9" s="313" t="s">
        <v>271</v>
      </c>
      <c r="R9" s="465" t="s">
        <v>271</v>
      </c>
      <c r="S9" s="314" t="str">
        <f>Q9</f>
        <v>LOT VACANT</v>
      </c>
      <c r="T9" s="306"/>
      <c r="U9" s="306"/>
      <c r="V9" s="306"/>
      <c r="W9" s="306"/>
      <c r="X9" s="306"/>
      <c r="Y9" s="306"/>
      <c r="Z9" s="306"/>
      <c r="AA9" s="306"/>
      <c r="AB9" s="306"/>
      <c r="AC9" s="306"/>
      <c r="AD9" s="306"/>
      <c r="AE9" s="306"/>
      <c r="AF9" s="301"/>
      <c r="AG9" s="301"/>
      <c r="AH9" s="307"/>
      <c r="AI9" s="306"/>
    </row>
    <row r="10" spans="1:35" s="303" customFormat="1" ht="11.25" customHeight="1" outlineLevel="1" x14ac:dyDescent="0.3">
      <c r="A10" s="315" t="s">
        <v>272</v>
      </c>
      <c r="B10" s="93">
        <v>1.2500000000000001E-2</v>
      </c>
      <c r="C10" s="306" t="s">
        <v>114</v>
      </c>
      <c r="D10" s="58">
        <f t="shared" ref="D10:D16" si="3">$E$8</f>
        <v>3365600</v>
      </c>
      <c r="E10" s="61">
        <f t="shared" ref="E10:E47" si="4">B10*D10</f>
        <v>42070</v>
      </c>
      <c r="F10" s="316">
        <f t="shared" ref="F10:F12" si="5">E10</f>
        <v>42070</v>
      </c>
      <c r="G10" s="316"/>
      <c r="H10" s="316"/>
      <c r="I10" s="316"/>
      <c r="J10" s="316"/>
      <c r="K10" s="316"/>
      <c r="L10" s="317"/>
      <c r="M10" s="318"/>
      <c r="N10" s="317"/>
      <c r="O10" s="318"/>
      <c r="P10" s="317"/>
      <c r="Q10" s="318"/>
      <c r="R10" s="466"/>
      <c r="S10" s="317"/>
      <c r="T10" s="316"/>
      <c r="U10" s="316"/>
      <c r="V10" s="316"/>
      <c r="W10" s="316"/>
      <c r="X10" s="316"/>
      <c r="Y10" s="316"/>
      <c r="Z10" s="316"/>
      <c r="AA10" s="316"/>
      <c r="AB10" s="316"/>
      <c r="AC10" s="316"/>
      <c r="AD10" s="316"/>
      <c r="AE10" s="316"/>
      <c r="AF10" s="301"/>
      <c r="AG10" s="301"/>
      <c r="AH10" s="307">
        <f t="shared" ref="AH10:AH16" si="6">SUBTOTAL(9,F10:AG10)</f>
        <v>42070</v>
      </c>
      <c r="AI10" s="306"/>
    </row>
    <row r="11" spans="1:35" s="303" customFormat="1" ht="11.25" customHeight="1" outlineLevel="1" x14ac:dyDescent="0.3">
      <c r="A11" s="315" t="s">
        <v>273</v>
      </c>
      <c r="B11" s="93">
        <v>1.7999999999999999E-2</v>
      </c>
      <c r="C11" s="306" t="s">
        <v>114</v>
      </c>
      <c r="D11" s="58">
        <f t="shared" si="3"/>
        <v>3365600</v>
      </c>
      <c r="E11" s="61">
        <f t="shared" si="4"/>
        <v>60580.799999999996</v>
      </c>
      <c r="F11" s="316">
        <f t="shared" si="5"/>
        <v>60580.799999999996</v>
      </c>
      <c r="G11" s="316"/>
      <c r="H11" s="316"/>
      <c r="I11" s="316"/>
      <c r="J11" s="316"/>
      <c r="K11" s="316"/>
      <c r="L11" s="317"/>
      <c r="M11" s="318"/>
      <c r="N11" s="317"/>
      <c r="O11" s="318"/>
      <c r="P11" s="317"/>
      <c r="Q11" s="318"/>
      <c r="R11" s="466"/>
      <c r="S11" s="317"/>
      <c r="T11" s="316"/>
      <c r="U11" s="316"/>
      <c r="V11" s="316"/>
      <c r="W11" s="316"/>
      <c r="X11" s="316"/>
      <c r="Y11" s="316"/>
      <c r="Z11" s="316"/>
      <c r="AA11" s="316"/>
      <c r="AB11" s="316"/>
      <c r="AC11" s="316"/>
      <c r="AD11" s="316"/>
      <c r="AE11" s="316"/>
      <c r="AF11" s="301"/>
      <c r="AG11" s="301"/>
      <c r="AH11" s="307">
        <f t="shared" si="6"/>
        <v>60580.799999999996</v>
      </c>
      <c r="AI11" s="306"/>
    </row>
    <row r="12" spans="1:35" s="303" customFormat="1" ht="11.25" customHeight="1" outlineLevel="1" x14ac:dyDescent="0.3">
      <c r="A12" s="315" t="s">
        <v>274</v>
      </c>
      <c r="B12" s="154">
        <v>1</v>
      </c>
      <c r="C12" s="47" t="s">
        <v>107</v>
      </c>
      <c r="D12" s="58">
        <v>3628.47</v>
      </c>
      <c r="E12" s="61">
        <f t="shared" si="4"/>
        <v>3628.47</v>
      </c>
      <c r="F12" s="316">
        <f t="shared" si="5"/>
        <v>3628.47</v>
      </c>
      <c r="G12" s="316"/>
      <c r="H12" s="316"/>
      <c r="I12" s="316"/>
      <c r="J12" s="316"/>
      <c r="K12" s="316"/>
      <c r="L12" s="317"/>
      <c r="M12" s="318"/>
      <c r="N12" s="317"/>
      <c r="O12" s="318"/>
      <c r="P12" s="317"/>
      <c r="Q12" s="318"/>
      <c r="R12" s="466"/>
      <c r="S12" s="317"/>
      <c r="T12" s="316"/>
      <c r="U12" s="316"/>
      <c r="V12" s="316"/>
      <c r="W12" s="316"/>
      <c r="X12" s="316"/>
      <c r="Y12" s="316"/>
      <c r="Z12" s="316"/>
      <c r="AA12" s="316"/>
      <c r="AB12" s="316"/>
      <c r="AC12" s="316"/>
      <c r="AD12" s="316"/>
      <c r="AE12" s="316"/>
      <c r="AF12" s="301"/>
      <c r="AG12" s="301"/>
      <c r="AH12" s="307">
        <f t="shared" si="6"/>
        <v>3628.47</v>
      </c>
      <c r="AI12" s="306"/>
    </row>
    <row r="13" spans="1:35" s="303" customFormat="1" ht="11.25" customHeight="1" outlineLevel="1" x14ac:dyDescent="0.3">
      <c r="A13" s="315" t="s">
        <v>275</v>
      </c>
      <c r="B13" s="128">
        <f t="shared" si="2"/>
        <v>14</v>
      </c>
      <c r="C13" s="47" t="s">
        <v>276</v>
      </c>
      <c r="D13" s="59">
        <v>100</v>
      </c>
      <c r="E13" s="61">
        <f>AH13</f>
        <v>1400</v>
      </c>
      <c r="F13" s="316">
        <f t="shared" ref="F13:S13" si="7">$D$13</f>
        <v>100</v>
      </c>
      <c r="G13" s="316">
        <f t="shared" si="7"/>
        <v>100</v>
      </c>
      <c r="H13" s="316">
        <f t="shared" si="7"/>
        <v>100</v>
      </c>
      <c r="I13" s="316">
        <f t="shared" si="7"/>
        <v>100</v>
      </c>
      <c r="J13" s="316">
        <f t="shared" si="7"/>
        <v>100</v>
      </c>
      <c r="K13" s="316">
        <f t="shared" si="7"/>
        <v>100</v>
      </c>
      <c r="L13" s="317">
        <f t="shared" si="7"/>
        <v>100</v>
      </c>
      <c r="M13" s="318">
        <f t="shared" si="7"/>
        <v>100</v>
      </c>
      <c r="N13" s="317">
        <f t="shared" si="7"/>
        <v>100</v>
      </c>
      <c r="O13" s="318">
        <f t="shared" si="7"/>
        <v>100</v>
      </c>
      <c r="P13" s="317">
        <f t="shared" si="7"/>
        <v>100</v>
      </c>
      <c r="Q13" s="318">
        <f t="shared" si="7"/>
        <v>100</v>
      </c>
      <c r="R13" s="466">
        <f t="shared" si="7"/>
        <v>100</v>
      </c>
      <c r="S13" s="317">
        <f t="shared" si="7"/>
        <v>100</v>
      </c>
      <c r="T13" s="316"/>
      <c r="U13" s="316"/>
      <c r="V13" s="316"/>
      <c r="W13" s="316"/>
      <c r="X13" s="316"/>
      <c r="Y13" s="316"/>
      <c r="Z13" s="316"/>
      <c r="AA13" s="316"/>
      <c r="AB13" s="316"/>
      <c r="AC13" s="316"/>
      <c r="AD13" s="316"/>
      <c r="AE13" s="316"/>
      <c r="AF13" s="301"/>
      <c r="AG13" s="301"/>
      <c r="AH13" s="307">
        <f t="shared" si="6"/>
        <v>1400</v>
      </c>
      <c r="AI13" s="306"/>
    </row>
    <row r="14" spans="1:35" s="303" customFormat="1" ht="11.25" customHeight="1" outlineLevel="1" x14ac:dyDescent="0.3">
      <c r="A14" s="319" t="s">
        <v>277</v>
      </c>
      <c r="B14" s="93">
        <v>8.6499999999999994E-2</v>
      </c>
      <c r="C14" s="306" t="s">
        <v>278</v>
      </c>
      <c r="D14" s="58"/>
      <c r="E14" s="61"/>
      <c r="F14" s="306">
        <f t="shared" ref="F14:S14" si="8">$B14*F$5/365</f>
        <v>7.346575342465753E-3</v>
      </c>
      <c r="G14" s="306">
        <f t="shared" si="8"/>
        <v>7.1095890410958901E-3</v>
      </c>
      <c r="H14" s="306">
        <f t="shared" si="8"/>
        <v>7.346575342465753E-3</v>
      </c>
      <c r="I14" s="306">
        <f t="shared" si="8"/>
        <v>7.1095890410958901E-3</v>
      </c>
      <c r="J14" s="306">
        <f t="shared" si="8"/>
        <v>7.346575342465753E-3</v>
      </c>
      <c r="K14" s="306">
        <f t="shared" si="8"/>
        <v>7.346575342465753E-3</v>
      </c>
      <c r="L14" s="305">
        <f t="shared" si="8"/>
        <v>6.6356164383561634E-3</v>
      </c>
      <c r="M14" s="71">
        <f t="shared" si="8"/>
        <v>7.346575342465753E-3</v>
      </c>
      <c r="N14" s="305">
        <f t="shared" si="8"/>
        <v>7.1095890410958901E-3</v>
      </c>
      <c r="O14" s="71">
        <f t="shared" si="8"/>
        <v>7.346575342465753E-3</v>
      </c>
      <c r="P14" s="305">
        <f t="shared" si="8"/>
        <v>7.1095890410958901E-3</v>
      </c>
      <c r="Q14" s="71">
        <f t="shared" si="8"/>
        <v>7.346575342465753E-3</v>
      </c>
      <c r="R14" s="464">
        <f t="shared" si="8"/>
        <v>7.346575342465753E-3</v>
      </c>
      <c r="S14" s="305">
        <f t="shared" si="8"/>
        <v>7.1095890410958901E-3</v>
      </c>
      <c r="T14" s="306"/>
      <c r="U14" s="306"/>
      <c r="V14" s="306"/>
      <c r="W14" s="306"/>
      <c r="X14" s="306"/>
      <c r="Y14" s="306"/>
      <c r="Z14" s="306"/>
      <c r="AA14" s="306"/>
      <c r="AB14" s="306"/>
      <c r="AC14" s="306"/>
      <c r="AD14" s="306"/>
      <c r="AE14" s="306"/>
      <c r="AF14" s="301"/>
      <c r="AG14" s="301"/>
      <c r="AH14" s="320">
        <f t="shared" si="6"/>
        <v>0.10095616438356166</v>
      </c>
      <c r="AI14" s="306"/>
    </row>
    <row r="15" spans="1:35" s="303" customFormat="1" ht="11.25" customHeight="1" outlineLevel="1" x14ac:dyDescent="0.3">
      <c r="A15" s="319" t="s">
        <v>279</v>
      </c>
      <c r="B15" s="71">
        <f t="shared" si="2"/>
        <v>0.10095616438356163</v>
      </c>
      <c r="C15" s="306" t="s">
        <v>114</v>
      </c>
      <c r="D15" s="58">
        <f t="shared" si="3"/>
        <v>3365600</v>
      </c>
      <c r="E15" s="61">
        <f>AH15</f>
        <v>339778.06684931502</v>
      </c>
      <c r="F15" s="47">
        <f t="shared" ref="F15:S15" si="9">$D$15*F14</f>
        <v>24725.63397260274</v>
      </c>
      <c r="G15" s="47">
        <f t="shared" si="9"/>
        <v>23928.032876712328</v>
      </c>
      <c r="H15" s="47">
        <f t="shared" si="9"/>
        <v>24725.63397260274</v>
      </c>
      <c r="I15" s="47">
        <f t="shared" si="9"/>
        <v>23928.032876712328</v>
      </c>
      <c r="J15" s="47">
        <f t="shared" si="9"/>
        <v>24725.63397260274</v>
      </c>
      <c r="K15" s="47">
        <f t="shared" si="9"/>
        <v>24725.63397260274</v>
      </c>
      <c r="L15" s="321">
        <f t="shared" si="9"/>
        <v>22332.830684931505</v>
      </c>
      <c r="M15" s="322">
        <f t="shared" si="9"/>
        <v>24725.63397260274</v>
      </c>
      <c r="N15" s="321">
        <f t="shared" si="9"/>
        <v>23928.032876712328</v>
      </c>
      <c r="O15" s="322">
        <f t="shared" si="9"/>
        <v>24725.63397260274</v>
      </c>
      <c r="P15" s="321">
        <f t="shared" si="9"/>
        <v>23928.032876712328</v>
      </c>
      <c r="Q15" s="322">
        <f t="shared" si="9"/>
        <v>24725.63397260274</v>
      </c>
      <c r="R15" s="467">
        <f t="shared" ref="R15" si="10">$D$15*R14</f>
        <v>24725.63397260274</v>
      </c>
      <c r="S15" s="321">
        <f t="shared" si="9"/>
        <v>23928.032876712328</v>
      </c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301"/>
      <c r="AG15" s="301"/>
      <c r="AH15" s="307">
        <f t="shared" si="6"/>
        <v>339778.06684931502</v>
      </c>
      <c r="AI15" s="306"/>
    </row>
    <row r="16" spans="1:35" s="293" customFormat="1" ht="11.25" customHeight="1" x14ac:dyDescent="0.3">
      <c r="A16" s="323" t="s">
        <v>280</v>
      </c>
      <c r="B16" s="174">
        <f t="shared" ref="B16:B56" si="11">-E16/D16</f>
        <v>0.13295024270540617</v>
      </c>
      <c r="C16" s="300" t="s">
        <v>114</v>
      </c>
      <c r="D16" s="70">
        <f t="shared" si="3"/>
        <v>3365600</v>
      </c>
      <c r="E16" s="111">
        <f t="shared" ref="E16:E36" si="12">-AH16</f>
        <v>-447457.33684931503</v>
      </c>
      <c r="F16" s="324">
        <f t="shared" ref="F16:S16" si="13">SUM($D$16*F14,F10:F13)</f>
        <v>131104.90397260274</v>
      </c>
      <c r="G16" s="324">
        <f t="shared" si="13"/>
        <v>24028.032876712328</v>
      </c>
      <c r="H16" s="324">
        <f t="shared" si="13"/>
        <v>24825.63397260274</v>
      </c>
      <c r="I16" s="324">
        <f t="shared" si="13"/>
        <v>24028.032876712328</v>
      </c>
      <c r="J16" s="324">
        <f t="shared" si="13"/>
        <v>24825.63397260274</v>
      </c>
      <c r="K16" s="324">
        <f t="shared" si="13"/>
        <v>24825.63397260274</v>
      </c>
      <c r="L16" s="301">
        <f t="shared" si="13"/>
        <v>22432.830684931505</v>
      </c>
      <c r="M16" s="325">
        <f t="shared" si="13"/>
        <v>24825.63397260274</v>
      </c>
      <c r="N16" s="301">
        <f t="shared" si="13"/>
        <v>24028.032876712328</v>
      </c>
      <c r="O16" s="325">
        <f t="shared" si="13"/>
        <v>24825.63397260274</v>
      </c>
      <c r="P16" s="326">
        <f t="shared" si="13"/>
        <v>24028.032876712328</v>
      </c>
      <c r="Q16" s="327">
        <f t="shared" si="13"/>
        <v>24825.63397260274</v>
      </c>
      <c r="R16" s="468">
        <f t="shared" ref="R16" si="14">SUM($D$16*R14,R10:R13)</f>
        <v>24825.63397260274</v>
      </c>
      <c r="S16" s="326">
        <f t="shared" si="13"/>
        <v>24028.032876712328</v>
      </c>
      <c r="T16" s="296">
        <v>0</v>
      </c>
      <c r="U16" s="296">
        <v>0</v>
      </c>
      <c r="V16" s="296">
        <v>0</v>
      </c>
      <c r="W16" s="296">
        <v>0</v>
      </c>
      <c r="X16" s="296">
        <v>0</v>
      </c>
      <c r="Y16" s="296">
        <v>0</v>
      </c>
      <c r="Z16" s="296">
        <v>0</v>
      </c>
      <c r="AA16" s="296">
        <v>0</v>
      </c>
      <c r="AB16" s="296">
        <v>0</v>
      </c>
      <c r="AC16" s="296">
        <v>0</v>
      </c>
      <c r="AD16" s="296">
        <v>0</v>
      </c>
      <c r="AE16" s="296">
        <v>0</v>
      </c>
      <c r="AF16" s="301">
        <v>0</v>
      </c>
      <c r="AG16" s="301">
        <v>0</v>
      </c>
      <c r="AH16" s="302">
        <f t="shared" si="6"/>
        <v>447457.33684931503</v>
      </c>
    </row>
    <row r="17" spans="1:36" s="303" customFormat="1" ht="11.25" customHeight="1" x14ac:dyDescent="0.3">
      <c r="A17" s="315"/>
      <c r="B17" s="56"/>
      <c r="C17" s="306"/>
      <c r="D17" s="58"/>
      <c r="E17" s="61"/>
      <c r="F17" s="316"/>
      <c r="G17" s="316"/>
      <c r="H17" s="316"/>
      <c r="I17" s="316"/>
      <c r="J17" s="316"/>
      <c r="K17" s="316"/>
      <c r="L17" s="317"/>
      <c r="M17" s="318"/>
      <c r="N17" s="317"/>
      <c r="O17" s="318"/>
      <c r="P17" s="317"/>
      <c r="Q17" s="318"/>
      <c r="R17" s="466"/>
      <c r="S17" s="317"/>
      <c r="T17" s="316"/>
      <c r="U17" s="316"/>
      <c r="V17" s="316"/>
      <c r="W17" s="316"/>
      <c r="X17" s="316"/>
      <c r="Y17" s="316"/>
      <c r="Z17" s="316"/>
      <c r="AA17" s="316"/>
      <c r="AB17" s="316"/>
      <c r="AC17" s="316"/>
      <c r="AD17" s="316"/>
      <c r="AE17" s="316"/>
      <c r="AF17" s="301"/>
      <c r="AG17" s="301"/>
      <c r="AH17" s="307"/>
    </row>
    <row r="18" spans="1:36" s="284" customFormat="1" ht="11.25" customHeight="1" x14ac:dyDescent="0.3">
      <c r="A18" s="328" t="s">
        <v>281</v>
      </c>
      <c r="B18" s="329"/>
      <c r="C18" s="37"/>
      <c r="D18" s="70"/>
      <c r="E18" s="111"/>
      <c r="F18" s="296"/>
      <c r="G18" s="296"/>
      <c r="H18" s="296"/>
      <c r="I18" s="296"/>
      <c r="J18" s="296"/>
      <c r="K18" s="296"/>
      <c r="L18" s="326"/>
      <c r="M18" s="327"/>
      <c r="N18" s="326"/>
      <c r="O18" s="327"/>
      <c r="P18" s="326"/>
      <c r="Q18" s="327"/>
      <c r="R18" s="468"/>
      <c r="S18" s="32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301"/>
      <c r="AG18" s="301"/>
      <c r="AH18" s="330"/>
    </row>
    <row r="19" spans="1:36" s="331" customFormat="1" ht="12" customHeight="1" outlineLevel="1" x14ac:dyDescent="0.3">
      <c r="A19" s="304" t="s">
        <v>282</v>
      </c>
      <c r="B19" s="332"/>
      <c r="C19" s="333"/>
      <c r="D19" s="334">
        <v>13</v>
      </c>
      <c r="E19" s="321"/>
      <c r="F19" s="40"/>
      <c r="G19" s="40"/>
      <c r="H19" s="40"/>
      <c r="I19" s="40"/>
      <c r="J19" s="40"/>
      <c r="K19" s="40"/>
      <c r="L19" s="57"/>
      <c r="M19" s="186"/>
      <c r="N19" s="305"/>
      <c r="O19" s="186"/>
      <c r="P19" s="335"/>
      <c r="Q19" s="336"/>
      <c r="R19" s="345"/>
      <c r="S19" s="335"/>
      <c r="T19" s="583">
        <v>13</v>
      </c>
      <c r="U19" s="583"/>
      <c r="V19" s="583"/>
      <c r="W19" s="583"/>
      <c r="X19" s="583"/>
      <c r="Y19" s="583"/>
      <c r="Z19" s="583"/>
      <c r="AA19" s="583"/>
      <c r="AB19" s="583"/>
      <c r="AC19" s="583"/>
      <c r="AD19" s="583"/>
      <c r="AE19" s="583"/>
      <c r="AF19" s="584"/>
      <c r="AG19" s="337" t="s">
        <v>283</v>
      </c>
      <c r="AH19" s="338"/>
    </row>
    <row r="20" spans="1:36" s="331" customFormat="1" ht="11.25" customHeight="1" outlineLevel="1" x14ac:dyDescent="0.3">
      <c r="A20" s="304" t="s">
        <v>284</v>
      </c>
      <c r="B20" s="339"/>
      <c r="C20" s="340"/>
      <c r="D20" s="316" t="s">
        <v>285</v>
      </c>
      <c r="E20" s="61"/>
      <c r="F20" s="306"/>
      <c r="G20" s="306"/>
      <c r="H20" s="306"/>
      <c r="I20" s="306"/>
      <c r="J20" s="306"/>
      <c r="K20" s="306"/>
      <c r="L20" s="305"/>
      <c r="M20" s="71"/>
      <c r="N20" s="305"/>
      <c r="O20" s="71"/>
      <c r="P20" s="305"/>
      <c r="Q20" s="71"/>
      <c r="R20" s="464"/>
      <c r="S20" s="305"/>
      <c r="T20" s="306">
        <v>0.05</v>
      </c>
      <c r="U20" s="306">
        <v>7.0000000000000007E-2</v>
      </c>
      <c r="V20" s="306">
        <v>0.1</v>
      </c>
      <c r="W20" s="306">
        <v>0.12</v>
      </c>
      <c r="X20" s="306">
        <v>0.1</v>
      </c>
      <c r="Y20" s="306">
        <v>0.1</v>
      </c>
      <c r="Z20" s="306">
        <v>0.1</v>
      </c>
      <c r="AA20" s="306">
        <v>0.08</v>
      </c>
      <c r="AB20" s="306">
        <v>0.08</v>
      </c>
      <c r="AC20" s="306">
        <v>0.08</v>
      </c>
      <c r="AD20" s="306">
        <v>7.0000000000000007E-2</v>
      </c>
      <c r="AE20" s="306">
        <v>0.05</v>
      </c>
      <c r="AF20" s="306">
        <v>0</v>
      </c>
      <c r="AG20" s="341">
        <v>0</v>
      </c>
      <c r="AH20" s="320">
        <f>SUBTOTAL(9,F20:AG20)</f>
        <v>1</v>
      </c>
    </row>
    <row r="21" spans="1:36" s="284" customFormat="1" ht="11.25" customHeight="1" x14ac:dyDescent="0.3">
      <c r="A21" s="294" t="s">
        <v>286</v>
      </c>
      <c r="B21" s="174">
        <f t="shared" si="2"/>
        <v>0.74131274131274127</v>
      </c>
      <c r="C21" s="324" t="s">
        <v>114</v>
      </c>
      <c r="D21" s="82">
        <f>12950000/1.1</f>
        <v>11772727.272727272</v>
      </c>
      <c r="E21" s="111">
        <f>'FEASABILITY STUDY'!E167</f>
        <v>8727272.7272727266</v>
      </c>
      <c r="F21" s="300"/>
      <c r="G21" s="300"/>
      <c r="H21" s="300"/>
      <c r="I21" s="300"/>
      <c r="J21" s="300"/>
      <c r="K21" s="300"/>
      <c r="L21" s="297"/>
      <c r="M21" s="174"/>
      <c r="N21" s="297"/>
      <c r="O21" s="174"/>
      <c r="P21" s="297"/>
      <c r="Q21" s="174"/>
      <c r="R21" s="463"/>
      <c r="S21" s="297"/>
      <c r="T21" s="296" t="e">
        <f>SUM(E21,#REF!)-SUM(T24:T25)-D16-D49*S20</f>
        <v>#REF!</v>
      </c>
      <c r="U21" s="296" t="e">
        <f t="shared" ref="U21:AG21" si="15">T21-T20*$D$49</f>
        <v>#REF!</v>
      </c>
      <c r="V21" s="296" t="e">
        <f t="shared" si="15"/>
        <v>#REF!</v>
      </c>
      <c r="W21" s="296" t="e">
        <f t="shared" si="15"/>
        <v>#REF!</v>
      </c>
      <c r="X21" s="296" t="e">
        <f t="shared" si="15"/>
        <v>#REF!</v>
      </c>
      <c r="Y21" s="296" t="e">
        <f t="shared" si="15"/>
        <v>#REF!</v>
      </c>
      <c r="Z21" s="296" t="e">
        <f t="shared" si="15"/>
        <v>#REF!</v>
      </c>
      <c r="AA21" s="296" t="e">
        <f t="shared" si="15"/>
        <v>#REF!</v>
      </c>
      <c r="AB21" s="296" t="e">
        <f t="shared" si="15"/>
        <v>#REF!</v>
      </c>
      <c r="AC21" s="296" t="e">
        <f t="shared" si="15"/>
        <v>#REF!</v>
      </c>
      <c r="AD21" s="296" t="e">
        <f t="shared" si="15"/>
        <v>#REF!</v>
      </c>
      <c r="AE21" s="296" t="e">
        <f t="shared" si="15"/>
        <v>#REF!</v>
      </c>
      <c r="AF21" s="326" t="e">
        <f t="shared" si="15"/>
        <v>#REF!</v>
      </c>
      <c r="AG21" s="326" t="e">
        <f t="shared" si="15"/>
        <v>#REF!</v>
      </c>
      <c r="AH21" s="307" t="e">
        <f>SUBTOTAL(5,T21:AG21)</f>
        <v>#REF!</v>
      </c>
    </row>
    <row r="22" spans="1:36" s="331" customFormat="1" ht="11.25" customHeight="1" x14ac:dyDescent="0.3">
      <c r="A22" s="342"/>
      <c r="B22" s="56"/>
      <c r="C22" s="316"/>
      <c r="D22" s="58"/>
      <c r="E22" s="61"/>
      <c r="F22" s="47"/>
      <c r="G22" s="47"/>
      <c r="H22" s="47"/>
      <c r="I22" s="47"/>
      <c r="J22" s="47"/>
      <c r="K22" s="47"/>
      <c r="L22" s="321"/>
      <c r="M22" s="322"/>
      <c r="N22" s="321"/>
      <c r="O22" s="322"/>
      <c r="P22" s="321"/>
      <c r="Q22" s="322"/>
      <c r="R22" s="467"/>
      <c r="S22" s="321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321"/>
      <c r="AG22" s="47"/>
      <c r="AH22" s="307"/>
    </row>
    <row r="23" spans="1:36" s="284" customFormat="1" ht="11.25" customHeight="1" x14ac:dyDescent="0.3">
      <c r="A23" s="328" t="s">
        <v>287</v>
      </c>
      <c r="B23" s="143"/>
      <c r="C23" s="343"/>
      <c r="D23" s="70"/>
      <c r="E23" s="111"/>
      <c r="F23" s="296"/>
      <c r="G23" s="296"/>
      <c r="H23" s="296"/>
      <c r="I23" s="296"/>
      <c r="J23" s="296"/>
      <c r="K23" s="296"/>
      <c r="L23" s="326"/>
      <c r="M23" s="327"/>
      <c r="N23" s="326"/>
      <c r="O23" s="327"/>
      <c r="P23" s="326"/>
      <c r="Q23" s="327"/>
      <c r="R23" s="468"/>
      <c r="S23" s="326"/>
      <c r="T23" s="296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326"/>
      <c r="AG23" s="296"/>
      <c r="AH23" s="307"/>
      <c r="AJ23" s="344"/>
    </row>
    <row r="24" spans="1:36" s="303" customFormat="1" ht="11.25" customHeight="1" outlineLevel="1" x14ac:dyDescent="0.3">
      <c r="A24" s="315" t="s">
        <v>199</v>
      </c>
      <c r="B24" s="154">
        <v>1</v>
      </c>
      <c r="C24" s="47" t="s">
        <v>107</v>
      </c>
      <c r="D24" s="59">
        <v>1844.5</v>
      </c>
      <c r="E24" s="61">
        <f t="shared" si="4"/>
        <v>1844.5</v>
      </c>
      <c r="F24" s="47"/>
      <c r="G24" s="47"/>
      <c r="H24" s="47"/>
      <c r="I24" s="47"/>
      <c r="J24" s="47"/>
      <c r="K24" s="47"/>
      <c r="L24" s="321"/>
      <c r="M24" s="322"/>
      <c r="N24" s="321"/>
      <c r="O24" s="322"/>
      <c r="P24" s="321"/>
      <c r="Q24" s="322"/>
      <c r="R24" s="467"/>
      <c r="S24" s="321"/>
      <c r="T24" s="47">
        <f>E24</f>
        <v>1844.5</v>
      </c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321"/>
      <c r="AG24" s="321"/>
      <c r="AH24" s="307"/>
    </row>
    <row r="25" spans="1:36" s="331" customFormat="1" ht="11.25" customHeight="1" outlineLevel="1" x14ac:dyDescent="0.3">
      <c r="A25" s="315" t="s">
        <v>272</v>
      </c>
      <c r="B25" s="93">
        <v>1.2500000000000001E-2</v>
      </c>
      <c r="C25" s="306" t="s">
        <v>114</v>
      </c>
      <c r="D25" s="58">
        <f t="shared" ref="D25:D59" si="16">$E$21</f>
        <v>8727272.7272727266</v>
      </c>
      <c r="E25" s="61">
        <f t="shared" si="4"/>
        <v>109090.90909090909</v>
      </c>
      <c r="F25" s="47"/>
      <c r="G25" s="47"/>
      <c r="H25" s="47"/>
      <c r="I25" s="47"/>
      <c r="J25" s="47"/>
      <c r="K25" s="47"/>
      <c r="L25" s="321"/>
      <c r="M25" s="322"/>
      <c r="N25" s="321"/>
      <c r="O25" s="322"/>
      <c r="P25" s="321"/>
      <c r="Q25" s="322"/>
      <c r="R25" s="467"/>
      <c r="S25" s="321"/>
      <c r="T25" s="47">
        <f>E25</f>
        <v>109090.90909090909</v>
      </c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321"/>
      <c r="AG25" s="47"/>
      <c r="AH25" s="307">
        <f t="shared" ref="AH25:AH31" si="17">SUBTOTAL(9,F25:AG25)</f>
        <v>109090.90909090909</v>
      </c>
    </row>
    <row r="26" spans="1:36" s="303" customFormat="1" ht="11.25" customHeight="1" outlineLevel="1" x14ac:dyDescent="0.3">
      <c r="A26" s="315" t="s">
        <v>288</v>
      </c>
      <c r="B26" s="154">
        <v>1</v>
      </c>
      <c r="C26" s="47" t="s">
        <v>107</v>
      </c>
      <c r="D26" s="59">
        <v>4000</v>
      </c>
      <c r="E26" s="61">
        <f t="shared" si="4"/>
        <v>4000</v>
      </c>
      <c r="F26" s="47"/>
      <c r="G26" s="47"/>
      <c r="H26" s="47"/>
      <c r="I26" s="47"/>
      <c r="J26" s="47"/>
      <c r="K26" s="47"/>
      <c r="L26" s="321"/>
      <c r="M26" s="322"/>
      <c r="N26" s="321"/>
      <c r="O26" s="322"/>
      <c r="P26" s="321"/>
      <c r="Q26" s="322"/>
      <c r="R26" s="467"/>
      <c r="S26" s="321"/>
      <c r="T26" s="47">
        <f>E26</f>
        <v>4000</v>
      </c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321"/>
      <c r="AG26" s="321"/>
      <c r="AH26" s="307">
        <f t="shared" si="17"/>
        <v>4000</v>
      </c>
    </row>
    <row r="27" spans="1:36" s="331" customFormat="1" ht="11.25" customHeight="1" outlineLevel="1" x14ac:dyDescent="0.3">
      <c r="A27" s="315" t="s">
        <v>289</v>
      </c>
      <c r="B27" s="128">
        <f>IF(D27=0,0,E27/D27)</f>
        <v>14</v>
      </c>
      <c r="C27" s="47" t="s">
        <v>276</v>
      </c>
      <c r="D27" s="59">
        <v>1000</v>
      </c>
      <c r="E27" s="61">
        <f>AH27</f>
        <v>14000</v>
      </c>
      <c r="F27" s="47"/>
      <c r="G27" s="47"/>
      <c r="H27" s="47"/>
      <c r="I27" s="47"/>
      <c r="J27" s="47"/>
      <c r="K27" s="47"/>
      <c r="L27" s="321"/>
      <c r="M27" s="322"/>
      <c r="N27" s="321"/>
      <c r="O27" s="322"/>
      <c r="P27" s="321"/>
      <c r="Q27" s="322"/>
      <c r="R27" s="467"/>
      <c r="S27" s="321"/>
      <c r="T27" s="47">
        <f t="shared" ref="T27:AG27" si="18">$D$27</f>
        <v>1000</v>
      </c>
      <c r="U27" s="47">
        <f t="shared" si="18"/>
        <v>1000</v>
      </c>
      <c r="V27" s="47">
        <f t="shared" si="18"/>
        <v>1000</v>
      </c>
      <c r="W27" s="47">
        <f t="shared" si="18"/>
        <v>1000</v>
      </c>
      <c r="X27" s="47">
        <f t="shared" si="18"/>
        <v>1000</v>
      </c>
      <c r="Y27" s="47">
        <f t="shared" si="18"/>
        <v>1000</v>
      </c>
      <c r="Z27" s="47">
        <f t="shared" si="18"/>
        <v>1000</v>
      </c>
      <c r="AA27" s="47">
        <f t="shared" si="18"/>
        <v>1000</v>
      </c>
      <c r="AB27" s="47">
        <f t="shared" si="18"/>
        <v>1000</v>
      </c>
      <c r="AC27" s="47">
        <f t="shared" si="18"/>
        <v>1000</v>
      </c>
      <c r="AD27" s="47">
        <f t="shared" si="18"/>
        <v>1000</v>
      </c>
      <c r="AE27" s="47">
        <f t="shared" si="18"/>
        <v>1000</v>
      </c>
      <c r="AF27" s="321">
        <f t="shared" si="18"/>
        <v>1000</v>
      </c>
      <c r="AG27" s="321">
        <f t="shared" si="18"/>
        <v>1000</v>
      </c>
      <c r="AH27" s="307">
        <f t="shared" si="17"/>
        <v>14000</v>
      </c>
    </row>
    <row r="28" spans="1:36" s="331" customFormat="1" ht="11.25" customHeight="1" outlineLevel="1" x14ac:dyDescent="0.3">
      <c r="A28" s="315" t="s">
        <v>290</v>
      </c>
      <c r="B28" s="93">
        <v>5.0000000000000001E-3</v>
      </c>
      <c r="C28" s="306" t="s">
        <v>114</v>
      </c>
      <c r="D28" s="58">
        <f t="shared" si="16"/>
        <v>8727272.7272727266</v>
      </c>
      <c r="E28" s="61">
        <f t="shared" si="4"/>
        <v>43636.363636363632</v>
      </c>
      <c r="F28" s="47"/>
      <c r="G28" s="47"/>
      <c r="H28" s="47"/>
      <c r="I28" s="47"/>
      <c r="J28" s="47"/>
      <c r="K28" s="47"/>
      <c r="L28" s="321"/>
      <c r="M28" s="322"/>
      <c r="N28" s="321"/>
      <c r="O28" s="322"/>
      <c r="P28" s="321"/>
      <c r="Q28" s="322"/>
      <c r="R28" s="467"/>
      <c r="S28" s="321"/>
      <c r="T28" s="47">
        <f>E28</f>
        <v>43636.363636363632</v>
      </c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321"/>
      <c r="AG28" s="47"/>
      <c r="AH28" s="307">
        <f t="shared" si="17"/>
        <v>43636.363636363632</v>
      </c>
    </row>
    <row r="29" spans="1:36" s="331" customFormat="1" ht="11.25" customHeight="1" outlineLevel="1" x14ac:dyDescent="0.3">
      <c r="A29" s="319" t="s">
        <v>291</v>
      </c>
      <c r="B29" s="93">
        <v>8.14E-2</v>
      </c>
      <c r="C29" s="306" t="s">
        <v>278</v>
      </c>
      <c r="D29" s="58"/>
      <c r="E29" s="61"/>
      <c r="F29" s="306"/>
      <c r="G29" s="306"/>
      <c r="H29" s="306"/>
      <c r="I29" s="306"/>
      <c r="J29" s="306"/>
      <c r="K29" s="306"/>
      <c r="L29" s="305"/>
      <c r="M29" s="71"/>
      <c r="N29" s="305"/>
      <c r="O29" s="71"/>
      <c r="P29" s="305"/>
      <c r="Q29" s="71"/>
      <c r="R29" s="464"/>
      <c r="S29" s="305"/>
      <c r="T29" s="306">
        <f>$B29*S$5/365</f>
        <v>6.6904109589041097E-3</v>
      </c>
      <c r="U29" s="306">
        <f t="shared" ref="U29:AG34" si="19">$B29*T$5/365</f>
        <v>6.9134246575342471E-3</v>
      </c>
      <c r="V29" s="306">
        <f t="shared" si="19"/>
        <v>6.6904109589041097E-3</v>
      </c>
      <c r="W29" s="306">
        <f t="shared" si="19"/>
        <v>6.9134246575342471E-3</v>
      </c>
      <c r="X29" s="306">
        <f t="shared" si="19"/>
        <v>6.9134246575342471E-3</v>
      </c>
      <c r="Y29" s="306">
        <f t="shared" si="19"/>
        <v>6.2443835616438357E-3</v>
      </c>
      <c r="Z29" s="306">
        <f t="shared" si="19"/>
        <v>6.9134246575342471E-3</v>
      </c>
      <c r="AA29" s="306">
        <f t="shared" si="19"/>
        <v>6.6904109589041097E-3</v>
      </c>
      <c r="AB29" s="306">
        <f t="shared" si="19"/>
        <v>6.9134246575342471E-3</v>
      </c>
      <c r="AC29" s="306">
        <f t="shared" si="19"/>
        <v>6.6904109589041097E-3</v>
      </c>
      <c r="AD29" s="306">
        <f t="shared" si="19"/>
        <v>6.9134246575342471E-3</v>
      </c>
      <c r="AE29" s="306">
        <f t="shared" si="19"/>
        <v>6.6904109589041097E-3</v>
      </c>
      <c r="AF29" s="305">
        <f t="shared" si="19"/>
        <v>6.9134246575342471E-3</v>
      </c>
      <c r="AG29" s="306">
        <f t="shared" si="19"/>
        <v>6.6904109589041097E-3</v>
      </c>
      <c r="AH29" s="320">
        <f t="shared" si="17"/>
        <v>9.4780821917808206E-2</v>
      </c>
    </row>
    <row r="30" spans="1:36" s="331" customFormat="1" ht="11.25" customHeight="1" outlineLevel="1" x14ac:dyDescent="0.3">
      <c r="A30" s="304" t="s">
        <v>292</v>
      </c>
      <c r="B30" s="71">
        <f t="shared" si="2"/>
        <v>1.2711348958333334E-2</v>
      </c>
      <c r="C30" s="306" t="s">
        <v>114</v>
      </c>
      <c r="D30" s="58">
        <f t="shared" si="16"/>
        <v>8727272.7272727266</v>
      </c>
      <c r="E30" s="61">
        <f>AH30</f>
        <v>110935.40909090909</v>
      </c>
      <c r="F30" s="306"/>
      <c r="G30" s="306"/>
      <c r="H30" s="306"/>
      <c r="I30" s="306"/>
      <c r="J30" s="306"/>
      <c r="K30" s="306"/>
      <c r="L30" s="305"/>
      <c r="M30" s="71"/>
      <c r="N30" s="305"/>
      <c r="O30" s="71"/>
      <c r="P30" s="317"/>
      <c r="Q30" s="322"/>
      <c r="R30" s="467"/>
      <c r="S30" s="321"/>
      <c r="T30" s="47">
        <f t="shared" ref="T30:AG30" si="20">SUM(T24:T25)</f>
        <v>110935.40909090909</v>
      </c>
      <c r="U30" s="47">
        <f t="shared" si="20"/>
        <v>0</v>
      </c>
      <c r="V30" s="47">
        <f t="shared" si="20"/>
        <v>0</v>
      </c>
      <c r="W30" s="47">
        <f t="shared" si="20"/>
        <v>0</v>
      </c>
      <c r="X30" s="47">
        <f t="shared" si="20"/>
        <v>0</v>
      </c>
      <c r="Y30" s="47">
        <f t="shared" si="20"/>
        <v>0</v>
      </c>
      <c r="Z30" s="47">
        <f t="shared" si="20"/>
        <v>0</v>
      </c>
      <c r="AA30" s="47">
        <f t="shared" si="20"/>
        <v>0</v>
      </c>
      <c r="AB30" s="47">
        <f t="shared" si="20"/>
        <v>0</v>
      </c>
      <c r="AC30" s="47">
        <f t="shared" si="20"/>
        <v>0</v>
      </c>
      <c r="AD30" s="47">
        <f t="shared" si="20"/>
        <v>0</v>
      </c>
      <c r="AE30" s="47">
        <f t="shared" si="20"/>
        <v>0</v>
      </c>
      <c r="AF30" s="321">
        <f t="shared" si="20"/>
        <v>0</v>
      </c>
      <c r="AG30" s="47">
        <f t="shared" si="20"/>
        <v>0</v>
      </c>
      <c r="AH30" s="307">
        <f t="shared" si="17"/>
        <v>110935.40909090909</v>
      </c>
    </row>
    <row r="31" spans="1:36" s="331" customFormat="1" ht="11.25" customHeight="1" outlineLevel="1" x14ac:dyDescent="0.3">
      <c r="A31" s="304" t="s">
        <v>293</v>
      </c>
      <c r="B31" s="71">
        <f t="shared" si="2"/>
        <v>7.0625000000000002E-3</v>
      </c>
      <c r="C31" s="306"/>
      <c r="D31" s="58">
        <f t="shared" si="16"/>
        <v>8727272.7272727266</v>
      </c>
      <c r="E31" s="61">
        <f>AH31</f>
        <v>61636.363636363632</v>
      </c>
      <c r="F31" s="306"/>
      <c r="G31" s="306"/>
      <c r="H31" s="306"/>
      <c r="I31" s="306"/>
      <c r="J31" s="306"/>
      <c r="K31" s="306"/>
      <c r="L31" s="305"/>
      <c r="M31" s="71"/>
      <c r="N31" s="305"/>
      <c r="O31" s="71"/>
      <c r="P31" s="317"/>
      <c r="Q31" s="322"/>
      <c r="R31" s="467"/>
      <c r="S31" s="321"/>
      <c r="T31" s="47">
        <f>SUM(T26:T28)</f>
        <v>48636.363636363632</v>
      </c>
      <c r="U31" s="47">
        <f t="shared" ref="U31:AG31" si="21">SUM(U26:U28)</f>
        <v>1000</v>
      </c>
      <c r="V31" s="47">
        <f t="shared" si="21"/>
        <v>1000</v>
      </c>
      <c r="W31" s="47">
        <f t="shared" si="21"/>
        <v>1000</v>
      </c>
      <c r="X31" s="47">
        <f t="shared" si="21"/>
        <v>1000</v>
      </c>
      <c r="Y31" s="47">
        <f t="shared" si="21"/>
        <v>1000</v>
      </c>
      <c r="Z31" s="47">
        <f t="shared" si="21"/>
        <v>1000</v>
      </c>
      <c r="AA31" s="47">
        <f t="shared" si="21"/>
        <v>1000</v>
      </c>
      <c r="AB31" s="47">
        <f t="shared" si="21"/>
        <v>1000</v>
      </c>
      <c r="AC31" s="47">
        <f t="shared" si="21"/>
        <v>1000</v>
      </c>
      <c r="AD31" s="47">
        <f t="shared" si="21"/>
        <v>1000</v>
      </c>
      <c r="AE31" s="47">
        <f t="shared" si="21"/>
        <v>1000</v>
      </c>
      <c r="AF31" s="321">
        <f t="shared" si="21"/>
        <v>1000</v>
      </c>
      <c r="AG31" s="47">
        <f t="shared" si="21"/>
        <v>1000</v>
      </c>
      <c r="AH31" s="307">
        <f t="shared" si="17"/>
        <v>61636.363636363632</v>
      </c>
    </row>
    <row r="32" spans="1:36" s="331" customFormat="1" ht="11.25" customHeight="1" outlineLevel="1" x14ac:dyDescent="0.3">
      <c r="A32" s="315" t="s">
        <v>294</v>
      </c>
      <c r="B32" s="71">
        <f t="shared" si="2"/>
        <v>3.3971332899543384E-2</v>
      </c>
      <c r="C32" s="47" t="s">
        <v>114</v>
      </c>
      <c r="D32" s="58">
        <f t="shared" si="16"/>
        <v>8727272.7272727266</v>
      </c>
      <c r="E32" s="61">
        <f>AH32</f>
        <v>296477.08712328767</v>
      </c>
      <c r="F32" s="345"/>
      <c r="G32" s="345"/>
      <c r="H32" s="345"/>
      <c r="I32" s="345"/>
      <c r="J32" s="345"/>
      <c r="K32" s="345"/>
      <c r="L32" s="335"/>
      <c r="M32" s="336"/>
      <c r="N32" s="335"/>
      <c r="O32" s="336"/>
      <c r="P32" s="335"/>
      <c r="Q32" s="336"/>
      <c r="R32" s="345"/>
      <c r="S32" s="335"/>
      <c r="T32" s="345">
        <v>0</v>
      </c>
      <c r="U32" s="345">
        <f t="shared" ref="U32:AG32" si="22">$D$16*T29</f>
        <v>22517.247123287671</v>
      </c>
      <c r="V32" s="345">
        <f t="shared" si="22"/>
        <v>23267.822027397262</v>
      </c>
      <c r="W32" s="345">
        <f t="shared" si="22"/>
        <v>22517.247123287671</v>
      </c>
      <c r="X32" s="345">
        <f t="shared" si="22"/>
        <v>23267.822027397262</v>
      </c>
      <c r="Y32" s="345">
        <f t="shared" si="22"/>
        <v>23267.822027397262</v>
      </c>
      <c r="Z32" s="345">
        <f t="shared" si="22"/>
        <v>21016.097315068495</v>
      </c>
      <c r="AA32" s="345">
        <f t="shared" si="22"/>
        <v>23267.822027397262</v>
      </c>
      <c r="AB32" s="345">
        <f t="shared" si="22"/>
        <v>22517.247123287671</v>
      </c>
      <c r="AC32" s="345">
        <f t="shared" si="22"/>
        <v>23267.822027397262</v>
      </c>
      <c r="AD32" s="345">
        <f t="shared" si="22"/>
        <v>22517.247123287671</v>
      </c>
      <c r="AE32" s="345">
        <f t="shared" si="22"/>
        <v>23267.822027397262</v>
      </c>
      <c r="AF32" s="321">
        <f t="shared" si="22"/>
        <v>22517.247123287671</v>
      </c>
      <c r="AG32" s="47">
        <f t="shared" si="22"/>
        <v>23267.822027397262</v>
      </c>
      <c r="AH32" s="307">
        <f t="shared" ref="AH32:AH33" si="23">SUM(T32:AG32)</f>
        <v>296477.08712328767</v>
      </c>
    </row>
    <row r="33" spans="1:34" s="331" customFormat="1" ht="11.25" customHeight="1" outlineLevel="1" x14ac:dyDescent="0.3">
      <c r="A33" s="315" t="s">
        <v>295</v>
      </c>
      <c r="B33" s="71">
        <f t="shared" si="2"/>
        <v>3.3980795289084771E-2</v>
      </c>
      <c r="C33" s="47" t="s">
        <v>114</v>
      </c>
      <c r="D33" s="58">
        <f t="shared" si="16"/>
        <v>8727272.7272727266</v>
      </c>
      <c r="E33" s="61">
        <f>AH33</f>
        <v>296559.66797746706</v>
      </c>
      <c r="F33" s="345"/>
      <c r="G33" s="345"/>
      <c r="H33" s="345"/>
      <c r="I33" s="345"/>
      <c r="J33" s="345"/>
      <c r="K33" s="345"/>
      <c r="L33" s="335"/>
      <c r="M33" s="336"/>
      <c r="N33" s="335"/>
      <c r="O33" s="336"/>
      <c r="P33" s="335"/>
      <c r="Q33" s="336"/>
      <c r="R33" s="345"/>
      <c r="S33" s="335"/>
      <c r="T33" s="345">
        <v>0</v>
      </c>
      <c r="U33" s="345">
        <f>T29*(T20*$D$49+T30)</f>
        <v>2578.9353980697947</v>
      </c>
      <c r="V33" s="345">
        <f t="shared" ref="V33:AG33" si="24">U29*(U33/T29+U20*$D$49)</f>
        <v>5322.0387575692557</v>
      </c>
      <c r="W33" s="345">
        <f t="shared" si="24"/>
        <v>8823.8239306851792</v>
      </c>
      <c r="X33" s="345">
        <f t="shared" si="24"/>
        <v>13673.046560007868</v>
      </c>
      <c r="Y33" s="345">
        <f t="shared" si="24"/>
        <v>17468.959197479962</v>
      </c>
      <c r="Z33" s="345">
        <f t="shared" si="24"/>
        <v>19206.981012214761</v>
      </c>
      <c r="AA33" s="345">
        <f t="shared" si="24"/>
        <v>25060.784472424155</v>
      </c>
      <c r="AB33" s="345">
        <f t="shared" si="24"/>
        <v>27191.143144259833</v>
      </c>
      <c r="AC33" s="345">
        <f t="shared" si="24"/>
        <v>31134.244692379511</v>
      </c>
      <c r="AD33" s="345">
        <f t="shared" si="24"/>
        <v>33068.685292603725</v>
      </c>
      <c r="AE33" s="345">
        <f t="shared" si="24"/>
        <v>36828.113648587649</v>
      </c>
      <c r="AF33" s="321">
        <f t="shared" si="24"/>
        <v>37476.841903861641</v>
      </c>
      <c r="AG33" s="47">
        <f t="shared" si="24"/>
        <v>38726.069967323696</v>
      </c>
      <c r="AH33" s="307">
        <f t="shared" si="23"/>
        <v>296559.66797746706</v>
      </c>
    </row>
    <row r="34" spans="1:34" s="331" customFormat="1" ht="11.25" customHeight="1" outlineLevel="1" x14ac:dyDescent="0.3">
      <c r="A34" s="304" t="s">
        <v>296</v>
      </c>
      <c r="B34" s="93">
        <v>0</v>
      </c>
      <c r="C34" s="306" t="s">
        <v>278</v>
      </c>
      <c r="D34" s="58"/>
      <c r="E34" s="61"/>
      <c r="F34" s="306"/>
      <c r="G34" s="306"/>
      <c r="H34" s="306"/>
      <c r="I34" s="306"/>
      <c r="J34" s="306"/>
      <c r="K34" s="306"/>
      <c r="L34" s="305"/>
      <c r="M34" s="71"/>
      <c r="N34" s="305"/>
      <c r="O34" s="71"/>
      <c r="P34" s="317"/>
      <c r="Q34" s="322"/>
      <c r="R34" s="467"/>
      <c r="S34" s="321"/>
      <c r="T34" s="306">
        <f>$B34*S$5/365</f>
        <v>0</v>
      </c>
      <c r="U34" s="306">
        <f t="shared" si="19"/>
        <v>0</v>
      </c>
      <c r="V34" s="306">
        <f t="shared" si="19"/>
        <v>0</v>
      </c>
      <c r="W34" s="306">
        <f t="shared" si="19"/>
        <v>0</v>
      </c>
      <c r="X34" s="306">
        <f t="shared" si="19"/>
        <v>0</v>
      </c>
      <c r="Y34" s="306">
        <f t="shared" si="19"/>
        <v>0</v>
      </c>
      <c r="Z34" s="306">
        <f t="shared" si="19"/>
        <v>0</v>
      </c>
      <c r="AA34" s="306">
        <f t="shared" si="19"/>
        <v>0</v>
      </c>
      <c r="AB34" s="306">
        <f t="shared" si="19"/>
        <v>0</v>
      </c>
      <c r="AC34" s="306">
        <f t="shared" si="19"/>
        <v>0</v>
      </c>
      <c r="AD34" s="306">
        <f t="shared" si="19"/>
        <v>0</v>
      </c>
      <c r="AE34" s="306">
        <f t="shared" si="19"/>
        <v>0</v>
      </c>
      <c r="AF34" s="305">
        <f t="shared" si="19"/>
        <v>0</v>
      </c>
      <c r="AG34" s="306">
        <f t="shared" si="19"/>
        <v>0</v>
      </c>
      <c r="AH34" s="307">
        <f>SUBTOTAL(9,F34:AG34)</f>
        <v>0</v>
      </c>
    </row>
    <row r="35" spans="1:34" s="331" customFormat="1" ht="11.25" customHeight="1" outlineLevel="1" x14ac:dyDescent="0.3">
      <c r="A35" s="304" t="s">
        <v>297</v>
      </c>
      <c r="B35" s="346">
        <f t="shared" si="2"/>
        <v>0</v>
      </c>
      <c r="C35" s="306" t="s">
        <v>114</v>
      </c>
      <c r="D35" s="58">
        <f t="shared" si="16"/>
        <v>8727272.7272727266</v>
      </c>
      <c r="E35" s="61">
        <f t="shared" si="12"/>
        <v>0</v>
      </c>
      <c r="F35" s="306"/>
      <c r="G35" s="306"/>
      <c r="H35" s="306"/>
      <c r="I35" s="306"/>
      <c r="J35" s="306"/>
      <c r="K35" s="306"/>
      <c r="L35" s="305"/>
      <c r="M35" s="71"/>
      <c r="N35" s="305"/>
      <c r="O35" s="71"/>
      <c r="P35" s="317"/>
      <c r="Q35" s="322"/>
      <c r="R35" s="467"/>
      <c r="S35" s="321"/>
      <c r="T35" s="47">
        <f>IF($B$34=0,0,(($D$35-#REF!-#REF!)-SUM(U32:U33))*T34)</f>
        <v>0</v>
      </c>
      <c r="U35" s="47">
        <f>IF($B$34=0,0,((T35/T34-SUM(#REF!,V32:V33)))*U34)</f>
        <v>0</v>
      </c>
      <c r="V35" s="47">
        <f>IF($B$34=0,0,((U35/U34-SUM(#REF!,W32:W33)))*V34)</f>
        <v>0</v>
      </c>
      <c r="W35" s="47">
        <f>IF($B$34=0,0,((V35/V34-SUM(#REF!,X32:X33)))*W34)</f>
        <v>0</v>
      </c>
      <c r="X35" s="47">
        <f>IF($B$34=0,0,((W35/W34-SUM(#REF!,Y32:Y33)))*X34)</f>
        <v>0</v>
      </c>
      <c r="Y35" s="47">
        <f>IF($B$34=0,0,((X35/X34-SUM(#REF!,Z32:Z33)))*Y34)</f>
        <v>0</v>
      </c>
      <c r="Z35" s="47">
        <f>IF($B$34=0,0,((Y35/Y34-SUM(#REF!,AA32:AA33)))*Z34)</f>
        <v>0</v>
      </c>
      <c r="AA35" s="47">
        <f>IF($B$34=0,0,((Z35/Z34-SUM(#REF!,AB32:AB33)))*AA34)</f>
        <v>0</v>
      </c>
      <c r="AB35" s="47">
        <f>IF($B$34=0,0,((AA35/AA34-SUM(#REF!,AC32:AC33)))*AB34)</f>
        <v>0</v>
      </c>
      <c r="AC35" s="47">
        <f>IF($B$34=0,0,((AB35/AB34-SUM(#REF!,AD32:AD33)))*AC34)</f>
        <v>0</v>
      </c>
      <c r="AD35" s="47">
        <f>IF($B$34=0,0,((AC35/AC34-SUM(#REF!,AE32:AE33)))*AD34)</f>
        <v>0</v>
      </c>
      <c r="AE35" s="47">
        <f>IF($B$34=0,0,((AD35/AD34-SUM(#REF!,AF32:AF33)))*AE34)</f>
        <v>0</v>
      </c>
      <c r="AF35" s="321">
        <f>IF($B$34=0,0,((AE35/AE34-SUM(#REF!,AG32:AG33)))*AF34)</f>
        <v>0</v>
      </c>
      <c r="AG35" s="47">
        <f>IF($B$34=0,0,((AF35/AF34-SUM(#REF!,AH32:AH33)))*AG34)</f>
        <v>0</v>
      </c>
      <c r="AH35" s="307">
        <f>SUBTOTAL(9,F35:AG35)</f>
        <v>0</v>
      </c>
    </row>
    <row r="36" spans="1:34" s="284" customFormat="1" ht="11.25" customHeight="1" x14ac:dyDescent="0.3">
      <c r="A36" s="294" t="s">
        <v>298</v>
      </c>
      <c r="B36" s="174">
        <f t="shared" si="11"/>
        <v>8.7725977146961481E-2</v>
      </c>
      <c r="C36" s="300" t="s">
        <v>114</v>
      </c>
      <c r="D36" s="70">
        <f t="shared" si="16"/>
        <v>8727272.7272727266</v>
      </c>
      <c r="E36" s="111">
        <f t="shared" si="12"/>
        <v>-765608.52782802738</v>
      </c>
      <c r="F36" s="300"/>
      <c r="G36" s="300"/>
      <c r="H36" s="300"/>
      <c r="I36" s="300"/>
      <c r="J36" s="300"/>
      <c r="K36" s="300"/>
      <c r="L36" s="297"/>
      <c r="M36" s="174"/>
      <c r="N36" s="297"/>
      <c r="O36" s="174"/>
      <c r="P36" s="301"/>
      <c r="Q36" s="327"/>
      <c r="R36" s="468"/>
      <c r="S36" s="326"/>
      <c r="T36" s="296">
        <f>SUM(T30:T33,S35)</f>
        <v>159571.77272727271</v>
      </c>
      <c r="U36" s="296">
        <f t="shared" ref="U36:AF36" si="25">SUM(U30:U33,T35)</f>
        <v>26096.182521357467</v>
      </c>
      <c r="V36" s="296">
        <f t="shared" si="25"/>
        <v>29589.860784966517</v>
      </c>
      <c r="W36" s="296">
        <f t="shared" si="25"/>
        <v>32341.07105397285</v>
      </c>
      <c r="X36" s="296">
        <f t="shared" si="25"/>
        <v>37940.86858740513</v>
      </c>
      <c r="Y36" s="296">
        <f t="shared" si="25"/>
        <v>41736.781224877224</v>
      </c>
      <c r="Z36" s="296">
        <f t="shared" si="25"/>
        <v>41223.078327283256</v>
      </c>
      <c r="AA36" s="296">
        <f t="shared" si="25"/>
        <v>49328.606499821413</v>
      </c>
      <c r="AB36" s="296">
        <f t="shared" si="25"/>
        <v>50708.390267547504</v>
      </c>
      <c r="AC36" s="296">
        <f t="shared" si="25"/>
        <v>55402.066719776776</v>
      </c>
      <c r="AD36" s="296">
        <f t="shared" si="25"/>
        <v>56585.932415891395</v>
      </c>
      <c r="AE36" s="296">
        <f t="shared" si="25"/>
        <v>61095.935675984911</v>
      </c>
      <c r="AF36" s="326">
        <f t="shared" si="25"/>
        <v>60994.089027149312</v>
      </c>
      <c r="AG36" s="296">
        <f>SUM(AG30:AG33,AF35)</f>
        <v>62993.891994720958</v>
      </c>
      <c r="AH36" s="302">
        <f>SUBTOTAL(9,F36:AG36)</f>
        <v>765608.52782802738</v>
      </c>
    </row>
    <row r="37" spans="1:34" s="331" customFormat="1" ht="11.25" customHeight="1" x14ac:dyDescent="0.3">
      <c r="A37" s="315"/>
      <c r="B37" s="128"/>
      <c r="C37" s="47"/>
      <c r="D37" s="58"/>
      <c r="E37" s="61"/>
      <c r="F37" s="345"/>
      <c r="G37" s="345"/>
      <c r="H37" s="345"/>
      <c r="I37" s="345"/>
      <c r="J37" s="345"/>
      <c r="K37" s="345"/>
      <c r="L37" s="335"/>
      <c r="M37" s="336"/>
      <c r="N37" s="335"/>
      <c r="O37" s="336"/>
      <c r="P37" s="335"/>
      <c r="Q37" s="336"/>
      <c r="R37" s="345"/>
      <c r="S37" s="335"/>
      <c r="T37" s="345"/>
      <c r="U37" s="345"/>
      <c r="V37" s="345"/>
      <c r="W37" s="345"/>
      <c r="X37" s="345"/>
      <c r="Y37" s="345"/>
      <c r="Z37" s="345"/>
      <c r="AA37" s="345"/>
      <c r="AB37" s="345"/>
      <c r="AC37" s="345"/>
      <c r="AD37" s="345"/>
      <c r="AE37" s="345"/>
      <c r="AF37" s="335"/>
      <c r="AG37" s="345"/>
      <c r="AH37" s="307"/>
    </row>
    <row r="38" spans="1:34" s="284" customFormat="1" ht="11.25" customHeight="1" x14ac:dyDescent="0.3">
      <c r="A38" s="347" t="s">
        <v>299</v>
      </c>
      <c r="B38" s="174"/>
      <c r="C38" s="296"/>
      <c r="D38" s="70"/>
      <c r="E38" s="111"/>
      <c r="F38" s="348"/>
      <c r="G38" s="348"/>
      <c r="H38" s="348"/>
      <c r="I38" s="348"/>
      <c r="J38" s="348"/>
      <c r="K38" s="348"/>
      <c r="L38" s="349"/>
      <c r="M38" s="350"/>
      <c r="N38" s="349"/>
      <c r="O38" s="350"/>
      <c r="P38" s="349"/>
      <c r="Q38" s="350"/>
      <c r="R38" s="348"/>
      <c r="S38" s="349"/>
      <c r="T38" s="348"/>
      <c r="U38" s="348"/>
      <c r="V38" s="348"/>
      <c r="W38" s="348"/>
      <c r="X38" s="348"/>
      <c r="Y38" s="348"/>
      <c r="Z38" s="348"/>
      <c r="AA38" s="348"/>
      <c r="AB38" s="348"/>
      <c r="AC38" s="348"/>
      <c r="AD38" s="348"/>
      <c r="AE38" s="348"/>
      <c r="AF38" s="349"/>
      <c r="AG38" s="348"/>
      <c r="AH38" s="302"/>
    </row>
    <row r="39" spans="1:34" s="351" customFormat="1" ht="11.25" customHeight="1" outlineLevel="1" x14ac:dyDescent="0.3">
      <c r="A39" s="479" t="s">
        <v>300</v>
      </c>
      <c r="B39" s="71">
        <v>1</v>
      </c>
      <c r="C39" s="316" t="s">
        <v>114</v>
      </c>
      <c r="D39" s="58">
        <f>'FEASABILITY STUDY'!$E$163</f>
        <v>5490640.05975</v>
      </c>
      <c r="E39" s="61">
        <f>B39*D39</f>
        <v>5490640.05975</v>
      </c>
      <c r="F39" s="345"/>
      <c r="G39" s="345"/>
      <c r="H39" s="345"/>
      <c r="I39" s="345"/>
      <c r="J39" s="345"/>
      <c r="K39" s="345"/>
      <c r="L39" s="335"/>
      <c r="M39" s="336"/>
      <c r="N39" s="335"/>
      <c r="O39" s="336"/>
      <c r="P39" s="335"/>
      <c r="Q39" s="336"/>
      <c r="R39" s="345"/>
      <c r="S39" s="335"/>
      <c r="T39" s="345">
        <v>0</v>
      </c>
      <c r="U39" s="345">
        <f>$E$39*T$20</f>
        <v>274532.00298749999</v>
      </c>
      <c r="V39" s="345">
        <f t="shared" ref="V39:AG39" si="26">$E$39*U20</f>
        <v>384344.80418250005</v>
      </c>
      <c r="W39" s="345">
        <f t="shared" si="26"/>
        <v>549064.00597499998</v>
      </c>
      <c r="X39" s="345">
        <f t="shared" si="26"/>
        <v>658876.80716999993</v>
      </c>
      <c r="Y39" s="345">
        <f t="shared" si="26"/>
        <v>549064.00597499998</v>
      </c>
      <c r="Z39" s="345">
        <f t="shared" si="26"/>
        <v>549064.00597499998</v>
      </c>
      <c r="AA39" s="345">
        <f t="shared" si="26"/>
        <v>549064.00597499998</v>
      </c>
      <c r="AB39" s="345">
        <f t="shared" si="26"/>
        <v>439251.20478000003</v>
      </c>
      <c r="AC39" s="345">
        <f t="shared" si="26"/>
        <v>439251.20478000003</v>
      </c>
      <c r="AD39" s="345">
        <f t="shared" si="26"/>
        <v>439251.20478000003</v>
      </c>
      <c r="AE39" s="345">
        <f t="shared" si="26"/>
        <v>384344.80418250005</v>
      </c>
      <c r="AF39" s="335">
        <f t="shared" si="26"/>
        <v>274532.00298749999</v>
      </c>
      <c r="AG39" s="345">
        <f t="shared" si="26"/>
        <v>0</v>
      </c>
      <c r="AH39" s="307">
        <f t="shared" ref="AH39:AH49" si="27">SUBTOTAL(9,F39:AG39)</f>
        <v>5490640.0597500009</v>
      </c>
    </row>
    <row r="40" spans="1:34" s="351" customFormat="1" ht="11.25" customHeight="1" outlineLevel="1" x14ac:dyDescent="0.3">
      <c r="A40" s="304" t="s">
        <v>251</v>
      </c>
      <c r="B40" s="71">
        <v>0</v>
      </c>
      <c r="C40" s="316" t="s">
        <v>114</v>
      </c>
      <c r="D40" s="58">
        <f>'FEASABILITY STUDY'!$E$163</f>
        <v>5490640.05975</v>
      </c>
      <c r="E40" s="61">
        <f t="shared" si="4"/>
        <v>0</v>
      </c>
      <c r="F40" s="345"/>
      <c r="G40" s="345"/>
      <c r="H40" s="345"/>
      <c r="I40" s="345"/>
      <c r="J40" s="345"/>
      <c r="K40" s="345"/>
      <c r="L40" s="335"/>
      <c r="M40" s="336"/>
      <c r="N40" s="335"/>
      <c r="O40" s="336"/>
      <c r="P40" s="335"/>
      <c r="Q40" s="336"/>
      <c r="R40" s="345"/>
      <c r="S40" s="335"/>
      <c r="T40" s="345">
        <v>0</v>
      </c>
      <c r="U40" s="345">
        <f>$E$40*T$20</f>
        <v>0</v>
      </c>
      <c r="V40" s="345">
        <f t="shared" ref="V40:AG40" si="28">$E$40*U20</f>
        <v>0</v>
      </c>
      <c r="W40" s="345">
        <f t="shared" si="28"/>
        <v>0</v>
      </c>
      <c r="X40" s="345">
        <f t="shared" si="28"/>
        <v>0</v>
      </c>
      <c r="Y40" s="345">
        <f t="shared" si="28"/>
        <v>0</v>
      </c>
      <c r="Z40" s="345">
        <f t="shared" si="28"/>
        <v>0</v>
      </c>
      <c r="AA40" s="345">
        <f t="shared" si="28"/>
        <v>0</v>
      </c>
      <c r="AB40" s="345">
        <f t="shared" si="28"/>
        <v>0</v>
      </c>
      <c r="AC40" s="345">
        <f t="shared" si="28"/>
        <v>0</v>
      </c>
      <c r="AD40" s="345">
        <f t="shared" si="28"/>
        <v>0</v>
      </c>
      <c r="AE40" s="345">
        <f t="shared" si="28"/>
        <v>0</v>
      </c>
      <c r="AF40" s="335">
        <f t="shared" si="28"/>
        <v>0</v>
      </c>
      <c r="AG40" s="345">
        <f t="shared" si="28"/>
        <v>0</v>
      </c>
      <c r="AH40" s="307">
        <f t="shared" si="27"/>
        <v>0</v>
      </c>
    </row>
    <row r="41" spans="1:34" s="351" customFormat="1" ht="11.25" customHeight="1" outlineLevel="1" x14ac:dyDescent="0.3">
      <c r="A41" s="304" t="s">
        <v>479</v>
      </c>
      <c r="B41" s="71">
        <v>0</v>
      </c>
      <c r="C41" s="316" t="s">
        <v>114</v>
      </c>
      <c r="D41" s="58">
        <f>'FEASABILITY STUDY'!$E$163</f>
        <v>5490640.05975</v>
      </c>
      <c r="E41" s="61">
        <f t="shared" si="4"/>
        <v>0</v>
      </c>
      <c r="F41" s="345"/>
      <c r="G41" s="345"/>
      <c r="H41" s="345"/>
      <c r="I41" s="345"/>
      <c r="J41" s="345"/>
      <c r="K41" s="345"/>
      <c r="L41" s="335"/>
      <c r="M41" s="336"/>
      <c r="N41" s="335"/>
      <c r="O41" s="336"/>
      <c r="P41" s="335"/>
      <c r="Q41" s="336"/>
      <c r="R41" s="345"/>
      <c r="S41" s="335"/>
      <c r="T41" s="345">
        <v>0</v>
      </c>
      <c r="U41" s="345">
        <f>$E$41*T$20</f>
        <v>0</v>
      </c>
      <c r="V41" s="345">
        <f t="shared" ref="V41:AG41" si="29">$E$41*U20</f>
        <v>0</v>
      </c>
      <c r="W41" s="345">
        <f t="shared" si="29"/>
        <v>0</v>
      </c>
      <c r="X41" s="345">
        <f t="shared" si="29"/>
        <v>0</v>
      </c>
      <c r="Y41" s="345">
        <f t="shared" si="29"/>
        <v>0</v>
      </c>
      <c r="Z41" s="345">
        <f t="shared" si="29"/>
        <v>0</v>
      </c>
      <c r="AA41" s="345">
        <f t="shared" si="29"/>
        <v>0</v>
      </c>
      <c r="AB41" s="345">
        <f t="shared" si="29"/>
        <v>0</v>
      </c>
      <c r="AC41" s="345">
        <f t="shared" si="29"/>
        <v>0</v>
      </c>
      <c r="AD41" s="345">
        <f t="shared" si="29"/>
        <v>0</v>
      </c>
      <c r="AE41" s="345">
        <f t="shared" si="29"/>
        <v>0</v>
      </c>
      <c r="AF41" s="335">
        <f t="shared" si="29"/>
        <v>0</v>
      </c>
      <c r="AG41" s="345">
        <f t="shared" si="29"/>
        <v>0</v>
      </c>
      <c r="AH41" s="307">
        <f t="shared" si="27"/>
        <v>0</v>
      </c>
    </row>
    <row r="42" spans="1:34" s="351" customFormat="1" ht="11.25" customHeight="1" outlineLevel="1" x14ac:dyDescent="0.3">
      <c r="A42" s="304" t="s">
        <v>301</v>
      </c>
      <c r="B42" s="71">
        <v>0</v>
      </c>
      <c r="C42" s="316" t="s">
        <v>114</v>
      </c>
      <c r="D42" s="58">
        <f>SUM(E39:E41)</f>
        <v>5490640.05975</v>
      </c>
      <c r="E42" s="61">
        <f t="shared" si="4"/>
        <v>0</v>
      </c>
      <c r="F42" s="345"/>
      <c r="G42" s="345"/>
      <c r="H42" s="345"/>
      <c r="I42" s="345"/>
      <c r="J42" s="345"/>
      <c r="K42" s="345"/>
      <c r="L42" s="335"/>
      <c r="M42" s="336"/>
      <c r="N42" s="335"/>
      <c r="O42" s="336"/>
      <c r="P42" s="335"/>
      <c r="Q42" s="336"/>
      <c r="R42" s="345"/>
      <c r="S42" s="335"/>
      <c r="T42" s="345">
        <v>0</v>
      </c>
      <c r="U42" s="345">
        <f>$E$42*T$20</f>
        <v>0</v>
      </c>
      <c r="V42" s="345">
        <f t="shared" ref="V42:AG42" si="30">$E$42*U20</f>
        <v>0</v>
      </c>
      <c r="W42" s="345">
        <f t="shared" si="30"/>
        <v>0</v>
      </c>
      <c r="X42" s="345">
        <f t="shared" si="30"/>
        <v>0</v>
      </c>
      <c r="Y42" s="345">
        <f t="shared" si="30"/>
        <v>0</v>
      </c>
      <c r="Z42" s="345">
        <f t="shared" si="30"/>
        <v>0</v>
      </c>
      <c r="AA42" s="345">
        <f t="shared" si="30"/>
        <v>0</v>
      </c>
      <c r="AB42" s="345">
        <f t="shared" si="30"/>
        <v>0</v>
      </c>
      <c r="AC42" s="345">
        <f t="shared" si="30"/>
        <v>0</v>
      </c>
      <c r="AD42" s="345">
        <f t="shared" si="30"/>
        <v>0</v>
      </c>
      <c r="AE42" s="345">
        <f t="shared" si="30"/>
        <v>0</v>
      </c>
      <c r="AF42" s="335">
        <f t="shared" si="30"/>
        <v>0</v>
      </c>
      <c r="AG42" s="345">
        <f t="shared" si="30"/>
        <v>0</v>
      </c>
      <c r="AH42" s="307">
        <f t="shared" si="27"/>
        <v>0</v>
      </c>
    </row>
    <row r="43" spans="1:34" s="352" customFormat="1" ht="11.25" customHeight="1" outlineLevel="1" x14ac:dyDescent="0.3">
      <c r="A43" s="294" t="s">
        <v>302</v>
      </c>
      <c r="B43" s="174">
        <f t="shared" si="2"/>
        <v>1</v>
      </c>
      <c r="C43" s="324" t="s">
        <v>114</v>
      </c>
      <c r="D43" s="70">
        <f>'FEASABILITY STUDY'!E163</f>
        <v>5490640.05975</v>
      </c>
      <c r="E43" s="111">
        <f t="shared" ref="E43" si="31">SUM(E39:E42)</f>
        <v>5490640.05975</v>
      </c>
      <c r="F43" s="348"/>
      <c r="G43" s="348"/>
      <c r="H43" s="348"/>
      <c r="I43" s="348"/>
      <c r="J43" s="348"/>
      <c r="K43" s="348"/>
      <c r="L43" s="349"/>
      <c r="M43" s="350"/>
      <c r="N43" s="349"/>
      <c r="O43" s="350"/>
      <c r="P43" s="349"/>
      <c r="Q43" s="350"/>
      <c r="R43" s="348"/>
      <c r="S43" s="349"/>
      <c r="T43" s="348">
        <f>S20*$D$49</f>
        <v>0</v>
      </c>
      <c r="U43" s="348">
        <f>T$20*$E$43</f>
        <v>274532.00298749999</v>
      </c>
      <c r="V43" s="348">
        <f t="shared" ref="V43:AG43" si="32">U$20*$E$43</f>
        <v>384344.80418250005</v>
      </c>
      <c r="W43" s="348">
        <f t="shared" si="32"/>
        <v>549064.00597499998</v>
      </c>
      <c r="X43" s="348">
        <f t="shared" si="32"/>
        <v>658876.80716999993</v>
      </c>
      <c r="Y43" s="348">
        <f t="shared" si="32"/>
        <v>549064.00597499998</v>
      </c>
      <c r="Z43" s="348">
        <f t="shared" si="32"/>
        <v>549064.00597499998</v>
      </c>
      <c r="AA43" s="348">
        <f t="shared" si="32"/>
        <v>549064.00597499998</v>
      </c>
      <c r="AB43" s="348">
        <f t="shared" si="32"/>
        <v>439251.20478000003</v>
      </c>
      <c r="AC43" s="348">
        <f t="shared" si="32"/>
        <v>439251.20478000003</v>
      </c>
      <c r="AD43" s="348">
        <f t="shared" si="32"/>
        <v>439251.20478000003</v>
      </c>
      <c r="AE43" s="348">
        <f t="shared" si="32"/>
        <v>384344.80418250005</v>
      </c>
      <c r="AF43" s="349">
        <f t="shared" si="32"/>
        <v>274532.00298749999</v>
      </c>
      <c r="AG43" s="348">
        <f t="shared" si="32"/>
        <v>0</v>
      </c>
      <c r="AH43" s="302">
        <f t="shared" si="27"/>
        <v>5490640.0597500009</v>
      </c>
    </row>
    <row r="44" spans="1:34" s="351" customFormat="1" ht="11.25" customHeight="1" outlineLevel="1" x14ac:dyDescent="0.3">
      <c r="A44" s="304" t="s">
        <v>478</v>
      </c>
      <c r="B44" s="71">
        <v>0.9</v>
      </c>
      <c r="C44" s="316" t="s">
        <v>114</v>
      </c>
      <c r="D44" s="58">
        <f>4173493.59+120000</f>
        <v>4293493.59</v>
      </c>
      <c r="E44" s="353">
        <f>B44*D44</f>
        <v>3864144.2310000001</v>
      </c>
      <c r="F44" s="345"/>
      <c r="G44" s="345"/>
      <c r="H44" s="345"/>
      <c r="I44" s="345"/>
      <c r="J44" s="345"/>
      <c r="K44" s="345"/>
      <c r="L44" s="335"/>
      <c r="M44" s="336"/>
      <c r="N44" s="335"/>
      <c r="O44" s="336"/>
      <c r="P44" s="335"/>
      <c r="Q44" s="336"/>
      <c r="R44" s="345"/>
      <c r="S44" s="335"/>
      <c r="T44" s="345">
        <v>0</v>
      </c>
      <c r="U44" s="345">
        <f t="shared" ref="U44:AG44" si="33">$E$44*T$20</f>
        <v>193207.21155000001</v>
      </c>
      <c r="V44" s="345">
        <f t="shared" si="33"/>
        <v>270490.09617000003</v>
      </c>
      <c r="W44" s="345">
        <f t="shared" si="33"/>
        <v>386414.42310000001</v>
      </c>
      <c r="X44" s="345">
        <f t="shared" si="33"/>
        <v>463697.30771999998</v>
      </c>
      <c r="Y44" s="345">
        <f t="shared" si="33"/>
        <v>386414.42310000001</v>
      </c>
      <c r="Z44" s="345">
        <f t="shared" si="33"/>
        <v>386414.42310000001</v>
      </c>
      <c r="AA44" s="345">
        <f t="shared" si="33"/>
        <v>386414.42310000001</v>
      </c>
      <c r="AB44" s="345">
        <f t="shared" si="33"/>
        <v>309131.53848000005</v>
      </c>
      <c r="AC44" s="345">
        <f t="shared" si="33"/>
        <v>309131.53848000005</v>
      </c>
      <c r="AD44" s="345">
        <f t="shared" si="33"/>
        <v>309131.53848000005</v>
      </c>
      <c r="AE44" s="345">
        <f t="shared" si="33"/>
        <v>270490.09617000003</v>
      </c>
      <c r="AF44" s="335">
        <f t="shared" si="33"/>
        <v>193207.21155000001</v>
      </c>
      <c r="AG44" s="345">
        <f t="shared" si="33"/>
        <v>0</v>
      </c>
      <c r="AH44" s="307">
        <f t="shared" si="27"/>
        <v>3864144.2310000006</v>
      </c>
    </row>
    <row r="45" spans="1:34" s="351" customFormat="1" ht="11.25" customHeight="1" outlineLevel="1" x14ac:dyDescent="0.3">
      <c r="A45" s="304" t="s">
        <v>479</v>
      </c>
      <c r="B45" s="93">
        <v>0</v>
      </c>
      <c r="C45" s="316" t="s">
        <v>114</v>
      </c>
      <c r="D45" s="58">
        <f>$D$44</f>
        <v>4293493.59</v>
      </c>
      <c r="E45" s="61">
        <f t="shared" si="4"/>
        <v>0</v>
      </c>
      <c r="F45" s="345"/>
      <c r="G45" s="345"/>
      <c r="H45" s="345"/>
      <c r="I45" s="345"/>
      <c r="J45" s="345"/>
      <c r="K45" s="345"/>
      <c r="L45" s="335"/>
      <c r="M45" s="336"/>
      <c r="N45" s="335"/>
      <c r="O45" s="336"/>
      <c r="P45" s="335"/>
      <c r="Q45" s="336"/>
      <c r="R45" s="345"/>
      <c r="S45" s="335"/>
      <c r="T45" s="345">
        <v>0</v>
      </c>
      <c r="U45" s="345">
        <f t="shared" ref="U45:AG45" si="34">$E$45*T$20</f>
        <v>0</v>
      </c>
      <c r="V45" s="345">
        <f t="shared" si="34"/>
        <v>0</v>
      </c>
      <c r="W45" s="345">
        <f t="shared" si="34"/>
        <v>0</v>
      </c>
      <c r="X45" s="345">
        <f t="shared" si="34"/>
        <v>0</v>
      </c>
      <c r="Y45" s="345">
        <f t="shared" si="34"/>
        <v>0</v>
      </c>
      <c r="Z45" s="345">
        <f t="shared" si="34"/>
        <v>0</v>
      </c>
      <c r="AA45" s="345">
        <f t="shared" si="34"/>
        <v>0</v>
      </c>
      <c r="AB45" s="345">
        <f t="shared" si="34"/>
        <v>0</v>
      </c>
      <c r="AC45" s="345">
        <f t="shared" si="34"/>
        <v>0</v>
      </c>
      <c r="AD45" s="345">
        <f t="shared" si="34"/>
        <v>0</v>
      </c>
      <c r="AE45" s="345">
        <f t="shared" si="34"/>
        <v>0</v>
      </c>
      <c r="AF45" s="335">
        <f t="shared" si="34"/>
        <v>0</v>
      </c>
      <c r="AG45" s="345">
        <f t="shared" si="34"/>
        <v>0</v>
      </c>
      <c r="AH45" s="307">
        <f t="shared" si="27"/>
        <v>0</v>
      </c>
    </row>
    <row r="46" spans="1:34" s="351" customFormat="1" ht="11.25" customHeight="1" outlineLevel="1" x14ac:dyDescent="0.3">
      <c r="A46" s="304" t="s">
        <v>251</v>
      </c>
      <c r="B46" s="93">
        <v>0.1</v>
      </c>
      <c r="C46" s="316" t="s">
        <v>114</v>
      </c>
      <c r="D46" s="58">
        <f>$D$44</f>
        <v>4293493.59</v>
      </c>
      <c r="E46" s="61">
        <f t="shared" si="4"/>
        <v>429349.359</v>
      </c>
      <c r="F46" s="345"/>
      <c r="G46" s="345"/>
      <c r="H46" s="345"/>
      <c r="I46" s="345"/>
      <c r="J46" s="345"/>
      <c r="K46" s="345"/>
      <c r="L46" s="335"/>
      <c r="M46" s="336"/>
      <c r="N46" s="335"/>
      <c r="O46" s="336"/>
      <c r="P46" s="335"/>
      <c r="Q46" s="336"/>
      <c r="R46" s="345"/>
      <c r="S46" s="335"/>
      <c r="T46" s="345">
        <v>0</v>
      </c>
      <c r="U46" s="345">
        <f t="shared" ref="U46:AG46" si="35">$E$46*T$20</f>
        <v>21467.467950000002</v>
      </c>
      <c r="V46" s="345">
        <f t="shared" si="35"/>
        <v>30054.455130000002</v>
      </c>
      <c r="W46" s="345">
        <f t="shared" si="35"/>
        <v>42934.935900000004</v>
      </c>
      <c r="X46" s="345">
        <f t="shared" si="35"/>
        <v>51521.92308</v>
      </c>
      <c r="Y46" s="345">
        <f t="shared" si="35"/>
        <v>42934.935900000004</v>
      </c>
      <c r="Z46" s="345">
        <f t="shared" si="35"/>
        <v>42934.935900000004</v>
      </c>
      <c r="AA46" s="345">
        <f t="shared" si="35"/>
        <v>42934.935900000004</v>
      </c>
      <c r="AB46" s="345">
        <f t="shared" si="35"/>
        <v>34347.94872</v>
      </c>
      <c r="AC46" s="345">
        <f t="shared" si="35"/>
        <v>34347.94872</v>
      </c>
      <c r="AD46" s="345">
        <f t="shared" si="35"/>
        <v>34347.94872</v>
      </c>
      <c r="AE46" s="345">
        <f t="shared" si="35"/>
        <v>30054.455130000002</v>
      </c>
      <c r="AF46" s="335">
        <f t="shared" si="35"/>
        <v>21467.467950000002</v>
      </c>
      <c r="AG46" s="345">
        <f t="shared" si="35"/>
        <v>0</v>
      </c>
      <c r="AH46" s="307">
        <f t="shared" si="27"/>
        <v>429349.35900000005</v>
      </c>
    </row>
    <row r="47" spans="1:34" s="351" customFormat="1" ht="11.25" customHeight="1" outlineLevel="1" x14ac:dyDescent="0.3">
      <c r="A47" s="304" t="s">
        <v>301</v>
      </c>
      <c r="B47" s="71">
        <v>0</v>
      </c>
      <c r="C47" s="316" t="s">
        <v>114</v>
      </c>
      <c r="D47" s="58">
        <f>$D$44</f>
        <v>4293493.59</v>
      </c>
      <c r="E47" s="61">
        <f t="shared" si="4"/>
        <v>0</v>
      </c>
      <c r="F47" s="345"/>
      <c r="G47" s="345"/>
      <c r="H47" s="345"/>
      <c r="I47" s="345"/>
      <c r="J47" s="345"/>
      <c r="K47" s="345"/>
      <c r="L47" s="335"/>
      <c r="M47" s="336"/>
      <c r="N47" s="335"/>
      <c r="O47" s="336"/>
      <c r="P47" s="335"/>
      <c r="Q47" s="336"/>
      <c r="R47" s="345"/>
      <c r="S47" s="335"/>
      <c r="T47" s="345">
        <v>0</v>
      </c>
      <c r="U47" s="345">
        <f t="shared" ref="U47:AG47" si="36">$E$47*T$20</f>
        <v>0</v>
      </c>
      <c r="V47" s="345">
        <f t="shared" si="36"/>
        <v>0</v>
      </c>
      <c r="W47" s="345">
        <f t="shared" si="36"/>
        <v>0</v>
      </c>
      <c r="X47" s="345">
        <f t="shared" si="36"/>
        <v>0</v>
      </c>
      <c r="Y47" s="345">
        <f t="shared" si="36"/>
        <v>0</v>
      </c>
      <c r="Z47" s="345">
        <f t="shared" si="36"/>
        <v>0</v>
      </c>
      <c r="AA47" s="345">
        <f t="shared" si="36"/>
        <v>0</v>
      </c>
      <c r="AB47" s="345">
        <f t="shared" si="36"/>
        <v>0</v>
      </c>
      <c r="AC47" s="345">
        <f t="shared" si="36"/>
        <v>0</v>
      </c>
      <c r="AD47" s="345">
        <f t="shared" si="36"/>
        <v>0</v>
      </c>
      <c r="AE47" s="345">
        <f t="shared" si="36"/>
        <v>0</v>
      </c>
      <c r="AF47" s="335">
        <f t="shared" si="36"/>
        <v>0</v>
      </c>
      <c r="AG47" s="345">
        <f t="shared" si="36"/>
        <v>0</v>
      </c>
      <c r="AH47" s="307">
        <f t="shared" si="27"/>
        <v>0</v>
      </c>
    </row>
    <row r="48" spans="1:34" s="352" customFormat="1" ht="11.25" customHeight="1" outlineLevel="1" x14ac:dyDescent="0.3">
      <c r="A48" s="294" t="s">
        <v>303</v>
      </c>
      <c r="B48" s="174">
        <f t="shared" si="2"/>
        <v>1</v>
      </c>
      <c r="C48" s="324"/>
      <c r="D48" s="58">
        <f>$D$44</f>
        <v>4293493.59</v>
      </c>
      <c r="E48" s="61">
        <f>SUM(E44:E47)</f>
        <v>4293493.59</v>
      </c>
      <c r="F48" s="348"/>
      <c r="G48" s="348"/>
      <c r="H48" s="348"/>
      <c r="I48" s="348"/>
      <c r="J48" s="348"/>
      <c r="K48" s="348"/>
      <c r="L48" s="349"/>
      <c r="M48" s="350"/>
      <c r="N48" s="349"/>
      <c r="O48" s="350"/>
      <c r="P48" s="349"/>
      <c r="Q48" s="350"/>
      <c r="R48" s="348"/>
      <c r="S48" s="349"/>
      <c r="T48" s="348">
        <f>S20*$E$48</f>
        <v>0</v>
      </c>
      <c r="U48" s="348">
        <f t="shared" ref="U48:AG48" si="37">T$20*$D$48</f>
        <v>214674.6795</v>
      </c>
      <c r="V48" s="348">
        <f t="shared" si="37"/>
        <v>300544.55129999999</v>
      </c>
      <c r="W48" s="348">
        <f t="shared" si="37"/>
        <v>429349.359</v>
      </c>
      <c r="X48" s="348">
        <f t="shared" si="37"/>
        <v>515219.23079999996</v>
      </c>
      <c r="Y48" s="348">
        <f t="shared" si="37"/>
        <v>429349.359</v>
      </c>
      <c r="Z48" s="348">
        <f t="shared" si="37"/>
        <v>429349.359</v>
      </c>
      <c r="AA48" s="348">
        <f t="shared" si="37"/>
        <v>429349.359</v>
      </c>
      <c r="AB48" s="348">
        <f t="shared" si="37"/>
        <v>343479.48719999997</v>
      </c>
      <c r="AC48" s="348">
        <f t="shared" si="37"/>
        <v>343479.48719999997</v>
      </c>
      <c r="AD48" s="348">
        <f t="shared" si="37"/>
        <v>343479.48719999997</v>
      </c>
      <c r="AE48" s="348">
        <f t="shared" si="37"/>
        <v>300544.55129999999</v>
      </c>
      <c r="AF48" s="349">
        <f t="shared" si="37"/>
        <v>214674.6795</v>
      </c>
      <c r="AG48" s="348">
        <f t="shared" si="37"/>
        <v>0</v>
      </c>
      <c r="AH48" s="302">
        <f t="shared" si="27"/>
        <v>4293493.59</v>
      </c>
    </row>
    <row r="49" spans="1:34" s="352" customFormat="1" ht="11.25" customHeight="1" x14ac:dyDescent="0.3">
      <c r="A49" s="294" t="s">
        <v>304</v>
      </c>
      <c r="B49" s="174">
        <f t="shared" si="2"/>
        <v>0.21803404643583732</v>
      </c>
      <c r="C49" s="324" t="s">
        <v>114</v>
      </c>
      <c r="D49" s="70">
        <f>'FEASABILITY STUDY'!E163</f>
        <v>5490640.05975</v>
      </c>
      <c r="E49" s="111">
        <f t="shared" ref="E49:AG49" si="38">E43-E48</f>
        <v>1197146.4697500002</v>
      </c>
      <c r="F49" s="348"/>
      <c r="G49" s="348"/>
      <c r="H49" s="348"/>
      <c r="I49" s="348"/>
      <c r="J49" s="348"/>
      <c r="K49" s="348"/>
      <c r="L49" s="349"/>
      <c r="M49" s="350"/>
      <c r="N49" s="349"/>
      <c r="O49" s="350"/>
      <c r="P49" s="349"/>
      <c r="Q49" s="350"/>
      <c r="R49" s="348"/>
      <c r="S49" s="349"/>
      <c r="T49" s="348">
        <f t="shared" si="38"/>
        <v>0</v>
      </c>
      <c r="U49" s="348">
        <f t="shared" si="38"/>
        <v>59857.323487499991</v>
      </c>
      <c r="V49" s="348">
        <f t="shared" si="38"/>
        <v>83800.252882500063</v>
      </c>
      <c r="W49" s="348">
        <f t="shared" si="38"/>
        <v>119714.64697499998</v>
      </c>
      <c r="X49" s="348">
        <f t="shared" si="38"/>
        <v>143657.57636999997</v>
      </c>
      <c r="Y49" s="348">
        <f t="shared" si="38"/>
        <v>119714.64697499998</v>
      </c>
      <c r="Z49" s="348">
        <f t="shared" si="38"/>
        <v>119714.64697499998</v>
      </c>
      <c r="AA49" s="348">
        <f t="shared" si="38"/>
        <v>119714.64697499998</v>
      </c>
      <c r="AB49" s="348">
        <f t="shared" si="38"/>
        <v>95771.717580000055</v>
      </c>
      <c r="AC49" s="348">
        <f t="shared" si="38"/>
        <v>95771.717580000055</v>
      </c>
      <c r="AD49" s="348">
        <f t="shared" si="38"/>
        <v>95771.717580000055</v>
      </c>
      <c r="AE49" s="348">
        <f t="shared" si="38"/>
        <v>83800.252882500063</v>
      </c>
      <c r="AF49" s="349">
        <f t="shared" si="38"/>
        <v>59857.323487499991</v>
      </c>
      <c r="AG49" s="348">
        <f t="shared" si="38"/>
        <v>0</v>
      </c>
      <c r="AH49" s="302">
        <f t="shared" si="27"/>
        <v>1197146.4697500004</v>
      </c>
    </row>
    <row r="50" spans="1:34" s="351" customFormat="1" ht="11.25" customHeight="1" x14ac:dyDescent="0.3">
      <c r="A50" s="304"/>
      <c r="B50" s="71"/>
      <c r="C50" s="316"/>
      <c r="D50" s="316"/>
      <c r="E50" s="321"/>
      <c r="F50" s="345"/>
      <c r="G50" s="345"/>
      <c r="H50" s="345"/>
      <c r="I50" s="345"/>
      <c r="J50" s="345"/>
      <c r="K50" s="345"/>
      <c r="L50" s="335"/>
      <c r="M50" s="336"/>
      <c r="N50" s="335"/>
      <c r="O50" s="336"/>
      <c r="P50" s="335"/>
      <c r="Q50" s="336"/>
      <c r="R50" s="345"/>
      <c r="S50" s="335"/>
      <c r="T50" s="345"/>
      <c r="U50" s="345"/>
      <c r="V50" s="345"/>
      <c r="W50" s="345"/>
      <c r="X50" s="345"/>
      <c r="Y50" s="345"/>
      <c r="Z50" s="345"/>
      <c r="AA50" s="345"/>
      <c r="AB50" s="345"/>
      <c r="AC50" s="345"/>
      <c r="AD50" s="345"/>
      <c r="AE50" s="345"/>
      <c r="AF50" s="335"/>
      <c r="AG50" s="345"/>
      <c r="AH50" s="307"/>
    </row>
    <row r="51" spans="1:34" s="284" customFormat="1" ht="11.25" customHeight="1" x14ac:dyDescent="0.3">
      <c r="A51" s="328" t="s">
        <v>305</v>
      </c>
      <c r="B51" s="347" t="s">
        <v>306</v>
      </c>
      <c r="C51" s="300"/>
      <c r="D51" s="300"/>
      <c r="E51" s="326" t="str">
        <f>'FEASABILITY STUDY'!G177</f>
        <v>NO</v>
      </c>
      <c r="F51" s="348"/>
      <c r="G51" s="348"/>
      <c r="H51" s="348"/>
      <c r="I51" s="348"/>
      <c r="J51" s="348"/>
      <c r="K51" s="348"/>
      <c r="L51" s="349"/>
      <c r="M51" s="350"/>
      <c r="N51" s="349"/>
      <c r="O51" s="350"/>
      <c r="P51" s="349"/>
      <c r="Q51" s="350"/>
      <c r="R51" s="348"/>
      <c r="S51" s="349"/>
      <c r="T51" s="348"/>
      <c r="U51" s="348"/>
      <c r="V51" s="348"/>
      <c r="W51" s="348"/>
      <c r="X51" s="348"/>
      <c r="Y51" s="348"/>
      <c r="Z51" s="348"/>
      <c r="AA51" s="348"/>
      <c r="AB51" s="348"/>
      <c r="AC51" s="348"/>
      <c r="AD51" s="348"/>
      <c r="AE51" s="348"/>
      <c r="AF51" s="349"/>
      <c r="AG51" s="348"/>
      <c r="AH51" s="302"/>
    </row>
    <row r="52" spans="1:34" s="351" customFormat="1" ht="11.25" customHeight="1" outlineLevel="1" x14ac:dyDescent="0.3">
      <c r="A52" s="304" t="s">
        <v>307</v>
      </c>
      <c r="B52" s="71">
        <f t="shared" si="2"/>
        <v>1</v>
      </c>
      <c r="C52" s="316" t="s">
        <v>114</v>
      </c>
      <c r="D52" s="58">
        <f t="shared" si="16"/>
        <v>8727272.7272727266</v>
      </c>
      <c r="E52" s="61">
        <f>E21</f>
        <v>8727272.7272727266</v>
      </c>
      <c r="F52" s="345"/>
      <c r="G52" s="345"/>
      <c r="H52" s="345"/>
      <c r="I52" s="345"/>
      <c r="J52" s="345"/>
      <c r="K52" s="345"/>
      <c r="L52" s="335"/>
      <c r="M52" s="336"/>
      <c r="N52" s="335"/>
      <c r="O52" s="336"/>
      <c r="P52" s="335"/>
      <c r="Q52" s="336"/>
      <c r="R52" s="345"/>
      <c r="S52" s="335"/>
      <c r="T52" s="345"/>
      <c r="U52" s="345"/>
      <c r="V52" s="345"/>
      <c r="W52" s="345"/>
      <c r="X52" s="345"/>
      <c r="Y52" s="345"/>
      <c r="Z52" s="345"/>
      <c r="AA52" s="345"/>
      <c r="AB52" s="345"/>
      <c r="AC52" s="345"/>
      <c r="AD52" s="345"/>
      <c r="AE52" s="345"/>
      <c r="AF52" s="335"/>
      <c r="AG52" s="345"/>
      <c r="AH52" s="307"/>
    </row>
    <row r="53" spans="1:34" s="351" customFormat="1" ht="11.25" customHeight="1" outlineLevel="1" x14ac:dyDescent="0.3">
      <c r="A53" s="304" t="s">
        <v>308</v>
      </c>
      <c r="B53" s="71">
        <f t="shared" si="11"/>
        <v>1.2711348958333334E-2</v>
      </c>
      <c r="C53" s="316" t="s">
        <v>114</v>
      </c>
      <c r="D53" s="58">
        <f>D52</f>
        <v>8727272.7272727266</v>
      </c>
      <c r="E53" s="61">
        <f>-SUM(E24:E25)</f>
        <v>-110935.40909090909</v>
      </c>
      <c r="F53" s="345"/>
      <c r="G53" s="345"/>
      <c r="H53" s="345"/>
      <c r="I53" s="345"/>
      <c r="J53" s="345"/>
      <c r="K53" s="345"/>
      <c r="L53" s="335"/>
      <c r="M53" s="336"/>
      <c r="N53" s="335"/>
      <c r="O53" s="336"/>
      <c r="P53" s="335"/>
      <c r="Q53" s="336"/>
      <c r="R53" s="345"/>
      <c r="S53" s="335"/>
      <c r="T53" s="345"/>
      <c r="U53" s="345"/>
      <c r="V53" s="345"/>
      <c r="W53" s="345"/>
      <c r="X53" s="345"/>
      <c r="Y53" s="345"/>
      <c r="Z53" s="345"/>
      <c r="AA53" s="345"/>
      <c r="AB53" s="345"/>
      <c r="AC53" s="345"/>
      <c r="AD53" s="345"/>
      <c r="AE53" s="345"/>
      <c r="AF53" s="335"/>
      <c r="AG53" s="345"/>
      <c r="AH53" s="307"/>
    </row>
    <row r="54" spans="1:34" s="351" customFormat="1" ht="11.25" customHeight="1" outlineLevel="1" x14ac:dyDescent="0.3">
      <c r="A54" s="304" t="s">
        <v>309</v>
      </c>
      <c r="B54" s="71">
        <f t="shared" si="11"/>
        <v>0.38564166666666672</v>
      </c>
      <c r="C54" s="316" t="s">
        <v>114</v>
      </c>
      <c r="D54" s="58">
        <f t="shared" si="16"/>
        <v>8727272.7272727266</v>
      </c>
      <c r="E54" s="61">
        <f>-$E$8</f>
        <v>-3365600</v>
      </c>
      <c r="F54" s="345"/>
      <c r="G54" s="345"/>
      <c r="H54" s="345"/>
      <c r="I54" s="345"/>
      <c r="J54" s="345"/>
      <c r="K54" s="345"/>
      <c r="L54" s="335"/>
      <c r="M54" s="336"/>
      <c r="N54" s="335"/>
      <c r="O54" s="336"/>
      <c r="P54" s="335"/>
      <c r="Q54" s="336"/>
      <c r="R54" s="345"/>
      <c r="S54" s="335"/>
      <c r="T54" s="345"/>
      <c r="U54" s="345"/>
      <c r="V54" s="345"/>
      <c r="W54" s="345"/>
      <c r="X54" s="345"/>
      <c r="Y54" s="345"/>
      <c r="Z54" s="345"/>
      <c r="AA54" s="345"/>
      <c r="AB54" s="345"/>
      <c r="AC54" s="345"/>
      <c r="AD54" s="345"/>
      <c r="AE54" s="345"/>
      <c r="AF54" s="335"/>
      <c r="AG54" s="345"/>
      <c r="AH54" s="307"/>
    </row>
    <row r="55" spans="1:34" s="351" customFormat="1" ht="11.25" customHeight="1" outlineLevel="1" x14ac:dyDescent="0.3">
      <c r="A55" s="304" t="s">
        <v>310</v>
      </c>
      <c r="B55" s="71">
        <f t="shared" si="11"/>
        <v>0.6291358401796876</v>
      </c>
      <c r="C55" s="316" t="s">
        <v>114</v>
      </c>
      <c r="D55" s="58">
        <f t="shared" si="16"/>
        <v>8727272.7272727266</v>
      </c>
      <c r="E55" s="61">
        <f>-'FEASABILITY STUDY'!E163</f>
        <v>-5490640.05975</v>
      </c>
      <c r="F55" s="345"/>
      <c r="G55" s="345"/>
      <c r="H55" s="345"/>
      <c r="I55" s="345"/>
      <c r="J55" s="345"/>
      <c r="K55" s="345"/>
      <c r="L55" s="335"/>
      <c r="M55" s="336"/>
      <c r="N55" s="335"/>
      <c r="O55" s="336"/>
      <c r="P55" s="335"/>
      <c r="Q55" s="336"/>
      <c r="R55" s="345"/>
      <c r="S55" s="335"/>
      <c r="T55" s="345"/>
      <c r="U55" s="345"/>
      <c r="V55" s="345"/>
      <c r="W55" s="345"/>
      <c r="X55" s="345"/>
      <c r="Y55" s="345"/>
      <c r="Z55" s="345"/>
      <c r="AA55" s="345"/>
      <c r="AB55" s="345"/>
      <c r="AC55" s="345"/>
      <c r="AD55" s="345"/>
      <c r="AE55" s="345"/>
      <c r="AF55" s="335"/>
      <c r="AG55" s="345"/>
      <c r="AH55" s="307"/>
    </row>
    <row r="56" spans="1:34" s="351" customFormat="1" ht="11.25" customHeight="1" outlineLevel="1" x14ac:dyDescent="0.3">
      <c r="A56" s="304" t="s">
        <v>311</v>
      </c>
      <c r="B56" s="71">
        <f t="shared" si="11"/>
        <v>0</v>
      </c>
      <c r="C56" s="316" t="s">
        <v>114</v>
      </c>
      <c r="D56" s="58">
        <f t="shared" si="16"/>
        <v>8727272.7272727266</v>
      </c>
      <c r="E56" s="61">
        <f>IF(E51="No",0,-SUM(E36))</f>
        <v>0</v>
      </c>
      <c r="F56" s="345"/>
      <c r="G56" s="345"/>
      <c r="H56" s="345"/>
      <c r="I56" s="345"/>
      <c r="J56" s="345"/>
      <c r="K56" s="345"/>
      <c r="L56" s="335"/>
      <c r="M56" s="336"/>
      <c r="N56" s="335"/>
      <c r="O56" s="336"/>
      <c r="P56" s="335"/>
      <c r="Q56" s="336"/>
      <c r="R56" s="345"/>
      <c r="S56" s="335"/>
      <c r="T56" s="345"/>
      <c r="U56" s="345"/>
      <c r="V56" s="345"/>
      <c r="W56" s="345"/>
      <c r="X56" s="345"/>
      <c r="Y56" s="345"/>
      <c r="Z56" s="345"/>
      <c r="AA56" s="345"/>
      <c r="AB56" s="345"/>
      <c r="AC56" s="345"/>
      <c r="AD56" s="345"/>
      <c r="AE56" s="345"/>
      <c r="AF56" s="335"/>
      <c r="AG56" s="345"/>
      <c r="AH56" s="307"/>
    </row>
    <row r="57" spans="1:34" s="351" customFormat="1" ht="11.25" customHeight="1" outlineLevel="1" x14ac:dyDescent="0.3">
      <c r="A57" s="304" t="s">
        <v>312</v>
      </c>
      <c r="B57" s="71">
        <f t="shared" si="2"/>
        <v>8.59375E-2</v>
      </c>
      <c r="C57" s="316" t="s">
        <v>114</v>
      </c>
      <c r="D57" s="58">
        <f>$E$21</f>
        <v>8727272.7272727266</v>
      </c>
      <c r="E57" s="61">
        <f>'FEASABILITY STUDY'!E190</f>
        <v>750000</v>
      </c>
      <c r="F57" s="345"/>
      <c r="G57" s="345"/>
      <c r="H57" s="345"/>
      <c r="I57" s="345"/>
      <c r="J57" s="345"/>
      <c r="K57" s="345"/>
      <c r="L57" s="335"/>
      <c r="M57" s="336"/>
      <c r="N57" s="335"/>
      <c r="O57" s="336"/>
      <c r="P57" s="335"/>
      <c r="Q57" s="336"/>
      <c r="R57" s="345"/>
      <c r="S57" s="335"/>
      <c r="T57" s="345"/>
      <c r="U57" s="345"/>
      <c r="V57" s="345"/>
      <c r="W57" s="345"/>
      <c r="X57" s="345"/>
      <c r="Y57" s="345"/>
      <c r="Z57" s="345"/>
      <c r="AA57" s="345"/>
      <c r="AB57" s="345"/>
      <c r="AC57" s="345"/>
      <c r="AD57" s="345"/>
      <c r="AE57" s="345"/>
      <c r="AF57" s="335"/>
      <c r="AG57" s="345"/>
      <c r="AH57" s="307"/>
    </row>
    <row r="58" spans="1:34" s="351" customFormat="1" ht="11.25" customHeight="1" outlineLevel="1" x14ac:dyDescent="0.3">
      <c r="A58" s="304" t="s">
        <v>480</v>
      </c>
      <c r="B58" s="71">
        <f>E58/D58</f>
        <v>2.7488855804687483E-2</v>
      </c>
      <c r="C58" s="316" t="s">
        <v>114</v>
      </c>
      <c r="D58" s="58">
        <f>$E$21</f>
        <v>8727272.7272727266</v>
      </c>
      <c r="E58" s="61">
        <f>-SUM($E$52:$E$56)</f>
        <v>239902.74156818166</v>
      </c>
      <c r="F58" s="345"/>
      <c r="G58" s="345"/>
      <c r="H58" s="345"/>
      <c r="I58" s="345"/>
      <c r="J58" s="345"/>
      <c r="K58" s="345"/>
      <c r="L58" s="335"/>
      <c r="M58" s="336"/>
      <c r="N58" s="335"/>
      <c r="O58" s="336"/>
      <c r="P58" s="335"/>
      <c r="Q58" s="336"/>
      <c r="R58" s="345"/>
      <c r="S58" s="335"/>
      <c r="T58" s="345"/>
      <c r="U58" s="345"/>
      <c r="V58" s="345"/>
      <c r="W58" s="345"/>
      <c r="X58" s="345"/>
      <c r="Y58" s="345"/>
      <c r="Z58" s="345"/>
      <c r="AA58" s="345"/>
      <c r="AB58" s="345"/>
      <c r="AC58" s="345"/>
      <c r="AD58" s="345"/>
      <c r="AE58" s="345"/>
      <c r="AF58" s="335"/>
      <c r="AG58" s="345"/>
      <c r="AH58" s="307"/>
    </row>
    <row r="59" spans="1:34" s="352" customFormat="1" ht="11.25" customHeight="1" x14ac:dyDescent="0.3">
      <c r="A59" s="294" t="s">
        <v>313</v>
      </c>
      <c r="B59" s="174"/>
      <c r="C59" s="324"/>
      <c r="D59" s="70">
        <f t="shared" si="16"/>
        <v>8727272.7272727266</v>
      </c>
      <c r="E59" s="326" t="str">
        <f>IF(SUM(E52:E58)=0,"CORRECT","ERROR")</f>
        <v>ERROR</v>
      </c>
      <c r="F59" s="348"/>
      <c r="G59" s="348"/>
      <c r="H59" s="348"/>
      <c r="I59" s="348"/>
      <c r="J59" s="348"/>
      <c r="K59" s="348"/>
      <c r="L59" s="349"/>
      <c r="M59" s="350"/>
      <c r="N59" s="349"/>
      <c r="O59" s="350"/>
      <c r="P59" s="349"/>
      <c r="Q59" s="350"/>
      <c r="R59" s="348"/>
      <c r="S59" s="349"/>
      <c r="T59" s="348"/>
      <c r="U59" s="348"/>
      <c r="V59" s="348"/>
      <c r="W59" s="348"/>
      <c r="X59" s="348"/>
      <c r="Y59" s="348"/>
      <c r="Z59" s="348"/>
      <c r="AA59" s="348"/>
      <c r="AB59" s="348"/>
      <c r="AC59" s="348"/>
      <c r="AD59" s="348"/>
      <c r="AE59" s="348"/>
      <c r="AF59" s="349"/>
      <c r="AG59" s="348"/>
      <c r="AH59" s="302"/>
    </row>
    <row r="60" spans="1:34" ht="12.75" customHeight="1" x14ac:dyDescent="0.4">
      <c r="A60" s="354"/>
      <c r="B60" s="252"/>
      <c r="C60" s="355"/>
      <c r="D60" s="355"/>
      <c r="E60" s="356"/>
      <c r="F60" s="357"/>
      <c r="G60" s="357"/>
      <c r="H60" s="357"/>
      <c r="I60" s="357"/>
      <c r="J60" s="357"/>
      <c r="K60" s="357"/>
      <c r="L60" s="358"/>
      <c r="M60" s="359"/>
      <c r="N60" s="358"/>
      <c r="O60" s="359"/>
      <c r="P60" s="358"/>
      <c r="Q60" s="359"/>
      <c r="R60" s="357"/>
      <c r="S60" s="358"/>
      <c r="T60" s="357"/>
      <c r="U60" s="357"/>
      <c r="V60" s="357"/>
      <c r="W60" s="357"/>
      <c r="X60" s="357"/>
      <c r="Y60" s="357"/>
      <c r="Z60" s="357"/>
      <c r="AA60" s="357"/>
      <c r="AB60" s="357"/>
      <c r="AC60" s="357"/>
      <c r="AD60" s="357"/>
      <c r="AE60" s="357"/>
      <c r="AF60" s="358"/>
      <c r="AG60" s="357"/>
      <c r="AH60" s="360"/>
    </row>
    <row r="63" spans="1:34" ht="12.45" customHeight="1" x14ac:dyDescent="0.4">
      <c r="D63" s="270" t="s">
        <v>477</v>
      </c>
    </row>
    <row r="64" spans="1:34" ht="12.45" customHeight="1" x14ac:dyDescent="0.4">
      <c r="D64" s="474">
        <v>10000</v>
      </c>
    </row>
    <row r="189" ht="12.75" customHeight="1" x14ac:dyDescent="0.4"/>
  </sheetData>
  <mergeCells count="8">
    <mergeCell ref="F9:L9"/>
    <mergeCell ref="M9:N9"/>
    <mergeCell ref="T19:AF19"/>
    <mergeCell ref="A3:A5"/>
    <mergeCell ref="B3:B5"/>
    <mergeCell ref="C3:C5"/>
    <mergeCell ref="D3:D5"/>
    <mergeCell ref="E3:E5"/>
  </mergeCells>
  <conditionalFormatting sqref="D7:E8 E9 E19:E20 D52:E59">
    <cfRule type="cellIs" dxfId="2" priority="6" operator="lessThan">
      <formula>0</formula>
    </cfRule>
  </conditionalFormatting>
  <conditionalFormatting sqref="D21:E49">
    <cfRule type="cellIs" dxfId="1" priority="2" operator="lessThan">
      <formula>0</formula>
    </cfRule>
  </conditionalFormatting>
  <conditionalFormatting sqref="AG1:AH1 D10:E18">
    <cfRule type="cellIs" dxfId="0" priority="8" operator="lessThan">
      <formula>0</formula>
    </cfRule>
  </conditionalFormatting>
  <pageMargins left="0.71" right="0.71" top="0.75" bottom="0.75" header="0.31" footer="0.31"/>
  <pageSetup paperSize="8" scale="47" orientation="landscape" useFirstPageNumber="1"/>
  <headerFooter>
    <oddHeader>&amp;L&amp;C&amp;R</oddHeader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4A08-67F3-2AE8-F8E8-4B0CCE9E62FC}">
  <sheetPr>
    <pageSetUpPr fitToPage="1"/>
  </sheetPr>
  <dimension ref="A1:I60"/>
  <sheetViews>
    <sheetView showGridLines="0" zoomScale="70" workbookViewId="0">
      <selection activeCell="C6" sqref="C6"/>
    </sheetView>
  </sheetViews>
  <sheetFormatPr defaultColWidth="8.69140625" defaultRowHeight="15.9" customHeight="1" x14ac:dyDescent="0.4"/>
  <cols>
    <col min="1" max="1" width="43.3828125" style="398" customWidth="1"/>
    <col min="2" max="2" width="5" style="416" customWidth="1"/>
    <col min="3" max="3" width="21" style="389" customWidth="1"/>
    <col min="4" max="4" width="16.84375" style="398" customWidth="1"/>
    <col min="5" max="5" width="4.3046875" style="398" customWidth="1"/>
    <col min="6" max="6" width="29.69140625" style="398" customWidth="1"/>
    <col min="7" max="7" width="4.84375" style="416" customWidth="1"/>
    <col min="8" max="8" width="20.3046875" style="417" customWidth="1"/>
    <col min="9" max="9" width="14" style="398" customWidth="1"/>
    <col min="10" max="10" width="19.3046875" customWidth="1"/>
    <col min="11" max="14" width="14" customWidth="1"/>
    <col min="15" max="15" width="12.3828125" customWidth="1"/>
  </cols>
  <sheetData>
    <row r="1" spans="1:8" ht="20.25" customHeight="1" x14ac:dyDescent="0.4">
      <c r="A1" s="365" t="s">
        <v>314</v>
      </c>
    </row>
    <row r="3" spans="1:8" ht="20.25" customHeight="1" x14ac:dyDescent="0.4">
      <c r="A3" s="366" t="s">
        <v>315</v>
      </c>
      <c r="B3" s="367"/>
    </row>
    <row r="4" spans="1:8" ht="15" customHeight="1" x14ac:dyDescent="0.4">
      <c r="A4" s="368" t="s">
        <v>316</v>
      </c>
      <c r="B4" s="369" t="s">
        <v>317</v>
      </c>
      <c r="C4" s="370">
        <v>8727273</v>
      </c>
      <c r="D4" s="371"/>
      <c r="E4" s="368" t="s">
        <v>318</v>
      </c>
      <c r="H4" s="372" t="s">
        <v>319</v>
      </c>
    </row>
    <row r="5" spans="1:8" ht="15" customHeight="1" x14ac:dyDescent="0.4">
      <c r="A5" s="368" t="s">
        <v>320</v>
      </c>
      <c r="B5" s="369"/>
      <c r="C5" s="373">
        <v>1.2500000000000001E-2</v>
      </c>
      <c r="D5" s="371"/>
      <c r="E5" s="368" t="s">
        <v>321</v>
      </c>
      <c r="H5" s="372" t="s">
        <v>322</v>
      </c>
    </row>
    <row r="6" spans="1:8" ht="15.75" customHeight="1" x14ac:dyDescent="0.4">
      <c r="A6" s="368" t="s">
        <v>323</v>
      </c>
      <c r="B6" s="369"/>
      <c r="C6" s="373">
        <v>5.0000000000000001E-3</v>
      </c>
      <c r="D6" s="371"/>
      <c r="E6" s="368" t="s">
        <v>324</v>
      </c>
      <c r="H6" s="374">
        <v>1</v>
      </c>
    </row>
    <row r="7" spans="1:8" ht="15" customHeight="1" x14ac:dyDescent="0.4">
      <c r="A7" s="368" t="s">
        <v>325</v>
      </c>
      <c r="B7" s="369" t="s">
        <v>326</v>
      </c>
      <c r="C7" s="375">
        <f>C4*C6</f>
        <v>43636.364999999998</v>
      </c>
      <c r="D7" s="371"/>
      <c r="E7" s="368" t="s">
        <v>327</v>
      </c>
      <c r="H7" s="376" t="s">
        <v>328</v>
      </c>
    </row>
    <row r="8" spans="1:8" ht="15.9" customHeight="1" x14ac:dyDescent="0.4">
      <c r="A8" s="368" t="s">
        <v>329</v>
      </c>
      <c r="B8" s="369"/>
      <c r="C8" s="377"/>
      <c r="D8" s="371"/>
    </row>
    <row r="9" spans="1:8" ht="15" customHeight="1" x14ac:dyDescent="0.4">
      <c r="A9" s="368" t="s">
        <v>330</v>
      </c>
      <c r="B9" s="369"/>
      <c r="C9" s="378" t="s">
        <v>331</v>
      </c>
      <c r="D9" s="379"/>
      <c r="E9" s="379"/>
      <c r="F9" s="379"/>
      <c r="H9" s="380"/>
    </row>
    <row r="10" spans="1:8" ht="15" customHeight="1" x14ac:dyDescent="0.4">
      <c r="A10" s="368"/>
      <c r="B10" s="369"/>
      <c r="C10" s="378"/>
      <c r="D10" s="379"/>
      <c r="E10" s="379"/>
      <c r="F10" s="379"/>
      <c r="H10" s="380"/>
    </row>
    <row r="11" spans="1:8" ht="20.25" customHeight="1" x14ac:dyDescent="0.4">
      <c r="A11" s="366" t="s">
        <v>332</v>
      </c>
      <c r="B11" s="367"/>
      <c r="E11" s="381" t="s">
        <v>333</v>
      </c>
      <c r="F11" s="381"/>
      <c r="G11" s="382"/>
      <c r="H11" s="381"/>
    </row>
    <row r="12" spans="1:8" ht="15.9" customHeight="1" x14ac:dyDescent="0.4">
      <c r="A12" s="378" t="s">
        <v>334</v>
      </c>
      <c r="B12" s="383" t="s">
        <v>335</v>
      </c>
      <c r="C12" s="375">
        <f>C4*C5</f>
        <v>109090.91250000001</v>
      </c>
      <c r="D12" s="384"/>
      <c r="E12" s="378" t="s">
        <v>336</v>
      </c>
      <c r="F12" s="378"/>
      <c r="G12" s="383" t="s">
        <v>317</v>
      </c>
      <c r="H12" s="375">
        <f>C4</f>
        <v>8727273</v>
      </c>
    </row>
    <row r="13" spans="1:8" ht="15.9" customHeight="1" x14ac:dyDescent="0.4">
      <c r="A13" s="378" t="s">
        <v>327</v>
      </c>
      <c r="B13" s="383"/>
      <c r="C13" s="375" t="s">
        <v>328</v>
      </c>
      <c r="D13" s="384"/>
      <c r="E13" s="378" t="s">
        <v>337</v>
      </c>
      <c r="F13" s="385"/>
      <c r="G13" s="386"/>
      <c r="H13" s="377"/>
    </row>
    <row r="14" spans="1:8" ht="15.9" customHeight="1" x14ac:dyDescent="0.4">
      <c r="A14" s="378" t="s">
        <v>338</v>
      </c>
      <c r="B14" s="383" t="s">
        <v>339</v>
      </c>
      <c r="C14" s="375">
        <v>300</v>
      </c>
      <c r="D14" s="384"/>
      <c r="E14" s="378" t="s">
        <v>340</v>
      </c>
      <c r="F14" s="385"/>
      <c r="G14" s="386"/>
      <c r="H14" s="377"/>
    </row>
    <row r="15" spans="1:8" ht="15.9" customHeight="1" x14ac:dyDescent="0.4">
      <c r="A15" s="378" t="s">
        <v>341</v>
      </c>
      <c r="B15" s="383" t="s">
        <v>342</v>
      </c>
      <c r="C15" s="370">
        <v>544.5</v>
      </c>
      <c r="D15" s="384"/>
      <c r="E15" s="378" t="s">
        <v>343</v>
      </c>
      <c r="F15" s="385"/>
      <c r="G15" s="386"/>
      <c r="H15" s="377"/>
    </row>
    <row r="16" spans="1:8" ht="15.9" customHeight="1" x14ac:dyDescent="0.4">
      <c r="A16" s="378" t="s">
        <v>344</v>
      </c>
      <c r="B16" s="383" t="s">
        <v>345</v>
      </c>
      <c r="C16" s="370">
        <v>1000</v>
      </c>
      <c r="D16" s="384"/>
      <c r="E16" s="385"/>
      <c r="F16" s="385"/>
      <c r="G16" s="386"/>
      <c r="H16" s="387"/>
    </row>
    <row r="17" spans="1:8" ht="15.9" customHeight="1" x14ac:dyDescent="0.4">
      <c r="A17" s="378" t="s">
        <v>346</v>
      </c>
      <c r="B17" s="383"/>
      <c r="C17" s="388"/>
      <c r="D17" s="384"/>
      <c r="E17" s="385"/>
      <c r="F17" s="385"/>
      <c r="G17" s="386"/>
      <c r="H17" s="389"/>
    </row>
    <row r="18" spans="1:8" ht="15.9" customHeight="1" x14ac:dyDescent="0.4">
      <c r="A18" s="378" t="s">
        <v>347</v>
      </c>
      <c r="B18" s="383"/>
      <c r="C18" s="377"/>
      <c r="D18" s="384"/>
      <c r="E18" s="385"/>
      <c r="F18" s="385"/>
      <c r="G18" s="386"/>
      <c r="H18" s="389"/>
    </row>
    <row r="19" spans="1:8" ht="15.9" customHeight="1" x14ac:dyDescent="0.4">
      <c r="A19" s="384"/>
      <c r="B19" s="386"/>
      <c r="D19" s="384"/>
      <c r="E19" s="385"/>
      <c r="F19" s="385"/>
      <c r="G19" s="386"/>
      <c r="H19" s="389"/>
    </row>
    <row r="20" spans="1:8" ht="15.9" customHeight="1" x14ac:dyDescent="0.4">
      <c r="A20" s="378" t="s">
        <v>348</v>
      </c>
      <c r="B20" s="383"/>
      <c r="C20" s="377"/>
      <c r="D20" s="384"/>
      <c r="E20" s="385"/>
      <c r="F20" s="385"/>
      <c r="G20" s="386"/>
      <c r="H20" s="389"/>
    </row>
    <row r="21" spans="1:8" ht="15.9" customHeight="1" x14ac:dyDescent="0.4">
      <c r="A21" s="378" t="s">
        <v>349</v>
      </c>
      <c r="B21" s="383"/>
      <c r="C21" s="388"/>
      <c r="D21" s="384"/>
      <c r="E21" s="385"/>
      <c r="F21" s="385"/>
      <c r="G21" s="386"/>
      <c r="H21" s="389"/>
    </row>
    <row r="22" spans="1:8" ht="15.9" customHeight="1" x14ac:dyDescent="0.4">
      <c r="A22" s="378" t="s">
        <v>350</v>
      </c>
      <c r="B22" s="383"/>
      <c r="C22" s="377"/>
      <c r="D22" s="384"/>
      <c r="E22" s="385"/>
      <c r="F22" s="385"/>
      <c r="G22" s="386"/>
      <c r="H22" s="389"/>
    </row>
    <row r="23" spans="1:8" ht="30" customHeight="1" x14ac:dyDescent="0.4">
      <c r="A23" s="390" t="s">
        <v>351</v>
      </c>
      <c r="B23" s="383" t="s">
        <v>352</v>
      </c>
      <c r="C23" s="370">
        <v>3365600</v>
      </c>
      <c r="D23" s="384"/>
      <c r="E23" s="384"/>
      <c r="F23" s="384"/>
      <c r="G23" s="386"/>
      <c r="H23" s="389"/>
    </row>
    <row r="24" spans="1:8" ht="15.9" customHeight="1" x14ac:dyDescent="0.4">
      <c r="A24" s="378" t="s">
        <v>353</v>
      </c>
      <c r="B24" s="383"/>
      <c r="C24" s="377"/>
      <c r="D24" s="384"/>
      <c r="E24" s="384"/>
      <c r="F24" s="384"/>
      <c r="G24" s="386"/>
      <c r="H24" s="389"/>
    </row>
    <row r="25" spans="1:8" ht="15.9" customHeight="1" x14ac:dyDescent="0.4">
      <c r="A25" s="384"/>
      <c r="B25" s="386"/>
      <c r="D25" s="384"/>
      <c r="E25" s="384"/>
      <c r="F25" s="384"/>
      <c r="G25" s="386"/>
      <c r="H25" s="389"/>
    </row>
    <row r="26" spans="1:8" ht="19.5" customHeight="1" x14ac:dyDescent="0.4">
      <c r="A26" s="390" t="s">
        <v>354</v>
      </c>
      <c r="B26" s="383" t="s">
        <v>355</v>
      </c>
      <c r="C26" s="391">
        <v>5717000</v>
      </c>
      <c r="D26" s="384"/>
      <c r="E26" s="384"/>
      <c r="F26" s="384"/>
      <c r="G26" s="386"/>
      <c r="H26" s="389"/>
    </row>
    <row r="27" spans="1:8" ht="15.9" customHeight="1" x14ac:dyDescent="0.4">
      <c r="A27" s="378" t="s">
        <v>356</v>
      </c>
      <c r="B27" s="383"/>
      <c r="C27" s="377"/>
      <c r="D27" s="384"/>
      <c r="E27" s="384"/>
      <c r="F27" s="384"/>
      <c r="G27" s="386"/>
      <c r="H27" s="389"/>
    </row>
    <row r="28" spans="1:8" ht="15.9" customHeight="1" x14ac:dyDescent="0.4">
      <c r="A28" s="378" t="s">
        <v>357</v>
      </c>
      <c r="B28" s="383"/>
      <c r="C28" s="377"/>
      <c r="D28" s="384"/>
      <c r="E28" s="384"/>
      <c r="F28" s="384"/>
      <c r="G28" s="386"/>
      <c r="H28" s="389"/>
    </row>
    <row r="29" spans="1:8" ht="15.9" customHeight="1" x14ac:dyDescent="0.4">
      <c r="A29" s="378" t="s">
        <v>358</v>
      </c>
      <c r="B29" s="383"/>
      <c r="C29" s="377"/>
      <c r="D29" s="384"/>
      <c r="E29" s="384"/>
      <c r="F29" s="384"/>
      <c r="G29" s="386"/>
      <c r="H29" s="392"/>
    </row>
    <row r="30" spans="1:8" ht="15.9" customHeight="1" x14ac:dyDescent="0.4">
      <c r="A30" s="378" t="s">
        <v>359</v>
      </c>
      <c r="B30" s="383" t="s">
        <v>360</v>
      </c>
      <c r="C30" s="393">
        <f>C26*0.05</f>
        <v>285850</v>
      </c>
      <c r="D30" s="384"/>
      <c r="E30" s="384"/>
      <c r="F30" s="384"/>
      <c r="G30" s="386"/>
      <c r="H30" s="389"/>
    </row>
    <row r="31" spans="1:8" ht="15.9" customHeight="1" x14ac:dyDescent="0.4">
      <c r="A31" s="378" t="s">
        <v>361</v>
      </c>
      <c r="B31" s="383" t="s">
        <v>362</v>
      </c>
      <c r="C31" s="375">
        <f>SUM(C12:C30)</f>
        <v>9479385.4124999996</v>
      </c>
      <c r="D31" s="384"/>
      <c r="E31" s="385" t="s">
        <v>363</v>
      </c>
      <c r="F31" s="385"/>
      <c r="G31" s="386" t="s">
        <v>317</v>
      </c>
      <c r="H31" s="375">
        <f>C4</f>
        <v>8727273</v>
      </c>
    </row>
    <row r="33" spans="1:9" ht="20.25" customHeight="1" x14ac:dyDescent="0.4">
      <c r="A33" s="394" t="s">
        <v>364</v>
      </c>
      <c r="B33" s="395"/>
    </row>
    <row r="34" spans="1:9" ht="15.9" customHeight="1" x14ac:dyDescent="0.4">
      <c r="A34" s="378" t="s">
        <v>365</v>
      </c>
      <c r="B34" s="383"/>
      <c r="D34" s="385"/>
      <c r="E34" s="378" t="s">
        <v>366</v>
      </c>
      <c r="F34" s="378"/>
      <c r="G34" s="383"/>
      <c r="H34" s="389"/>
    </row>
    <row r="35" spans="1:9" ht="15.9" customHeight="1" x14ac:dyDescent="0.4">
      <c r="A35" s="378" t="s">
        <v>367</v>
      </c>
      <c r="B35" s="383" t="s">
        <v>368</v>
      </c>
      <c r="C35" s="370">
        <f>12950000*10/11</f>
        <v>11772727.272727273</v>
      </c>
      <c r="D35" s="385"/>
      <c r="E35" s="378" t="s">
        <v>106</v>
      </c>
      <c r="F35" s="378"/>
      <c r="G35" s="383" t="s">
        <v>369</v>
      </c>
      <c r="H35" s="370">
        <v>4000000</v>
      </c>
    </row>
    <row r="36" spans="1:9" ht="15.9" customHeight="1" x14ac:dyDescent="0.4">
      <c r="A36" s="378" t="s">
        <v>370</v>
      </c>
      <c r="B36" s="383" t="s">
        <v>369</v>
      </c>
      <c r="C36" s="370">
        <v>4000000</v>
      </c>
      <c r="D36" s="385"/>
      <c r="E36" s="378" t="s">
        <v>371</v>
      </c>
      <c r="F36" s="378"/>
      <c r="G36" s="383" t="s">
        <v>355</v>
      </c>
      <c r="H36" s="375">
        <f>C26</f>
        <v>5717000</v>
      </c>
    </row>
    <row r="37" spans="1:9" ht="15.9" customHeight="1" x14ac:dyDescent="0.4">
      <c r="A37" s="378" t="s">
        <v>372</v>
      </c>
      <c r="B37" s="383" t="s">
        <v>317</v>
      </c>
      <c r="C37" s="370">
        <f>H31</f>
        <v>8727273</v>
      </c>
      <c r="D37" s="385"/>
      <c r="E37" s="378" t="s">
        <v>373</v>
      </c>
      <c r="F37" s="378"/>
      <c r="G37" s="383" t="s">
        <v>360</v>
      </c>
      <c r="H37" s="375">
        <f>C30</f>
        <v>285850</v>
      </c>
    </row>
    <row r="38" spans="1:9" ht="15.9" customHeight="1" x14ac:dyDescent="0.4">
      <c r="A38" s="385"/>
      <c r="B38" s="386"/>
      <c r="D38" s="385"/>
      <c r="E38" s="378"/>
      <c r="F38" s="378" t="s">
        <v>374</v>
      </c>
      <c r="G38" s="383" t="s">
        <v>375</v>
      </c>
      <c r="H38" s="370">
        <v>300000</v>
      </c>
    </row>
    <row r="39" spans="1:9" ht="15.9" customHeight="1" x14ac:dyDescent="0.4">
      <c r="A39" s="378" t="s">
        <v>376</v>
      </c>
      <c r="B39" s="383"/>
      <c r="D39" s="385"/>
      <c r="E39" s="378"/>
      <c r="F39" s="378" t="s">
        <v>377</v>
      </c>
      <c r="G39" s="383"/>
      <c r="H39" s="375">
        <v>0</v>
      </c>
    </row>
    <row r="40" spans="1:9" ht="15.9" customHeight="1" x14ac:dyDescent="0.4">
      <c r="A40" s="378" t="s">
        <v>378</v>
      </c>
      <c r="B40" s="383"/>
      <c r="C40" s="396">
        <f>H35/H31</f>
        <v>0.45833331901041713</v>
      </c>
      <c r="D40" s="385" t="s">
        <v>379</v>
      </c>
      <c r="E40" s="378"/>
      <c r="F40" s="378" t="s">
        <v>380</v>
      </c>
      <c r="G40" s="383"/>
      <c r="H40" s="375">
        <v>0</v>
      </c>
    </row>
    <row r="41" spans="1:9" ht="15.9" customHeight="1" x14ac:dyDescent="0.4">
      <c r="A41" s="378" t="s">
        <v>381</v>
      </c>
      <c r="B41" s="383"/>
      <c r="C41" s="396">
        <f>H31/C35</f>
        <v>0.74131276447876449</v>
      </c>
      <c r="D41" s="385" t="s">
        <v>382</v>
      </c>
      <c r="E41" s="378"/>
      <c r="F41" s="378" t="s">
        <v>383</v>
      </c>
      <c r="G41" s="383" t="s">
        <v>384</v>
      </c>
      <c r="H41" s="370">
        <v>240000</v>
      </c>
    </row>
    <row r="42" spans="1:9" ht="15.9" customHeight="1" x14ac:dyDescent="0.4">
      <c r="A42" s="378" t="s">
        <v>385</v>
      </c>
      <c r="B42" s="383"/>
      <c r="C42" s="396">
        <f>C4/H47</f>
        <v>0.80001102490158893</v>
      </c>
      <c r="D42" s="385" t="s">
        <v>386</v>
      </c>
      <c r="E42" s="378"/>
      <c r="F42" s="378" t="s">
        <v>387</v>
      </c>
      <c r="G42" s="383" t="s">
        <v>388</v>
      </c>
      <c r="H42" s="370">
        <v>256000</v>
      </c>
    </row>
    <row r="43" spans="1:9" ht="15.9" customHeight="1" x14ac:dyDescent="0.4">
      <c r="A43" s="378" t="s">
        <v>389</v>
      </c>
      <c r="B43" s="383" t="s">
        <v>390</v>
      </c>
      <c r="C43" s="375">
        <f>C35-C37</f>
        <v>3045454.2727272734</v>
      </c>
      <c r="D43" s="385"/>
      <c r="E43" s="378"/>
      <c r="F43" s="378" t="s">
        <v>391</v>
      </c>
      <c r="G43" s="383" t="s">
        <v>392</v>
      </c>
      <c r="H43" s="370">
        <v>1000</v>
      </c>
    </row>
    <row r="44" spans="1:9" ht="15.9" customHeight="1" x14ac:dyDescent="0.4">
      <c r="A44" s="385"/>
      <c r="B44" s="386"/>
      <c r="D44" s="385"/>
      <c r="E44" s="378"/>
      <c r="F44" s="378" t="s">
        <v>393</v>
      </c>
      <c r="G44" s="383" t="s">
        <v>335</v>
      </c>
      <c r="H44" s="375">
        <f>C12</f>
        <v>109090.91250000001</v>
      </c>
    </row>
    <row r="45" spans="1:9" ht="20.25" customHeight="1" x14ac:dyDescent="0.4">
      <c r="A45" s="394" t="s">
        <v>394</v>
      </c>
      <c r="B45" s="395"/>
      <c r="D45" s="379"/>
      <c r="E45" s="368"/>
      <c r="F45" s="368" t="s">
        <v>395</v>
      </c>
      <c r="G45" s="369"/>
      <c r="H45" s="397"/>
    </row>
    <row r="46" spans="1:9" ht="15.9" customHeight="1" x14ac:dyDescent="0.4">
      <c r="A46" s="378" t="s">
        <v>396</v>
      </c>
      <c r="B46" s="383" t="s">
        <v>397</v>
      </c>
      <c r="C46" s="375">
        <f>SUM(C12:C16)</f>
        <v>110935.41250000001</v>
      </c>
      <c r="D46" s="385" t="s">
        <v>398</v>
      </c>
      <c r="E46" s="378" t="s">
        <v>399</v>
      </c>
      <c r="F46" s="378"/>
      <c r="G46" s="383" t="s">
        <v>400</v>
      </c>
      <c r="H46" s="370">
        <f>SUBTOTAL(9,H36:H44)</f>
        <v>6908940.9124999996</v>
      </c>
      <c r="I46" s="398" t="s">
        <v>401</v>
      </c>
    </row>
    <row r="47" spans="1:9" ht="15.9" customHeight="1" x14ac:dyDescent="0.4">
      <c r="A47" s="378" t="s">
        <v>402</v>
      </c>
      <c r="B47" s="383" t="s">
        <v>403</v>
      </c>
      <c r="C47" s="375">
        <f>H31-C50-C46</f>
        <v>2613487.5874999999</v>
      </c>
      <c r="D47" s="385" t="s">
        <v>404</v>
      </c>
      <c r="E47" s="378" t="s">
        <v>405</v>
      </c>
      <c r="F47" s="378"/>
      <c r="G47" s="383" t="s">
        <v>406</v>
      </c>
      <c r="H47" s="399">
        <f>SUBTOTAL(9,H35:H46)</f>
        <v>10908940.9125</v>
      </c>
      <c r="I47" s="398" t="s">
        <v>407</v>
      </c>
    </row>
    <row r="48" spans="1:9" ht="15.9" customHeight="1" x14ac:dyDescent="0.4">
      <c r="A48" s="378" t="s">
        <v>408</v>
      </c>
      <c r="B48" s="383" t="s">
        <v>409</v>
      </c>
      <c r="C48" s="400">
        <f>C47+C46</f>
        <v>2724423</v>
      </c>
      <c r="D48" s="385" t="s">
        <v>410</v>
      </c>
    </row>
    <row r="49" spans="1:4" ht="15.9" customHeight="1" x14ac:dyDescent="0.4">
      <c r="A49" s="378" t="s">
        <v>411</v>
      </c>
      <c r="B49" s="383" t="s">
        <v>412</v>
      </c>
      <c r="C49" s="401">
        <f>H31-C31</f>
        <v>-752112.41249999963</v>
      </c>
      <c r="D49" s="385" t="s">
        <v>413</v>
      </c>
    </row>
    <row r="50" spans="1:4" ht="15.9" customHeight="1" x14ac:dyDescent="0.4">
      <c r="A50" s="378" t="s">
        <v>414</v>
      </c>
      <c r="B50" s="383" t="s">
        <v>415</v>
      </c>
      <c r="C50" s="400">
        <f>SUM(C51:C52)</f>
        <v>6002850</v>
      </c>
      <c r="D50" s="385" t="s">
        <v>416</v>
      </c>
    </row>
    <row r="51" spans="1:4" ht="15.9" customHeight="1" x14ac:dyDescent="0.4">
      <c r="A51" s="378" t="s">
        <v>417</v>
      </c>
      <c r="B51" s="383" t="s">
        <v>360</v>
      </c>
      <c r="C51" s="400">
        <f>H37</f>
        <v>285850</v>
      </c>
      <c r="D51" s="385"/>
    </row>
    <row r="52" spans="1:4" ht="15.9" customHeight="1" x14ac:dyDescent="0.4">
      <c r="A52" s="378" t="s">
        <v>418</v>
      </c>
      <c r="B52" s="383" t="s">
        <v>355</v>
      </c>
      <c r="C52" s="399">
        <f>H36</f>
        <v>5717000</v>
      </c>
      <c r="D52" s="385"/>
    </row>
    <row r="53" spans="1:4" ht="15.9" customHeight="1" x14ac:dyDescent="0.4">
      <c r="A53" s="378" t="s">
        <v>419</v>
      </c>
      <c r="B53" s="383"/>
      <c r="C53" s="402" t="s">
        <v>420</v>
      </c>
      <c r="D53" s="385" t="s">
        <v>421</v>
      </c>
    </row>
    <row r="54" spans="1:4" ht="15.9" customHeight="1" x14ac:dyDescent="0.4">
      <c r="A54" s="378" t="s">
        <v>422</v>
      </c>
      <c r="B54" s="383" t="s">
        <v>423</v>
      </c>
      <c r="C54" s="403">
        <v>0</v>
      </c>
      <c r="D54" s="385"/>
    </row>
    <row r="55" spans="1:4" ht="30" customHeight="1" x14ac:dyDescent="0.4">
      <c r="A55" s="404" t="s">
        <v>424</v>
      </c>
      <c r="B55" s="405"/>
      <c r="C55" s="406"/>
      <c r="D55" s="385"/>
    </row>
    <row r="56" spans="1:4" ht="15.9" customHeight="1" x14ac:dyDescent="0.4">
      <c r="A56" s="407"/>
      <c r="B56" s="408"/>
      <c r="C56" s="409" t="s">
        <v>425</v>
      </c>
      <c r="D56" s="384"/>
    </row>
    <row r="57" spans="1:4" ht="15.9" customHeight="1" x14ac:dyDescent="0.4">
      <c r="A57" s="407"/>
      <c r="B57" s="410"/>
      <c r="C57" s="411" t="s">
        <v>426</v>
      </c>
      <c r="D57" s="384"/>
    </row>
    <row r="58" spans="1:4" ht="15.9" customHeight="1" x14ac:dyDescent="0.4">
      <c r="A58" s="407"/>
      <c r="B58" s="412"/>
      <c r="C58" s="411" t="s">
        <v>427</v>
      </c>
      <c r="D58" s="384"/>
    </row>
    <row r="59" spans="1:4" ht="15.9" customHeight="1" x14ac:dyDescent="0.4">
      <c r="A59" s="407"/>
      <c r="B59" s="413"/>
      <c r="C59" s="411" t="s">
        <v>428</v>
      </c>
      <c r="D59" s="384"/>
    </row>
    <row r="60" spans="1:4" ht="15.9" customHeight="1" x14ac:dyDescent="0.4">
      <c r="A60" s="414" t="s">
        <v>429</v>
      </c>
      <c r="B60" s="415"/>
    </row>
  </sheetData>
  <pageMargins left="0.71" right="0.71" top="0.75" bottom="0.75" header="0.31" footer="0.31"/>
  <pageSetup paperSize="9" scale="54" orientation="portrait" useFirstPageNumber="1"/>
  <headerFooter>
    <oddHeader>&amp;L&amp;C&amp;R</oddHeader>
    <oddFooter>&amp;L&amp;C&amp;R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903B-C196-B638-C2CA-7B23DC7CA0DA}">
  <sheetPr>
    <pageSetUpPr fitToPage="1"/>
  </sheetPr>
  <dimension ref="A1:C67"/>
  <sheetViews>
    <sheetView showGridLines="0" topLeftCell="A52" workbookViewId="0">
      <selection activeCell="B65" sqref="B65"/>
    </sheetView>
  </sheetViews>
  <sheetFormatPr defaultColWidth="9.15234375" defaultRowHeight="15.9" customHeight="1" x14ac:dyDescent="0.45"/>
  <cols>
    <col min="1" max="1" width="32.3046875" customWidth="1"/>
    <col min="2" max="2" width="16.15234375" style="455" customWidth="1"/>
    <col min="3" max="3" width="87.15234375" style="456" customWidth="1"/>
  </cols>
  <sheetData>
    <row r="1" spans="1:3" ht="25.5" customHeight="1" x14ac:dyDescent="0.45">
      <c r="A1" s="30" t="s">
        <v>430</v>
      </c>
    </row>
    <row r="2" spans="1:3" ht="16.5" customHeight="1" x14ac:dyDescent="0.45"/>
    <row r="3" spans="1:3" ht="15.9" customHeight="1" x14ac:dyDescent="0.45">
      <c r="A3" s="418" t="s">
        <v>431</v>
      </c>
      <c r="B3" s="419" t="s">
        <v>432</v>
      </c>
      <c r="C3" s="420" t="s">
        <v>90</v>
      </c>
    </row>
    <row r="4" spans="1:3" ht="15.9" customHeight="1" x14ac:dyDescent="0.45">
      <c r="A4" s="421"/>
      <c r="B4" s="422"/>
      <c r="C4" s="423"/>
    </row>
    <row r="5" spans="1:3" ht="15.9" customHeight="1" x14ac:dyDescent="0.45">
      <c r="A5" s="421"/>
      <c r="B5" s="559">
        <f>'FEASABILITY STUDY'!E79</f>
        <v>166502.24018475751</v>
      </c>
      <c r="C5" s="560" t="s">
        <v>507</v>
      </c>
    </row>
    <row r="6" spans="1:3" ht="15.9" customHeight="1" x14ac:dyDescent="0.45">
      <c r="A6" s="421"/>
      <c r="B6" s="422"/>
      <c r="C6" s="423"/>
    </row>
    <row r="7" spans="1:3" ht="15.9" customHeight="1" x14ac:dyDescent="0.45">
      <c r="A7" s="421"/>
      <c r="B7" s="424">
        <f>'FEASABILITY STUDY'!D112</f>
        <v>4808000</v>
      </c>
      <c r="C7" s="425" t="s">
        <v>433</v>
      </c>
    </row>
    <row r="8" spans="1:3" ht="15.9" customHeight="1" x14ac:dyDescent="0.45">
      <c r="A8" s="421"/>
      <c r="B8" s="422"/>
      <c r="C8" s="423"/>
    </row>
    <row r="9" spans="1:3" ht="15.9" customHeight="1" x14ac:dyDescent="0.45">
      <c r="A9" s="421"/>
      <c r="B9" s="424">
        <f>'FEASABILITY STUDY'!E147</f>
        <v>5080257.63</v>
      </c>
      <c r="C9" s="423" t="s">
        <v>434</v>
      </c>
    </row>
    <row r="10" spans="1:3" ht="15.9" customHeight="1" x14ac:dyDescent="0.45">
      <c r="A10" s="421"/>
      <c r="B10" s="422"/>
      <c r="C10" s="423"/>
    </row>
    <row r="11" spans="1:3" ht="15.9" customHeight="1" x14ac:dyDescent="0.45">
      <c r="A11" s="426" t="s">
        <v>435</v>
      </c>
      <c r="B11" s="427">
        <f>'FEASABILITY STUDY'!D125</f>
        <v>3365600</v>
      </c>
      <c r="C11" s="428" t="s">
        <v>436</v>
      </c>
    </row>
    <row r="12" spans="1:3" ht="15.9" customHeight="1" x14ac:dyDescent="0.45">
      <c r="A12" s="421"/>
      <c r="B12" s="422"/>
      <c r="C12" s="423"/>
    </row>
    <row r="13" spans="1:3" s="429" customFormat="1" ht="15.9" customHeight="1" x14ac:dyDescent="0.45">
      <c r="A13" s="430"/>
      <c r="B13" s="424">
        <f>'FEASABILITY STUDY'!E181</f>
        <v>228499.8</v>
      </c>
      <c r="C13" s="431" t="s">
        <v>437</v>
      </c>
    </row>
    <row r="14" spans="1:3" ht="15.9" customHeight="1" x14ac:dyDescent="0.45">
      <c r="A14" s="421"/>
      <c r="B14" s="422"/>
      <c r="C14" s="423"/>
    </row>
    <row r="15" spans="1:3" ht="15.9" customHeight="1" x14ac:dyDescent="0.45">
      <c r="A15" s="421"/>
      <c r="B15" s="424">
        <f>'FEASABILITY STUDY'!E182</f>
        <v>447457.33684931503</v>
      </c>
      <c r="C15" s="431" t="s">
        <v>438</v>
      </c>
    </row>
    <row r="16" spans="1:3" s="432" customFormat="1" ht="15.9" customHeight="1" x14ac:dyDescent="0.45">
      <c r="A16" s="433"/>
      <c r="B16" s="422"/>
      <c r="C16" s="423"/>
    </row>
    <row r="17" spans="1:3" ht="15.9" customHeight="1" x14ac:dyDescent="0.45">
      <c r="A17" s="421"/>
      <c r="B17" s="434">
        <f>'FEASABILITY STUDY'!E183</f>
        <v>102042.5</v>
      </c>
      <c r="C17" s="423" t="s">
        <v>439</v>
      </c>
    </row>
    <row r="18" spans="1:3" s="432" customFormat="1" ht="16.5" customHeight="1" x14ac:dyDescent="0.45">
      <c r="A18" s="433"/>
      <c r="B18" s="422"/>
      <c r="C18" s="423"/>
    </row>
    <row r="19" spans="1:3" ht="16.5" customHeight="1" x14ac:dyDescent="0.45">
      <c r="A19" s="435" t="s">
        <v>440</v>
      </c>
      <c r="B19" s="436">
        <f>-SUM(B9,-B11,B13,B15,-B17,B5)</f>
        <v>-2455074.5070340722</v>
      </c>
      <c r="C19" s="437" t="s">
        <v>441</v>
      </c>
    </row>
    <row r="20" spans="1:3" ht="15.9" customHeight="1" x14ac:dyDescent="0.45">
      <c r="A20" s="421"/>
      <c r="B20" s="422"/>
      <c r="C20" s="423"/>
    </row>
    <row r="21" spans="1:3" ht="15.9" customHeight="1" x14ac:dyDescent="0.45">
      <c r="A21" s="421"/>
      <c r="B21" s="424">
        <f>'FEASABILITY STUDY'!E163</f>
        <v>5490640.05975</v>
      </c>
      <c r="C21" s="438" t="s">
        <v>481</v>
      </c>
    </row>
    <row r="22" spans="1:3" s="429" customFormat="1" ht="15.9" customHeight="1" x14ac:dyDescent="0.45">
      <c r="A22" s="430"/>
      <c r="B22" s="422"/>
      <c r="C22" s="423"/>
    </row>
    <row r="23" spans="1:3" ht="15.9" customHeight="1" x14ac:dyDescent="0.45">
      <c r="A23" s="421"/>
      <c r="B23" s="424">
        <f>'FEASABILITY STUDY'!E188</f>
        <v>3365600</v>
      </c>
      <c r="C23" s="431" t="s">
        <v>442</v>
      </c>
    </row>
    <row r="24" spans="1:3" ht="15.9" customHeight="1" x14ac:dyDescent="0.45">
      <c r="A24" s="421"/>
      <c r="B24" s="422"/>
      <c r="C24" s="423"/>
    </row>
    <row r="25" spans="1:3" s="432" customFormat="1" ht="15.9" customHeight="1" x14ac:dyDescent="0.45">
      <c r="A25" s="433"/>
      <c r="B25" s="422" t="s">
        <v>443</v>
      </c>
      <c r="C25" s="439" t="s">
        <v>444</v>
      </c>
    </row>
    <row r="26" spans="1:3" ht="15.9" customHeight="1" x14ac:dyDescent="0.45">
      <c r="A26" s="421"/>
      <c r="B26" s="422"/>
      <c r="C26" s="423"/>
    </row>
    <row r="27" spans="1:3" s="432" customFormat="1" ht="15.9" customHeight="1" x14ac:dyDescent="0.45">
      <c r="A27" s="433"/>
      <c r="B27" s="427">
        <f>'FEASABILITY STUDY'!D175</f>
        <v>8727272.7272727266</v>
      </c>
      <c r="C27" s="440">
        <f>B31</f>
        <v>750000</v>
      </c>
    </row>
    <row r="28" spans="1:3" ht="15.9" customHeight="1" x14ac:dyDescent="0.45">
      <c r="A28" s="421"/>
      <c r="B28" s="441"/>
      <c r="C28" s="428"/>
    </row>
    <row r="29" spans="1:3" ht="15.9" customHeight="1" x14ac:dyDescent="0.45">
      <c r="A29" s="421"/>
      <c r="B29" s="434">
        <f>SUM('FEASABILITY STUDY'!E169:E170)</f>
        <v>110935.40909090909</v>
      </c>
      <c r="C29" s="423" t="s">
        <v>445</v>
      </c>
    </row>
    <row r="30" spans="1:3" ht="15.9" customHeight="1" x14ac:dyDescent="0.45">
      <c r="A30" s="421"/>
      <c r="B30" s="441"/>
      <c r="C30" s="428"/>
    </row>
    <row r="31" spans="1:3" s="442" customFormat="1" ht="15.9" customHeight="1" x14ac:dyDescent="0.45">
      <c r="A31" s="443"/>
      <c r="B31" s="427">
        <f>'FEASABILITY STUDY'!E190</f>
        <v>750000</v>
      </c>
      <c r="C31" s="428" t="s">
        <v>446</v>
      </c>
    </row>
    <row r="32" spans="1:3" s="442" customFormat="1" ht="16.5" customHeight="1" x14ac:dyDescent="0.45">
      <c r="A32" s="443"/>
      <c r="B32" s="422"/>
      <c r="C32" s="423"/>
    </row>
    <row r="33" spans="1:3" s="432" customFormat="1" ht="16.5" customHeight="1" x14ac:dyDescent="0.45">
      <c r="A33" s="435" t="s">
        <v>270</v>
      </c>
      <c r="B33" s="444">
        <f>SUM(B27,B31)-SUM(B21,B23,B29)</f>
        <v>510097.25843181834</v>
      </c>
      <c r="C33" s="445" t="s">
        <v>447</v>
      </c>
    </row>
    <row r="34" spans="1:3" s="432" customFormat="1" ht="15.9" customHeight="1" x14ac:dyDescent="0.45">
      <c r="A34" s="433"/>
      <c r="B34" s="422"/>
      <c r="C34" s="423"/>
    </row>
    <row r="35" spans="1:3" ht="15.9" customHeight="1" x14ac:dyDescent="0.45">
      <c r="A35" s="421"/>
      <c r="B35" s="434">
        <f>'FEASABILITY STUDY'!G197</f>
        <v>1239099.1786342976</v>
      </c>
      <c r="C35" s="446">
        <f>'INTEREST STUDY'!E48</f>
        <v>4293493.59</v>
      </c>
    </row>
    <row r="36" spans="1:3" ht="15.9" customHeight="1" x14ac:dyDescent="0.45">
      <c r="A36" s="421"/>
      <c r="B36" s="422"/>
      <c r="C36" s="423"/>
    </row>
    <row r="37" spans="1:3" ht="15.9" customHeight="1" x14ac:dyDescent="0.45">
      <c r="A37" s="421"/>
      <c r="B37" s="424">
        <f>'FEASABILITY STUDY'!E193</f>
        <v>661173.11873711844</v>
      </c>
      <c r="C37" s="431" t="s">
        <v>448</v>
      </c>
    </row>
    <row r="38" spans="1:3" ht="15.9" customHeight="1" x14ac:dyDescent="0.45">
      <c r="A38" s="421"/>
      <c r="B38" s="422"/>
      <c r="C38" s="423"/>
    </row>
    <row r="39" spans="1:3" ht="15.9" customHeight="1" x14ac:dyDescent="0.45">
      <c r="A39" s="421"/>
      <c r="B39" s="424">
        <f>'FEASABILITY STUDY'!E195</f>
        <v>81160</v>
      </c>
      <c r="C39" s="431" t="s">
        <v>482</v>
      </c>
    </row>
    <row r="40" spans="1:3" ht="15.9" customHeight="1" x14ac:dyDescent="0.45">
      <c r="A40" s="421"/>
      <c r="B40" s="424"/>
      <c r="C40" s="431"/>
    </row>
    <row r="41" spans="1:3" ht="15.9" customHeight="1" x14ac:dyDescent="0.45">
      <c r="A41" s="421"/>
      <c r="B41" s="424">
        <f>'FEASABILITY STUDY'!E196</f>
        <v>41952.708884297521</v>
      </c>
      <c r="C41" s="431" t="s">
        <v>484</v>
      </c>
    </row>
    <row r="42" spans="1:3" ht="16.5" customHeight="1" x14ac:dyDescent="0.45">
      <c r="A42" s="421"/>
      <c r="B42" s="422"/>
      <c r="C42" s="423"/>
    </row>
    <row r="43" spans="1:3" s="432" customFormat="1" ht="16.5" customHeight="1" x14ac:dyDescent="0.45">
      <c r="A43" s="447" t="s">
        <v>449</v>
      </c>
      <c r="B43" s="448">
        <f>B35-SUM(B37,B39)</f>
        <v>496766.05989717913</v>
      </c>
      <c r="C43" s="449" t="s">
        <v>450</v>
      </c>
    </row>
    <row r="44" spans="1:3" ht="15.9" customHeight="1" x14ac:dyDescent="0.45">
      <c r="A44" s="421"/>
      <c r="B44" s="422"/>
      <c r="C44" s="423"/>
    </row>
    <row r="45" spans="1:3" s="432" customFormat="1" ht="15.9" customHeight="1" x14ac:dyDescent="0.45">
      <c r="A45" s="433"/>
      <c r="B45" s="434">
        <f>'FEASABILITY STUDY'!G42</f>
        <v>12950000</v>
      </c>
      <c r="C45" s="423" t="s">
        <v>451</v>
      </c>
    </row>
    <row r="46" spans="1:3" ht="15.9" customHeight="1" x14ac:dyDescent="0.45">
      <c r="A46" s="421"/>
      <c r="B46" s="422"/>
      <c r="C46" s="423"/>
    </row>
    <row r="47" spans="1:3" ht="15.9" customHeight="1" x14ac:dyDescent="0.45">
      <c r="A47" s="421"/>
      <c r="B47" s="434">
        <f>SUM('FEASABILITY STUDY'!G43:G45)</f>
        <v>13500375</v>
      </c>
      <c r="C47" s="423" t="s">
        <v>452</v>
      </c>
    </row>
    <row r="48" spans="1:3" ht="16.5" customHeight="1" x14ac:dyDescent="0.45">
      <c r="A48" s="421"/>
      <c r="B48" s="422"/>
      <c r="C48" s="423"/>
    </row>
    <row r="49" spans="1:3" ht="16.5" customHeight="1" x14ac:dyDescent="0.45">
      <c r="A49" s="447" t="s">
        <v>453</v>
      </c>
      <c r="B49" s="448">
        <f>'FEASABILITY STUDY'!G47</f>
        <v>14445401.25</v>
      </c>
      <c r="C49" s="449" t="s">
        <v>454</v>
      </c>
    </row>
    <row r="50" spans="1:3" ht="15.9" customHeight="1" x14ac:dyDescent="0.45">
      <c r="A50" s="421"/>
      <c r="B50" s="422"/>
      <c r="C50" s="423"/>
    </row>
    <row r="51" spans="1:3" ht="15.9" customHeight="1" x14ac:dyDescent="0.45">
      <c r="A51" s="421"/>
      <c r="B51" s="424">
        <f>'FEASABILITY STUDY'!E199</f>
        <v>288908.02500000002</v>
      </c>
      <c r="C51" s="431" t="s">
        <v>455</v>
      </c>
    </row>
    <row r="52" spans="1:3" ht="15.9" customHeight="1" x14ac:dyDescent="0.45">
      <c r="A52" s="421"/>
      <c r="B52" s="422"/>
      <c r="C52" s="423"/>
    </row>
    <row r="53" spans="1:3" ht="15.9" customHeight="1" x14ac:dyDescent="0.45">
      <c r="A53" s="421"/>
      <c r="B53" s="424">
        <f>'FEASABILITY STUDY'!E200</f>
        <v>876127.38636363635</v>
      </c>
      <c r="C53" s="431" t="s">
        <v>483</v>
      </c>
    </row>
    <row r="54" spans="1:3" ht="15.9" customHeight="1" x14ac:dyDescent="0.45">
      <c r="A54" s="421"/>
      <c r="B54" s="422"/>
      <c r="C54" s="423"/>
    </row>
    <row r="55" spans="1:3" ht="15.9" customHeight="1" x14ac:dyDescent="0.45">
      <c r="A55" s="421"/>
      <c r="B55" s="424">
        <f>SUM('FEASABILITY STUDY'!E204:E206)</f>
        <v>1179349.3589999999</v>
      </c>
      <c r="C55" s="431" t="s">
        <v>456</v>
      </c>
    </row>
    <row r="56" spans="1:3" ht="15.9" customHeight="1" x14ac:dyDescent="0.45">
      <c r="A56" s="421"/>
      <c r="B56" s="422"/>
      <c r="C56" s="423"/>
    </row>
    <row r="57" spans="1:3" ht="15.9" customHeight="1" x14ac:dyDescent="0.45">
      <c r="A57" s="421"/>
      <c r="B57" s="424">
        <f>'FEASABILITY STUDY'!E207</f>
        <v>1281708.9485203181</v>
      </c>
      <c r="C57" s="431" t="s">
        <v>457</v>
      </c>
    </row>
    <row r="58" spans="1:3" ht="15.9" customHeight="1" x14ac:dyDescent="0.45">
      <c r="A58" s="421"/>
      <c r="B58" s="422"/>
      <c r="C58" s="423"/>
    </row>
    <row r="59" spans="1:3" ht="15.9" customHeight="1" x14ac:dyDescent="0.45">
      <c r="A59" s="421"/>
      <c r="B59" s="424">
        <f>'FEASABILITY STUDY'!E208</f>
        <v>8727272.7272727266</v>
      </c>
      <c r="C59" s="431" t="s">
        <v>458</v>
      </c>
    </row>
    <row r="60" spans="1:3" ht="16.5" customHeight="1" x14ac:dyDescent="0.45">
      <c r="A60" s="421"/>
      <c r="B60" s="422"/>
      <c r="C60" s="423"/>
    </row>
    <row r="61" spans="1:3" ht="16.5" customHeight="1" x14ac:dyDescent="0.45">
      <c r="A61" s="435" t="s">
        <v>459</v>
      </c>
      <c r="B61" s="436">
        <f>-SUM(B51:B59)</f>
        <v>-12353366.446156681</v>
      </c>
      <c r="C61" s="437" t="s">
        <v>460</v>
      </c>
    </row>
    <row r="62" spans="1:3" ht="15.9" customHeight="1" x14ac:dyDescent="0.45">
      <c r="A62" s="421"/>
      <c r="B62" s="422"/>
      <c r="C62" s="423"/>
    </row>
    <row r="63" spans="1:3" ht="15.9" customHeight="1" x14ac:dyDescent="0.45">
      <c r="A63" s="450">
        <f>-B63/SUM($B$19,$B$33,$B$43)</f>
        <v>0.44456472934304703</v>
      </c>
      <c r="B63" s="434">
        <f>SUM(B19,B33,B43,B49,B61)</f>
        <v>643823.61513824388</v>
      </c>
      <c r="C63" s="423" t="s">
        <v>461</v>
      </c>
    </row>
    <row r="64" spans="1:3" ht="16.5" customHeight="1" x14ac:dyDescent="0.45">
      <c r="A64" s="421"/>
      <c r="B64" s="422"/>
      <c r="C64" s="423"/>
    </row>
    <row r="65" spans="1:3" ht="16.5" customHeight="1" x14ac:dyDescent="0.45">
      <c r="A65" s="451">
        <f>-B65/SUM($B$19,$B$33,$B$43)</f>
        <v>0.33342354700728527</v>
      </c>
      <c r="B65" s="448">
        <f>'FEASABILITY STUDY'!E221</f>
        <v>482867.71135368291</v>
      </c>
      <c r="C65" s="449" t="s">
        <v>462</v>
      </c>
    </row>
    <row r="66" spans="1:3" ht="16.5" customHeight="1" x14ac:dyDescent="0.45">
      <c r="A66" s="452"/>
      <c r="B66" s="453"/>
      <c r="C66" s="454"/>
    </row>
    <row r="67" spans="1:3" s="432" customFormat="1" ht="15.9" customHeight="1" x14ac:dyDescent="0.45">
      <c r="B67" s="455"/>
      <c r="C67" s="456"/>
    </row>
  </sheetData>
  <pageMargins left="0.71" right="0.71" top="0.75" bottom="0.75" header="0.31" footer="0.31"/>
  <pageSetup paperSize="8" scale="98" orientation="portrait" useFirstPageNumber="1"/>
  <headerFooter>
    <oddHeader>&amp;L&amp;C&amp;R</oddHeader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EXECUTIVE SUMMARY</vt:lpstr>
      <vt:lpstr>FEASABILITY STUDY</vt:lpstr>
      <vt:lpstr>INTEREST STUDY</vt:lpstr>
      <vt:lpstr>PROPOSED LOAN</vt:lpstr>
      <vt:lpstr>VISUALISATION</vt:lpstr>
      <vt:lpstr>'FEASABILITY STUDY'!_FilterDatabase</vt:lpstr>
      <vt:lpstr>'FEASABILITY STUDY'!Print_Area</vt:lpstr>
      <vt:lpstr>'INTEREST STUDY'!Print_Area</vt:lpstr>
      <vt:lpstr>'PROPOSED LOAN'!Print_Area</vt:lpstr>
      <vt:lpstr>'FEASABILITY STUDY'!Print_Titles</vt:lpstr>
    </vt:vector>
  </TitlesOfParts>
  <Manager/>
  <Company>Shortcut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Shortcut</dc:creator>
  <cp:keywords/>
  <dc:description/>
  <cp:lastModifiedBy>Mark Johinke</cp:lastModifiedBy>
  <cp:revision/>
  <cp:lastPrinted>2025-08-16T12:19:40Z</cp:lastPrinted>
  <dcterms:created xsi:type="dcterms:W3CDTF">2024-05-13T07:25:51Z</dcterms:created>
  <dcterms:modified xsi:type="dcterms:W3CDTF">2025-09-13T08:51:17Z</dcterms:modified>
  <cp:category/>
  <cp:contentStatus/>
</cp:coreProperties>
</file>